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ario" sheetId="1" state="visible" r:id="rId1"/>
    <sheet xmlns:r="http://schemas.openxmlformats.org/officeDocument/2006/relationships" name="🔴 Alertas reposición" sheetId="2" state="visible" r:id="rId2"/>
    <sheet xmlns:r="http://schemas.openxmlformats.org/officeDocument/2006/relationships" name="ℹ 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FFAF22"/>
      <sz val="14"/>
    </font>
    <font>
      <name val="Calibri"/>
      <i val="1"/>
      <color rgb="00888888"/>
      <sz val="10"/>
    </font>
    <font>
      <name val="Calibri"/>
      <b val="1"/>
      <color rgb="00FFFFFF"/>
      <sz val="10"/>
    </font>
    <font>
      <name val="Calibri"/>
      <color rgb="00999999"/>
      <sz val="9"/>
    </font>
    <font>
      <name val="Calibri"/>
      <color rgb="00888888"/>
      <sz val="10"/>
    </font>
    <font>
      <name val="Calibri"/>
      <color rgb="00FFFFFF"/>
      <sz val="8"/>
    </font>
    <font>
      <name val="Calibri"/>
      <b val="1"/>
      <color rgb="00FFAF22"/>
      <sz val="13"/>
    </font>
    <font>
      <name val="Calibri"/>
      <i val="1"/>
      <color rgb="00666666"/>
      <sz val="9"/>
    </font>
    <font>
      <name val="Calibri"/>
      <b val="1"/>
      <color rgb="00222036"/>
      <sz val="11"/>
    </font>
    <font>
      <name val="Calibri"/>
      <color rgb="00444444"/>
      <sz val="10"/>
    </font>
  </fonts>
  <fills count="8">
    <fill>
      <patternFill/>
    </fill>
    <fill>
      <patternFill patternType="gray125"/>
    </fill>
    <fill>
      <patternFill patternType="solid">
        <fgColor rgb="00222036"/>
      </patternFill>
    </fill>
    <fill>
      <patternFill patternType="solid">
        <fgColor rgb="002C2A4A"/>
      </patternFill>
    </fill>
    <fill>
      <patternFill patternType="solid">
        <fgColor rgb="00FFFFFF"/>
      </patternFill>
    </fill>
    <fill>
      <patternFill patternType="solid">
        <fgColor rgb="00F7F7F7"/>
      </patternFill>
    </fill>
    <fill>
      <patternFill patternType="solid">
        <fgColor rgb="00FFFBE6"/>
      </patternFill>
    </fill>
    <fill>
      <patternFill patternType="solid">
        <fgColor rgb="00FFF3D6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center" vertical="center"/>
    </xf>
    <xf numFmtId="4" fontId="0" fillId="4" borderId="1" applyAlignment="1" pivotButton="0" quotePrefix="0" xfId="0">
      <alignment horizontal="center" vertical="center"/>
    </xf>
    <xf numFmtId="164" fontId="5" fillId="4" borderId="1" applyAlignment="1" pivotButton="0" quotePrefix="0" xfId="0">
      <alignment horizontal="center" vertical="center"/>
    </xf>
    <xf numFmtId="4" fontId="5" fillId="4" borderId="1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4" fontId="0" fillId="5" borderId="1" applyAlignment="1" pivotButton="0" quotePrefix="0" xfId="0">
      <alignment horizontal="center" vertical="center"/>
    </xf>
    <xf numFmtId="164" fontId="5" fillId="5" borderId="1" applyAlignment="1" pivotButton="0" quotePrefix="0" xfId="0">
      <alignment horizontal="center" vertical="center"/>
    </xf>
    <xf numFmtId="4" fontId="5" fillId="5" borderId="1" applyAlignment="1" pivotButton="0" quotePrefix="0" xfId="0">
      <alignment horizontal="center" vertical="center"/>
    </xf>
    <xf numFmtId="0" fontId="7" fillId="2" borderId="0" applyAlignment="1" pivotButton="0" quotePrefix="0" xfId="0">
      <alignment horizontal="center" vertical="center"/>
    </xf>
    <xf numFmtId="0" fontId="8" fillId="6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9" fillId="7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9C0006"/>
      </font>
      <fill>
        <patternFill patternType="solid">
          <fgColor rgb="00FFC7CE"/>
        </patternFill>
      </fill>
    </dxf>
    <dxf>
      <font>
        <name val="Calibri"/>
        <b val="1"/>
        <color rgb="009C6500"/>
      </font>
      <fill>
        <patternFill patternType="solid">
          <fgColor rgb="00FFEB9C"/>
        </patternFill>
      </fill>
    </dxf>
    <dxf>
      <font>
        <name val="Calibri"/>
        <b val="1"/>
        <color rgb="00276221"/>
      </font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14" customWidth="1" min="3" max="3"/>
    <col width="9" customWidth="1" min="4" max="4"/>
    <col width="11" customWidth="1" min="5" max="5"/>
    <col width="11" customWidth="1" min="6" max="6"/>
    <col width="14" customWidth="1" min="7" max="7"/>
    <col width="12" customWidth="1" min="8" max="8"/>
    <col width="12" customWidth="1" min="9" max="9"/>
    <col width="13" customWidth="1" min="10" max="10"/>
    <col hidden="1" width="13" customWidth="1" min="11" max="11"/>
  </cols>
  <sheetData>
    <row r="1" ht="32" customHeight="1">
      <c r="A1" s="1" t="inlineStr">
        <is>
          <t>INVENTARIO Y STOCK MÍNIMO — bcnsoft</t>
        </is>
      </c>
    </row>
    <row r="2" ht="18" customHeight="1">
      <c r="A2" s="2" t="inlineStr">
        <is>
          <t>Ingresá stock actual y mínimo · Punto de pedido y estado se calculan solos</t>
        </is>
      </c>
    </row>
    <row r="3" ht="24" customHeight="1">
      <c r="A3" s="3" t="inlineStr">
        <is>
          <t xml:space="preserve"> #</t>
        </is>
      </c>
      <c r="B3" s="3" t="inlineStr">
        <is>
          <t>Producto</t>
        </is>
      </c>
      <c r="C3" s="3" t="inlineStr">
        <is>
          <t>Categoría</t>
        </is>
      </c>
      <c r="D3" s="3" t="inlineStr">
        <is>
          <t>Unidad</t>
        </is>
      </c>
      <c r="E3" s="3" t="inlineStr">
        <is>
          <t>Stock actual</t>
        </is>
      </c>
      <c r="F3" s="3" t="inlineStr">
        <is>
          <t>Stock mínimo</t>
        </is>
      </c>
      <c r="G3" s="3" t="inlineStr">
        <is>
          <t>Punto de pedido</t>
        </is>
      </c>
      <c r="H3" s="3" t="inlineStr">
        <is>
          <t>Costo unit. $</t>
        </is>
      </c>
      <c r="I3" s="3" t="inlineStr">
        <is>
          <t>Valor stock $</t>
        </is>
      </c>
      <c r="J3" s="3" t="inlineStr">
        <is>
          <t>Estado</t>
        </is>
      </c>
    </row>
    <row r="4">
      <c r="A4" s="4" t="n">
        <v>1</v>
      </c>
      <c r="B4" s="5" t="n"/>
      <c r="C4" s="5" t="n"/>
      <c r="D4" s="6" t="n"/>
      <c r="E4" s="7" t="n"/>
      <c r="F4" s="7" t="n"/>
      <c r="G4" s="8">
        <f>IF(F4="","",ROUND(F4*1.2,1))</f>
        <v/>
      </c>
      <c r="H4" s="7" t="n"/>
      <c r="I4" s="9">
        <f>IF(OR(E4="",H4=""),"",ROUND(E4*H4,2))</f>
        <v/>
      </c>
      <c r="J4" s="6">
        <f>IF(E4="","",IF(E4&lt;=F4,"🔴 REPONER",IF(E4&lt;=G4,"⚠️ BAJO","✅ OK")))</f>
        <v/>
      </c>
      <c r="K4" s="10">
        <f>IF(ISNUMBER(E4)*ISNUMBER(F4)*(E4&lt;=G4),1,"")</f>
        <v/>
      </c>
    </row>
    <row r="5">
      <c r="A5" s="11" t="n">
        <v>2</v>
      </c>
      <c r="B5" s="12" t="n"/>
      <c r="C5" s="12" t="n"/>
      <c r="D5" s="13" t="n"/>
      <c r="E5" s="14" t="n"/>
      <c r="F5" s="14" t="n"/>
      <c r="G5" s="15">
        <f>IF(F5="","",ROUND(F5*1.2,1))</f>
        <v/>
      </c>
      <c r="H5" s="14" t="n"/>
      <c r="I5" s="16">
        <f>IF(OR(E5="",H5=""),"",ROUND(E5*H5,2))</f>
        <v/>
      </c>
      <c r="J5" s="13">
        <f>IF(E5="","",IF(E5&lt;=F5,"🔴 REPONER",IF(E5&lt;=G5,"⚠️ BAJO","✅ OK")))</f>
        <v/>
      </c>
      <c r="K5" s="10">
        <f>IF(ISNUMBER(E5)*ISNUMBER(F5)*(E5&lt;=G5),COUNTIF(K$4:K4,"&gt;0")+1,"")</f>
        <v/>
      </c>
    </row>
    <row r="6">
      <c r="A6" s="4" t="n">
        <v>3</v>
      </c>
      <c r="B6" s="5" t="n"/>
      <c r="C6" s="5" t="n"/>
      <c r="D6" s="6" t="n"/>
      <c r="E6" s="7" t="n"/>
      <c r="F6" s="7" t="n"/>
      <c r="G6" s="8">
        <f>IF(F6="","",ROUND(F6*1.2,1))</f>
        <v/>
      </c>
      <c r="H6" s="7" t="n"/>
      <c r="I6" s="9">
        <f>IF(OR(E6="",H6=""),"",ROUND(E6*H6,2))</f>
        <v/>
      </c>
      <c r="J6" s="6">
        <f>IF(E6="","",IF(E6&lt;=F6,"🔴 REPONER",IF(E6&lt;=G6,"⚠️ BAJO","✅ OK")))</f>
        <v/>
      </c>
      <c r="K6" s="10">
        <f>IF(ISNUMBER(E6)*ISNUMBER(F6)*(E6&lt;=G6),COUNTIF(K$4:K5,"&gt;0")+1,"")</f>
        <v/>
      </c>
    </row>
    <row r="7">
      <c r="A7" s="11" t="n">
        <v>4</v>
      </c>
      <c r="B7" s="12" t="n"/>
      <c r="C7" s="12" t="n"/>
      <c r="D7" s="13" t="n"/>
      <c r="E7" s="14" t="n"/>
      <c r="F7" s="14" t="n"/>
      <c r="G7" s="15">
        <f>IF(F7="","",ROUND(F7*1.2,1))</f>
        <v/>
      </c>
      <c r="H7" s="14" t="n"/>
      <c r="I7" s="16">
        <f>IF(OR(E7="",H7=""),"",ROUND(E7*H7,2))</f>
        <v/>
      </c>
      <c r="J7" s="13">
        <f>IF(E7="","",IF(E7&lt;=F7,"🔴 REPONER",IF(E7&lt;=G7,"⚠️ BAJO","✅ OK")))</f>
        <v/>
      </c>
      <c r="K7" s="10">
        <f>IF(ISNUMBER(E7)*ISNUMBER(F7)*(E7&lt;=G7),COUNTIF(K$4:K6,"&gt;0")+1,"")</f>
        <v/>
      </c>
    </row>
    <row r="8">
      <c r="A8" s="4" t="n">
        <v>5</v>
      </c>
      <c r="B8" s="5" t="n"/>
      <c r="C8" s="5" t="n"/>
      <c r="D8" s="6" t="n"/>
      <c r="E8" s="7" t="n"/>
      <c r="F8" s="7" t="n"/>
      <c r="G8" s="8">
        <f>IF(F8="","",ROUND(F8*1.2,1))</f>
        <v/>
      </c>
      <c r="H8" s="7" t="n"/>
      <c r="I8" s="9">
        <f>IF(OR(E8="",H8=""),"",ROUND(E8*H8,2))</f>
        <v/>
      </c>
      <c r="J8" s="6">
        <f>IF(E8="","",IF(E8&lt;=F8,"🔴 REPONER",IF(E8&lt;=G8,"⚠️ BAJO","✅ OK")))</f>
        <v/>
      </c>
      <c r="K8" s="10">
        <f>IF(ISNUMBER(E8)*ISNUMBER(F8)*(E8&lt;=G8),COUNTIF(K$4:K7,"&gt;0")+1,"")</f>
        <v/>
      </c>
    </row>
    <row r="9">
      <c r="A9" s="11" t="n">
        <v>6</v>
      </c>
      <c r="B9" s="12" t="n"/>
      <c r="C9" s="12" t="n"/>
      <c r="D9" s="13" t="n"/>
      <c r="E9" s="14" t="n"/>
      <c r="F9" s="14" t="n"/>
      <c r="G9" s="15">
        <f>IF(F9="","",ROUND(F9*1.2,1))</f>
        <v/>
      </c>
      <c r="H9" s="14" t="n"/>
      <c r="I9" s="16">
        <f>IF(OR(E9="",H9=""),"",ROUND(E9*H9,2))</f>
        <v/>
      </c>
      <c r="J9" s="13">
        <f>IF(E9="","",IF(E9&lt;=F9,"🔴 REPONER",IF(E9&lt;=G9,"⚠️ BAJO","✅ OK")))</f>
        <v/>
      </c>
      <c r="K9" s="10">
        <f>IF(ISNUMBER(E9)*ISNUMBER(F9)*(E9&lt;=G9),COUNTIF(K$4:K8,"&gt;0")+1,"")</f>
        <v/>
      </c>
    </row>
    <row r="10">
      <c r="A10" s="4" t="n">
        <v>7</v>
      </c>
      <c r="B10" s="5" t="n"/>
      <c r="C10" s="5" t="n"/>
      <c r="D10" s="6" t="n"/>
      <c r="E10" s="7" t="n"/>
      <c r="F10" s="7" t="n"/>
      <c r="G10" s="8">
        <f>IF(F10="","",ROUND(F10*1.2,1))</f>
        <v/>
      </c>
      <c r="H10" s="7" t="n"/>
      <c r="I10" s="9">
        <f>IF(OR(E10="",H10=""),"",ROUND(E10*H10,2))</f>
        <v/>
      </c>
      <c r="J10" s="6">
        <f>IF(E10="","",IF(E10&lt;=F10,"🔴 REPONER",IF(E10&lt;=G10,"⚠️ BAJO","✅ OK")))</f>
        <v/>
      </c>
      <c r="K10" s="10">
        <f>IF(ISNUMBER(E10)*ISNUMBER(F10)*(E10&lt;=G10),COUNTIF(K$4:K9,"&gt;0")+1,"")</f>
        <v/>
      </c>
    </row>
    <row r="11">
      <c r="A11" s="11" t="n">
        <v>8</v>
      </c>
      <c r="B11" s="12" t="n"/>
      <c r="C11" s="12" t="n"/>
      <c r="D11" s="13" t="n"/>
      <c r="E11" s="14" t="n"/>
      <c r="F11" s="14" t="n"/>
      <c r="G11" s="15">
        <f>IF(F11="","",ROUND(F11*1.2,1))</f>
        <v/>
      </c>
      <c r="H11" s="14" t="n"/>
      <c r="I11" s="16">
        <f>IF(OR(E11="",H11=""),"",ROUND(E11*H11,2))</f>
        <v/>
      </c>
      <c r="J11" s="13">
        <f>IF(E11="","",IF(E11&lt;=F11,"🔴 REPONER",IF(E11&lt;=G11,"⚠️ BAJO","✅ OK")))</f>
        <v/>
      </c>
      <c r="K11" s="10">
        <f>IF(ISNUMBER(E11)*ISNUMBER(F11)*(E11&lt;=G11),COUNTIF(K$4:K10,"&gt;0")+1,"")</f>
        <v/>
      </c>
    </row>
    <row r="12">
      <c r="A12" s="4" t="n">
        <v>9</v>
      </c>
      <c r="B12" s="5" t="n"/>
      <c r="C12" s="5" t="n"/>
      <c r="D12" s="6" t="n"/>
      <c r="E12" s="7" t="n"/>
      <c r="F12" s="7" t="n"/>
      <c r="G12" s="8">
        <f>IF(F12="","",ROUND(F12*1.2,1))</f>
        <v/>
      </c>
      <c r="H12" s="7" t="n"/>
      <c r="I12" s="9">
        <f>IF(OR(E12="",H12=""),"",ROUND(E12*H12,2))</f>
        <v/>
      </c>
      <c r="J12" s="6">
        <f>IF(E12="","",IF(E12&lt;=F12,"🔴 REPONER",IF(E12&lt;=G12,"⚠️ BAJO","✅ OK")))</f>
        <v/>
      </c>
      <c r="K12" s="10">
        <f>IF(ISNUMBER(E12)*ISNUMBER(F12)*(E12&lt;=G12),COUNTIF(K$4:K11,"&gt;0")+1,"")</f>
        <v/>
      </c>
    </row>
    <row r="13">
      <c r="A13" s="11" t="n">
        <v>10</v>
      </c>
      <c r="B13" s="12" t="n"/>
      <c r="C13" s="12" t="n"/>
      <c r="D13" s="13" t="n"/>
      <c r="E13" s="14" t="n"/>
      <c r="F13" s="14" t="n"/>
      <c r="G13" s="15">
        <f>IF(F13="","",ROUND(F13*1.2,1))</f>
        <v/>
      </c>
      <c r="H13" s="14" t="n"/>
      <c r="I13" s="16">
        <f>IF(OR(E13="",H13=""),"",ROUND(E13*H13,2))</f>
        <v/>
      </c>
      <c r="J13" s="13">
        <f>IF(E13="","",IF(E13&lt;=F13,"🔴 REPONER",IF(E13&lt;=G13,"⚠️ BAJO","✅ OK")))</f>
        <v/>
      </c>
      <c r="K13" s="10">
        <f>IF(ISNUMBER(E13)*ISNUMBER(F13)*(E13&lt;=G13),COUNTIF(K$4:K12,"&gt;0")+1,"")</f>
        <v/>
      </c>
    </row>
    <row r="14">
      <c r="A14" s="4" t="n">
        <v>11</v>
      </c>
      <c r="B14" s="5" t="n"/>
      <c r="C14" s="5" t="n"/>
      <c r="D14" s="6" t="n"/>
      <c r="E14" s="7" t="n"/>
      <c r="F14" s="7" t="n"/>
      <c r="G14" s="8">
        <f>IF(F14="","",ROUND(F14*1.2,1))</f>
        <v/>
      </c>
      <c r="H14" s="7" t="n"/>
      <c r="I14" s="9">
        <f>IF(OR(E14="",H14=""),"",ROUND(E14*H14,2))</f>
        <v/>
      </c>
      <c r="J14" s="6">
        <f>IF(E14="","",IF(E14&lt;=F14,"🔴 REPONER",IF(E14&lt;=G14,"⚠️ BAJO","✅ OK")))</f>
        <v/>
      </c>
      <c r="K14" s="10">
        <f>IF(ISNUMBER(E14)*ISNUMBER(F14)*(E14&lt;=G14),COUNTIF(K$4:K13,"&gt;0")+1,"")</f>
        <v/>
      </c>
    </row>
    <row r="15">
      <c r="A15" s="11" t="n">
        <v>12</v>
      </c>
      <c r="B15" s="12" t="n"/>
      <c r="C15" s="12" t="n"/>
      <c r="D15" s="13" t="n"/>
      <c r="E15" s="14" t="n"/>
      <c r="F15" s="14" t="n"/>
      <c r="G15" s="15">
        <f>IF(F15="","",ROUND(F15*1.2,1))</f>
        <v/>
      </c>
      <c r="H15" s="14" t="n"/>
      <c r="I15" s="16">
        <f>IF(OR(E15="",H15=""),"",ROUND(E15*H15,2))</f>
        <v/>
      </c>
      <c r="J15" s="13">
        <f>IF(E15="","",IF(E15&lt;=F15,"🔴 REPONER",IF(E15&lt;=G15,"⚠️ BAJO","✅ OK")))</f>
        <v/>
      </c>
      <c r="K15" s="10">
        <f>IF(ISNUMBER(E15)*ISNUMBER(F15)*(E15&lt;=G15),COUNTIF(K$4:K14,"&gt;0")+1,"")</f>
        <v/>
      </c>
    </row>
    <row r="16">
      <c r="A16" s="4" t="n">
        <v>13</v>
      </c>
      <c r="B16" s="5" t="n"/>
      <c r="C16" s="5" t="n"/>
      <c r="D16" s="6" t="n"/>
      <c r="E16" s="7" t="n"/>
      <c r="F16" s="7" t="n"/>
      <c r="G16" s="8">
        <f>IF(F16="","",ROUND(F16*1.2,1))</f>
        <v/>
      </c>
      <c r="H16" s="7" t="n"/>
      <c r="I16" s="9">
        <f>IF(OR(E16="",H16=""),"",ROUND(E16*H16,2))</f>
        <v/>
      </c>
      <c r="J16" s="6">
        <f>IF(E16="","",IF(E16&lt;=F16,"🔴 REPONER",IF(E16&lt;=G16,"⚠️ BAJO","✅ OK")))</f>
        <v/>
      </c>
      <c r="K16" s="10">
        <f>IF(ISNUMBER(E16)*ISNUMBER(F16)*(E16&lt;=G16),COUNTIF(K$4:K15,"&gt;0")+1,"")</f>
        <v/>
      </c>
    </row>
    <row r="17">
      <c r="A17" s="11" t="n">
        <v>14</v>
      </c>
      <c r="B17" s="12" t="n"/>
      <c r="C17" s="12" t="n"/>
      <c r="D17" s="13" t="n"/>
      <c r="E17" s="14" t="n"/>
      <c r="F17" s="14" t="n"/>
      <c r="G17" s="15">
        <f>IF(F17="","",ROUND(F17*1.2,1))</f>
        <v/>
      </c>
      <c r="H17" s="14" t="n"/>
      <c r="I17" s="16">
        <f>IF(OR(E17="",H17=""),"",ROUND(E17*H17,2))</f>
        <v/>
      </c>
      <c r="J17" s="13">
        <f>IF(E17="","",IF(E17&lt;=F17,"🔴 REPONER",IF(E17&lt;=G17,"⚠️ BAJO","✅ OK")))</f>
        <v/>
      </c>
      <c r="K17" s="10">
        <f>IF(ISNUMBER(E17)*ISNUMBER(F17)*(E17&lt;=G17),COUNTIF(K$4:K16,"&gt;0")+1,"")</f>
        <v/>
      </c>
    </row>
    <row r="18">
      <c r="A18" s="4" t="n">
        <v>15</v>
      </c>
      <c r="B18" s="5" t="n"/>
      <c r="C18" s="5" t="n"/>
      <c r="D18" s="6" t="n"/>
      <c r="E18" s="7" t="n"/>
      <c r="F18" s="7" t="n"/>
      <c r="G18" s="8">
        <f>IF(F18="","",ROUND(F18*1.2,1))</f>
        <v/>
      </c>
      <c r="H18" s="7" t="n"/>
      <c r="I18" s="9">
        <f>IF(OR(E18="",H18=""),"",ROUND(E18*H18,2))</f>
        <v/>
      </c>
      <c r="J18" s="6">
        <f>IF(E18="","",IF(E18&lt;=F18,"🔴 REPONER",IF(E18&lt;=G18,"⚠️ BAJO","✅ OK")))</f>
        <v/>
      </c>
      <c r="K18" s="10">
        <f>IF(ISNUMBER(E18)*ISNUMBER(F18)*(E18&lt;=G18),COUNTIF(K$4:K17,"&gt;0")+1,"")</f>
        <v/>
      </c>
    </row>
    <row r="19">
      <c r="A19" s="11" t="n">
        <v>16</v>
      </c>
      <c r="B19" s="12" t="n"/>
      <c r="C19" s="12" t="n"/>
      <c r="D19" s="13" t="n"/>
      <c r="E19" s="14" t="n"/>
      <c r="F19" s="14" t="n"/>
      <c r="G19" s="15">
        <f>IF(F19="","",ROUND(F19*1.2,1))</f>
        <v/>
      </c>
      <c r="H19" s="14" t="n"/>
      <c r="I19" s="16">
        <f>IF(OR(E19="",H19=""),"",ROUND(E19*H19,2))</f>
        <v/>
      </c>
      <c r="J19" s="13">
        <f>IF(E19="","",IF(E19&lt;=F19,"🔴 REPONER",IF(E19&lt;=G19,"⚠️ BAJO","✅ OK")))</f>
        <v/>
      </c>
      <c r="K19" s="10">
        <f>IF(ISNUMBER(E19)*ISNUMBER(F19)*(E19&lt;=G19),COUNTIF(K$4:K18,"&gt;0")+1,"")</f>
        <v/>
      </c>
    </row>
    <row r="20">
      <c r="A20" s="4" t="n">
        <v>17</v>
      </c>
      <c r="B20" s="5" t="n"/>
      <c r="C20" s="5" t="n"/>
      <c r="D20" s="6" t="n"/>
      <c r="E20" s="7" t="n"/>
      <c r="F20" s="7" t="n"/>
      <c r="G20" s="8">
        <f>IF(F20="","",ROUND(F20*1.2,1))</f>
        <v/>
      </c>
      <c r="H20" s="7" t="n"/>
      <c r="I20" s="9">
        <f>IF(OR(E20="",H20=""),"",ROUND(E20*H20,2))</f>
        <v/>
      </c>
      <c r="J20" s="6">
        <f>IF(E20="","",IF(E20&lt;=F20,"🔴 REPONER",IF(E20&lt;=G20,"⚠️ BAJO","✅ OK")))</f>
        <v/>
      </c>
      <c r="K20" s="10">
        <f>IF(ISNUMBER(E20)*ISNUMBER(F20)*(E20&lt;=G20),COUNTIF(K$4:K19,"&gt;0")+1,"")</f>
        <v/>
      </c>
    </row>
    <row r="21">
      <c r="A21" s="11" t="n">
        <v>18</v>
      </c>
      <c r="B21" s="12" t="n"/>
      <c r="C21" s="12" t="n"/>
      <c r="D21" s="13" t="n"/>
      <c r="E21" s="14" t="n"/>
      <c r="F21" s="14" t="n"/>
      <c r="G21" s="15">
        <f>IF(F21="","",ROUND(F21*1.2,1))</f>
        <v/>
      </c>
      <c r="H21" s="14" t="n"/>
      <c r="I21" s="16">
        <f>IF(OR(E21="",H21=""),"",ROUND(E21*H21,2))</f>
        <v/>
      </c>
      <c r="J21" s="13">
        <f>IF(E21="","",IF(E21&lt;=F21,"🔴 REPONER",IF(E21&lt;=G21,"⚠️ BAJO","✅ OK")))</f>
        <v/>
      </c>
      <c r="K21" s="10">
        <f>IF(ISNUMBER(E21)*ISNUMBER(F21)*(E21&lt;=G21),COUNTIF(K$4:K20,"&gt;0")+1,"")</f>
        <v/>
      </c>
    </row>
    <row r="22">
      <c r="A22" s="4" t="n">
        <v>19</v>
      </c>
      <c r="B22" s="5" t="n"/>
      <c r="C22" s="5" t="n"/>
      <c r="D22" s="6" t="n"/>
      <c r="E22" s="7" t="n"/>
      <c r="F22" s="7" t="n"/>
      <c r="G22" s="8">
        <f>IF(F22="","",ROUND(F22*1.2,1))</f>
        <v/>
      </c>
      <c r="H22" s="7" t="n"/>
      <c r="I22" s="9">
        <f>IF(OR(E22="",H22=""),"",ROUND(E22*H22,2))</f>
        <v/>
      </c>
      <c r="J22" s="6">
        <f>IF(E22="","",IF(E22&lt;=F22,"🔴 REPONER",IF(E22&lt;=G22,"⚠️ BAJO","✅ OK")))</f>
        <v/>
      </c>
      <c r="K22" s="10">
        <f>IF(ISNUMBER(E22)*ISNUMBER(F22)*(E22&lt;=G22),COUNTIF(K$4:K21,"&gt;0")+1,"")</f>
        <v/>
      </c>
    </row>
    <row r="23">
      <c r="A23" s="11" t="n">
        <v>20</v>
      </c>
      <c r="B23" s="12" t="n"/>
      <c r="C23" s="12" t="n"/>
      <c r="D23" s="13" t="n"/>
      <c r="E23" s="14" t="n"/>
      <c r="F23" s="14" t="n"/>
      <c r="G23" s="15">
        <f>IF(F23="","",ROUND(F23*1.2,1))</f>
        <v/>
      </c>
      <c r="H23" s="14" t="n"/>
      <c r="I23" s="16">
        <f>IF(OR(E23="",H23=""),"",ROUND(E23*H23,2))</f>
        <v/>
      </c>
      <c r="J23" s="13">
        <f>IF(E23="","",IF(E23&lt;=F23,"🔴 REPONER",IF(E23&lt;=G23,"⚠️ BAJO","✅ OK")))</f>
        <v/>
      </c>
      <c r="K23" s="10">
        <f>IF(ISNUMBER(E23)*ISNUMBER(F23)*(E23&lt;=G23),COUNTIF(K$4:K22,"&gt;0")+1,"")</f>
        <v/>
      </c>
    </row>
    <row r="24">
      <c r="A24" s="4" t="n">
        <v>21</v>
      </c>
      <c r="B24" s="5" t="n"/>
      <c r="C24" s="5" t="n"/>
      <c r="D24" s="6" t="n"/>
      <c r="E24" s="7" t="n"/>
      <c r="F24" s="7" t="n"/>
      <c r="G24" s="8">
        <f>IF(F24="","",ROUND(F24*1.2,1))</f>
        <v/>
      </c>
      <c r="H24" s="7" t="n"/>
      <c r="I24" s="9">
        <f>IF(OR(E24="",H24=""),"",ROUND(E24*H24,2))</f>
        <v/>
      </c>
      <c r="J24" s="6">
        <f>IF(E24="","",IF(E24&lt;=F24,"🔴 REPONER",IF(E24&lt;=G24,"⚠️ BAJO","✅ OK")))</f>
        <v/>
      </c>
      <c r="K24" s="10">
        <f>IF(ISNUMBER(E24)*ISNUMBER(F24)*(E24&lt;=G24),COUNTIF(K$4:K23,"&gt;0")+1,"")</f>
        <v/>
      </c>
    </row>
    <row r="25">
      <c r="A25" s="11" t="n">
        <v>22</v>
      </c>
      <c r="B25" s="12" t="n"/>
      <c r="C25" s="12" t="n"/>
      <c r="D25" s="13" t="n"/>
      <c r="E25" s="14" t="n"/>
      <c r="F25" s="14" t="n"/>
      <c r="G25" s="15">
        <f>IF(F25="","",ROUND(F25*1.2,1))</f>
        <v/>
      </c>
      <c r="H25" s="14" t="n"/>
      <c r="I25" s="16">
        <f>IF(OR(E25="",H25=""),"",ROUND(E25*H25,2))</f>
        <v/>
      </c>
      <c r="J25" s="13">
        <f>IF(E25="","",IF(E25&lt;=F25,"🔴 REPONER",IF(E25&lt;=G25,"⚠️ BAJO","✅ OK")))</f>
        <v/>
      </c>
      <c r="K25" s="10">
        <f>IF(ISNUMBER(E25)*ISNUMBER(F25)*(E25&lt;=G25),COUNTIF(K$4:K24,"&gt;0")+1,"")</f>
        <v/>
      </c>
    </row>
    <row r="26">
      <c r="A26" s="4" t="n">
        <v>23</v>
      </c>
      <c r="B26" s="5" t="n"/>
      <c r="C26" s="5" t="n"/>
      <c r="D26" s="6" t="n"/>
      <c r="E26" s="7" t="n"/>
      <c r="F26" s="7" t="n"/>
      <c r="G26" s="8">
        <f>IF(F26="","",ROUND(F26*1.2,1))</f>
        <v/>
      </c>
      <c r="H26" s="7" t="n"/>
      <c r="I26" s="9">
        <f>IF(OR(E26="",H26=""),"",ROUND(E26*H26,2))</f>
        <v/>
      </c>
      <c r="J26" s="6">
        <f>IF(E26="","",IF(E26&lt;=F26,"🔴 REPONER",IF(E26&lt;=G26,"⚠️ BAJO","✅ OK")))</f>
        <v/>
      </c>
      <c r="K26" s="10">
        <f>IF(ISNUMBER(E26)*ISNUMBER(F26)*(E26&lt;=G26),COUNTIF(K$4:K25,"&gt;0")+1,"")</f>
        <v/>
      </c>
    </row>
    <row r="27">
      <c r="A27" s="11" t="n">
        <v>24</v>
      </c>
      <c r="B27" s="12" t="n"/>
      <c r="C27" s="12" t="n"/>
      <c r="D27" s="13" t="n"/>
      <c r="E27" s="14" t="n"/>
      <c r="F27" s="14" t="n"/>
      <c r="G27" s="15">
        <f>IF(F27="","",ROUND(F27*1.2,1))</f>
        <v/>
      </c>
      <c r="H27" s="14" t="n"/>
      <c r="I27" s="16">
        <f>IF(OR(E27="",H27=""),"",ROUND(E27*H27,2))</f>
        <v/>
      </c>
      <c r="J27" s="13">
        <f>IF(E27="","",IF(E27&lt;=F27,"🔴 REPONER",IF(E27&lt;=G27,"⚠️ BAJO","✅ OK")))</f>
        <v/>
      </c>
      <c r="K27" s="10">
        <f>IF(ISNUMBER(E27)*ISNUMBER(F27)*(E27&lt;=G27),COUNTIF(K$4:K26,"&gt;0")+1,"")</f>
        <v/>
      </c>
    </row>
    <row r="28">
      <c r="A28" s="4" t="n">
        <v>25</v>
      </c>
      <c r="B28" s="5" t="n"/>
      <c r="C28" s="5" t="n"/>
      <c r="D28" s="6" t="n"/>
      <c r="E28" s="7" t="n"/>
      <c r="F28" s="7" t="n"/>
      <c r="G28" s="8">
        <f>IF(F28="","",ROUND(F28*1.2,1))</f>
        <v/>
      </c>
      <c r="H28" s="7" t="n"/>
      <c r="I28" s="9">
        <f>IF(OR(E28="",H28=""),"",ROUND(E28*H28,2))</f>
        <v/>
      </c>
      <c r="J28" s="6">
        <f>IF(E28="","",IF(E28&lt;=F28,"🔴 REPONER",IF(E28&lt;=G28,"⚠️ BAJO","✅ OK")))</f>
        <v/>
      </c>
      <c r="K28" s="10">
        <f>IF(ISNUMBER(E28)*ISNUMBER(F28)*(E28&lt;=G28),COUNTIF(K$4:K27,"&gt;0")+1,"")</f>
        <v/>
      </c>
    </row>
    <row r="29">
      <c r="A29" s="11" t="n">
        <v>26</v>
      </c>
      <c r="B29" s="12" t="n"/>
      <c r="C29" s="12" t="n"/>
      <c r="D29" s="13" t="n"/>
      <c r="E29" s="14" t="n"/>
      <c r="F29" s="14" t="n"/>
      <c r="G29" s="15">
        <f>IF(F29="","",ROUND(F29*1.2,1))</f>
        <v/>
      </c>
      <c r="H29" s="14" t="n"/>
      <c r="I29" s="16">
        <f>IF(OR(E29="",H29=""),"",ROUND(E29*H29,2))</f>
        <v/>
      </c>
      <c r="J29" s="13">
        <f>IF(E29="","",IF(E29&lt;=F29,"🔴 REPONER",IF(E29&lt;=G29,"⚠️ BAJO","✅ OK")))</f>
        <v/>
      </c>
      <c r="K29" s="10">
        <f>IF(ISNUMBER(E29)*ISNUMBER(F29)*(E29&lt;=G29),COUNTIF(K$4:K28,"&gt;0")+1,"")</f>
        <v/>
      </c>
    </row>
    <row r="30">
      <c r="A30" s="4" t="n">
        <v>27</v>
      </c>
      <c r="B30" s="5" t="n"/>
      <c r="C30" s="5" t="n"/>
      <c r="D30" s="6" t="n"/>
      <c r="E30" s="7" t="n"/>
      <c r="F30" s="7" t="n"/>
      <c r="G30" s="8">
        <f>IF(F30="","",ROUND(F30*1.2,1))</f>
        <v/>
      </c>
      <c r="H30" s="7" t="n"/>
      <c r="I30" s="9">
        <f>IF(OR(E30="",H30=""),"",ROUND(E30*H30,2))</f>
        <v/>
      </c>
      <c r="J30" s="6">
        <f>IF(E30="","",IF(E30&lt;=F30,"🔴 REPONER",IF(E30&lt;=G30,"⚠️ BAJO","✅ OK")))</f>
        <v/>
      </c>
      <c r="K30" s="10">
        <f>IF(ISNUMBER(E30)*ISNUMBER(F30)*(E30&lt;=G30),COUNTIF(K$4:K29,"&gt;0")+1,"")</f>
        <v/>
      </c>
    </row>
    <row r="31">
      <c r="A31" s="11" t="n">
        <v>28</v>
      </c>
      <c r="B31" s="12" t="n"/>
      <c r="C31" s="12" t="n"/>
      <c r="D31" s="13" t="n"/>
      <c r="E31" s="14" t="n"/>
      <c r="F31" s="14" t="n"/>
      <c r="G31" s="15">
        <f>IF(F31="","",ROUND(F31*1.2,1))</f>
        <v/>
      </c>
      <c r="H31" s="14" t="n"/>
      <c r="I31" s="16">
        <f>IF(OR(E31="",H31=""),"",ROUND(E31*H31,2))</f>
        <v/>
      </c>
      <c r="J31" s="13">
        <f>IF(E31="","",IF(E31&lt;=F31,"🔴 REPONER",IF(E31&lt;=G31,"⚠️ BAJO","✅ OK")))</f>
        <v/>
      </c>
      <c r="K31" s="10">
        <f>IF(ISNUMBER(E31)*ISNUMBER(F31)*(E31&lt;=G31),COUNTIF(K$4:K30,"&gt;0")+1,"")</f>
        <v/>
      </c>
    </row>
    <row r="32">
      <c r="A32" s="4" t="n">
        <v>29</v>
      </c>
      <c r="B32" s="5" t="n"/>
      <c r="C32" s="5" t="n"/>
      <c r="D32" s="6" t="n"/>
      <c r="E32" s="7" t="n"/>
      <c r="F32" s="7" t="n"/>
      <c r="G32" s="8">
        <f>IF(F32="","",ROUND(F32*1.2,1))</f>
        <v/>
      </c>
      <c r="H32" s="7" t="n"/>
      <c r="I32" s="9">
        <f>IF(OR(E32="",H32=""),"",ROUND(E32*H32,2))</f>
        <v/>
      </c>
      <c r="J32" s="6">
        <f>IF(E32="","",IF(E32&lt;=F32,"🔴 REPONER",IF(E32&lt;=G32,"⚠️ BAJO","✅ OK")))</f>
        <v/>
      </c>
      <c r="K32" s="10">
        <f>IF(ISNUMBER(E32)*ISNUMBER(F32)*(E32&lt;=G32),COUNTIF(K$4:K31,"&gt;0")+1,"")</f>
        <v/>
      </c>
    </row>
    <row r="33">
      <c r="A33" s="11" t="n">
        <v>30</v>
      </c>
      <c r="B33" s="12" t="n"/>
      <c r="C33" s="12" t="n"/>
      <c r="D33" s="13" t="n"/>
      <c r="E33" s="14" t="n"/>
      <c r="F33" s="14" t="n"/>
      <c r="G33" s="15">
        <f>IF(F33="","",ROUND(F33*1.2,1))</f>
        <v/>
      </c>
      <c r="H33" s="14" t="n"/>
      <c r="I33" s="16">
        <f>IF(OR(E33="",H33=""),"",ROUND(E33*H33,2))</f>
        <v/>
      </c>
      <c r="J33" s="13">
        <f>IF(E33="","",IF(E33&lt;=F33,"🔴 REPONER",IF(E33&lt;=G33,"⚠️ BAJO","✅ OK")))</f>
        <v/>
      </c>
      <c r="K33" s="10">
        <f>IF(ISNUMBER(E33)*ISNUMBER(F33)*(E33&lt;=G33),COUNTIF(K$4:K32,"&gt;0")+1,"")</f>
        <v/>
      </c>
    </row>
    <row r="34">
      <c r="A34" s="4" t="n">
        <v>31</v>
      </c>
      <c r="B34" s="5" t="n"/>
      <c r="C34" s="5" t="n"/>
      <c r="D34" s="6" t="n"/>
      <c r="E34" s="7" t="n"/>
      <c r="F34" s="7" t="n"/>
      <c r="G34" s="8">
        <f>IF(F34="","",ROUND(F34*1.2,1))</f>
        <v/>
      </c>
      <c r="H34" s="7" t="n"/>
      <c r="I34" s="9">
        <f>IF(OR(E34="",H34=""),"",ROUND(E34*H34,2))</f>
        <v/>
      </c>
      <c r="J34" s="6">
        <f>IF(E34="","",IF(E34&lt;=F34,"🔴 REPONER",IF(E34&lt;=G34,"⚠️ BAJO","✅ OK")))</f>
        <v/>
      </c>
      <c r="K34" s="10">
        <f>IF(ISNUMBER(E34)*ISNUMBER(F34)*(E34&lt;=G34),COUNTIF(K$4:K33,"&gt;0")+1,"")</f>
        <v/>
      </c>
    </row>
    <row r="35">
      <c r="A35" s="11" t="n">
        <v>32</v>
      </c>
      <c r="B35" s="12" t="n"/>
      <c r="C35" s="12" t="n"/>
      <c r="D35" s="13" t="n"/>
      <c r="E35" s="14" t="n"/>
      <c r="F35" s="14" t="n"/>
      <c r="G35" s="15">
        <f>IF(F35="","",ROUND(F35*1.2,1))</f>
        <v/>
      </c>
      <c r="H35" s="14" t="n"/>
      <c r="I35" s="16">
        <f>IF(OR(E35="",H35=""),"",ROUND(E35*H35,2))</f>
        <v/>
      </c>
      <c r="J35" s="13">
        <f>IF(E35="","",IF(E35&lt;=F35,"🔴 REPONER",IF(E35&lt;=G35,"⚠️ BAJO","✅ OK")))</f>
        <v/>
      </c>
      <c r="K35" s="10">
        <f>IF(ISNUMBER(E35)*ISNUMBER(F35)*(E35&lt;=G35),COUNTIF(K$4:K34,"&gt;0")+1,"")</f>
        <v/>
      </c>
    </row>
    <row r="36">
      <c r="A36" s="4" t="n">
        <v>33</v>
      </c>
      <c r="B36" s="5" t="n"/>
      <c r="C36" s="5" t="n"/>
      <c r="D36" s="6" t="n"/>
      <c r="E36" s="7" t="n"/>
      <c r="F36" s="7" t="n"/>
      <c r="G36" s="8">
        <f>IF(F36="","",ROUND(F36*1.2,1))</f>
        <v/>
      </c>
      <c r="H36" s="7" t="n"/>
      <c r="I36" s="9">
        <f>IF(OR(E36="",H36=""),"",ROUND(E36*H36,2))</f>
        <v/>
      </c>
      <c r="J36" s="6">
        <f>IF(E36="","",IF(E36&lt;=F36,"🔴 REPONER",IF(E36&lt;=G36,"⚠️ BAJO","✅ OK")))</f>
        <v/>
      </c>
      <c r="K36" s="10">
        <f>IF(ISNUMBER(E36)*ISNUMBER(F36)*(E36&lt;=G36),COUNTIF(K$4:K35,"&gt;0")+1,"")</f>
        <v/>
      </c>
    </row>
    <row r="37">
      <c r="A37" s="11" t="n">
        <v>34</v>
      </c>
      <c r="B37" s="12" t="n"/>
      <c r="C37" s="12" t="n"/>
      <c r="D37" s="13" t="n"/>
      <c r="E37" s="14" t="n"/>
      <c r="F37" s="14" t="n"/>
      <c r="G37" s="15">
        <f>IF(F37="","",ROUND(F37*1.2,1))</f>
        <v/>
      </c>
      <c r="H37" s="14" t="n"/>
      <c r="I37" s="16">
        <f>IF(OR(E37="",H37=""),"",ROUND(E37*H37,2))</f>
        <v/>
      </c>
      <c r="J37" s="13">
        <f>IF(E37="","",IF(E37&lt;=F37,"🔴 REPONER",IF(E37&lt;=G37,"⚠️ BAJO","✅ OK")))</f>
        <v/>
      </c>
      <c r="K37" s="10">
        <f>IF(ISNUMBER(E37)*ISNUMBER(F37)*(E37&lt;=G37),COUNTIF(K$4:K36,"&gt;0")+1,"")</f>
        <v/>
      </c>
    </row>
    <row r="38">
      <c r="A38" s="4" t="n">
        <v>35</v>
      </c>
      <c r="B38" s="5" t="n"/>
      <c r="C38" s="5" t="n"/>
      <c r="D38" s="6" t="n"/>
      <c r="E38" s="7" t="n"/>
      <c r="F38" s="7" t="n"/>
      <c r="G38" s="8">
        <f>IF(F38="","",ROUND(F38*1.2,1))</f>
        <v/>
      </c>
      <c r="H38" s="7" t="n"/>
      <c r="I38" s="9">
        <f>IF(OR(E38="",H38=""),"",ROUND(E38*H38,2))</f>
        <v/>
      </c>
      <c r="J38" s="6">
        <f>IF(E38="","",IF(E38&lt;=F38,"🔴 REPONER",IF(E38&lt;=G38,"⚠️ BAJO","✅ OK")))</f>
        <v/>
      </c>
      <c r="K38" s="10">
        <f>IF(ISNUMBER(E38)*ISNUMBER(F38)*(E38&lt;=G38),COUNTIF(K$4:K37,"&gt;0")+1,"")</f>
        <v/>
      </c>
    </row>
    <row r="39">
      <c r="A39" s="11" t="n">
        <v>36</v>
      </c>
      <c r="B39" s="12" t="n"/>
      <c r="C39" s="12" t="n"/>
      <c r="D39" s="13" t="n"/>
      <c r="E39" s="14" t="n"/>
      <c r="F39" s="14" t="n"/>
      <c r="G39" s="15">
        <f>IF(F39="","",ROUND(F39*1.2,1))</f>
        <v/>
      </c>
      <c r="H39" s="14" t="n"/>
      <c r="I39" s="16">
        <f>IF(OR(E39="",H39=""),"",ROUND(E39*H39,2))</f>
        <v/>
      </c>
      <c r="J39" s="13">
        <f>IF(E39="","",IF(E39&lt;=F39,"🔴 REPONER",IF(E39&lt;=G39,"⚠️ BAJO","✅ OK")))</f>
        <v/>
      </c>
      <c r="K39" s="10">
        <f>IF(ISNUMBER(E39)*ISNUMBER(F39)*(E39&lt;=G39),COUNTIF(K$4:K38,"&gt;0")+1,"")</f>
        <v/>
      </c>
    </row>
    <row r="40">
      <c r="A40" s="4" t="n">
        <v>37</v>
      </c>
      <c r="B40" s="5" t="n"/>
      <c r="C40" s="5" t="n"/>
      <c r="D40" s="6" t="n"/>
      <c r="E40" s="7" t="n"/>
      <c r="F40" s="7" t="n"/>
      <c r="G40" s="8">
        <f>IF(F40="","",ROUND(F40*1.2,1))</f>
        <v/>
      </c>
      <c r="H40" s="7" t="n"/>
      <c r="I40" s="9">
        <f>IF(OR(E40="",H40=""),"",ROUND(E40*H40,2))</f>
        <v/>
      </c>
      <c r="J40" s="6">
        <f>IF(E40="","",IF(E40&lt;=F40,"🔴 REPONER",IF(E40&lt;=G40,"⚠️ BAJO","✅ OK")))</f>
        <v/>
      </c>
      <c r="K40" s="10">
        <f>IF(ISNUMBER(E40)*ISNUMBER(F40)*(E40&lt;=G40),COUNTIF(K$4:K39,"&gt;0")+1,"")</f>
        <v/>
      </c>
    </row>
    <row r="41">
      <c r="A41" s="11" t="n">
        <v>38</v>
      </c>
      <c r="B41" s="12" t="n"/>
      <c r="C41" s="12" t="n"/>
      <c r="D41" s="13" t="n"/>
      <c r="E41" s="14" t="n"/>
      <c r="F41" s="14" t="n"/>
      <c r="G41" s="15">
        <f>IF(F41="","",ROUND(F41*1.2,1))</f>
        <v/>
      </c>
      <c r="H41" s="14" t="n"/>
      <c r="I41" s="16">
        <f>IF(OR(E41="",H41=""),"",ROUND(E41*H41,2))</f>
        <v/>
      </c>
      <c r="J41" s="13">
        <f>IF(E41="","",IF(E41&lt;=F41,"🔴 REPONER",IF(E41&lt;=G41,"⚠️ BAJO","✅ OK")))</f>
        <v/>
      </c>
      <c r="K41" s="10">
        <f>IF(ISNUMBER(E41)*ISNUMBER(F41)*(E41&lt;=G41),COUNTIF(K$4:K40,"&gt;0")+1,"")</f>
        <v/>
      </c>
    </row>
    <row r="42">
      <c r="A42" s="4" t="n">
        <v>39</v>
      </c>
      <c r="B42" s="5" t="n"/>
      <c r="C42" s="5" t="n"/>
      <c r="D42" s="6" t="n"/>
      <c r="E42" s="7" t="n"/>
      <c r="F42" s="7" t="n"/>
      <c r="G42" s="8">
        <f>IF(F42="","",ROUND(F42*1.2,1))</f>
        <v/>
      </c>
      <c r="H42" s="7" t="n"/>
      <c r="I42" s="9">
        <f>IF(OR(E42="",H42=""),"",ROUND(E42*H42,2))</f>
        <v/>
      </c>
      <c r="J42" s="6">
        <f>IF(E42="","",IF(E42&lt;=F42,"🔴 REPONER",IF(E42&lt;=G42,"⚠️ BAJO","✅ OK")))</f>
        <v/>
      </c>
      <c r="K42" s="10">
        <f>IF(ISNUMBER(E42)*ISNUMBER(F42)*(E42&lt;=G42),COUNTIF(K$4:K41,"&gt;0")+1,"")</f>
        <v/>
      </c>
    </row>
    <row r="43">
      <c r="A43" s="11" t="n">
        <v>40</v>
      </c>
      <c r="B43" s="12" t="n"/>
      <c r="C43" s="12" t="n"/>
      <c r="D43" s="13" t="n"/>
      <c r="E43" s="14" t="n"/>
      <c r="F43" s="14" t="n"/>
      <c r="G43" s="15">
        <f>IF(F43="","",ROUND(F43*1.2,1))</f>
        <v/>
      </c>
      <c r="H43" s="14" t="n"/>
      <c r="I43" s="16">
        <f>IF(OR(E43="",H43=""),"",ROUND(E43*H43,2))</f>
        <v/>
      </c>
      <c r="J43" s="13">
        <f>IF(E43="","",IF(E43&lt;=F43,"🔴 REPONER",IF(E43&lt;=G43,"⚠️ BAJO","✅ OK")))</f>
        <v/>
      </c>
      <c r="K43" s="10">
        <f>IF(ISNUMBER(E43)*ISNUMBER(F43)*(E43&lt;=G43),COUNTIF(K$4:K42,"&gt;0")+1,"")</f>
        <v/>
      </c>
    </row>
    <row r="44">
      <c r="A44" s="4" t="n">
        <v>41</v>
      </c>
      <c r="B44" s="5" t="n"/>
      <c r="C44" s="5" t="n"/>
      <c r="D44" s="6" t="n"/>
      <c r="E44" s="7" t="n"/>
      <c r="F44" s="7" t="n"/>
      <c r="G44" s="8">
        <f>IF(F44="","",ROUND(F44*1.2,1))</f>
        <v/>
      </c>
      <c r="H44" s="7" t="n"/>
      <c r="I44" s="9">
        <f>IF(OR(E44="",H44=""),"",ROUND(E44*H44,2))</f>
        <v/>
      </c>
      <c r="J44" s="6">
        <f>IF(E44="","",IF(E44&lt;=F44,"🔴 REPONER",IF(E44&lt;=G44,"⚠️ BAJO","✅ OK")))</f>
        <v/>
      </c>
      <c r="K44" s="10">
        <f>IF(ISNUMBER(E44)*ISNUMBER(F44)*(E44&lt;=G44),COUNTIF(K$4:K43,"&gt;0")+1,"")</f>
        <v/>
      </c>
    </row>
    <row r="45">
      <c r="A45" s="11" t="n">
        <v>42</v>
      </c>
      <c r="B45" s="12" t="n"/>
      <c r="C45" s="12" t="n"/>
      <c r="D45" s="13" t="n"/>
      <c r="E45" s="14" t="n"/>
      <c r="F45" s="14" t="n"/>
      <c r="G45" s="15">
        <f>IF(F45="","",ROUND(F45*1.2,1))</f>
        <v/>
      </c>
      <c r="H45" s="14" t="n"/>
      <c r="I45" s="16">
        <f>IF(OR(E45="",H45=""),"",ROUND(E45*H45,2))</f>
        <v/>
      </c>
      <c r="J45" s="13">
        <f>IF(E45="","",IF(E45&lt;=F45,"🔴 REPONER",IF(E45&lt;=G45,"⚠️ BAJO","✅ OK")))</f>
        <v/>
      </c>
      <c r="K45" s="10">
        <f>IF(ISNUMBER(E45)*ISNUMBER(F45)*(E45&lt;=G45),COUNTIF(K$4:K44,"&gt;0")+1,"")</f>
        <v/>
      </c>
    </row>
    <row r="46">
      <c r="A46" s="4" t="n">
        <v>43</v>
      </c>
      <c r="B46" s="5" t="n"/>
      <c r="C46" s="5" t="n"/>
      <c r="D46" s="6" t="n"/>
      <c r="E46" s="7" t="n"/>
      <c r="F46" s="7" t="n"/>
      <c r="G46" s="8">
        <f>IF(F46="","",ROUND(F46*1.2,1))</f>
        <v/>
      </c>
      <c r="H46" s="7" t="n"/>
      <c r="I46" s="9">
        <f>IF(OR(E46="",H46=""),"",ROUND(E46*H46,2))</f>
        <v/>
      </c>
      <c r="J46" s="6">
        <f>IF(E46="","",IF(E46&lt;=F46,"🔴 REPONER",IF(E46&lt;=G46,"⚠️ BAJO","✅ OK")))</f>
        <v/>
      </c>
      <c r="K46" s="10">
        <f>IF(ISNUMBER(E46)*ISNUMBER(F46)*(E46&lt;=G46),COUNTIF(K$4:K45,"&gt;0")+1,"")</f>
        <v/>
      </c>
    </row>
    <row r="47">
      <c r="A47" s="11" t="n">
        <v>44</v>
      </c>
      <c r="B47" s="12" t="n"/>
      <c r="C47" s="12" t="n"/>
      <c r="D47" s="13" t="n"/>
      <c r="E47" s="14" t="n"/>
      <c r="F47" s="14" t="n"/>
      <c r="G47" s="15">
        <f>IF(F47="","",ROUND(F47*1.2,1))</f>
        <v/>
      </c>
      <c r="H47" s="14" t="n"/>
      <c r="I47" s="16">
        <f>IF(OR(E47="",H47=""),"",ROUND(E47*H47,2))</f>
        <v/>
      </c>
      <c r="J47" s="13">
        <f>IF(E47="","",IF(E47&lt;=F47,"🔴 REPONER",IF(E47&lt;=G47,"⚠️ BAJO","✅ OK")))</f>
        <v/>
      </c>
      <c r="K47" s="10">
        <f>IF(ISNUMBER(E47)*ISNUMBER(F47)*(E47&lt;=G47),COUNTIF(K$4:K46,"&gt;0")+1,"")</f>
        <v/>
      </c>
    </row>
    <row r="48">
      <c r="A48" s="4" t="n">
        <v>45</v>
      </c>
      <c r="B48" s="5" t="n"/>
      <c r="C48" s="5" t="n"/>
      <c r="D48" s="6" t="n"/>
      <c r="E48" s="7" t="n"/>
      <c r="F48" s="7" t="n"/>
      <c r="G48" s="8">
        <f>IF(F48="","",ROUND(F48*1.2,1))</f>
        <v/>
      </c>
      <c r="H48" s="7" t="n"/>
      <c r="I48" s="9">
        <f>IF(OR(E48="",H48=""),"",ROUND(E48*H48,2))</f>
        <v/>
      </c>
      <c r="J48" s="6">
        <f>IF(E48="","",IF(E48&lt;=F48,"🔴 REPONER",IF(E48&lt;=G48,"⚠️ BAJO","✅ OK")))</f>
        <v/>
      </c>
      <c r="K48" s="10">
        <f>IF(ISNUMBER(E48)*ISNUMBER(F48)*(E48&lt;=G48),COUNTIF(K$4:K47,"&gt;0")+1,"")</f>
        <v/>
      </c>
    </row>
    <row r="49">
      <c r="A49" s="11" t="n">
        <v>46</v>
      </c>
      <c r="B49" s="12" t="n"/>
      <c r="C49" s="12" t="n"/>
      <c r="D49" s="13" t="n"/>
      <c r="E49" s="14" t="n"/>
      <c r="F49" s="14" t="n"/>
      <c r="G49" s="15">
        <f>IF(F49="","",ROUND(F49*1.2,1))</f>
        <v/>
      </c>
      <c r="H49" s="14" t="n"/>
      <c r="I49" s="16">
        <f>IF(OR(E49="",H49=""),"",ROUND(E49*H49,2))</f>
        <v/>
      </c>
      <c r="J49" s="13">
        <f>IF(E49="","",IF(E49&lt;=F49,"🔴 REPONER",IF(E49&lt;=G49,"⚠️ BAJO","✅ OK")))</f>
        <v/>
      </c>
      <c r="K49" s="10">
        <f>IF(ISNUMBER(E49)*ISNUMBER(F49)*(E49&lt;=G49),COUNTIF(K$4:K48,"&gt;0")+1,"")</f>
        <v/>
      </c>
    </row>
    <row r="50">
      <c r="A50" s="4" t="n">
        <v>47</v>
      </c>
      <c r="B50" s="5" t="n"/>
      <c r="C50" s="5" t="n"/>
      <c r="D50" s="6" t="n"/>
      <c r="E50" s="7" t="n"/>
      <c r="F50" s="7" t="n"/>
      <c r="G50" s="8">
        <f>IF(F50="","",ROUND(F50*1.2,1))</f>
        <v/>
      </c>
      <c r="H50" s="7" t="n"/>
      <c r="I50" s="9">
        <f>IF(OR(E50="",H50=""),"",ROUND(E50*H50,2))</f>
        <v/>
      </c>
      <c r="J50" s="6">
        <f>IF(E50="","",IF(E50&lt;=F50,"🔴 REPONER",IF(E50&lt;=G50,"⚠️ BAJO","✅ OK")))</f>
        <v/>
      </c>
      <c r="K50" s="10">
        <f>IF(ISNUMBER(E50)*ISNUMBER(F50)*(E50&lt;=G50),COUNTIF(K$4:K49,"&gt;0")+1,"")</f>
        <v/>
      </c>
    </row>
    <row r="51">
      <c r="A51" s="11" t="n">
        <v>48</v>
      </c>
      <c r="B51" s="12" t="n"/>
      <c r="C51" s="12" t="n"/>
      <c r="D51" s="13" t="n"/>
      <c r="E51" s="14" t="n"/>
      <c r="F51" s="14" t="n"/>
      <c r="G51" s="15">
        <f>IF(F51="","",ROUND(F51*1.2,1))</f>
        <v/>
      </c>
      <c r="H51" s="14" t="n"/>
      <c r="I51" s="16">
        <f>IF(OR(E51="",H51=""),"",ROUND(E51*H51,2))</f>
        <v/>
      </c>
      <c r="J51" s="13">
        <f>IF(E51="","",IF(E51&lt;=F51,"🔴 REPONER",IF(E51&lt;=G51,"⚠️ BAJO","✅ OK")))</f>
        <v/>
      </c>
      <c r="K51" s="10">
        <f>IF(ISNUMBER(E51)*ISNUMBER(F51)*(E51&lt;=G51),COUNTIF(K$4:K50,"&gt;0")+1,"")</f>
        <v/>
      </c>
    </row>
    <row r="52">
      <c r="A52" s="4" t="n">
        <v>49</v>
      </c>
      <c r="B52" s="5" t="n"/>
      <c r="C52" s="5" t="n"/>
      <c r="D52" s="6" t="n"/>
      <c r="E52" s="7" t="n"/>
      <c r="F52" s="7" t="n"/>
      <c r="G52" s="8">
        <f>IF(F52="","",ROUND(F52*1.2,1))</f>
        <v/>
      </c>
      <c r="H52" s="7" t="n"/>
      <c r="I52" s="9">
        <f>IF(OR(E52="",H52=""),"",ROUND(E52*H52,2))</f>
        <v/>
      </c>
      <c r="J52" s="6">
        <f>IF(E52="","",IF(E52&lt;=F52,"🔴 REPONER",IF(E52&lt;=G52,"⚠️ BAJO","✅ OK")))</f>
        <v/>
      </c>
      <c r="K52" s="10">
        <f>IF(ISNUMBER(E52)*ISNUMBER(F52)*(E52&lt;=G52),COUNTIF(K$4:K51,"&gt;0")+1,"")</f>
        <v/>
      </c>
    </row>
    <row r="53">
      <c r="A53" s="11" t="n">
        <v>50</v>
      </c>
      <c r="B53" s="12" t="n"/>
      <c r="C53" s="12" t="n"/>
      <c r="D53" s="13" t="n"/>
      <c r="E53" s="14" t="n"/>
      <c r="F53" s="14" t="n"/>
      <c r="G53" s="15">
        <f>IF(F53="","",ROUND(F53*1.2,1))</f>
        <v/>
      </c>
      <c r="H53" s="14" t="n"/>
      <c r="I53" s="16">
        <f>IF(OR(E53="",H53=""),"",ROUND(E53*H53,2))</f>
        <v/>
      </c>
      <c r="J53" s="13">
        <f>IF(E53="","",IF(E53&lt;=F53,"🔴 REPONER",IF(E53&lt;=G53,"⚠️ BAJO","✅ OK")))</f>
        <v/>
      </c>
      <c r="K53" s="10">
        <f>IF(ISNUMBER(E53)*ISNUMBER(F53)*(E53&lt;=G53),COUNTIF(K$4:K52,"&gt;0")+1,"")</f>
        <v/>
      </c>
    </row>
    <row r="54">
      <c r="A54" s="4" t="n">
        <v>51</v>
      </c>
      <c r="B54" s="5" t="n"/>
      <c r="C54" s="5" t="n"/>
      <c r="D54" s="6" t="n"/>
      <c r="E54" s="7" t="n"/>
      <c r="F54" s="7" t="n"/>
      <c r="G54" s="8">
        <f>IF(F54="","",ROUND(F54*1.2,1))</f>
        <v/>
      </c>
      <c r="H54" s="7" t="n"/>
      <c r="I54" s="9">
        <f>IF(OR(E54="",H54=""),"",ROUND(E54*H54,2))</f>
        <v/>
      </c>
      <c r="J54" s="6">
        <f>IF(E54="","",IF(E54&lt;=F54,"🔴 REPONER",IF(E54&lt;=G54,"⚠️ BAJO","✅ OK")))</f>
        <v/>
      </c>
      <c r="K54" s="10">
        <f>IF(ISNUMBER(E54)*ISNUMBER(F54)*(E54&lt;=G54),COUNTIF(K$4:K53,"&gt;0")+1,"")</f>
        <v/>
      </c>
    </row>
    <row r="55">
      <c r="A55" s="11" t="n">
        <v>52</v>
      </c>
      <c r="B55" s="12" t="n"/>
      <c r="C55" s="12" t="n"/>
      <c r="D55" s="13" t="n"/>
      <c r="E55" s="14" t="n"/>
      <c r="F55" s="14" t="n"/>
      <c r="G55" s="15">
        <f>IF(F55="","",ROUND(F55*1.2,1))</f>
        <v/>
      </c>
      <c r="H55" s="14" t="n"/>
      <c r="I55" s="16">
        <f>IF(OR(E55="",H55=""),"",ROUND(E55*H55,2))</f>
        <v/>
      </c>
      <c r="J55" s="13">
        <f>IF(E55="","",IF(E55&lt;=F55,"🔴 REPONER",IF(E55&lt;=G55,"⚠️ BAJO","✅ OK")))</f>
        <v/>
      </c>
      <c r="K55" s="10">
        <f>IF(ISNUMBER(E55)*ISNUMBER(F55)*(E55&lt;=G55),COUNTIF(K$4:K54,"&gt;0")+1,"")</f>
        <v/>
      </c>
    </row>
    <row r="56">
      <c r="A56" s="4" t="n">
        <v>53</v>
      </c>
      <c r="B56" s="5" t="n"/>
      <c r="C56" s="5" t="n"/>
      <c r="D56" s="6" t="n"/>
      <c r="E56" s="7" t="n"/>
      <c r="F56" s="7" t="n"/>
      <c r="G56" s="8">
        <f>IF(F56="","",ROUND(F56*1.2,1))</f>
        <v/>
      </c>
      <c r="H56" s="7" t="n"/>
      <c r="I56" s="9">
        <f>IF(OR(E56="",H56=""),"",ROUND(E56*H56,2))</f>
        <v/>
      </c>
      <c r="J56" s="6">
        <f>IF(E56="","",IF(E56&lt;=F56,"🔴 REPONER",IF(E56&lt;=G56,"⚠️ BAJO","✅ OK")))</f>
        <v/>
      </c>
      <c r="K56" s="10">
        <f>IF(ISNUMBER(E56)*ISNUMBER(F56)*(E56&lt;=G56),COUNTIF(K$4:K55,"&gt;0")+1,"")</f>
        <v/>
      </c>
    </row>
    <row r="57">
      <c r="A57" s="11" t="n">
        <v>54</v>
      </c>
      <c r="B57" s="12" t="n"/>
      <c r="C57" s="12" t="n"/>
      <c r="D57" s="13" t="n"/>
      <c r="E57" s="14" t="n"/>
      <c r="F57" s="14" t="n"/>
      <c r="G57" s="15">
        <f>IF(F57="","",ROUND(F57*1.2,1))</f>
        <v/>
      </c>
      <c r="H57" s="14" t="n"/>
      <c r="I57" s="16">
        <f>IF(OR(E57="",H57=""),"",ROUND(E57*H57,2))</f>
        <v/>
      </c>
      <c r="J57" s="13">
        <f>IF(E57="","",IF(E57&lt;=F57,"🔴 REPONER",IF(E57&lt;=G57,"⚠️ BAJO","✅ OK")))</f>
        <v/>
      </c>
      <c r="K57" s="10">
        <f>IF(ISNUMBER(E57)*ISNUMBER(F57)*(E57&lt;=G57),COUNTIF(K$4:K56,"&gt;0")+1,"")</f>
        <v/>
      </c>
    </row>
    <row r="58">
      <c r="A58" s="4" t="n">
        <v>55</v>
      </c>
      <c r="B58" s="5" t="n"/>
      <c r="C58" s="5" t="n"/>
      <c r="D58" s="6" t="n"/>
      <c r="E58" s="7" t="n"/>
      <c r="F58" s="7" t="n"/>
      <c r="G58" s="8">
        <f>IF(F58="","",ROUND(F58*1.2,1))</f>
        <v/>
      </c>
      <c r="H58" s="7" t="n"/>
      <c r="I58" s="9">
        <f>IF(OR(E58="",H58=""),"",ROUND(E58*H58,2))</f>
        <v/>
      </c>
      <c r="J58" s="6">
        <f>IF(E58="","",IF(E58&lt;=F58,"🔴 REPONER",IF(E58&lt;=G58,"⚠️ BAJO","✅ OK")))</f>
        <v/>
      </c>
      <c r="K58" s="10">
        <f>IF(ISNUMBER(E58)*ISNUMBER(F58)*(E58&lt;=G58),COUNTIF(K$4:K57,"&gt;0")+1,"")</f>
        <v/>
      </c>
    </row>
    <row r="59">
      <c r="A59" s="11" t="n">
        <v>56</v>
      </c>
      <c r="B59" s="12" t="n"/>
      <c r="C59" s="12" t="n"/>
      <c r="D59" s="13" t="n"/>
      <c r="E59" s="14" t="n"/>
      <c r="F59" s="14" t="n"/>
      <c r="G59" s="15">
        <f>IF(F59="","",ROUND(F59*1.2,1))</f>
        <v/>
      </c>
      <c r="H59" s="14" t="n"/>
      <c r="I59" s="16">
        <f>IF(OR(E59="",H59=""),"",ROUND(E59*H59,2))</f>
        <v/>
      </c>
      <c r="J59" s="13">
        <f>IF(E59="","",IF(E59&lt;=F59,"🔴 REPONER",IF(E59&lt;=G59,"⚠️ BAJO","✅ OK")))</f>
        <v/>
      </c>
      <c r="K59" s="10">
        <f>IF(ISNUMBER(E59)*ISNUMBER(F59)*(E59&lt;=G59),COUNTIF(K$4:K58,"&gt;0")+1,"")</f>
        <v/>
      </c>
    </row>
    <row r="60">
      <c r="A60" s="4" t="n">
        <v>57</v>
      </c>
      <c r="B60" s="5" t="n"/>
      <c r="C60" s="5" t="n"/>
      <c r="D60" s="6" t="n"/>
      <c r="E60" s="7" t="n"/>
      <c r="F60" s="7" t="n"/>
      <c r="G60" s="8">
        <f>IF(F60="","",ROUND(F60*1.2,1))</f>
        <v/>
      </c>
      <c r="H60" s="7" t="n"/>
      <c r="I60" s="9">
        <f>IF(OR(E60="",H60=""),"",ROUND(E60*H60,2))</f>
        <v/>
      </c>
      <c r="J60" s="6">
        <f>IF(E60="","",IF(E60&lt;=F60,"🔴 REPONER",IF(E60&lt;=G60,"⚠️ BAJO","✅ OK")))</f>
        <v/>
      </c>
      <c r="K60" s="10">
        <f>IF(ISNUMBER(E60)*ISNUMBER(F60)*(E60&lt;=G60),COUNTIF(K$4:K59,"&gt;0")+1,"")</f>
        <v/>
      </c>
    </row>
    <row r="61">
      <c r="A61" s="11" t="n">
        <v>58</v>
      </c>
      <c r="B61" s="12" t="n"/>
      <c r="C61" s="12" t="n"/>
      <c r="D61" s="13" t="n"/>
      <c r="E61" s="14" t="n"/>
      <c r="F61" s="14" t="n"/>
      <c r="G61" s="15">
        <f>IF(F61="","",ROUND(F61*1.2,1))</f>
        <v/>
      </c>
      <c r="H61" s="14" t="n"/>
      <c r="I61" s="16">
        <f>IF(OR(E61="",H61=""),"",ROUND(E61*H61,2))</f>
        <v/>
      </c>
      <c r="J61" s="13">
        <f>IF(E61="","",IF(E61&lt;=F61,"🔴 REPONER",IF(E61&lt;=G61,"⚠️ BAJO","✅ OK")))</f>
        <v/>
      </c>
      <c r="K61" s="10">
        <f>IF(ISNUMBER(E61)*ISNUMBER(F61)*(E61&lt;=G61),COUNTIF(K$4:K60,"&gt;0")+1,"")</f>
        <v/>
      </c>
    </row>
    <row r="62">
      <c r="A62" s="4" t="n">
        <v>59</v>
      </c>
      <c r="B62" s="5" t="n"/>
      <c r="C62" s="5" t="n"/>
      <c r="D62" s="6" t="n"/>
      <c r="E62" s="7" t="n"/>
      <c r="F62" s="7" t="n"/>
      <c r="G62" s="8">
        <f>IF(F62="","",ROUND(F62*1.2,1))</f>
        <v/>
      </c>
      <c r="H62" s="7" t="n"/>
      <c r="I62" s="9">
        <f>IF(OR(E62="",H62=""),"",ROUND(E62*H62,2))</f>
        <v/>
      </c>
      <c r="J62" s="6">
        <f>IF(E62="","",IF(E62&lt;=F62,"🔴 REPONER",IF(E62&lt;=G62,"⚠️ BAJO","✅ OK")))</f>
        <v/>
      </c>
      <c r="K62" s="10">
        <f>IF(ISNUMBER(E62)*ISNUMBER(F62)*(E62&lt;=G62),COUNTIF(K$4:K61,"&gt;0")+1,"")</f>
        <v/>
      </c>
    </row>
    <row r="63">
      <c r="A63" s="11" t="n">
        <v>60</v>
      </c>
      <c r="B63" s="12" t="n"/>
      <c r="C63" s="12" t="n"/>
      <c r="D63" s="13" t="n"/>
      <c r="E63" s="14" t="n"/>
      <c r="F63" s="14" t="n"/>
      <c r="G63" s="15">
        <f>IF(F63="","",ROUND(F63*1.2,1))</f>
        <v/>
      </c>
      <c r="H63" s="14" t="n"/>
      <c r="I63" s="16">
        <f>IF(OR(E63="",H63=""),"",ROUND(E63*H63,2))</f>
        <v/>
      </c>
      <c r="J63" s="13">
        <f>IF(E63="","",IF(E63&lt;=F63,"🔴 REPONER",IF(E63&lt;=G63,"⚠️ BAJO","✅ OK")))</f>
        <v/>
      </c>
      <c r="K63" s="10">
        <f>IF(ISNUMBER(E63)*ISNUMBER(F63)*(E63&lt;=G63),COUNTIF(K$4:K62,"&gt;0")+1,"")</f>
        <v/>
      </c>
    </row>
    <row r="64">
      <c r="A64" s="4" t="n">
        <v>61</v>
      </c>
      <c r="B64" s="5" t="n"/>
      <c r="C64" s="5" t="n"/>
      <c r="D64" s="6" t="n"/>
      <c r="E64" s="7" t="n"/>
      <c r="F64" s="7" t="n"/>
      <c r="G64" s="8">
        <f>IF(F64="","",ROUND(F64*1.2,1))</f>
        <v/>
      </c>
      <c r="H64" s="7" t="n"/>
      <c r="I64" s="9">
        <f>IF(OR(E64="",H64=""),"",ROUND(E64*H64,2))</f>
        <v/>
      </c>
      <c r="J64" s="6">
        <f>IF(E64="","",IF(E64&lt;=F64,"🔴 REPONER",IF(E64&lt;=G64,"⚠️ BAJO","✅ OK")))</f>
        <v/>
      </c>
      <c r="K64" s="10">
        <f>IF(ISNUMBER(E64)*ISNUMBER(F64)*(E64&lt;=G64),COUNTIF(K$4:K63,"&gt;0")+1,"")</f>
        <v/>
      </c>
    </row>
    <row r="65">
      <c r="A65" s="11" t="n">
        <v>62</v>
      </c>
      <c r="B65" s="12" t="n"/>
      <c r="C65" s="12" t="n"/>
      <c r="D65" s="13" t="n"/>
      <c r="E65" s="14" t="n"/>
      <c r="F65" s="14" t="n"/>
      <c r="G65" s="15">
        <f>IF(F65="","",ROUND(F65*1.2,1))</f>
        <v/>
      </c>
      <c r="H65" s="14" t="n"/>
      <c r="I65" s="16">
        <f>IF(OR(E65="",H65=""),"",ROUND(E65*H65,2))</f>
        <v/>
      </c>
      <c r="J65" s="13">
        <f>IF(E65="","",IF(E65&lt;=F65,"🔴 REPONER",IF(E65&lt;=G65,"⚠️ BAJO","✅ OK")))</f>
        <v/>
      </c>
      <c r="K65" s="10">
        <f>IF(ISNUMBER(E65)*ISNUMBER(F65)*(E65&lt;=G65),COUNTIF(K$4:K64,"&gt;0")+1,"")</f>
        <v/>
      </c>
    </row>
    <row r="66">
      <c r="A66" s="4" t="n">
        <v>63</v>
      </c>
      <c r="B66" s="5" t="n"/>
      <c r="C66" s="5" t="n"/>
      <c r="D66" s="6" t="n"/>
      <c r="E66" s="7" t="n"/>
      <c r="F66" s="7" t="n"/>
      <c r="G66" s="8">
        <f>IF(F66="","",ROUND(F66*1.2,1))</f>
        <v/>
      </c>
      <c r="H66" s="7" t="n"/>
      <c r="I66" s="9">
        <f>IF(OR(E66="",H66=""),"",ROUND(E66*H66,2))</f>
        <v/>
      </c>
      <c r="J66" s="6">
        <f>IF(E66="","",IF(E66&lt;=F66,"🔴 REPONER",IF(E66&lt;=G66,"⚠️ BAJO","✅ OK")))</f>
        <v/>
      </c>
      <c r="K66" s="10">
        <f>IF(ISNUMBER(E66)*ISNUMBER(F66)*(E66&lt;=G66),COUNTIF(K$4:K65,"&gt;0")+1,"")</f>
        <v/>
      </c>
    </row>
    <row r="67">
      <c r="A67" s="11" t="n">
        <v>64</v>
      </c>
      <c r="B67" s="12" t="n"/>
      <c r="C67" s="12" t="n"/>
      <c r="D67" s="13" t="n"/>
      <c r="E67" s="14" t="n"/>
      <c r="F67" s="14" t="n"/>
      <c r="G67" s="15">
        <f>IF(F67="","",ROUND(F67*1.2,1))</f>
        <v/>
      </c>
      <c r="H67" s="14" t="n"/>
      <c r="I67" s="16">
        <f>IF(OR(E67="",H67=""),"",ROUND(E67*H67,2))</f>
        <v/>
      </c>
      <c r="J67" s="13">
        <f>IF(E67="","",IF(E67&lt;=F67,"🔴 REPONER",IF(E67&lt;=G67,"⚠️ BAJO","✅ OK")))</f>
        <v/>
      </c>
      <c r="K67" s="10">
        <f>IF(ISNUMBER(E67)*ISNUMBER(F67)*(E67&lt;=G67),COUNTIF(K$4:K66,"&gt;0")+1,"")</f>
        <v/>
      </c>
    </row>
    <row r="68">
      <c r="A68" s="4" t="n">
        <v>65</v>
      </c>
      <c r="B68" s="5" t="n"/>
      <c r="C68" s="5" t="n"/>
      <c r="D68" s="6" t="n"/>
      <c r="E68" s="7" t="n"/>
      <c r="F68" s="7" t="n"/>
      <c r="G68" s="8">
        <f>IF(F68="","",ROUND(F68*1.2,1))</f>
        <v/>
      </c>
      <c r="H68" s="7" t="n"/>
      <c r="I68" s="9">
        <f>IF(OR(E68="",H68=""),"",ROUND(E68*H68,2))</f>
        <v/>
      </c>
      <c r="J68" s="6">
        <f>IF(E68="","",IF(E68&lt;=F68,"🔴 REPONER",IF(E68&lt;=G68,"⚠️ BAJO","✅ OK")))</f>
        <v/>
      </c>
      <c r="K68" s="10">
        <f>IF(ISNUMBER(E68)*ISNUMBER(F68)*(E68&lt;=G68),COUNTIF(K$4:K67,"&gt;0")+1,"")</f>
        <v/>
      </c>
    </row>
    <row r="69">
      <c r="A69" s="11" t="n">
        <v>66</v>
      </c>
      <c r="B69" s="12" t="n"/>
      <c r="C69" s="12" t="n"/>
      <c r="D69" s="13" t="n"/>
      <c r="E69" s="14" t="n"/>
      <c r="F69" s="14" t="n"/>
      <c r="G69" s="15">
        <f>IF(F69="","",ROUND(F69*1.2,1))</f>
        <v/>
      </c>
      <c r="H69" s="14" t="n"/>
      <c r="I69" s="16">
        <f>IF(OR(E69="",H69=""),"",ROUND(E69*H69,2))</f>
        <v/>
      </c>
      <c r="J69" s="13">
        <f>IF(E69="","",IF(E69&lt;=F69,"🔴 REPONER",IF(E69&lt;=G69,"⚠️ BAJO","✅ OK")))</f>
        <v/>
      </c>
      <c r="K69" s="10">
        <f>IF(ISNUMBER(E69)*ISNUMBER(F69)*(E69&lt;=G69),COUNTIF(K$4:K68,"&gt;0")+1,"")</f>
        <v/>
      </c>
    </row>
    <row r="70">
      <c r="A70" s="4" t="n">
        <v>67</v>
      </c>
      <c r="B70" s="5" t="n"/>
      <c r="C70" s="5" t="n"/>
      <c r="D70" s="6" t="n"/>
      <c r="E70" s="7" t="n"/>
      <c r="F70" s="7" t="n"/>
      <c r="G70" s="8">
        <f>IF(F70="","",ROUND(F70*1.2,1))</f>
        <v/>
      </c>
      <c r="H70" s="7" t="n"/>
      <c r="I70" s="9">
        <f>IF(OR(E70="",H70=""),"",ROUND(E70*H70,2))</f>
        <v/>
      </c>
      <c r="J70" s="6">
        <f>IF(E70="","",IF(E70&lt;=F70,"🔴 REPONER",IF(E70&lt;=G70,"⚠️ BAJO","✅ OK")))</f>
        <v/>
      </c>
      <c r="K70" s="10">
        <f>IF(ISNUMBER(E70)*ISNUMBER(F70)*(E70&lt;=G70),COUNTIF(K$4:K69,"&gt;0")+1,"")</f>
        <v/>
      </c>
    </row>
    <row r="71">
      <c r="A71" s="11" t="n">
        <v>68</v>
      </c>
      <c r="B71" s="12" t="n"/>
      <c r="C71" s="12" t="n"/>
      <c r="D71" s="13" t="n"/>
      <c r="E71" s="14" t="n"/>
      <c r="F71" s="14" t="n"/>
      <c r="G71" s="15">
        <f>IF(F71="","",ROUND(F71*1.2,1))</f>
        <v/>
      </c>
      <c r="H71" s="14" t="n"/>
      <c r="I71" s="16">
        <f>IF(OR(E71="",H71=""),"",ROUND(E71*H71,2))</f>
        <v/>
      </c>
      <c r="J71" s="13">
        <f>IF(E71="","",IF(E71&lt;=F71,"🔴 REPONER",IF(E71&lt;=G71,"⚠️ BAJO","✅ OK")))</f>
        <v/>
      </c>
      <c r="K71" s="10">
        <f>IF(ISNUMBER(E71)*ISNUMBER(F71)*(E71&lt;=G71),COUNTIF(K$4:K70,"&gt;0")+1,"")</f>
        <v/>
      </c>
    </row>
    <row r="72">
      <c r="A72" s="4" t="n">
        <v>69</v>
      </c>
      <c r="B72" s="5" t="n"/>
      <c r="C72" s="5" t="n"/>
      <c r="D72" s="6" t="n"/>
      <c r="E72" s="7" t="n"/>
      <c r="F72" s="7" t="n"/>
      <c r="G72" s="8">
        <f>IF(F72="","",ROUND(F72*1.2,1))</f>
        <v/>
      </c>
      <c r="H72" s="7" t="n"/>
      <c r="I72" s="9">
        <f>IF(OR(E72="",H72=""),"",ROUND(E72*H72,2))</f>
        <v/>
      </c>
      <c r="J72" s="6">
        <f>IF(E72="","",IF(E72&lt;=F72,"🔴 REPONER",IF(E72&lt;=G72,"⚠️ BAJO","✅ OK")))</f>
        <v/>
      </c>
      <c r="K72" s="10">
        <f>IF(ISNUMBER(E72)*ISNUMBER(F72)*(E72&lt;=G72),COUNTIF(K$4:K71,"&gt;0")+1,"")</f>
        <v/>
      </c>
    </row>
    <row r="73">
      <c r="A73" s="11" t="n">
        <v>70</v>
      </c>
      <c r="B73" s="12" t="n"/>
      <c r="C73" s="12" t="n"/>
      <c r="D73" s="13" t="n"/>
      <c r="E73" s="14" t="n"/>
      <c r="F73" s="14" t="n"/>
      <c r="G73" s="15">
        <f>IF(F73="","",ROUND(F73*1.2,1))</f>
        <v/>
      </c>
      <c r="H73" s="14" t="n"/>
      <c r="I73" s="16">
        <f>IF(OR(E73="",H73=""),"",ROUND(E73*H73,2))</f>
        <v/>
      </c>
      <c r="J73" s="13">
        <f>IF(E73="","",IF(E73&lt;=F73,"🔴 REPONER",IF(E73&lt;=G73,"⚠️ BAJO","✅ OK")))</f>
        <v/>
      </c>
      <c r="K73" s="10">
        <f>IF(ISNUMBER(E73)*ISNUMBER(F73)*(E73&lt;=G73),COUNTIF(K$4:K72,"&gt;0")+1,"")</f>
        <v/>
      </c>
    </row>
    <row r="74">
      <c r="A74" s="4" t="n">
        <v>71</v>
      </c>
      <c r="B74" s="5" t="n"/>
      <c r="C74" s="5" t="n"/>
      <c r="D74" s="6" t="n"/>
      <c r="E74" s="7" t="n"/>
      <c r="F74" s="7" t="n"/>
      <c r="G74" s="8">
        <f>IF(F74="","",ROUND(F74*1.2,1))</f>
        <v/>
      </c>
      <c r="H74" s="7" t="n"/>
      <c r="I74" s="9">
        <f>IF(OR(E74="",H74=""),"",ROUND(E74*H74,2))</f>
        <v/>
      </c>
      <c r="J74" s="6">
        <f>IF(E74="","",IF(E74&lt;=F74,"🔴 REPONER",IF(E74&lt;=G74,"⚠️ BAJO","✅ OK")))</f>
        <v/>
      </c>
      <c r="K74" s="10">
        <f>IF(ISNUMBER(E74)*ISNUMBER(F74)*(E74&lt;=G74),COUNTIF(K$4:K73,"&gt;0")+1,"")</f>
        <v/>
      </c>
    </row>
    <row r="75">
      <c r="A75" s="11" t="n">
        <v>72</v>
      </c>
      <c r="B75" s="12" t="n"/>
      <c r="C75" s="12" t="n"/>
      <c r="D75" s="13" t="n"/>
      <c r="E75" s="14" t="n"/>
      <c r="F75" s="14" t="n"/>
      <c r="G75" s="15">
        <f>IF(F75="","",ROUND(F75*1.2,1))</f>
        <v/>
      </c>
      <c r="H75" s="14" t="n"/>
      <c r="I75" s="16">
        <f>IF(OR(E75="",H75=""),"",ROUND(E75*H75,2))</f>
        <v/>
      </c>
      <c r="J75" s="13">
        <f>IF(E75="","",IF(E75&lt;=F75,"🔴 REPONER",IF(E75&lt;=G75,"⚠️ BAJO","✅ OK")))</f>
        <v/>
      </c>
      <c r="K75" s="10">
        <f>IF(ISNUMBER(E75)*ISNUMBER(F75)*(E75&lt;=G75),COUNTIF(K$4:K74,"&gt;0")+1,"")</f>
        <v/>
      </c>
    </row>
    <row r="76">
      <c r="A76" s="4" t="n">
        <v>73</v>
      </c>
      <c r="B76" s="5" t="n"/>
      <c r="C76" s="5" t="n"/>
      <c r="D76" s="6" t="n"/>
      <c r="E76" s="7" t="n"/>
      <c r="F76" s="7" t="n"/>
      <c r="G76" s="8">
        <f>IF(F76="","",ROUND(F76*1.2,1))</f>
        <v/>
      </c>
      <c r="H76" s="7" t="n"/>
      <c r="I76" s="9">
        <f>IF(OR(E76="",H76=""),"",ROUND(E76*H76,2))</f>
        <v/>
      </c>
      <c r="J76" s="6">
        <f>IF(E76="","",IF(E76&lt;=F76,"🔴 REPONER",IF(E76&lt;=G76,"⚠️ BAJO","✅ OK")))</f>
        <v/>
      </c>
      <c r="K76" s="10">
        <f>IF(ISNUMBER(E76)*ISNUMBER(F76)*(E76&lt;=G76),COUNTIF(K$4:K75,"&gt;0")+1,"")</f>
        <v/>
      </c>
    </row>
    <row r="77">
      <c r="A77" s="11" t="n">
        <v>74</v>
      </c>
      <c r="B77" s="12" t="n"/>
      <c r="C77" s="12" t="n"/>
      <c r="D77" s="13" t="n"/>
      <c r="E77" s="14" t="n"/>
      <c r="F77" s="14" t="n"/>
      <c r="G77" s="15">
        <f>IF(F77="","",ROUND(F77*1.2,1))</f>
        <v/>
      </c>
      <c r="H77" s="14" t="n"/>
      <c r="I77" s="16">
        <f>IF(OR(E77="",H77=""),"",ROUND(E77*H77,2))</f>
        <v/>
      </c>
      <c r="J77" s="13">
        <f>IF(E77="","",IF(E77&lt;=F77,"🔴 REPONER",IF(E77&lt;=G77,"⚠️ BAJO","✅ OK")))</f>
        <v/>
      </c>
      <c r="K77" s="10">
        <f>IF(ISNUMBER(E77)*ISNUMBER(F77)*(E77&lt;=G77),COUNTIF(K$4:K76,"&gt;0")+1,"")</f>
        <v/>
      </c>
    </row>
    <row r="78">
      <c r="A78" s="4" t="n">
        <v>75</v>
      </c>
      <c r="B78" s="5" t="n"/>
      <c r="C78" s="5" t="n"/>
      <c r="D78" s="6" t="n"/>
      <c r="E78" s="7" t="n"/>
      <c r="F78" s="7" t="n"/>
      <c r="G78" s="8">
        <f>IF(F78="","",ROUND(F78*1.2,1))</f>
        <v/>
      </c>
      <c r="H78" s="7" t="n"/>
      <c r="I78" s="9">
        <f>IF(OR(E78="",H78=""),"",ROUND(E78*H78,2))</f>
        <v/>
      </c>
      <c r="J78" s="6">
        <f>IF(E78="","",IF(E78&lt;=F78,"🔴 REPONER",IF(E78&lt;=G78,"⚠️ BAJO","✅ OK")))</f>
        <v/>
      </c>
      <c r="K78" s="10">
        <f>IF(ISNUMBER(E78)*ISNUMBER(F78)*(E78&lt;=G78),COUNTIF(K$4:K77,"&gt;0")+1,"")</f>
        <v/>
      </c>
    </row>
    <row r="79">
      <c r="A79" s="11" t="n">
        <v>76</v>
      </c>
      <c r="B79" s="12" t="n"/>
      <c r="C79" s="12" t="n"/>
      <c r="D79" s="13" t="n"/>
      <c r="E79" s="14" t="n"/>
      <c r="F79" s="14" t="n"/>
      <c r="G79" s="15">
        <f>IF(F79="","",ROUND(F79*1.2,1))</f>
        <v/>
      </c>
      <c r="H79" s="14" t="n"/>
      <c r="I79" s="16">
        <f>IF(OR(E79="",H79=""),"",ROUND(E79*H79,2))</f>
        <v/>
      </c>
      <c r="J79" s="13">
        <f>IF(E79="","",IF(E79&lt;=F79,"🔴 REPONER",IF(E79&lt;=G79,"⚠️ BAJO","✅ OK")))</f>
        <v/>
      </c>
      <c r="K79" s="10">
        <f>IF(ISNUMBER(E79)*ISNUMBER(F79)*(E79&lt;=G79),COUNTIF(K$4:K78,"&gt;0")+1,"")</f>
        <v/>
      </c>
    </row>
    <row r="80">
      <c r="A80" s="4" t="n">
        <v>77</v>
      </c>
      <c r="B80" s="5" t="n"/>
      <c r="C80" s="5" t="n"/>
      <c r="D80" s="6" t="n"/>
      <c r="E80" s="7" t="n"/>
      <c r="F80" s="7" t="n"/>
      <c r="G80" s="8">
        <f>IF(F80="","",ROUND(F80*1.2,1))</f>
        <v/>
      </c>
      <c r="H80" s="7" t="n"/>
      <c r="I80" s="9">
        <f>IF(OR(E80="",H80=""),"",ROUND(E80*H80,2))</f>
        <v/>
      </c>
      <c r="J80" s="6">
        <f>IF(E80="","",IF(E80&lt;=F80,"🔴 REPONER",IF(E80&lt;=G80,"⚠️ BAJO","✅ OK")))</f>
        <v/>
      </c>
      <c r="K80" s="10">
        <f>IF(ISNUMBER(E80)*ISNUMBER(F80)*(E80&lt;=G80),COUNTIF(K$4:K79,"&gt;0")+1,"")</f>
        <v/>
      </c>
    </row>
    <row r="81">
      <c r="A81" s="11" t="n">
        <v>78</v>
      </c>
      <c r="B81" s="12" t="n"/>
      <c r="C81" s="12" t="n"/>
      <c r="D81" s="13" t="n"/>
      <c r="E81" s="14" t="n"/>
      <c r="F81" s="14" t="n"/>
      <c r="G81" s="15">
        <f>IF(F81="","",ROUND(F81*1.2,1))</f>
        <v/>
      </c>
      <c r="H81" s="14" t="n"/>
      <c r="I81" s="16">
        <f>IF(OR(E81="",H81=""),"",ROUND(E81*H81,2))</f>
        <v/>
      </c>
      <c r="J81" s="13">
        <f>IF(E81="","",IF(E81&lt;=F81,"🔴 REPONER",IF(E81&lt;=G81,"⚠️ BAJO","✅ OK")))</f>
        <v/>
      </c>
      <c r="K81" s="10">
        <f>IF(ISNUMBER(E81)*ISNUMBER(F81)*(E81&lt;=G81),COUNTIF(K$4:K80,"&gt;0")+1,"")</f>
        <v/>
      </c>
    </row>
    <row r="82">
      <c r="A82" s="4" t="n">
        <v>79</v>
      </c>
      <c r="B82" s="5" t="n"/>
      <c r="C82" s="5" t="n"/>
      <c r="D82" s="6" t="n"/>
      <c r="E82" s="7" t="n"/>
      <c r="F82" s="7" t="n"/>
      <c r="G82" s="8">
        <f>IF(F82="","",ROUND(F82*1.2,1))</f>
        <v/>
      </c>
      <c r="H82" s="7" t="n"/>
      <c r="I82" s="9">
        <f>IF(OR(E82="",H82=""),"",ROUND(E82*H82,2))</f>
        <v/>
      </c>
      <c r="J82" s="6">
        <f>IF(E82="","",IF(E82&lt;=F82,"🔴 REPONER",IF(E82&lt;=G82,"⚠️ BAJO","✅ OK")))</f>
        <v/>
      </c>
      <c r="K82" s="10">
        <f>IF(ISNUMBER(E82)*ISNUMBER(F82)*(E82&lt;=G82),COUNTIF(K$4:K81,"&gt;0")+1,"")</f>
        <v/>
      </c>
    </row>
    <row r="83">
      <c r="A83" s="11" t="n">
        <v>80</v>
      </c>
      <c r="B83" s="12" t="n"/>
      <c r="C83" s="12" t="n"/>
      <c r="D83" s="13" t="n"/>
      <c r="E83" s="14" t="n"/>
      <c r="F83" s="14" t="n"/>
      <c r="G83" s="15">
        <f>IF(F83="","",ROUND(F83*1.2,1))</f>
        <v/>
      </c>
      <c r="H83" s="14" t="n"/>
      <c r="I83" s="16">
        <f>IF(OR(E83="",H83=""),"",ROUND(E83*H83,2))</f>
        <v/>
      </c>
      <c r="J83" s="13">
        <f>IF(E83="","",IF(E83&lt;=F83,"🔴 REPONER",IF(E83&lt;=G83,"⚠️ BAJO","✅ OK")))</f>
        <v/>
      </c>
      <c r="K83" s="10">
        <f>IF(ISNUMBER(E83)*ISNUMBER(F83)*(E83&lt;=G83),COUNTIF(K$4:K82,"&gt;0")+1,"")</f>
        <v/>
      </c>
    </row>
    <row r="84">
      <c r="A84" s="4" t="n">
        <v>81</v>
      </c>
      <c r="B84" s="5" t="n"/>
      <c r="C84" s="5" t="n"/>
      <c r="D84" s="6" t="n"/>
      <c r="E84" s="7" t="n"/>
      <c r="F84" s="7" t="n"/>
      <c r="G84" s="8">
        <f>IF(F84="","",ROUND(F84*1.2,1))</f>
        <v/>
      </c>
      <c r="H84" s="7" t="n"/>
      <c r="I84" s="9">
        <f>IF(OR(E84="",H84=""),"",ROUND(E84*H84,2))</f>
        <v/>
      </c>
      <c r="J84" s="6">
        <f>IF(E84="","",IF(E84&lt;=F84,"🔴 REPONER",IF(E84&lt;=G84,"⚠️ BAJO","✅ OK")))</f>
        <v/>
      </c>
      <c r="K84" s="10">
        <f>IF(ISNUMBER(E84)*ISNUMBER(F84)*(E84&lt;=G84),COUNTIF(K$4:K83,"&gt;0")+1,"")</f>
        <v/>
      </c>
    </row>
    <row r="85">
      <c r="A85" s="11" t="n">
        <v>82</v>
      </c>
      <c r="B85" s="12" t="n"/>
      <c r="C85" s="12" t="n"/>
      <c r="D85" s="13" t="n"/>
      <c r="E85" s="14" t="n"/>
      <c r="F85" s="14" t="n"/>
      <c r="G85" s="15">
        <f>IF(F85="","",ROUND(F85*1.2,1))</f>
        <v/>
      </c>
      <c r="H85" s="14" t="n"/>
      <c r="I85" s="16">
        <f>IF(OR(E85="",H85=""),"",ROUND(E85*H85,2))</f>
        <v/>
      </c>
      <c r="J85" s="13">
        <f>IF(E85="","",IF(E85&lt;=F85,"🔴 REPONER",IF(E85&lt;=G85,"⚠️ BAJO","✅ OK")))</f>
        <v/>
      </c>
      <c r="K85" s="10">
        <f>IF(ISNUMBER(E85)*ISNUMBER(F85)*(E85&lt;=G85),COUNTIF(K$4:K84,"&gt;0")+1,"")</f>
        <v/>
      </c>
    </row>
    <row r="86">
      <c r="A86" s="4" t="n">
        <v>83</v>
      </c>
      <c r="B86" s="5" t="n"/>
      <c r="C86" s="5" t="n"/>
      <c r="D86" s="6" t="n"/>
      <c r="E86" s="7" t="n"/>
      <c r="F86" s="7" t="n"/>
      <c r="G86" s="8">
        <f>IF(F86="","",ROUND(F86*1.2,1))</f>
        <v/>
      </c>
      <c r="H86" s="7" t="n"/>
      <c r="I86" s="9">
        <f>IF(OR(E86="",H86=""),"",ROUND(E86*H86,2))</f>
        <v/>
      </c>
      <c r="J86" s="6">
        <f>IF(E86="","",IF(E86&lt;=F86,"🔴 REPONER",IF(E86&lt;=G86,"⚠️ BAJO","✅ OK")))</f>
        <v/>
      </c>
      <c r="K86" s="10">
        <f>IF(ISNUMBER(E86)*ISNUMBER(F86)*(E86&lt;=G86),COUNTIF(K$4:K85,"&gt;0")+1,"")</f>
        <v/>
      </c>
    </row>
    <row r="87">
      <c r="A87" s="11" t="n">
        <v>84</v>
      </c>
      <c r="B87" s="12" t="n"/>
      <c r="C87" s="12" t="n"/>
      <c r="D87" s="13" t="n"/>
      <c r="E87" s="14" t="n"/>
      <c r="F87" s="14" t="n"/>
      <c r="G87" s="15">
        <f>IF(F87="","",ROUND(F87*1.2,1))</f>
        <v/>
      </c>
      <c r="H87" s="14" t="n"/>
      <c r="I87" s="16">
        <f>IF(OR(E87="",H87=""),"",ROUND(E87*H87,2))</f>
        <v/>
      </c>
      <c r="J87" s="13">
        <f>IF(E87="","",IF(E87&lt;=F87,"🔴 REPONER",IF(E87&lt;=G87,"⚠️ BAJO","✅ OK")))</f>
        <v/>
      </c>
      <c r="K87" s="10">
        <f>IF(ISNUMBER(E87)*ISNUMBER(F87)*(E87&lt;=G87),COUNTIF(K$4:K86,"&gt;0")+1,"")</f>
        <v/>
      </c>
    </row>
    <row r="88">
      <c r="A88" s="4" t="n">
        <v>85</v>
      </c>
      <c r="B88" s="5" t="n"/>
      <c r="C88" s="5" t="n"/>
      <c r="D88" s="6" t="n"/>
      <c r="E88" s="7" t="n"/>
      <c r="F88" s="7" t="n"/>
      <c r="G88" s="8">
        <f>IF(F88="","",ROUND(F88*1.2,1))</f>
        <v/>
      </c>
      <c r="H88" s="7" t="n"/>
      <c r="I88" s="9">
        <f>IF(OR(E88="",H88=""),"",ROUND(E88*H88,2))</f>
        <v/>
      </c>
      <c r="J88" s="6">
        <f>IF(E88="","",IF(E88&lt;=F88,"🔴 REPONER",IF(E88&lt;=G88,"⚠️ BAJO","✅ OK")))</f>
        <v/>
      </c>
      <c r="K88" s="10">
        <f>IF(ISNUMBER(E88)*ISNUMBER(F88)*(E88&lt;=G88),COUNTIF(K$4:K87,"&gt;0")+1,"")</f>
        <v/>
      </c>
    </row>
    <row r="89">
      <c r="A89" s="11" t="n">
        <v>86</v>
      </c>
      <c r="B89" s="12" t="n"/>
      <c r="C89" s="12" t="n"/>
      <c r="D89" s="13" t="n"/>
      <c r="E89" s="14" t="n"/>
      <c r="F89" s="14" t="n"/>
      <c r="G89" s="15">
        <f>IF(F89="","",ROUND(F89*1.2,1))</f>
        <v/>
      </c>
      <c r="H89" s="14" t="n"/>
      <c r="I89" s="16">
        <f>IF(OR(E89="",H89=""),"",ROUND(E89*H89,2))</f>
        <v/>
      </c>
      <c r="J89" s="13">
        <f>IF(E89="","",IF(E89&lt;=F89,"🔴 REPONER",IF(E89&lt;=G89,"⚠️ BAJO","✅ OK")))</f>
        <v/>
      </c>
      <c r="K89" s="10">
        <f>IF(ISNUMBER(E89)*ISNUMBER(F89)*(E89&lt;=G89),COUNTIF(K$4:K88,"&gt;0")+1,"")</f>
        <v/>
      </c>
    </row>
    <row r="90">
      <c r="A90" s="4" t="n">
        <v>87</v>
      </c>
      <c r="B90" s="5" t="n"/>
      <c r="C90" s="5" t="n"/>
      <c r="D90" s="6" t="n"/>
      <c r="E90" s="7" t="n"/>
      <c r="F90" s="7" t="n"/>
      <c r="G90" s="8">
        <f>IF(F90="","",ROUND(F90*1.2,1))</f>
        <v/>
      </c>
      <c r="H90" s="7" t="n"/>
      <c r="I90" s="9">
        <f>IF(OR(E90="",H90=""),"",ROUND(E90*H90,2))</f>
        <v/>
      </c>
      <c r="J90" s="6">
        <f>IF(E90="","",IF(E90&lt;=F90,"🔴 REPONER",IF(E90&lt;=G90,"⚠️ BAJO","✅ OK")))</f>
        <v/>
      </c>
      <c r="K90" s="10">
        <f>IF(ISNUMBER(E90)*ISNUMBER(F90)*(E90&lt;=G90),COUNTIF(K$4:K89,"&gt;0")+1,"")</f>
        <v/>
      </c>
    </row>
    <row r="91">
      <c r="A91" s="11" t="n">
        <v>88</v>
      </c>
      <c r="B91" s="12" t="n"/>
      <c r="C91" s="12" t="n"/>
      <c r="D91" s="13" t="n"/>
      <c r="E91" s="14" t="n"/>
      <c r="F91" s="14" t="n"/>
      <c r="G91" s="15">
        <f>IF(F91="","",ROUND(F91*1.2,1))</f>
        <v/>
      </c>
      <c r="H91" s="14" t="n"/>
      <c r="I91" s="16">
        <f>IF(OR(E91="",H91=""),"",ROUND(E91*H91,2))</f>
        <v/>
      </c>
      <c r="J91" s="13">
        <f>IF(E91="","",IF(E91&lt;=F91,"🔴 REPONER",IF(E91&lt;=G91,"⚠️ BAJO","✅ OK")))</f>
        <v/>
      </c>
      <c r="K91" s="10">
        <f>IF(ISNUMBER(E91)*ISNUMBER(F91)*(E91&lt;=G91),COUNTIF(K$4:K90,"&gt;0")+1,"")</f>
        <v/>
      </c>
    </row>
    <row r="92">
      <c r="A92" s="4" t="n">
        <v>89</v>
      </c>
      <c r="B92" s="5" t="n"/>
      <c r="C92" s="5" t="n"/>
      <c r="D92" s="6" t="n"/>
      <c r="E92" s="7" t="n"/>
      <c r="F92" s="7" t="n"/>
      <c r="G92" s="8">
        <f>IF(F92="","",ROUND(F92*1.2,1))</f>
        <v/>
      </c>
      <c r="H92" s="7" t="n"/>
      <c r="I92" s="9">
        <f>IF(OR(E92="",H92=""),"",ROUND(E92*H92,2))</f>
        <v/>
      </c>
      <c r="J92" s="6">
        <f>IF(E92="","",IF(E92&lt;=F92,"🔴 REPONER",IF(E92&lt;=G92,"⚠️ BAJO","✅ OK")))</f>
        <v/>
      </c>
      <c r="K92" s="10">
        <f>IF(ISNUMBER(E92)*ISNUMBER(F92)*(E92&lt;=G92),COUNTIF(K$4:K91,"&gt;0")+1,"")</f>
        <v/>
      </c>
    </row>
    <row r="93">
      <c r="A93" s="11" t="n">
        <v>90</v>
      </c>
      <c r="B93" s="12" t="n"/>
      <c r="C93" s="12" t="n"/>
      <c r="D93" s="13" t="n"/>
      <c r="E93" s="14" t="n"/>
      <c r="F93" s="14" t="n"/>
      <c r="G93" s="15">
        <f>IF(F93="","",ROUND(F93*1.2,1))</f>
        <v/>
      </c>
      <c r="H93" s="14" t="n"/>
      <c r="I93" s="16">
        <f>IF(OR(E93="",H93=""),"",ROUND(E93*H93,2))</f>
        <v/>
      </c>
      <c r="J93" s="13">
        <f>IF(E93="","",IF(E93&lt;=F93,"🔴 REPONER",IF(E93&lt;=G93,"⚠️ BAJO","✅ OK")))</f>
        <v/>
      </c>
      <c r="K93" s="10">
        <f>IF(ISNUMBER(E93)*ISNUMBER(F93)*(E93&lt;=G93),COUNTIF(K$4:K92,"&gt;0")+1,"")</f>
        <v/>
      </c>
    </row>
    <row r="94">
      <c r="A94" s="4" t="n">
        <v>91</v>
      </c>
      <c r="B94" s="5" t="n"/>
      <c r="C94" s="5" t="n"/>
      <c r="D94" s="6" t="n"/>
      <c r="E94" s="7" t="n"/>
      <c r="F94" s="7" t="n"/>
      <c r="G94" s="8">
        <f>IF(F94="","",ROUND(F94*1.2,1))</f>
        <v/>
      </c>
      <c r="H94" s="7" t="n"/>
      <c r="I94" s="9">
        <f>IF(OR(E94="",H94=""),"",ROUND(E94*H94,2))</f>
        <v/>
      </c>
      <c r="J94" s="6">
        <f>IF(E94="","",IF(E94&lt;=F94,"🔴 REPONER",IF(E94&lt;=G94,"⚠️ BAJO","✅ OK")))</f>
        <v/>
      </c>
      <c r="K94" s="10">
        <f>IF(ISNUMBER(E94)*ISNUMBER(F94)*(E94&lt;=G94),COUNTIF(K$4:K93,"&gt;0")+1,"")</f>
        <v/>
      </c>
    </row>
    <row r="95">
      <c r="A95" s="11" t="n">
        <v>92</v>
      </c>
      <c r="B95" s="12" t="n"/>
      <c r="C95" s="12" t="n"/>
      <c r="D95" s="13" t="n"/>
      <c r="E95" s="14" t="n"/>
      <c r="F95" s="14" t="n"/>
      <c r="G95" s="15">
        <f>IF(F95="","",ROUND(F95*1.2,1))</f>
        <v/>
      </c>
      <c r="H95" s="14" t="n"/>
      <c r="I95" s="16">
        <f>IF(OR(E95="",H95=""),"",ROUND(E95*H95,2))</f>
        <v/>
      </c>
      <c r="J95" s="13">
        <f>IF(E95="","",IF(E95&lt;=F95,"🔴 REPONER",IF(E95&lt;=G95,"⚠️ BAJO","✅ OK")))</f>
        <v/>
      </c>
      <c r="K95" s="10">
        <f>IF(ISNUMBER(E95)*ISNUMBER(F95)*(E95&lt;=G95),COUNTIF(K$4:K94,"&gt;0")+1,"")</f>
        <v/>
      </c>
    </row>
    <row r="96">
      <c r="A96" s="4" t="n">
        <v>93</v>
      </c>
      <c r="B96" s="5" t="n"/>
      <c r="C96" s="5" t="n"/>
      <c r="D96" s="6" t="n"/>
      <c r="E96" s="7" t="n"/>
      <c r="F96" s="7" t="n"/>
      <c r="G96" s="8">
        <f>IF(F96="","",ROUND(F96*1.2,1))</f>
        <v/>
      </c>
      <c r="H96" s="7" t="n"/>
      <c r="I96" s="9">
        <f>IF(OR(E96="",H96=""),"",ROUND(E96*H96,2))</f>
        <v/>
      </c>
      <c r="J96" s="6">
        <f>IF(E96="","",IF(E96&lt;=F96,"🔴 REPONER",IF(E96&lt;=G96,"⚠️ BAJO","✅ OK")))</f>
        <v/>
      </c>
      <c r="K96" s="10">
        <f>IF(ISNUMBER(E96)*ISNUMBER(F96)*(E96&lt;=G96),COUNTIF(K$4:K95,"&gt;0")+1,"")</f>
        <v/>
      </c>
    </row>
    <row r="97">
      <c r="A97" s="11" t="n">
        <v>94</v>
      </c>
      <c r="B97" s="12" t="n"/>
      <c r="C97" s="12" t="n"/>
      <c r="D97" s="13" t="n"/>
      <c r="E97" s="14" t="n"/>
      <c r="F97" s="14" t="n"/>
      <c r="G97" s="15">
        <f>IF(F97="","",ROUND(F97*1.2,1))</f>
        <v/>
      </c>
      <c r="H97" s="14" t="n"/>
      <c r="I97" s="16">
        <f>IF(OR(E97="",H97=""),"",ROUND(E97*H97,2))</f>
        <v/>
      </c>
      <c r="J97" s="13">
        <f>IF(E97="","",IF(E97&lt;=F97,"🔴 REPONER",IF(E97&lt;=G97,"⚠️ BAJO","✅ OK")))</f>
        <v/>
      </c>
      <c r="K97" s="10">
        <f>IF(ISNUMBER(E97)*ISNUMBER(F97)*(E97&lt;=G97),COUNTIF(K$4:K96,"&gt;0")+1,"")</f>
        <v/>
      </c>
    </row>
    <row r="98">
      <c r="A98" s="4" t="n">
        <v>95</v>
      </c>
      <c r="B98" s="5" t="n"/>
      <c r="C98" s="5" t="n"/>
      <c r="D98" s="6" t="n"/>
      <c r="E98" s="7" t="n"/>
      <c r="F98" s="7" t="n"/>
      <c r="G98" s="8">
        <f>IF(F98="","",ROUND(F98*1.2,1))</f>
        <v/>
      </c>
      <c r="H98" s="7" t="n"/>
      <c r="I98" s="9">
        <f>IF(OR(E98="",H98=""),"",ROUND(E98*H98,2))</f>
        <v/>
      </c>
      <c r="J98" s="6">
        <f>IF(E98="","",IF(E98&lt;=F98,"🔴 REPONER",IF(E98&lt;=G98,"⚠️ BAJO","✅ OK")))</f>
        <v/>
      </c>
      <c r="K98" s="10">
        <f>IF(ISNUMBER(E98)*ISNUMBER(F98)*(E98&lt;=G98),COUNTIF(K$4:K97,"&gt;0")+1,"")</f>
        <v/>
      </c>
    </row>
    <row r="99">
      <c r="A99" s="11" t="n">
        <v>96</v>
      </c>
      <c r="B99" s="12" t="n"/>
      <c r="C99" s="12" t="n"/>
      <c r="D99" s="13" t="n"/>
      <c r="E99" s="14" t="n"/>
      <c r="F99" s="14" t="n"/>
      <c r="G99" s="15">
        <f>IF(F99="","",ROUND(F99*1.2,1))</f>
        <v/>
      </c>
      <c r="H99" s="14" t="n"/>
      <c r="I99" s="16">
        <f>IF(OR(E99="",H99=""),"",ROUND(E99*H99,2))</f>
        <v/>
      </c>
      <c r="J99" s="13">
        <f>IF(E99="","",IF(E99&lt;=F99,"🔴 REPONER",IF(E99&lt;=G99,"⚠️ BAJO","✅ OK")))</f>
        <v/>
      </c>
      <c r="K99" s="10">
        <f>IF(ISNUMBER(E99)*ISNUMBER(F99)*(E99&lt;=G99),COUNTIF(K$4:K98,"&gt;0")+1,"")</f>
        <v/>
      </c>
    </row>
    <row r="100">
      <c r="A100" s="4" t="n">
        <v>97</v>
      </c>
      <c r="B100" s="5" t="n"/>
      <c r="C100" s="5" t="n"/>
      <c r="D100" s="6" t="n"/>
      <c r="E100" s="7" t="n"/>
      <c r="F100" s="7" t="n"/>
      <c r="G100" s="8">
        <f>IF(F100="","",ROUND(F100*1.2,1))</f>
        <v/>
      </c>
      <c r="H100" s="7" t="n"/>
      <c r="I100" s="9">
        <f>IF(OR(E100="",H100=""),"",ROUND(E100*H100,2))</f>
        <v/>
      </c>
      <c r="J100" s="6">
        <f>IF(E100="","",IF(E100&lt;=F100,"🔴 REPONER",IF(E100&lt;=G100,"⚠️ BAJO","✅ OK")))</f>
        <v/>
      </c>
      <c r="K100" s="10">
        <f>IF(ISNUMBER(E100)*ISNUMBER(F100)*(E100&lt;=G100),COUNTIF(K$4:K99,"&gt;0")+1,"")</f>
        <v/>
      </c>
    </row>
    <row r="101">
      <c r="A101" s="11" t="n">
        <v>98</v>
      </c>
      <c r="B101" s="12" t="n"/>
      <c r="C101" s="12" t="n"/>
      <c r="D101" s="13" t="n"/>
      <c r="E101" s="14" t="n"/>
      <c r="F101" s="14" t="n"/>
      <c r="G101" s="15">
        <f>IF(F101="","",ROUND(F101*1.2,1))</f>
        <v/>
      </c>
      <c r="H101" s="14" t="n"/>
      <c r="I101" s="16">
        <f>IF(OR(E101="",H101=""),"",ROUND(E101*H101,2))</f>
        <v/>
      </c>
      <c r="J101" s="13">
        <f>IF(E101="","",IF(E101&lt;=F101,"🔴 REPONER",IF(E101&lt;=G101,"⚠️ BAJO","✅ OK")))</f>
        <v/>
      </c>
      <c r="K101" s="10">
        <f>IF(ISNUMBER(E101)*ISNUMBER(F101)*(E101&lt;=G101),COUNTIF(K$4:K100,"&gt;0")+1,"")</f>
        <v/>
      </c>
    </row>
    <row r="102">
      <c r="A102" s="4" t="n">
        <v>99</v>
      </c>
      <c r="B102" s="5" t="n"/>
      <c r="C102" s="5" t="n"/>
      <c r="D102" s="6" t="n"/>
      <c r="E102" s="7" t="n"/>
      <c r="F102" s="7" t="n"/>
      <c r="G102" s="8">
        <f>IF(F102="","",ROUND(F102*1.2,1))</f>
        <v/>
      </c>
      <c r="H102" s="7" t="n"/>
      <c r="I102" s="9">
        <f>IF(OR(E102="",H102=""),"",ROUND(E102*H102,2))</f>
        <v/>
      </c>
      <c r="J102" s="6">
        <f>IF(E102="","",IF(E102&lt;=F102,"🔴 REPONER",IF(E102&lt;=G102,"⚠️ BAJO","✅ OK")))</f>
        <v/>
      </c>
      <c r="K102" s="10">
        <f>IF(ISNUMBER(E102)*ISNUMBER(F102)*(E102&lt;=G102),COUNTIF(K$4:K101,"&gt;0")+1,"")</f>
        <v/>
      </c>
    </row>
    <row r="103">
      <c r="A103" s="11" t="n">
        <v>100</v>
      </c>
      <c r="B103" s="12" t="n"/>
      <c r="C103" s="12" t="n"/>
      <c r="D103" s="13" t="n"/>
      <c r="E103" s="14" t="n"/>
      <c r="F103" s="14" t="n"/>
      <c r="G103" s="15">
        <f>IF(F103="","",ROUND(F103*1.2,1))</f>
        <v/>
      </c>
      <c r="H103" s="14" t="n"/>
      <c r="I103" s="16">
        <f>IF(OR(E103="",H103=""),"",ROUND(E103*H103,2))</f>
        <v/>
      </c>
      <c r="J103" s="13">
        <f>IF(E103="","",IF(E103&lt;=F103,"🔴 REPONER",IF(E103&lt;=G103,"⚠️ BAJO","✅ OK")))</f>
        <v/>
      </c>
      <c r="K103" s="10">
        <f>IF(ISNUMBER(E103)*ISNUMBER(F103)*(E103&lt;=G103),COUNTIF(K$4:K102,"&gt;0")+1,"")</f>
        <v/>
      </c>
    </row>
  </sheetData>
  <mergeCells count="2">
    <mergeCell ref="A1:J1"/>
    <mergeCell ref="A2:J2"/>
  </mergeCells>
  <conditionalFormatting sqref="J4:J103">
    <cfRule type="expression" priority="1" dxfId="0">
      <formula>J4="🔴 REPONER"</formula>
    </cfRule>
    <cfRule type="expression" priority="2" dxfId="1">
      <formula>J4="⚠️ BAJO"</formula>
    </cfRule>
    <cfRule type="expression" priority="3" dxfId="2">
      <formula>J4="✅ OK"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14" customWidth="1" min="3" max="3"/>
    <col width="9" customWidth="1" min="4" max="4"/>
    <col width="11" customWidth="1" min="5" max="5"/>
    <col width="11" customWidth="1" min="6" max="6"/>
    <col width="13" customWidth="1" min="7" max="7"/>
  </cols>
  <sheetData>
    <row r="1" ht="30" customHeight="1">
      <c r="A1" s="17" t="inlineStr">
        <is>
          <t>🟡 ALERTAS DE REPOSICIÓN — bcnsoft</t>
        </is>
      </c>
    </row>
    <row r="2" ht="18" customHeight="1">
      <c r="A2" s="2" t="inlineStr">
        <is>
          <t>Productos que necesitan reponerse hoy — se actualiza automáticamente</t>
        </is>
      </c>
    </row>
    <row r="3" ht="24" customHeight="1">
      <c r="A3" s="3" t="inlineStr">
        <is>
          <t>#</t>
        </is>
      </c>
      <c r="B3" s="3" t="inlineStr">
        <is>
          <t>Producto</t>
        </is>
      </c>
      <c r="C3" s="3" t="inlineStr">
        <is>
          <t>Categoría</t>
        </is>
      </c>
      <c r="D3" s="3" t="inlineStr">
        <is>
          <t>Unidad</t>
        </is>
      </c>
      <c r="E3" s="3" t="inlineStr">
        <is>
          <t>Stock actual</t>
        </is>
      </c>
      <c r="F3" s="3" t="inlineStr">
        <is>
          <t>Stock mínimo</t>
        </is>
      </c>
      <c r="G3" s="3" t="inlineStr">
        <is>
          <t>Estado</t>
        </is>
      </c>
    </row>
    <row r="4" ht="18" customHeight="1">
      <c r="A4" s="18" t="inlineStr">
        <is>
          <t>Esta hoja muestra los productos con estado REPONER o BAJO. Se actualiza al modificar el inventario.</t>
        </is>
      </c>
    </row>
    <row r="5">
      <c r="A5" s="4">
        <f>IF(B5="","",1)</f>
        <v/>
      </c>
      <c r="B5" s="5">
        <f>IFERROR(INDEX(Inventario!B$4:B$103,MATCH(1,Inventario!K$4:K$103,0)),"")</f>
        <v/>
      </c>
      <c r="C5" s="5">
        <f>IFERROR(INDEX(Inventario!C$4:C$103,MATCH(1,Inventario!K$4:K$103,0)),"")</f>
        <v/>
      </c>
      <c r="D5" s="6">
        <f>IFERROR(INDEX(Inventario!D$4:D$103,MATCH(1,Inventario!K$4:K$103,0)),"")</f>
        <v/>
      </c>
      <c r="E5" s="7">
        <f>IFERROR(INDEX(Inventario!E$4:E$103,MATCH(1,Inventario!K$4:K$103,0)),"")</f>
        <v/>
      </c>
      <c r="F5" s="7">
        <f>IFERROR(INDEX(Inventario!F$4:F$103,MATCH(1,Inventario!K$4:K$103,0)),"")</f>
        <v/>
      </c>
      <c r="G5" s="6">
        <f>IFERROR(INDEX(Inventario!J$4:J$103,MATCH(1,Inventario!K$4:K$103,0)),"")</f>
        <v/>
      </c>
    </row>
    <row r="6">
      <c r="A6" s="11">
        <f>IF(B6="","",2)</f>
        <v/>
      </c>
      <c r="B6" s="12">
        <f>IFERROR(INDEX(Inventario!B$4:B$103,MATCH(2,Inventario!K$4:K$103,0)),"")</f>
        <v/>
      </c>
      <c r="C6" s="12">
        <f>IFERROR(INDEX(Inventario!C$4:C$103,MATCH(2,Inventario!K$4:K$103,0)),"")</f>
        <v/>
      </c>
      <c r="D6" s="13">
        <f>IFERROR(INDEX(Inventario!D$4:D$103,MATCH(2,Inventario!K$4:K$103,0)),"")</f>
        <v/>
      </c>
      <c r="E6" s="14">
        <f>IFERROR(INDEX(Inventario!E$4:E$103,MATCH(2,Inventario!K$4:K$103,0)),"")</f>
        <v/>
      </c>
      <c r="F6" s="14">
        <f>IFERROR(INDEX(Inventario!F$4:F$103,MATCH(2,Inventario!K$4:K$103,0)),"")</f>
        <v/>
      </c>
      <c r="G6" s="13">
        <f>IFERROR(INDEX(Inventario!J$4:J$103,MATCH(2,Inventario!K$4:K$103,0)),"")</f>
        <v/>
      </c>
    </row>
    <row r="7">
      <c r="A7" s="4">
        <f>IF(B7="","",3)</f>
        <v/>
      </c>
      <c r="B7" s="5">
        <f>IFERROR(INDEX(Inventario!B$4:B$103,MATCH(3,Inventario!K$4:K$103,0)),"")</f>
        <v/>
      </c>
      <c r="C7" s="5">
        <f>IFERROR(INDEX(Inventario!C$4:C$103,MATCH(3,Inventario!K$4:K$103,0)),"")</f>
        <v/>
      </c>
      <c r="D7" s="6">
        <f>IFERROR(INDEX(Inventario!D$4:D$103,MATCH(3,Inventario!K$4:K$103,0)),"")</f>
        <v/>
      </c>
      <c r="E7" s="7">
        <f>IFERROR(INDEX(Inventario!E$4:E$103,MATCH(3,Inventario!K$4:K$103,0)),"")</f>
        <v/>
      </c>
      <c r="F7" s="7">
        <f>IFERROR(INDEX(Inventario!F$4:F$103,MATCH(3,Inventario!K$4:K$103,0)),"")</f>
        <v/>
      </c>
      <c r="G7" s="6">
        <f>IFERROR(INDEX(Inventario!J$4:J$103,MATCH(3,Inventario!K$4:K$103,0)),"")</f>
        <v/>
      </c>
    </row>
    <row r="8">
      <c r="A8" s="11">
        <f>IF(B8="","",4)</f>
        <v/>
      </c>
      <c r="B8" s="12">
        <f>IFERROR(INDEX(Inventario!B$4:B$103,MATCH(4,Inventario!K$4:K$103,0)),"")</f>
        <v/>
      </c>
      <c r="C8" s="12">
        <f>IFERROR(INDEX(Inventario!C$4:C$103,MATCH(4,Inventario!K$4:K$103,0)),"")</f>
        <v/>
      </c>
      <c r="D8" s="13">
        <f>IFERROR(INDEX(Inventario!D$4:D$103,MATCH(4,Inventario!K$4:K$103,0)),"")</f>
        <v/>
      </c>
      <c r="E8" s="14">
        <f>IFERROR(INDEX(Inventario!E$4:E$103,MATCH(4,Inventario!K$4:K$103,0)),"")</f>
        <v/>
      </c>
      <c r="F8" s="14">
        <f>IFERROR(INDEX(Inventario!F$4:F$103,MATCH(4,Inventario!K$4:K$103,0)),"")</f>
        <v/>
      </c>
      <c r="G8" s="13">
        <f>IFERROR(INDEX(Inventario!J$4:J$103,MATCH(4,Inventario!K$4:K$103,0)),"")</f>
        <v/>
      </c>
    </row>
    <row r="9">
      <c r="A9" s="4">
        <f>IF(B9="","",5)</f>
        <v/>
      </c>
      <c r="B9" s="5">
        <f>IFERROR(INDEX(Inventario!B$4:B$103,MATCH(5,Inventario!K$4:K$103,0)),"")</f>
        <v/>
      </c>
      <c r="C9" s="5">
        <f>IFERROR(INDEX(Inventario!C$4:C$103,MATCH(5,Inventario!K$4:K$103,0)),"")</f>
        <v/>
      </c>
      <c r="D9" s="6">
        <f>IFERROR(INDEX(Inventario!D$4:D$103,MATCH(5,Inventario!K$4:K$103,0)),"")</f>
        <v/>
      </c>
      <c r="E9" s="7">
        <f>IFERROR(INDEX(Inventario!E$4:E$103,MATCH(5,Inventario!K$4:K$103,0)),"")</f>
        <v/>
      </c>
      <c r="F9" s="7">
        <f>IFERROR(INDEX(Inventario!F$4:F$103,MATCH(5,Inventario!K$4:K$103,0)),"")</f>
        <v/>
      </c>
      <c r="G9" s="6">
        <f>IFERROR(INDEX(Inventario!J$4:J$103,MATCH(5,Inventario!K$4:K$103,0)),"")</f>
        <v/>
      </c>
    </row>
    <row r="10">
      <c r="A10" s="11">
        <f>IF(B10="","",6)</f>
        <v/>
      </c>
      <c r="B10" s="12">
        <f>IFERROR(INDEX(Inventario!B$4:B$103,MATCH(6,Inventario!K$4:K$103,0)),"")</f>
        <v/>
      </c>
      <c r="C10" s="12">
        <f>IFERROR(INDEX(Inventario!C$4:C$103,MATCH(6,Inventario!K$4:K$103,0)),"")</f>
        <v/>
      </c>
      <c r="D10" s="13">
        <f>IFERROR(INDEX(Inventario!D$4:D$103,MATCH(6,Inventario!K$4:K$103,0)),"")</f>
        <v/>
      </c>
      <c r="E10" s="14">
        <f>IFERROR(INDEX(Inventario!E$4:E$103,MATCH(6,Inventario!K$4:K$103,0)),"")</f>
        <v/>
      </c>
      <c r="F10" s="14">
        <f>IFERROR(INDEX(Inventario!F$4:F$103,MATCH(6,Inventario!K$4:K$103,0)),"")</f>
        <v/>
      </c>
      <c r="G10" s="13">
        <f>IFERROR(INDEX(Inventario!J$4:J$103,MATCH(6,Inventario!K$4:K$103,0)),"")</f>
        <v/>
      </c>
    </row>
    <row r="11">
      <c r="A11" s="4">
        <f>IF(B11="","",7)</f>
        <v/>
      </c>
      <c r="B11" s="5">
        <f>IFERROR(INDEX(Inventario!B$4:B$103,MATCH(7,Inventario!K$4:K$103,0)),"")</f>
        <v/>
      </c>
      <c r="C11" s="5">
        <f>IFERROR(INDEX(Inventario!C$4:C$103,MATCH(7,Inventario!K$4:K$103,0)),"")</f>
        <v/>
      </c>
      <c r="D11" s="6">
        <f>IFERROR(INDEX(Inventario!D$4:D$103,MATCH(7,Inventario!K$4:K$103,0)),"")</f>
        <v/>
      </c>
      <c r="E11" s="7">
        <f>IFERROR(INDEX(Inventario!E$4:E$103,MATCH(7,Inventario!K$4:K$103,0)),"")</f>
        <v/>
      </c>
      <c r="F11" s="7">
        <f>IFERROR(INDEX(Inventario!F$4:F$103,MATCH(7,Inventario!K$4:K$103,0)),"")</f>
        <v/>
      </c>
      <c r="G11" s="6">
        <f>IFERROR(INDEX(Inventario!J$4:J$103,MATCH(7,Inventario!K$4:K$103,0)),"")</f>
        <v/>
      </c>
    </row>
    <row r="12">
      <c r="A12" s="11">
        <f>IF(B12="","",8)</f>
        <v/>
      </c>
      <c r="B12" s="12">
        <f>IFERROR(INDEX(Inventario!B$4:B$103,MATCH(8,Inventario!K$4:K$103,0)),"")</f>
        <v/>
      </c>
      <c r="C12" s="12">
        <f>IFERROR(INDEX(Inventario!C$4:C$103,MATCH(8,Inventario!K$4:K$103,0)),"")</f>
        <v/>
      </c>
      <c r="D12" s="13">
        <f>IFERROR(INDEX(Inventario!D$4:D$103,MATCH(8,Inventario!K$4:K$103,0)),"")</f>
        <v/>
      </c>
      <c r="E12" s="14">
        <f>IFERROR(INDEX(Inventario!E$4:E$103,MATCH(8,Inventario!K$4:K$103,0)),"")</f>
        <v/>
      </c>
      <c r="F12" s="14">
        <f>IFERROR(INDEX(Inventario!F$4:F$103,MATCH(8,Inventario!K$4:K$103,0)),"")</f>
        <v/>
      </c>
      <c r="G12" s="13">
        <f>IFERROR(INDEX(Inventario!J$4:J$103,MATCH(8,Inventario!K$4:K$103,0)),"")</f>
        <v/>
      </c>
    </row>
    <row r="13">
      <c r="A13" s="4">
        <f>IF(B13="","",9)</f>
        <v/>
      </c>
      <c r="B13" s="5">
        <f>IFERROR(INDEX(Inventario!B$4:B$103,MATCH(9,Inventario!K$4:K$103,0)),"")</f>
        <v/>
      </c>
      <c r="C13" s="5">
        <f>IFERROR(INDEX(Inventario!C$4:C$103,MATCH(9,Inventario!K$4:K$103,0)),"")</f>
        <v/>
      </c>
      <c r="D13" s="6">
        <f>IFERROR(INDEX(Inventario!D$4:D$103,MATCH(9,Inventario!K$4:K$103,0)),"")</f>
        <v/>
      </c>
      <c r="E13" s="7">
        <f>IFERROR(INDEX(Inventario!E$4:E$103,MATCH(9,Inventario!K$4:K$103,0)),"")</f>
        <v/>
      </c>
      <c r="F13" s="7">
        <f>IFERROR(INDEX(Inventario!F$4:F$103,MATCH(9,Inventario!K$4:K$103,0)),"")</f>
        <v/>
      </c>
      <c r="G13" s="6">
        <f>IFERROR(INDEX(Inventario!J$4:J$103,MATCH(9,Inventario!K$4:K$103,0)),"")</f>
        <v/>
      </c>
    </row>
    <row r="14">
      <c r="A14" s="11">
        <f>IF(B14="","",10)</f>
        <v/>
      </c>
      <c r="B14" s="12">
        <f>IFERROR(INDEX(Inventario!B$4:B$103,MATCH(10,Inventario!K$4:K$103,0)),"")</f>
        <v/>
      </c>
      <c r="C14" s="12">
        <f>IFERROR(INDEX(Inventario!C$4:C$103,MATCH(10,Inventario!K$4:K$103,0)),"")</f>
        <v/>
      </c>
      <c r="D14" s="13">
        <f>IFERROR(INDEX(Inventario!D$4:D$103,MATCH(10,Inventario!K$4:K$103,0)),"")</f>
        <v/>
      </c>
      <c r="E14" s="14">
        <f>IFERROR(INDEX(Inventario!E$4:E$103,MATCH(10,Inventario!K$4:K$103,0)),"")</f>
        <v/>
      </c>
      <c r="F14" s="14">
        <f>IFERROR(INDEX(Inventario!F$4:F$103,MATCH(10,Inventario!K$4:K$103,0)),"")</f>
        <v/>
      </c>
      <c r="G14" s="13">
        <f>IFERROR(INDEX(Inventario!J$4:J$103,MATCH(10,Inventario!K$4:K$103,0)),"")</f>
        <v/>
      </c>
    </row>
    <row r="15">
      <c r="A15" s="4">
        <f>IF(B15="","",11)</f>
        <v/>
      </c>
      <c r="B15" s="5">
        <f>IFERROR(INDEX(Inventario!B$4:B$103,MATCH(11,Inventario!K$4:K$103,0)),"")</f>
        <v/>
      </c>
      <c r="C15" s="5">
        <f>IFERROR(INDEX(Inventario!C$4:C$103,MATCH(11,Inventario!K$4:K$103,0)),"")</f>
        <v/>
      </c>
      <c r="D15" s="6">
        <f>IFERROR(INDEX(Inventario!D$4:D$103,MATCH(11,Inventario!K$4:K$103,0)),"")</f>
        <v/>
      </c>
      <c r="E15" s="7">
        <f>IFERROR(INDEX(Inventario!E$4:E$103,MATCH(11,Inventario!K$4:K$103,0)),"")</f>
        <v/>
      </c>
      <c r="F15" s="7">
        <f>IFERROR(INDEX(Inventario!F$4:F$103,MATCH(11,Inventario!K$4:K$103,0)),"")</f>
        <v/>
      </c>
      <c r="G15" s="6">
        <f>IFERROR(INDEX(Inventario!J$4:J$103,MATCH(11,Inventario!K$4:K$103,0)),"")</f>
        <v/>
      </c>
    </row>
    <row r="16">
      <c r="A16" s="11">
        <f>IF(B16="","",12)</f>
        <v/>
      </c>
      <c r="B16" s="12">
        <f>IFERROR(INDEX(Inventario!B$4:B$103,MATCH(12,Inventario!K$4:K$103,0)),"")</f>
        <v/>
      </c>
      <c r="C16" s="12">
        <f>IFERROR(INDEX(Inventario!C$4:C$103,MATCH(12,Inventario!K$4:K$103,0)),"")</f>
        <v/>
      </c>
      <c r="D16" s="13">
        <f>IFERROR(INDEX(Inventario!D$4:D$103,MATCH(12,Inventario!K$4:K$103,0)),"")</f>
        <v/>
      </c>
      <c r="E16" s="14">
        <f>IFERROR(INDEX(Inventario!E$4:E$103,MATCH(12,Inventario!K$4:K$103,0)),"")</f>
        <v/>
      </c>
      <c r="F16" s="14">
        <f>IFERROR(INDEX(Inventario!F$4:F$103,MATCH(12,Inventario!K$4:K$103,0)),"")</f>
        <v/>
      </c>
      <c r="G16" s="13">
        <f>IFERROR(INDEX(Inventario!J$4:J$103,MATCH(12,Inventario!K$4:K$103,0)),"")</f>
        <v/>
      </c>
    </row>
    <row r="17">
      <c r="A17" s="4">
        <f>IF(B17="","",13)</f>
        <v/>
      </c>
      <c r="B17" s="5">
        <f>IFERROR(INDEX(Inventario!B$4:B$103,MATCH(13,Inventario!K$4:K$103,0)),"")</f>
        <v/>
      </c>
      <c r="C17" s="5">
        <f>IFERROR(INDEX(Inventario!C$4:C$103,MATCH(13,Inventario!K$4:K$103,0)),"")</f>
        <v/>
      </c>
      <c r="D17" s="6">
        <f>IFERROR(INDEX(Inventario!D$4:D$103,MATCH(13,Inventario!K$4:K$103,0)),"")</f>
        <v/>
      </c>
      <c r="E17" s="7">
        <f>IFERROR(INDEX(Inventario!E$4:E$103,MATCH(13,Inventario!K$4:K$103,0)),"")</f>
        <v/>
      </c>
      <c r="F17" s="7">
        <f>IFERROR(INDEX(Inventario!F$4:F$103,MATCH(13,Inventario!K$4:K$103,0)),"")</f>
        <v/>
      </c>
      <c r="G17" s="6">
        <f>IFERROR(INDEX(Inventario!J$4:J$103,MATCH(13,Inventario!K$4:K$103,0)),"")</f>
        <v/>
      </c>
    </row>
    <row r="18">
      <c r="A18" s="11">
        <f>IF(B18="","",14)</f>
        <v/>
      </c>
      <c r="B18" s="12">
        <f>IFERROR(INDEX(Inventario!B$4:B$103,MATCH(14,Inventario!K$4:K$103,0)),"")</f>
        <v/>
      </c>
      <c r="C18" s="12">
        <f>IFERROR(INDEX(Inventario!C$4:C$103,MATCH(14,Inventario!K$4:K$103,0)),"")</f>
        <v/>
      </c>
      <c r="D18" s="13">
        <f>IFERROR(INDEX(Inventario!D$4:D$103,MATCH(14,Inventario!K$4:K$103,0)),"")</f>
        <v/>
      </c>
      <c r="E18" s="14">
        <f>IFERROR(INDEX(Inventario!E$4:E$103,MATCH(14,Inventario!K$4:K$103,0)),"")</f>
        <v/>
      </c>
      <c r="F18" s="14">
        <f>IFERROR(INDEX(Inventario!F$4:F$103,MATCH(14,Inventario!K$4:K$103,0)),"")</f>
        <v/>
      </c>
      <c r="G18" s="13">
        <f>IFERROR(INDEX(Inventario!J$4:J$103,MATCH(14,Inventario!K$4:K$103,0)),"")</f>
        <v/>
      </c>
    </row>
    <row r="19">
      <c r="A19" s="4">
        <f>IF(B19="","",15)</f>
        <v/>
      </c>
      <c r="B19" s="5">
        <f>IFERROR(INDEX(Inventario!B$4:B$103,MATCH(15,Inventario!K$4:K$103,0)),"")</f>
        <v/>
      </c>
      <c r="C19" s="5">
        <f>IFERROR(INDEX(Inventario!C$4:C$103,MATCH(15,Inventario!K$4:K$103,0)),"")</f>
        <v/>
      </c>
      <c r="D19" s="6">
        <f>IFERROR(INDEX(Inventario!D$4:D$103,MATCH(15,Inventario!K$4:K$103,0)),"")</f>
        <v/>
      </c>
      <c r="E19" s="7">
        <f>IFERROR(INDEX(Inventario!E$4:E$103,MATCH(15,Inventario!K$4:K$103,0)),"")</f>
        <v/>
      </c>
      <c r="F19" s="7">
        <f>IFERROR(INDEX(Inventario!F$4:F$103,MATCH(15,Inventario!K$4:K$103,0)),"")</f>
        <v/>
      </c>
      <c r="G19" s="6">
        <f>IFERROR(INDEX(Inventario!J$4:J$103,MATCH(15,Inventario!K$4:K$103,0)),"")</f>
        <v/>
      </c>
    </row>
    <row r="20">
      <c r="A20" s="11">
        <f>IF(B20="","",16)</f>
        <v/>
      </c>
      <c r="B20" s="12">
        <f>IFERROR(INDEX(Inventario!B$4:B$103,MATCH(16,Inventario!K$4:K$103,0)),"")</f>
        <v/>
      </c>
      <c r="C20" s="12">
        <f>IFERROR(INDEX(Inventario!C$4:C$103,MATCH(16,Inventario!K$4:K$103,0)),"")</f>
        <v/>
      </c>
      <c r="D20" s="13">
        <f>IFERROR(INDEX(Inventario!D$4:D$103,MATCH(16,Inventario!K$4:K$103,0)),"")</f>
        <v/>
      </c>
      <c r="E20" s="14">
        <f>IFERROR(INDEX(Inventario!E$4:E$103,MATCH(16,Inventario!K$4:K$103,0)),"")</f>
        <v/>
      </c>
      <c r="F20" s="14">
        <f>IFERROR(INDEX(Inventario!F$4:F$103,MATCH(16,Inventario!K$4:K$103,0)),"")</f>
        <v/>
      </c>
      <c r="G20" s="13">
        <f>IFERROR(INDEX(Inventario!J$4:J$103,MATCH(16,Inventario!K$4:K$103,0)),"")</f>
        <v/>
      </c>
    </row>
    <row r="21">
      <c r="A21" s="4">
        <f>IF(B21="","",17)</f>
        <v/>
      </c>
      <c r="B21" s="5">
        <f>IFERROR(INDEX(Inventario!B$4:B$103,MATCH(17,Inventario!K$4:K$103,0)),"")</f>
        <v/>
      </c>
      <c r="C21" s="5">
        <f>IFERROR(INDEX(Inventario!C$4:C$103,MATCH(17,Inventario!K$4:K$103,0)),"")</f>
        <v/>
      </c>
      <c r="D21" s="6">
        <f>IFERROR(INDEX(Inventario!D$4:D$103,MATCH(17,Inventario!K$4:K$103,0)),"")</f>
        <v/>
      </c>
      <c r="E21" s="7">
        <f>IFERROR(INDEX(Inventario!E$4:E$103,MATCH(17,Inventario!K$4:K$103,0)),"")</f>
        <v/>
      </c>
      <c r="F21" s="7">
        <f>IFERROR(INDEX(Inventario!F$4:F$103,MATCH(17,Inventario!K$4:K$103,0)),"")</f>
        <v/>
      </c>
      <c r="G21" s="6">
        <f>IFERROR(INDEX(Inventario!J$4:J$103,MATCH(17,Inventario!K$4:K$103,0)),"")</f>
        <v/>
      </c>
    </row>
    <row r="22">
      <c r="A22" s="11">
        <f>IF(B22="","",18)</f>
        <v/>
      </c>
      <c r="B22" s="12">
        <f>IFERROR(INDEX(Inventario!B$4:B$103,MATCH(18,Inventario!K$4:K$103,0)),"")</f>
        <v/>
      </c>
      <c r="C22" s="12">
        <f>IFERROR(INDEX(Inventario!C$4:C$103,MATCH(18,Inventario!K$4:K$103,0)),"")</f>
        <v/>
      </c>
      <c r="D22" s="13">
        <f>IFERROR(INDEX(Inventario!D$4:D$103,MATCH(18,Inventario!K$4:K$103,0)),"")</f>
        <v/>
      </c>
      <c r="E22" s="14">
        <f>IFERROR(INDEX(Inventario!E$4:E$103,MATCH(18,Inventario!K$4:K$103,0)),"")</f>
        <v/>
      </c>
      <c r="F22" s="14">
        <f>IFERROR(INDEX(Inventario!F$4:F$103,MATCH(18,Inventario!K$4:K$103,0)),"")</f>
        <v/>
      </c>
      <c r="G22" s="13">
        <f>IFERROR(INDEX(Inventario!J$4:J$103,MATCH(18,Inventario!K$4:K$103,0)),"")</f>
        <v/>
      </c>
    </row>
    <row r="23">
      <c r="A23" s="4">
        <f>IF(B23="","",19)</f>
        <v/>
      </c>
      <c r="B23" s="5">
        <f>IFERROR(INDEX(Inventario!B$4:B$103,MATCH(19,Inventario!K$4:K$103,0)),"")</f>
        <v/>
      </c>
      <c r="C23" s="5">
        <f>IFERROR(INDEX(Inventario!C$4:C$103,MATCH(19,Inventario!K$4:K$103,0)),"")</f>
        <v/>
      </c>
      <c r="D23" s="6">
        <f>IFERROR(INDEX(Inventario!D$4:D$103,MATCH(19,Inventario!K$4:K$103,0)),"")</f>
        <v/>
      </c>
      <c r="E23" s="7">
        <f>IFERROR(INDEX(Inventario!E$4:E$103,MATCH(19,Inventario!K$4:K$103,0)),"")</f>
        <v/>
      </c>
      <c r="F23" s="7">
        <f>IFERROR(INDEX(Inventario!F$4:F$103,MATCH(19,Inventario!K$4:K$103,0)),"")</f>
        <v/>
      </c>
      <c r="G23" s="6">
        <f>IFERROR(INDEX(Inventario!J$4:J$103,MATCH(19,Inventario!K$4:K$103,0)),"")</f>
        <v/>
      </c>
    </row>
    <row r="24">
      <c r="A24" s="11">
        <f>IF(B24="","",20)</f>
        <v/>
      </c>
      <c r="B24" s="12">
        <f>IFERROR(INDEX(Inventario!B$4:B$103,MATCH(20,Inventario!K$4:K$103,0)),"")</f>
        <v/>
      </c>
      <c r="C24" s="12">
        <f>IFERROR(INDEX(Inventario!C$4:C$103,MATCH(20,Inventario!K$4:K$103,0)),"")</f>
        <v/>
      </c>
      <c r="D24" s="13">
        <f>IFERROR(INDEX(Inventario!D$4:D$103,MATCH(20,Inventario!K$4:K$103,0)),"")</f>
        <v/>
      </c>
      <c r="E24" s="14">
        <f>IFERROR(INDEX(Inventario!E$4:E$103,MATCH(20,Inventario!K$4:K$103,0)),"")</f>
        <v/>
      </c>
      <c r="F24" s="14">
        <f>IFERROR(INDEX(Inventario!F$4:F$103,MATCH(20,Inventario!K$4:K$103,0)),"")</f>
        <v/>
      </c>
      <c r="G24" s="13">
        <f>IFERROR(INDEX(Inventario!J$4:J$103,MATCH(20,Inventario!K$4:K$103,0)),"")</f>
        <v/>
      </c>
    </row>
    <row r="25">
      <c r="A25" s="4">
        <f>IF(B25="","",21)</f>
        <v/>
      </c>
      <c r="B25" s="5">
        <f>IFERROR(INDEX(Inventario!B$4:B$103,MATCH(21,Inventario!K$4:K$103,0)),"")</f>
        <v/>
      </c>
      <c r="C25" s="5">
        <f>IFERROR(INDEX(Inventario!C$4:C$103,MATCH(21,Inventario!K$4:K$103,0)),"")</f>
        <v/>
      </c>
      <c r="D25" s="6">
        <f>IFERROR(INDEX(Inventario!D$4:D$103,MATCH(21,Inventario!K$4:K$103,0)),"")</f>
        <v/>
      </c>
      <c r="E25" s="7">
        <f>IFERROR(INDEX(Inventario!E$4:E$103,MATCH(21,Inventario!K$4:K$103,0)),"")</f>
        <v/>
      </c>
      <c r="F25" s="7">
        <f>IFERROR(INDEX(Inventario!F$4:F$103,MATCH(21,Inventario!K$4:K$103,0)),"")</f>
        <v/>
      </c>
      <c r="G25" s="6">
        <f>IFERROR(INDEX(Inventario!J$4:J$103,MATCH(21,Inventario!K$4:K$103,0)),"")</f>
        <v/>
      </c>
    </row>
    <row r="26">
      <c r="A26" s="11">
        <f>IF(B26="","",22)</f>
        <v/>
      </c>
      <c r="B26" s="12">
        <f>IFERROR(INDEX(Inventario!B$4:B$103,MATCH(22,Inventario!K$4:K$103,0)),"")</f>
        <v/>
      </c>
      <c r="C26" s="12">
        <f>IFERROR(INDEX(Inventario!C$4:C$103,MATCH(22,Inventario!K$4:K$103,0)),"")</f>
        <v/>
      </c>
      <c r="D26" s="13">
        <f>IFERROR(INDEX(Inventario!D$4:D$103,MATCH(22,Inventario!K$4:K$103,0)),"")</f>
        <v/>
      </c>
      <c r="E26" s="14">
        <f>IFERROR(INDEX(Inventario!E$4:E$103,MATCH(22,Inventario!K$4:K$103,0)),"")</f>
        <v/>
      </c>
      <c r="F26" s="14">
        <f>IFERROR(INDEX(Inventario!F$4:F$103,MATCH(22,Inventario!K$4:K$103,0)),"")</f>
        <v/>
      </c>
      <c r="G26" s="13">
        <f>IFERROR(INDEX(Inventario!J$4:J$103,MATCH(22,Inventario!K$4:K$103,0)),"")</f>
        <v/>
      </c>
    </row>
    <row r="27">
      <c r="A27" s="4">
        <f>IF(B27="","",23)</f>
        <v/>
      </c>
      <c r="B27" s="5">
        <f>IFERROR(INDEX(Inventario!B$4:B$103,MATCH(23,Inventario!K$4:K$103,0)),"")</f>
        <v/>
      </c>
      <c r="C27" s="5">
        <f>IFERROR(INDEX(Inventario!C$4:C$103,MATCH(23,Inventario!K$4:K$103,0)),"")</f>
        <v/>
      </c>
      <c r="D27" s="6">
        <f>IFERROR(INDEX(Inventario!D$4:D$103,MATCH(23,Inventario!K$4:K$103,0)),"")</f>
        <v/>
      </c>
      <c r="E27" s="7">
        <f>IFERROR(INDEX(Inventario!E$4:E$103,MATCH(23,Inventario!K$4:K$103,0)),"")</f>
        <v/>
      </c>
      <c r="F27" s="7">
        <f>IFERROR(INDEX(Inventario!F$4:F$103,MATCH(23,Inventario!K$4:K$103,0)),"")</f>
        <v/>
      </c>
      <c r="G27" s="6">
        <f>IFERROR(INDEX(Inventario!J$4:J$103,MATCH(23,Inventario!K$4:K$103,0)),"")</f>
        <v/>
      </c>
    </row>
    <row r="28">
      <c r="A28" s="11">
        <f>IF(B28="","",24)</f>
        <v/>
      </c>
      <c r="B28" s="12">
        <f>IFERROR(INDEX(Inventario!B$4:B$103,MATCH(24,Inventario!K$4:K$103,0)),"")</f>
        <v/>
      </c>
      <c r="C28" s="12">
        <f>IFERROR(INDEX(Inventario!C$4:C$103,MATCH(24,Inventario!K$4:K$103,0)),"")</f>
        <v/>
      </c>
      <c r="D28" s="13">
        <f>IFERROR(INDEX(Inventario!D$4:D$103,MATCH(24,Inventario!K$4:K$103,0)),"")</f>
        <v/>
      </c>
      <c r="E28" s="14">
        <f>IFERROR(INDEX(Inventario!E$4:E$103,MATCH(24,Inventario!K$4:K$103,0)),"")</f>
        <v/>
      </c>
      <c r="F28" s="14">
        <f>IFERROR(INDEX(Inventario!F$4:F$103,MATCH(24,Inventario!K$4:K$103,0)),"")</f>
        <v/>
      </c>
      <c r="G28" s="13">
        <f>IFERROR(INDEX(Inventario!J$4:J$103,MATCH(24,Inventario!K$4:K$103,0)),"")</f>
        <v/>
      </c>
    </row>
    <row r="29">
      <c r="A29" s="4">
        <f>IF(B29="","",25)</f>
        <v/>
      </c>
      <c r="B29" s="5">
        <f>IFERROR(INDEX(Inventario!B$4:B$103,MATCH(25,Inventario!K$4:K$103,0)),"")</f>
        <v/>
      </c>
      <c r="C29" s="5">
        <f>IFERROR(INDEX(Inventario!C$4:C$103,MATCH(25,Inventario!K$4:K$103,0)),"")</f>
        <v/>
      </c>
      <c r="D29" s="6">
        <f>IFERROR(INDEX(Inventario!D$4:D$103,MATCH(25,Inventario!K$4:K$103,0)),"")</f>
        <v/>
      </c>
      <c r="E29" s="7">
        <f>IFERROR(INDEX(Inventario!E$4:E$103,MATCH(25,Inventario!K$4:K$103,0)),"")</f>
        <v/>
      </c>
      <c r="F29" s="7">
        <f>IFERROR(INDEX(Inventario!F$4:F$103,MATCH(25,Inventario!K$4:K$103,0)),"")</f>
        <v/>
      </c>
      <c r="G29" s="6">
        <f>IFERROR(INDEX(Inventario!J$4:J$103,MATCH(25,Inventario!K$4:K$103,0)),"")</f>
        <v/>
      </c>
    </row>
    <row r="30">
      <c r="A30" s="11">
        <f>IF(B30="","",26)</f>
        <v/>
      </c>
      <c r="B30" s="12">
        <f>IFERROR(INDEX(Inventario!B$4:B$103,MATCH(26,Inventario!K$4:K$103,0)),"")</f>
        <v/>
      </c>
      <c r="C30" s="12">
        <f>IFERROR(INDEX(Inventario!C$4:C$103,MATCH(26,Inventario!K$4:K$103,0)),"")</f>
        <v/>
      </c>
      <c r="D30" s="13">
        <f>IFERROR(INDEX(Inventario!D$4:D$103,MATCH(26,Inventario!K$4:K$103,0)),"")</f>
        <v/>
      </c>
      <c r="E30" s="14">
        <f>IFERROR(INDEX(Inventario!E$4:E$103,MATCH(26,Inventario!K$4:K$103,0)),"")</f>
        <v/>
      </c>
      <c r="F30" s="14">
        <f>IFERROR(INDEX(Inventario!F$4:F$103,MATCH(26,Inventario!K$4:K$103,0)),"")</f>
        <v/>
      </c>
      <c r="G30" s="13">
        <f>IFERROR(INDEX(Inventario!J$4:J$103,MATCH(26,Inventario!K$4:K$103,0)),"")</f>
        <v/>
      </c>
    </row>
    <row r="31">
      <c r="A31" s="4">
        <f>IF(B31="","",27)</f>
        <v/>
      </c>
      <c r="B31" s="5">
        <f>IFERROR(INDEX(Inventario!B$4:B$103,MATCH(27,Inventario!K$4:K$103,0)),"")</f>
        <v/>
      </c>
      <c r="C31" s="5">
        <f>IFERROR(INDEX(Inventario!C$4:C$103,MATCH(27,Inventario!K$4:K$103,0)),"")</f>
        <v/>
      </c>
      <c r="D31" s="6">
        <f>IFERROR(INDEX(Inventario!D$4:D$103,MATCH(27,Inventario!K$4:K$103,0)),"")</f>
        <v/>
      </c>
      <c r="E31" s="7">
        <f>IFERROR(INDEX(Inventario!E$4:E$103,MATCH(27,Inventario!K$4:K$103,0)),"")</f>
        <v/>
      </c>
      <c r="F31" s="7">
        <f>IFERROR(INDEX(Inventario!F$4:F$103,MATCH(27,Inventario!K$4:K$103,0)),"")</f>
        <v/>
      </c>
      <c r="G31" s="6">
        <f>IFERROR(INDEX(Inventario!J$4:J$103,MATCH(27,Inventario!K$4:K$103,0)),"")</f>
        <v/>
      </c>
    </row>
    <row r="32">
      <c r="A32" s="11">
        <f>IF(B32="","",28)</f>
        <v/>
      </c>
      <c r="B32" s="12">
        <f>IFERROR(INDEX(Inventario!B$4:B$103,MATCH(28,Inventario!K$4:K$103,0)),"")</f>
        <v/>
      </c>
      <c r="C32" s="12">
        <f>IFERROR(INDEX(Inventario!C$4:C$103,MATCH(28,Inventario!K$4:K$103,0)),"")</f>
        <v/>
      </c>
      <c r="D32" s="13">
        <f>IFERROR(INDEX(Inventario!D$4:D$103,MATCH(28,Inventario!K$4:K$103,0)),"")</f>
        <v/>
      </c>
      <c r="E32" s="14">
        <f>IFERROR(INDEX(Inventario!E$4:E$103,MATCH(28,Inventario!K$4:K$103,0)),"")</f>
        <v/>
      </c>
      <c r="F32" s="14">
        <f>IFERROR(INDEX(Inventario!F$4:F$103,MATCH(28,Inventario!K$4:K$103,0)),"")</f>
        <v/>
      </c>
      <c r="G32" s="13">
        <f>IFERROR(INDEX(Inventario!J$4:J$103,MATCH(28,Inventario!K$4:K$103,0)),"")</f>
        <v/>
      </c>
    </row>
    <row r="33">
      <c r="A33" s="4">
        <f>IF(B33="","",29)</f>
        <v/>
      </c>
      <c r="B33" s="5">
        <f>IFERROR(INDEX(Inventario!B$4:B$103,MATCH(29,Inventario!K$4:K$103,0)),"")</f>
        <v/>
      </c>
      <c r="C33" s="5">
        <f>IFERROR(INDEX(Inventario!C$4:C$103,MATCH(29,Inventario!K$4:K$103,0)),"")</f>
        <v/>
      </c>
      <c r="D33" s="6">
        <f>IFERROR(INDEX(Inventario!D$4:D$103,MATCH(29,Inventario!K$4:K$103,0)),"")</f>
        <v/>
      </c>
      <c r="E33" s="7">
        <f>IFERROR(INDEX(Inventario!E$4:E$103,MATCH(29,Inventario!K$4:K$103,0)),"")</f>
        <v/>
      </c>
      <c r="F33" s="7">
        <f>IFERROR(INDEX(Inventario!F$4:F$103,MATCH(29,Inventario!K$4:K$103,0)),"")</f>
        <v/>
      </c>
      <c r="G33" s="6">
        <f>IFERROR(INDEX(Inventario!J$4:J$103,MATCH(29,Inventario!K$4:K$103,0)),"")</f>
        <v/>
      </c>
    </row>
    <row r="34">
      <c r="A34" s="11">
        <f>IF(B34="","",30)</f>
        <v/>
      </c>
      <c r="B34" s="12">
        <f>IFERROR(INDEX(Inventario!B$4:B$103,MATCH(30,Inventario!K$4:K$103,0)),"")</f>
        <v/>
      </c>
      <c r="C34" s="12">
        <f>IFERROR(INDEX(Inventario!C$4:C$103,MATCH(30,Inventario!K$4:K$103,0)),"")</f>
        <v/>
      </c>
      <c r="D34" s="13">
        <f>IFERROR(INDEX(Inventario!D$4:D$103,MATCH(30,Inventario!K$4:K$103,0)),"")</f>
        <v/>
      </c>
      <c r="E34" s="14">
        <f>IFERROR(INDEX(Inventario!E$4:E$103,MATCH(30,Inventario!K$4:K$103,0)),"")</f>
        <v/>
      </c>
      <c r="F34" s="14">
        <f>IFERROR(INDEX(Inventario!F$4:F$103,MATCH(30,Inventario!K$4:K$103,0)),"")</f>
        <v/>
      </c>
      <c r="G34" s="13">
        <f>IFERROR(INDEX(Inventario!J$4:J$103,MATCH(30,Inventario!K$4:K$103,0)),"")</f>
        <v/>
      </c>
    </row>
    <row r="35">
      <c r="A35" s="4">
        <f>IF(B35="","",31)</f>
        <v/>
      </c>
      <c r="B35" s="5">
        <f>IFERROR(INDEX(Inventario!B$4:B$103,MATCH(31,Inventario!K$4:K$103,0)),"")</f>
        <v/>
      </c>
      <c r="C35" s="5">
        <f>IFERROR(INDEX(Inventario!C$4:C$103,MATCH(31,Inventario!K$4:K$103,0)),"")</f>
        <v/>
      </c>
      <c r="D35" s="6">
        <f>IFERROR(INDEX(Inventario!D$4:D$103,MATCH(31,Inventario!K$4:K$103,0)),"")</f>
        <v/>
      </c>
      <c r="E35" s="7">
        <f>IFERROR(INDEX(Inventario!E$4:E$103,MATCH(31,Inventario!K$4:K$103,0)),"")</f>
        <v/>
      </c>
      <c r="F35" s="7">
        <f>IFERROR(INDEX(Inventario!F$4:F$103,MATCH(31,Inventario!K$4:K$103,0)),"")</f>
        <v/>
      </c>
      <c r="G35" s="6">
        <f>IFERROR(INDEX(Inventario!J$4:J$103,MATCH(31,Inventario!K$4:K$103,0)),"")</f>
        <v/>
      </c>
    </row>
    <row r="36">
      <c r="A36" s="11">
        <f>IF(B36="","",32)</f>
        <v/>
      </c>
      <c r="B36" s="12">
        <f>IFERROR(INDEX(Inventario!B$4:B$103,MATCH(32,Inventario!K$4:K$103,0)),"")</f>
        <v/>
      </c>
      <c r="C36" s="12">
        <f>IFERROR(INDEX(Inventario!C$4:C$103,MATCH(32,Inventario!K$4:K$103,0)),"")</f>
        <v/>
      </c>
      <c r="D36" s="13">
        <f>IFERROR(INDEX(Inventario!D$4:D$103,MATCH(32,Inventario!K$4:K$103,0)),"")</f>
        <v/>
      </c>
      <c r="E36" s="14">
        <f>IFERROR(INDEX(Inventario!E$4:E$103,MATCH(32,Inventario!K$4:K$103,0)),"")</f>
        <v/>
      </c>
      <c r="F36" s="14">
        <f>IFERROR(INDEX(Inventario!F$4:F$103,MATCH(32,Inventario!K$4:K$103,0)),"")</f>
        <v/>
      </c>
      <c r="G36" s="13">
        <f>IFERROR(INDEX(Inventario!J$4:J$103,MATCH(32,Inventario!K$4:K$103,0)),"")</f>
        <v/>
      </c>
    </row>
    <row r="37">
      <c r="A37" s="4">
        <f>IF(B37="","",33)</f>
        <v/>
      </c>
      <c r="B37" s="5">
        <f>IFERROR(INDEX(Inventario!B$4:B$103,MATCH(33,Inventario!K$4:K$103,0)),"")</f>
        <v/>
      </c>
      <c r="C37" s="5">
        <f>IFERROR(INDEX(Inventario!C$4:C$103,MATCH(33,Inventario!K$4:K$103,0)),"")</f>
        <v/>
      </c>
      <c r="D37" s="6">
        <f>IFERROR(INDEX(Inventario!D$4:D$103,MATCH(33,Inventario!K$4:K$103,0)),"")</f>
        <v/>
      </c>
      <c r="E37" s="7">
        <f>IFERROR(INDEX(Inventario!E$4:E$103,MATCH(33,Inventario!K$4:K$103,0)),"")</f>
        <v/>
      </c>
      <c r="F37" s="7">
        <f>IFERROR(INDEX(Inventario!F$4:F$103,MATCH(33,Inventario!K$4:K$103,0)),"")</f>
        <v/>
      </c>
      <c r="G37" s="6">
        <f>IFERROR(INDEX(Inventario!J$4:J$103,MATCH(33,Inventario!K$4:K$103,0)),"")</f>
        <v/>
      </c>
    </row>
    <row r="38">
      <c r="A38" s="11">
        <f>IF(B38="","",34)</f>
        <v/>
      </c>
      <c r="B38" s="12">
        <f>IFERROR(INDEX(Inventario!B$4:B$103,MATCH(34,Inventario!K$4:K$103,0)),"")</f>
        <v/>
      </c>
      <c r="C38" s="12">
        <f>IFERROR(INDEX(Inventario!C$4:C$103,MATCH(34,Inventario!K$4:K$103,0)),"")</f>
        <v/>
      </c>
      <c r="D38" s="13">
        <f>IFERROR(INDEX(Inventario!D$4:D$103,MATCH(34,Inventario!K$4:K$103,0)),"")</f>
        <v/>
      </c>
      <c r="E38" s="14">
        <f>IFERROR(INDEX(Inventario!E$4:E$103,MATCH(34,Inventario!K$4:K$103,0)),"")</f>
        <v/>
      </c>
      <c r="F38" s="14">
        <f>IFERROR(INDEX(Inventario!F$4:F$103,MATCH(34,Inventario!K$4:K$103,0)),"")</f>
        <v/>
      </c>
      <c r="G38" s="13">
        <f>IFERROR(INDEX(Inventario!J$4:J$103,MATCH(34,Inventario!K$4:K$103,0)),"")</f>
        <v/>
      </c>
    </row>
    <row r="39">
      <c r="A39" s="4">
        <f>IF(B39="","",35)</f>
        <v/>
      </c>
      <c r="B39" s="5">
        <f>IFERROR(INDEX(Inventario!B$4:B$103,MATCH(35,Inventario!K$4:K$103,0)),"")</f>
        <v/>
      </c>
      <c r="C39" s="5">
        <f>IFERROR(INDEX(Inventario!C$4:C$103,MATCH(35,Inventario!K$4:K$103,0)),"")</f>
        <v/>
      </c>
      <c r="D39" s="6">
        <f>IFERROR(INDEX(Inventario!D$4:D$103,MATCH(35,Inventario!K$4:K$103,0)),"")</f>
        <v/>
      </c>
      <c r="E39" s="7">
        <f>IFERROR(INDEX(Inventario!E$4:E$103,MATCH(35,Inventario!K$4:K$103,0)),"")</f>
        <v/>
      </c>
      <c r="F39" s="7">
        <f>IFERROR(INDEX(Inventario!F$4:F$103,MATCH(35,Inventario!K$4:K$103,0)),"")</f>
        <v/>
      </c>
      <c r="G39" s="6">
        <f>IFERROR(INDEX(Inventario!J$4:J$103,MATCH(35,Inventario!K$4:K$103,0)),"")</f>
        <v/>
      </c>
    </row>
    <row r="40">
      <c r="A40" s="11">
        <f>IF(B40="","",36)</f>
        <v/>
      </c>
      <c r="B40" s="12">
        <f>IFERROR(INDEX(Inventario!B$4:B$103,MATCH(36,Inventario!K$4:K$103,0)),"")</f>
        <v/>
      </c>
      <c r="C40" s="12">
        <f>IFERROR(INDEX(Inventario!C$4:C$103,MATCH(36,Inventario!K$4:K$103,0)),"")</f>
        <v/>
      </c>
      <c r="D40" s="13">
        <f>IFERROR(INDEX(Inventario!D$4:D$103,MATCH(36,Inventario!K$4:K$103,0)),"")</f>
        <v/>
      </c>
      <c r="E40" s="14">
        <f>IFERROR(INDEX(Inventario!E$4:E$103,MATCH(36,Inventario!K$4:K$103,0)),"")</f>
        <v/>
      </c>
      <c r="F40" s="14">
        <f>IFERROR(INDEX(Inventario!F$4:F$103,MATCH(36,Inventario!K$4:K$103,0)),"")</f>
        <v/>
      </c>
      <c r="G40" s="13">
        <f>IFERROR(INDEX(Inventario!J$4:J$103,MATCH(36,Inventario!K$4:K$103,0)),"")</f>
        <v/>
      </c>
    </row>
    <row r="41">
      <c r="A41" s="4">
        <f>IF(B41="","",37)</f>
        <v/>
      </c>
      <c r="B41" s="5">
        <f>IFERROR(INDEX(Inventario!B$4:B$103,MATCH(37,Inventario!K$4:K$103,0)),"")</f>
        <v/>
      </c>
      <c r="C41" s="5">
        <f>IFERROR(INDEX(Inventario!C$4:C$103,MATCH(37,Inventario!K$4:K$103,0)),"")</f>
        <v/>
      </c>
      <c r="D41" s="6">
        <f>IFERROR(INDEX(Inventario!D$4:D$103,MATCH(37,Inventario!K$4:K$103,0)),"")</f>
        <v/>
      </c>
      <c r="E41" s="7">
        <f>IFERROR(INDEX(Inventario!E$4:E$103,MATCH(37,Inventario!K$4:K$103,0)),"")</f>
        <v/>
      </c>
      <c r="F41" s="7">
        <f>IFERROR(INDEX(Inventario!F$4:F$103,MATCH(37,Inventario!K$4:K$103,0)),"")</f>
        <v/>
      </c>
      <c r="G41" s="6">
        <f>IFERROR(INDEX(Inventario!J$4:J$103,MATCH(37,Inventario!K$4:K$103,0)),"")</f>
        <v/>
      </c>
    </row>
    <row r="42">
      <c r="A42" s="11">
        <f>IF(B42="","",38)</f>
        <v/>
      </c>
      <c r="B42" s="12">
        <f>IFERROR(INDEX(Inventario!B$4:B$103,MATCH(38,Inventario!K$4:K$103,0)),"")</f>
        <v/>
      </c>
      <c r="C42" s="12">
        <f>IFERROR(INDEX(Inventario!C$4:C$103,MATCH(38,Inventario!K$4:K$103,0)),"")</f>
        <v/>
      </c>
      <c r="D42" s="13">
        <f>IFERROR(INDEX(Inventario!D$4:D$103,MATCH(38,Inventario!K$4:K$103,0)),"")</f>
        <v/>
      </c>
      <c r="E42" s="14">
        <f>IFERROR(INDEX(Inventario!E$4:E$103,MATCH(38,Inventario!K$4:K$103,0)),"")</f>
        <v/>
      </c>
      <c r="F42" s="14">
        <f>IFERROR(INDEX(Inventario!F$4:F$103,MATCH(38,Inventario!K$4:K$103,0)),"")</f>
        <v/>
      </c>
      <c r="G42" s="13">
        <f>IFERROR(INDEX(Inventario!J$4:J$103,MATCH(38,Inventario!K$4:K$103,0)),"")</f>
        <v/>
      </c>
    </row>
    <row r="43">
      <c r="A43" s="4">
        <f>IF(B43="","",39)</f>
        <v/>
      </c>
      <c r="B43" s="5">
        <f>IFERROR(INDEX(Inventario!B$4:B$103,MATCH(39,Inventario!K$4:K$103,0)),"")</f>
        <v/>
      </c>
      <c r="C43" s="5">
        <f>IFERROR(INDEX(Inventario!C$4:C$103,MATCH(39,Inventario!K$4:K$103,0)),"")</f>
        <v/>
      </c>
      <c r="D43" s="6">
        <f>IFERROR(INDEX(Inventario!D$4:D$103,MATCH(39,Inventario!K$4:K$103,0)),"")</f>
        <v/>
      </c>
      <c r="E43" s="7">
        <f>IFERROR(INDEX(Inventario!E$4:E$103,MATCH(39,Inventario!K$4:K$103,0)),"")</f>
        <v/>
      </c>
      <c r="F43" s="7">
        <f>IFERROR(INDEX(Inventario!F$4:F$103,MATCH(39,Inventario!K$4:K$103,0)),"")</f>
        <v/>
      </c>
      <c r="G43" s="6">
        <f>IFERROR(INDEX(Inventario!J$4:J$103,MATCH(39,Inventario!K$4:K$103,0)),"")</f>
        <v/>
      </c>
    </row>
    <row r="44">
      <c r="A44" s="11">
        <f>IF(B44="","",40)</f>
        <v/>
      </c>
      <c r="B44" s="12">
        <f>IFERROR(INDEX(Inventario!B$4:B$103,MATCH(40,Inventario!K$4:K$103,0)),"")</f>
        <v/>
      </c>
      <c r="C44" s="12">
        <f>IFERROR(INDEX(Inventario!C$4:C$103,MATCH(40,Inventario!K$4:K$103,0)),"")</f>
        <v/>
      </c>
      <c r="D44" s="13">
        <f>IFERROR(INDEX(Inventario!D$4:D$103,MATCH(40,Inventario!K$4:K$103,0)),"")</f>
        <v/>
      </c>
      <c r="E44" s="14">
        <f>IFERROR(INDEX(Inventario!E$4:E$103,MATCH(40,Inventario!K$4:K$103,0)),"")</f>
        <v/>
      </c>
      <c r="F44" s="14">
        <f>IFERROR(INDEX(Inventario!F$4:F$103,MATCH(40,Inventario!K$4:K$103,0)),"")</f>
        <v/>
      </c>
      <c r="G44" s="13">
        <f>IFERROR(INDEX(Inventario!J$4:J$103,MATCH(40,Inventario!K$4:K$103,0)),"")</f>
        <v/>
      </c>
    </row>
    <row r="45">
      <c r="A45" s="4">
        <f>IF(B45="","",41)</f>
        <v/>
      </c>
      <c r="B45" s="5">
        <f>IFERROR(INDEX(Inventario!B$4:B$103,MATCH(41,Inventario!K$4:K$103,0)),"")</f>
        <v/>
      </c>
      <c r="C45" s="5">
        <f>IFERROR(INDEX(Inventario!C$4:C$103,MATCH(41,Inventario!K$4:K$103,0)),"")</f>
        <v/>
      </c>
      <c r="D45" s="6">
        <f>IFERROR(INDEX(Inventario!D$4:D$103,MATCH(41,Inventario!K$4:K$103,0)),"")</f>
        <v/>
      </c>
      <c r="E45" s="7">
        <f>IFERROR(INDEX(Inventario!E$4:E$103,MATCH(41,Inventario!K$4:K$103,0)),"")</f>
        <v/>
      </c>
      <c r="F45" s="7">
        <f>IFERROR(INDEX(Inventario!F$4:F$103,MATCH(41,Inventario!K$4:K$103,0)),"")</f>
        <v/>
      </c>
      <c r="G45" s="6">
        <f>IFERROR(INDEX(Inventario!J$4:J$103,MATCH(41,Inventario!K$4:K$103,0)),"")</f>
        <v/>
      </c>
    </row>
    <row r="46">
      <c r="A46" s="11">
        <f>IF(B46="","",42)</f>
        <v/>
      </c>
      <c r="B46" s="12">
        <f>IFERROR(INDEX(Inventario!B$4:B$103,MATCH(42,Inventario!K$4:K$103,0)),"")</f>
        <v/>
      </c>
      <c r="C46" s="12">
        <f>IFERROR(INDEX(Inventario!C$4:C$103,MATCH(42,Inventario!K$4:K$103,0)),"")</f>
        <v/>
      </c>
      <c r="D46" s="13">
        <f>IFERROR(INDEX(Inventario!D$4:D$103,MATCH(42,Inventario!K$4:K$103,0)),"")</f>
        <v/>
      </c>
      <c r="E46" s="14">
        <f>IFERROR(INDEX(Inventario!E$4:E$103,MATCH(42,Inventario!K$4:K$103,0)),"")</f>
        <v/>
      </c>
      <c r="F46" s="14">
        <f>IFERROR(INDEX(Inventario!F$4:F$103,MATCH(42,Inventario!K$4:K$103,0)),"")</f>
        <v/>
      </c>
      <c r="G46" s="13">
        <f>IFERROR(INDEX(Inventario!J$4:J$103,MATCH(42,Inventario!K$4:K$103,0)),"")</f>
        <v/>
      </c>
    </row>
    <row r="47">
      <c r="A47" s="4">
        <f>IF(B47="","",43)</f>
        <v/>
      </c>
      <c r="B47" s="5">
        <f>IFERROR(INDEX(Inventario!B$4:B$103,MATCH(43,Inventario!K$4:K$103,0)),"")</f>
        <v/>
      </c>
      <c r="C47" s="5">
        <f>IFERROR(INDEX(Inventario!C$4:C$103,MATCH(43,Inventario!K$4:K$103,0)),"")</f>
        <v/>
      </c>
      <c r="D47" s="6">
        <f>IFERROR(INDEX(Inventario!D$4:D$103,MATCH(43,Inventario!K$4:K$103,0)),"")</f>
        <v/>
      </c>
      <c r="E47" s="7">
        <f>IFERROR(INDEX(Inventario!E$4:E$103,MATCH(43,Inventario!K$4:K$103,0)),"")</f>
        <v/>
      </c>
      <c r="F47" s="7">
        <f>IFERROR(INDEX(Inventario!F$4:F$103,MATCH(43,Inventario!K$4:K$103,0)),"")</f>
        <v/>
      </c>
      <c r="G47" s="6">
        <f>IFERROR(INDEX(Inventario!J$4:J$103,MATCH(43,Inventario!K$4:K$103,0)),"")</f>
        <v/>
      </c>
    </row>
    <row r="48">
      <c r="A48" s="11">
        <f>IF(B48="","",44)</f>
        <v/>
      </c>
      <c r="B48" s="12">
        <f>IFERROR(INDEX(Inventario!B$4:B$103,MATCH(44,Inventario!K$4:K$103,0)),"")</f>
        <v/>
      </c>
      <c r="C48" s="12">
        <f>IFERROR(INDEX(Inventario!C$4:C$103,MATCH(44,Inventario!K$4:K$103,0)),"")</f>
        <v/>
      </c>
      <c r="D48" s="13">
        <f>IFERROR(INDEX(Inventario!D$4:D$103,MATCH(44,Inventario!K$4:K$103,0)),"")</f>
        <v/>
      </c>
      <c r="E48" s="14">
        <f>IFERROR(INDEX(Inventario!E$4:E$103,MATCH(44,Inventario!K$4:K$103,0)),"")</f>
        <v/>
      </c>
      <c r="F48" s="14">
        <f>IFERROR(INDEX(Inventario!F$4:F$103,MATCH(44,Inventario!K$4:K$103,0)),"")</f>
        <v/>
      </c>
      <c r="G48" s="13">
        <f>IFERROR(INDEX(Inventario!J$4:J$103,MATCH(44,Inventario!K$4:K$103,0)),"")</f>
        <v/>
      </c>
    </row>
    <row r="49">
      <c r="A49" s="4">
        <f>IF(B49="","",45)</f>
        <v/>
      </c>
      <c r="B49" s="5">
        <f>IFERROR(INDEX(Inventario!B$4:B$103,MATCH(45,Inventario!K$4:K$103,0)),"")</f>
        <v/>
      </c>
      <c r="C49" s="5">
        <f>IFERROR(INDEX(Inventario!C$4:C$103,MATCH(45,Inventario!K$4:K$103,0)),"")</f>
        <v/>
      </c>
      <c r="D49" s="6">
        <f>IFERROR(INDEX(Inventario!D$4:D$103,MATCH(45,Inventario!K$4:K$103,0)),"")</f>
        <v/>
      </c>
      <c r="E49" s="7">
        <f>IFERROR(INDEX(Inventario!E$4:E$103,MATCH(45,Inventario!K$4:K$103,0)),"")</f>
        <v/>
      </c>
      <c r="F49" s="7">
        <f>IFERROR(INDEX(Inventario!F$4:F$103,MATCH(45,Inventario!K$4:K$103,0)),"")</f>
        <v/>
      </c>
      <c r="G49" s="6">
        <f>IFERROR(INDEX(Inventario!J$4:J$103,MATCH(45,Inventario!K$4:K$103,0)),"")</f>
        <v/>
      </c>
    </row>
    <row r="50">
      <c r="A50" s="11">
        <f>IF(B50="","",46)</f>
        <v/>
      </c>
      <c r="B50" s="12">
        <f>IFERROR(INDEX(Inventario!B$4:B$103,MATCH(46,Inventario!K$4:K$103,0)),"")</f>
        <v/>
      </c>
      <c r="C50" s="12">
        <f>IFERROR(INDEX(Inventario!C$4:C$103,MATCH(46,Inventario!K$4:K$103,0)),"")</f>
        <v/>
      </c>
      <c r="D50" s="13">
        <f>IFERROR(INDEX(Inventario!D$4:D$103,MATCH(46,Inventario!K$4:K$103,0)),"")</f>
        <v/>
      </c>
      <c r="E50" s="14">
        <f>IFERROR(INDEX(Inventario!E$4:E$103,MATCH(46,Inventario!K$4:K$103,0)),"")</f>
        <v/>
      </c>
      <c r="F50" s="14">
        <f>IFERROR(INDEX(Inventario!F$4:F$103,MATCH(46,Inventario!K$4:K$103,0)),"")</f>
        <v/>
      </c>
      <c r="G50" s="13">
        <f>IFERROR(INDEX(Inventario!J$4:J$103,MATCH(46,Inventario!K$4:K$103,0)),"")</f>
        <v/>
      </c>
    </row>
    <row r="51">
      <c r="A51" s="4">
        <f>IF(B51="","",47)</f>
        <v/>
      </c>
      <c r="B51" s="5">
        <f>IFERROR(INDEX(Inventario!B$4:B$103,MATCH(47,Inventario!K$4:K$103,0)),"")</f>
        <v/>
      </c>
      <c r="C51" s="5">
        <f>IFERROR(INDEX(Inventario!C$4:C$103,MATCH(47,Inventario!K$4:K$103,0)),"")</f>
        <v/>
      </c>
      <c r="D51" s="6">
        <f>IFERROR(INDEX(Inventario!D$4:D$103,MATCH(47,Inventario!K$4:K$103,0)),"")</f>
        <v/>
      </c>
      <c r="E51" s="7">
        <f>IFERROR(INDEX(Inventario!E$4:E$103,MATCH(47,Inventario!K$4:K$103,0)),"")</f>
        <v/>
      </c>
      <c r="F51" s="7">
        <f>IFERROR(INDEX(Inventario!F$4:F$103,MATCH(47,Inventario!K$4:K$103,0)),"")</f>
        <v/>
      </c>
      <c r="G51" s="6">
        <f>IFERROR(INDEX(Inventario!J$4:J$103,MATCH(47,Inventario!K$4:K$103,0)),"")</f>
        <v/>
      </c>
    </row>
    <row r="52">
      <c r="A52" s="11">
        <f>IF(B52="","",48)</f>
        <v/>
      </c>
      <c r="B52" s="12">
        <f>IFERROR(INDEX(Inventario!B$4:B$103,MATCH(48,Inventario!K$4:K$103,0)),"")</f>
        <v/>
      </c>
      <c r="C52" s="12">
        <f>IFERROR(INDEX(Inventario!C$4:C$103,MATCH(48,Inventario!K$4:K$103,0)),"")</f>
        <v/>
      </c>
      <c r="D52" s="13">
        <f>IFERROR(INDEX(Inventario!D$4:D$103,MATCH(48,Inventario!K$4:K$103,0)),"")</f>
        <v/>
      </c>
      <c r="E52" s="14">
        <f>IFERROR(INDEX(Inventario!E$4:E$103,MATCH(48,Inventario!K$4:K$103,0)),"")</f>
        <v/>
      </c>
      <c r="F52" s="14">
        <f>IFERROR(INDEX(Inventario!F$4:F$103,MATCH(48,Inventario!K$4:K$103,0)),"")</f>
        <v/>
      </c>
      <c r="G52" s="13">
        <f>IFERROR(INDEX(Inventario!J$4:J$103,MATCH(48,Inventario!K$4:K$103,0)),"")</f>
        <v/>
      </c>
    </row>
    <row r="53">
      <c r="A53" s="4">
        <f>IF(B53="","",49)</f>
        <v/>
      </c>
      <c r="B53" s="5">
        <f>IFERROR(INDEX(Inventario!B$4:B$103,MATCH(49,Inventario!K$4:K$103,0)),"")</f>
        <v/>
      </c>
      <c r="C53" s="5">
        <f>IFERROR(INDEX(Inventario!C$4:C$103,MATCH(49,Inventario!K$4:K$103,0)),"")</f>
        <v/>
      </c>
      <c r="D53" s="6">
        <f>IFERROR(INDEX(Inventario!D$4:D$103,MATCH(49,Inventario!K$4:K$103,0)),"")</f>
        <v/>
      </c>
      <c r="E53" s="7">
        <f>IFERROR(INDEX(Inventario!E$4:E$103,MATCH(49,Inventario!K$4:K$103,0)),"")</f>
        <v/>
      </c>
      <c r="F53" s="7">
        <f>IFERROR(INDEX(Inventario!F$4:F$103,MATCH(49,Inventario!K$4:K$103,0)),"")</f>
        <v/>
      </c>
      <c r="G53" s="6">
        <f>IFERROR(INDEX(Inventario!J$4:J$103,MATCH(49,Inventario!K$4:K$103,0)),"")</f>
        <v/>
      </c>
    </row>
    <row r="54">
      <c r="A54" s="11">
        <f>IF(B54="","",50)</f>
        <v/>
      </c>
      <c r="B54" s="12">
        <f>IFERROR(INDEX(Inventario!B$4:B$103,MATCH(50,Inventario!K$4:K$103,0)),"")</f>
        <v/>
      </c>
      <c r="C54" s="12">
        <f>IFERROR(INDEX(Inventario!C$4:C$103,MATCH(50,Inventario!K$4:K$103,0)),"")</f>
        <v/>
      </c>
      <c r="D54" s="13">
        <f>IFERROR(INDEX(Inventario!D$4:D$103,MATCH(50,Inventario!K$4:K$103,0)),"")</f>
        <v/>
      </c>
      <c r="E54" s="14">
        <f>IFERROR(INDEX(Inventario!E$4:E$103,MATCH(50,Inventario!K$4:K$103,0)),"")</f>
        <v/>
      </c>
      <c r="F54" s="14">
        <f>IFERROR(INDEX(Inventario!F$4:F$103,MATCH(50,Inventario!K$4:K$103,0)),"")</f>
        <v/>
      </c>
      <c r="G54" s="13">
        <f>IFERROR(INDEX(Inventario!J$4:J$103,MATCH(50,Inventario!K$4:K$103,0)),"")</f>
        <v/>
      </c>
    </row>
    <row r="55">
      <c r="A55" s="4">
        <f>IF(B55="","",51)</f>
        <v/>
      </c>
      <c r="B55" s="5">
        <f>IFERROR(INDEX(Inventario!B$4:B$103,MATCH(51,Inventario!K$4:K$103,0)),"")</f>
        <v/>
      </c>
      <c r="C55" s="5">
        <f>IFERROR(INDEX(Inventario!C$4:C$103,MATCH(51,Inventario!K$4:K$103,0)),"")</f>
        <v/>
      </c>
      <c r="D55" s="6">
        <f>IFERROR(INDEX(Inventario!D$4:D$103,MATCH(51,Inventario!K$4:K$103,0)),"")</f>
        <v/>
      </c>
      <c r="E55" s="7">
        <f>IFERROR(INDEX(Inventario!E$4:E$103,MATCH(51,Inventario!K$4:K$103,0)),"")</f>
        <v/>
      </c>
      <c r="F55" s="7">
        <f>IFERROR(INDEX(Inventario!F$4:F$103,MATCH(51,Inventario!K$4:K$103,0)),"")</f>
        <v/>
      </c>
      <c r="G55" s="6">
        <f>IFERROR(INDEX(Inventario!J$4:J$103,MATCH(51,Inventario!K$4:K$103,0)),"")</f>
        <v/>
      </c>
    </row>
    <row r="56">
      <c r="A56" s="11">
        <f>IF(B56="","",52)</f>
        <v/>
      </c>
      <c r="B56" s="12">
        <f>IFERROR(INDEX(Inventario!B$4:B$103,MATCH(52,Inventario!K$4:K$103,0)),"")</f>
        <v/>
      </c>
      <c r="C56" s="12">
        <f>IFERROR(INDEX(Inventario!C$4:C$103,MATCH(52,Inventario!K$4:K$103,0)),"")</f>
        <v/>
      </c>
      <c r="D56" s="13">
        <f>IFERROR(INDEX(Inventario!D$4:D$103,MATCH(52,Inventario!K$4:K$103,0)),"")</f>
        <v/>
      </c>
      <c r="E56" s="14">
        <f>IFERROR(INDEX(Inventario!E$4:E$103,MATCH(52,Inventario!K$4:K$103,0)),"")</f>
        <v/>
      </c>
      <c r="F56" s="14">
        <f>IFERROR(INDEX(Inventario!F$4:F$103,MATCH(52,Inventario!K$4:K$103,0)),"")</f>
        <v/>
      </c>
      <c r="G56" s="13">
        <f>IFERROR(INDEX(Inventario!J$4:J$103,MATCH(52,Inventario!K$4:K$103,0)),"")</f>
        <v/>
      </c>
    </row>
    <row r="57">
      <c r="A57" s="4">
        <f>IF(B57="","",53)</f>
        <v/>
      </c>
      <c r="B57" s="5">
        <f>IFERROR(INDEX(Inventario!B$4:B$103,MATCH(53,Inventario!K$4:K$103,0)),"")</f>
        <v/>
      </c>
      <c r="C57" s="5">
        <f>IFERROR(INDEX(Inventario!C$4:C$103,MATCH(53,Inventario!K$4:K$103,0)),"")</f>
        <v/>
      </c>
      <c r="D57" s="6">
        <f>IFERROR(INDEX(Inventario!D$4:D$103,MATCH(53,Inventario!K$4:K$103,0)),"")</f>
        <v/>
      </c>
      <c r="E57" s="7">
        <f>IFERROR(INDEX(Inventario!E$4:E$103,MATCH(53,Inventario!K$4:K$103,0)),"")</f>
        <v/>
      </c>
      <c r="F57" s="7">
        <f>IFERROR(INDEX(Inventario!F$4:F$103,MATCH(53,Inventario!K$4:K$103,0)),"")</f>
        <v/>
      </c>
      <c r="G57" s="6">
        <f>IFERROR(INDEX(Inventario!J$4:J$103,MATCH(53,Inventario!K$4:K$103,0)),"")</f>
        <v/>
      </c>
    </row>
    <row r="58">
      <c r="A58" s="11">
        <f>IF(B58="","",54)</f>
        <v/>
      </c>
      <c r="B58" s="12">
        <f>IFERROR(INDEX(Inventario!B$4:B$103,MATCH(54,Inventario!K$4:K$103,0)),"")</f>
        <v/>
      </c>
      <c r="C58" s="12">
        <f>IFERROR(INDEX(Inventario!C$4:C$103,MATCH(54,Inventario!K$4:K$103,0)),"")</f>
        <v/>
      </c>
      <c r="D58" s="13">
        <f>IFERROR(INDEX(Inventario!D$4:D$103,MATCH(54,Inventario!K$4:K$103,0)),"")</f>
        <v/>
      </c>
      <c r="E58" s="14">
        <f>IFERROR(INDEX(Inventario!E$4:E$103,MATCH(54,Inventario!K$4:K$103,0)),"")</f>
        <v/>
      </c>
      <c r="F58" s="14">
        <f>IFERROR(INDEX(Inventario!F$4:F$103,MATCH(54,Inventario!K$4:K$103,0)),"")</f>
        <v/>
      </c>
      <c r="G58" s="13">
        <f>IFERROR(INDEX(Inventario!J$4:J$103,MATCH(54,Inventario!K$4:K$103,0)),"")</f>
        <v/>
      </c>
    </row>
    <row r="59">
      <c r="A59" s="4">
        <f>IF(B59="","",55)</f>
        <v/>
      </c>
      <c r="B59" s="5">
        <f>IFERROR(INDEX(Inventario!B$4:B$103,MATCH(55,Inventario!K$4:K$103,0)),"")</f>
        <v/>
      </c>
      <c r="C59" s="5">
        <f>IFERROR(INDEX(Inventario!C$4:C$103,MATCH(55,Inventario!K$4:K$103,0)),"")</f>
        <v/>
      </c>
      <c r="D59" s="6">
        <f>IFERROR(INDEX(Inventario!D$4:D$103,MATCH(55,Inventario!K$4:K$103,0)),"")</f>
        <v/>
      </c>
      <c r="E59" s="7">
        <f>IFERROR(INDEX(Inventario!E$4:E$103,MATCH(55,Inventario!K$4:K$103,0)),"")</f>
        <v/>
      </c>
      <c r="F59" s="7">
        <f>IFERROR(INDEX(Inventario!F$4:F$103,MATCH(55,Inventario!K$4:K$103,0)),"")</f>
        <v/>
      </c>
      <c r="G59" s="6">
        <f>IFERROR(INDEX(Inventario!J$4:J$103,MATCH(55,Inventario!K$4:K$103,0)),"")</f>
        <v/>
      </c>
    </row>
    <row r="60">
      <c r="A60" s="11">
        <f>IF(B60="","",56)</f>
        <v/>
      </c>
      <c r="B60" s="12">
        <f>IFERROR(INDEX(Inventario!B$4:B$103,MATCH(56,Inventario!K$4:K$103,0)),"")</f>
        <v/>
      </c>
      <c r="C60" s="12">
        <f>IFERROR(INDEX(Inventario!C$4:C$103,MATCH(56,Inventario!K$4:K$103,0)),"")</f>
        <v/>
      </c>
      <c r="D60" s="13">
        <f>IFERROR(INDEX(Inventario!D$4:D$103,MATCH(56,Inventario!K$4:K$103,0)),"")</f>
        <v/>
      </c>
      <c r="E60" s="14">
        <f>IFERROR(INDEX(Inventario!E$4:E$103,MATCH(56,Inventario!K$4:K$103,0)),"")</f>
        <v/>
      </c>
      <c r="F60" s="14">
        <f>IFERROR(INDEX(Inventario!F$4:F$103,MATCH(56,Inventario!K$4:K$103,0)),"")</f>
        <v/>
      </c>
      <c r="G60" s="13">
        <f>IFERROR(INDEX(Inventario!J$4:J$103,MATCH(56,Inventario!K$4:K$103,0)),"")</f>
        <v/>
      </c>
    </row>
    <row r="61">
      <c r="A61" s="4">
        <f>IF(B61="","",57)</f>
        <v/>
      </c>
      <c r="B61" s="5">
        <f>IFERROR(INDEX(Inventario!B$4:B$103,MATCH(57,Inventario!K$4:K$103,0)),"")</f>
        <v/>
      </c>
      <c r="C61" s="5">
        <f>IFERROR(INDEX(Inventario!C$4:C$103,MATCH(57,Inventario!K$4:K$103,0)),"")</f>
        <v/>
      </c>
      <c r="D61" s="6">
        <f>IFERROR(INDEX(Inventario!D$4:D$103,MATCH(57,Inventario!K$4:K$103,0)),"")</f>
        <v/>
      </c>
      <c r="E61" s="7">
        <f>IFERROR(INDEX(Inventario!E$4:E$103,MATCH(57,Inventario!K$4:K$103,0)),"")</f>
        <v/>
      </c>
      <c r="F61" s="7">
        <f>IFERROR(INDEX(Inventario!F$4:F$103,MATCH(57,Inventario!K$4:K$103,0)),"")</f>
        <v/>
      </c>
      <c r="G61" s="6">
        <f>IFERROR(INDEX(Inventario!J$4:J$103,MATCH(57,Inventario!K$4:K$103,0)),"")</f>
        <v/>
      </c>
    </row>
    <row r="62">
      <c r="A62" s="11">
        <f>IF(B62="","",58)</f>
        <v/>
      </c>
      <c r="B62" s="12">
        <f>IFERROR(INDEX(Inventario!B$4:B$103,MATCH(58,Inventario!K$4:K$103,0)),"")</f>
        <v/>
      </c>
      <c r="C62" s="12">
        <f>IFERROR(INDEX(Inventario!C$4:C$103,MATCH(58,Inventario!K$4:K$103,0)),"")</f>
        <v/>
      </c>
      <c r="D62" s="13">
        <f>IFERROR(INDEX(Inventario!D$4:D$103,MATCH(58,Inventario!K$4:K$103,0)),"")</f>
        <v/>
      </c>
      <c r="E62" s="14">
        <f>IFERROR(INDEX(Inventario!E$4:E$103,MATCH(58,Inventario!K$4:K$103,0)),"")</f>
        <v/>
      </c>
      <c r="F62" s="14">
        <f>IFERROR(INDEX(Inventario!F$4:F$103,MATCH(58,Inventario!K$4:K$103,0)),"")</f>
        <v/>
      </c>
      <c r="G62" s="13">
        <f>IFERROR(INDEX(Inventario!J$4:J$103,MATCH(58,Inventario!K$4:K$103,0)),"")</f>
        <v/>
      </c>
    </row>
    <row r="63">
      <c r="A63" s="4">
        <f>IF(B63="","",59)</f>
        <v/>
      </c>
      <c r="B63" s="5">
        <f>IFERROR(INDEX(Inventario!B$4:B$103,MATCH(59,Inventario!K$4:K$103,0)),"")</f>
        <v/>
      </c>
      <c r="C63" s="5">
        <f>IFERROR(INDEX(Inventario!C$4:C$103,MATCH(59,Inventario!K$4:K$103,0)),"")</f>
        <v/>
      </c>
      <c r="D63" s="6">
        <f>IFERROR(INDEX(Inventario!D$4:D$103,MATCH(59,Inventario!K$4:K$103,0)),"")</f>
        <v/>
      </c>
      <c r="E63" s="7">
        <f>IFERROR(INDEX(Inventario!E$4:E$103,MATCH(59,Inventario!K$4:K$103,0)),"")</f>
        <v/>
      </c>
      <c r="F63" s="7">
        <f>IFERROR(INDEX(Inventario!F$4:F$103,MATCH(59,Inventario!K$4:K$103,0)),"")</f>
        <v/>
      </c>
      <c r="G63" s="6">
        <f>IFERROR(INDEX(Inventario!J$4:J$103,MATCH(59,Inventario!K$4:K$103,0)),"")</f>
        <v/>
      </c>
    </row>
    <row r="64">
      <c r="A64" s="11">
        <f>IF(B64="","",60)</f>
        <v/>
      </c>
      <c r="B64" s="12">
        <f>IFERROR(INDEX(Inventario!B$4:B$103,MATCH(60,Inventario!K$4:K$103,0)),"")</f>
        <v/>
      </c>
      <c r="C64" s="12">
        <f>IFERROR(INDEX(Inventario!C$4:C$103,MATCH(60,Inventario!K$4:K$103,0)),"")</f>
        <v/>
      </c>
      <c r="D64" s="13">
        <f>IFERROR(INDEX(Inventario!D$4:D$103,MATCH(60,Inventario!K$4:K$103,0)),"")</f>
        <v/>
      </c>
      <c r="E64" s="14">
        <f>IFERROR(INDEX(Inventario!E$4:E$103,MATCH(60,Inventario!K$4:K$103,0)),"")</f>
        <v/>
      </c>
      <c r="F64" s="14">
        <f>IFERROR(INDEX(Inventario!F$4:F$103,MATCH(60,Inventario!K$4:K$103,0)),"")</f>
        <v/>
      </c>
      <c r="G64" s="13">
        <f>IFERROR(INDEX(Inventario!J$4:J$103,MATCH(60,Inventario!K$4:K$103,0)),"")</f>
        <v/>
      </c>
    </row>
    <row r="65">
      <c r="A65" s="4">
        <f>IF(B65="","",61)</f>
        <v/>
      </c>
      <c r="B65" s="5">
        <f>IFERROR(INDEX(Inventario!B$4:B$103,MATCH(61,Inventario!K$4:K$103,0)),"")</f>
        <v/>
      </c>
      <c r="C65" s="5">
        <f>IFERROR(INDEX(Inventario!C$4:C$103,MATCH(61,Inventario!K$4:K$103,0)),"")</f>
        <v/>
      </c>
      <c r="D65" s="6">
        <f>IFERROR(INDEX(Inventario!D$4:D$103,MATCH(61,Inventario!K$4:K$103,0)),"")</f>
        <v/>
      </c>
      <c r="E65" s="7">
        <f>IFERROR(INDEX(Inventario!E$4:E$103,MATCH(61,Inventario!K$4:K$103,0)),"")</f>
        <v/>
      </c>
      <c r="F65" s="7">
        <f>IFERROR(INDEX(Inventario!F$4:F$103,MATCH(61,Inventario!K$4:K$103,0)),"")</f>
        <v/>
      </c>
      <c r="G65" s="6">
        <f>IFERROR(INDEX(Inventario!J$4:J$103,MATCH(61,Inventario!K$4:K$103,0)),"")</f>
        <v/>
      </c>
    </row>
    <row r="66">
      <c r="A66" s="11">
        <f>IF(B66="","",62)</f>
        <v/>
      </c>
      <c r="B66" s="12">
        <f>IFERROR(INDEX(Inventario!B$4:B$103,MATCH(62,Inventario!K$4:K$103,0)),"")</f>
        <v/>
      </c>
      <c r="C66" s="12">
        <f>IFERROR(INDEX(Inventario!C$4:C$103,MATCH(62,Inventario!K$4:K$103,0)),"")</f>
        <v/>
      </c>
      <c r="D66" s="13">
        <f>IFERROR(INDEX(Inventario!D$4:D$103,MATCH(62,Inventario!K$4:K$103,0)),"")</f>
        <v/>
      </c>
      <c r="E66" s="14">
        <f>IFERROR(INDEX(Inventario!E$4:E$103,MATCH(62,Inventario!K$4:K$103,0)),"")</f>
        <v/>
      </c>
      <c r="F66" s="14">
        <f>IFERROR(INDEX(Inventario!F$4:F$103,MATCH(62,Inventario!K$4:K$103,0)),"")</f>
        <v/>
      </c>
      <c r="G66" s="13">
        <f>IFERROR(INDEX(Inventario!J$4:J$103,MATCH(62,Inventario!K$4:K$103,0)),"")</f>
        <v/>
      </c>
    </row>
    <row r="67">
      <c r="A67" s="4">
        <f>IF(B67="","",63)</f>
        <v/>
      </c>
      <c r="B67" s="5">
        <f>IFERROR(INDEX(Inventario!B$4:B$103,MATCH(63,Inventario!K$4:K$103,0)),"")</f>
        <v/>
      </c>
      <c r="C67" s="5">
        <f>IFERROR(INDEX(Inventario!C$4:C$103,MATCH(63,Inventario!K$4:K$103,0)),"")</f>
        <v/>
      </c>
      <c r="D67" s="6">
        <f>IFERROR(INDEX(Inventario!D$4:D$103,MATCH(63,Inventario!K$4:K$103,0)),"")</f>
        <v/>
      </c>
      <c r="E67" s="7">
        <f>IFERROR(INDEX(Inventario!E$4:E$103,MATCH(63,Inventario!K$4:K$103,0)),"")</f>
        <v/>
      </c>
      <c r="F67" s="7">
        <f>IFERROR(INDEX(Inventario!F$4:F$103,MATCH(63,Inventario!K$4:K$103,0)),"")</f>
        <v/>
      </c>
      <c r="G67" s="6">
        <f>IFERROR(INDEX(Inventario!J$4:J$103,MATCH(63,Inventario!K$4:K$103,0)),"")</f>
        <v/>
      </c>
    </row>
    <row r="68">
      <c r="A68" s="11">
        <f>IF(B68="","",64)</f>
        <v/>
      </c>
      <c r="B68" s="12">
        <f>IFERROR(INDEX(Inventario!B$4:B$103,MATCH(64,Inventario!K$4:K$103,0)),"")</f>
        <v/>
      </c>
      <c r="C68" s="12">
        <f>IFERROR(INDEX(Inventario!C$4:C$103,MATCH(64,Inventario!K$4:K$103,0)),"")</f>
        <v/>
      </c>
      <c r="D68" s="13">
        <f>IFERROR(INDEX(Inventario!D$4:D$103,MATCH(64,Inventario!K$4:K$103,0)),"")</f>
        <v/>
      </c>
      <c r="E68" s="14">
        <f>IFERROR(INDEX(Inventario!E$4:E$103,MATCH(64,Inventario!K$4:K$103,0)),"")</f>
        <v/>
      </c>
      <c r="F68" s="14">
        <f>IFERROR(INDEX(Inventario!F$4:F$103,MATCH(64,Inventario!K$4:K$103,0)),"")</f>
        <v/>
      </c>
      <c r="G68" s="13">
        <f>IFERROR(INDEX(Inventario!J$4:J$103,MATCH(64,Inventario!K$4:K$103,0)),"")</f>
        <v/>
      </c>
    </row>
    <row r="69">
      <c r="A69" s="4">
        <f>IF(B69="","",65)</f>
        <v/>
      </c>
      <c r="B69" s="5">
        <f>IFERROR(INDEX(Inventario!B$4:B$103,MATCH(65,Inventario!K$4:K$103,0)),"")</f>
        <v/>
      </c>
      <c r="C69" s="5">
        <f>IFERROR(INDEX(Inventario!C$4:C$103,MATCH(65,Inventario!K$4:K$103,0)),"")</f>
        <v/>
      </c>
      <c r="D69" s="6">
        <f>IFERROR(INDEX(Inventario!D$4:D$103,MATCH(65,Inventario!K$4:K$103,0)),"")</f>
        <v/>
      </c>
      <c r="E69" s="7">
        <f>IFERROR(INDEX(Inventario!E$4:E$103,MATCH(65,Inventario!K$4:K$103,0)),"")</f>
        <v/>
      </c>
      <c r="F69" s="7">
        <f>IFERROR(INDEX(Inventario!F$4:F$103,MATCH(65,Inventario!K$4:K$103,0)),"")</f>
        <v/>
      </c>
      <c r="G69" s="6">
        <f>IFERROR(INDEX(Inventario!J$4:J$103,MATCH(65,Inventario!K$4:K$103,0)),"")</f>
        <v/>
      </c>
    </row>
    <row r="70">
      <c r="A70" s="11">
        <f>IF(B70="","",66)</f>
        <v/>
      </c>
      <c r="B70" s="12">
        <f>IFERROR(INDEX(Inventario!B$4:B$103,MATCH(66,Inventario!K$4:K$103,0)),"")</f>
        <v/>
      </c>
      <c r="C70" s="12">
        <f>IFERROR(INDEX(Inventario!C$4:C$103,MATCH(66,Inventario!K$4:K$103,0)),"")</f>
        <v/>
      </c>
      <c r="D70" s="13">
        <f>IFERROR(INDEX(Inventario!D$4:D$103,MATCH(66,Inventario!K$4:K$103,0)),"")</f>
        <v/>
      </c>
      <c r="E70" s="14">
        <f>IFERROR(INDEX(Inventario!E$4:E$103,MATCH(66,Inventario!K$4:K$103,0)),"")</f>
        <v/>
      </c>
      <c r="F70" s="14">
        <f>IFERROR(INDEX(Inventario!F$4:F$103,MATCH(66,Inventario!K$4:K$103,0)),"")</f>
        <v/>
      </c>
      <c r="G70" s="13">
        <f>IFERROR(INDEX(Inventario!J$4:J$103,MATCH(66,Inventario!K$4:K$103,0)),"")</f>
        <v/>
      </c>
    </row>
    <row r="71">
      <c r="A71" s="4">
        <f>IF(B71="","",67)</f>
        <v/>
      </c>
      <c r="B71" s="5">
        <f>IFERROR(INDEX(Inventario!B$4:B$103,MATCH(67,Inventario!K$4:K$103,0)),"")</f>
        <v/>
      </c>
      <c r="C71" s="5">
        <f>IFERROR(INDEX(Inventario!C$4:C$103,MATCH(67,Inventario!K$4:K$103,0)),"")</f>
        <v/>
      </c>
      <c r="D71" s="6">
        <f>IFERROR(INDEX(Inventario!D$4:D$103,MATCH(67,Inventario!K$4:K$103,0)),"")</f>
        <v/>
      </c>
      <c r="E71" s="7">
        <f>IFERROR(INDEX(Inventario!E$4:E$103,MATCH(67,Inventario!K$4:K$103,0)),"")</f>
        <v/>
      </c>
      <c r="F71" s="7">
        <f>IFERROR(INDEX(Inventario!F$4:F$103,MATCH(67,Inventario!K$4:K$103,0)),"")</f>
        <v/>
      </c>
      <c r="G71" s="6">
        <f>IFERROR(INDEX(Inventario!J$4:J$103,MATCH(67,Inventario!K$4:K$103,0)),"")</f>
        <v/>
      </c>
    </row>
    <row r="72">
      <c r="A72" s="11">
        <f>IF(B72="","",68)</f>
        <v/>
      </c>
      <c r="B72" s="12">
        <f>IFERROR(INDEX(Inventario!B$4:B$103,MATCH(68,Inventario!K$4:K$103,0)),"")</f>
        <v/>
      </c>
      <c r="C72" s="12">
        <f>IFERROR(INDEX(Inventario!C$4:C$103,MATCH(68,Inventario!K$4:K$103,0)),"")</f>
        <v/>
      </c>
      <c r="D72" s="13">
        <f>IFERROR(INDEX(Inventario!D$4:D$103,MATCH(68,Inventario!K$4:K$103,0)),"")</f>
        <v/>
      </c>
      <c r="E72" s="14">
        <f>IFERROR(INDEX(Inventario!E$4:E$103,MATCH(68,Inventario!K$4:K$103,0)),"")</f>
        <v/>
      </c>
      <c r="F72" s="14">
        <f>IFERROR(INDEX(Inventario!F$4:F$103,MATCH(68,Inventario!K$4:K$103,0)),"")</f>
        <v/>
      </c>
      <c r="G72" s="13">
        <f>IFERROR(INDEX(Inventario!J$4:J$103,MATCH(68,Inventario!K$4:K$103,0)),"")</f>
        <v/>
      </c>
    </row>
    <row r="73">
      <c r="A73" s="4">
        <f>IF(B73="","",69)</f>
        <v/>
      </c>
      <c r="B73" s="5">
        <f>IFERROR(INDEX(Inventario!B$4:B$103,MATCH(69,Inventario!K$4:K$103,0)),"")</f>
        <v/>
      </c>
      <c r="C73" s="5">
        <f>IFERROR(INDEX(Inventario!C$4:C$103,MATCH(69,Inventario!K$4:K$103,0)),"")</f>
        <v/>
      </c>
      <c r="D73" s="6">
        <f>IFERROR(INDEX(Inventario!D$4:D$103,MATCH(69,Inventario!K$4:K$103,0)),"")</f>
        <v/>
      </c>
      <c r="E73" s="7">
        <f>IFERROR(INDEX(Inventario!E$4:E$103,MATCH(69,Inventario!K$4:K$103,0)),"")</f>
        <v/>
      </c>
      <c r="F73" s="7">
        <f>IFERROR(INDEX(Inventario!F$4:F$103,MATCH(69,Inventario!K$4:K$103,0)),"")</f>
        <v/>
      </c>
      <c r="G73" s="6">
        <f>IFERROR(INDEX(Inventario!J$4:J$103,MATCH(69,Inventario!K$4:K$103,0)),"")</f>
        <v/>
      </c>
    </row>
    <row r="74">
      <c r="A74" s="11">
        <f>IF(B74="","",70)</f>
        <v/>
      </c>
      <c r="B74" s="12">
        <f>IFERROR(INDEX(Inventario!B$4:B$103,MATCH(70,Inventario!K$4:K$103,0)),"")</f>
        <v/>
      </c>
      <c r="C74" s="12">
        <f>IFERROR(INDEX(Inventario!C$4:C$103,MATCH(70,Inventario!K$4:K$103,0)),"")</f>
        <v/>
      </c>
      <c r="D74" s="13">
        <f>IFERROR(INDEX(Inventario!D$4:D$103,MATCH(70,Inventario!K$4:K$103,0)),"")</f>
        <v/>
      </c>
      <c r="E74" s="14">
        <f>IFERROR(INDEX(Inventario!E$4:E$103,MATCH(70,Inventario!K$4:K$103,0)),"")</f>
        <v/>
      </c>
      <c r="F74" s="14">
        <f>IFERROR(INDEX(Inventario!F$4:F$103,MATCH(70,Inventario!K$4:K$103,0)),"")</f>
        <v/>
      </c>
      <c r="G74" s="13">
        <f>IFERROR(INDEX(Inventario!J$4:J$103,MATCH(70,Inventario!K$4:K$103,0)),"")</f>
        <v/>
      </c>
    </row>
    <row r="75">
      <c r="A75" s="4">
        <f>IF(B75="","",71)</f>
        <v/>
      </c>
      <c r="B75" s="5">
        <f>IFERROR(INDEX(Inventario!B$4:B$103,MATCH(71,Inventario!K$4:K$103,0)),"")</f>
        <v/>
      </c>
      <c r="C75" s="5">
        <f>IFERROR(INDEX(Inventario!C$4:C$103,MATCH(71,Inventario!K$4:K$103,0)),"")</f>
        <v/>
      </c>
      <c r="D75" s="6">
        <f>IFERROR(INDEX(Inventario!D$4:D$103,MATCH(71,Inventario!K$4:K$103,0)),"")</f>
        <v/>
      </c>
      <c r="E75" s="7">
        <f>IFERROR(INDEX(Inventario!E$4:E$103,MATCH(71,Inventario!K$4:K$103,0)),"")</f>
        <v/>
      </c>
      <c r="F75" s="7">
        <f>IFERROR(INDEX(Inventario!F$4:F$103,MATCH(71,Inventario!K$4:K$103,0)),"")</f>
        <v/>
      </c>
      <c r="G75" s="6">
        <f>IFERROR(INDEX(Inventario!J$4:J$103,MATCH(71,Inventario!K$4:K$103,0)),"")</f>
        <v/>
      </c>
    </row>
    <row r="76">
      <c r="A76" s="11">
        <f>IF(B76="","",72)</f>
        <v/>
      </c>
      <c r="B76" s="12">
        <f>IFERROR(INDEX(Inventario!B$4:B$103,MATCH(72,Inventario!K$4:K$103,0)),"")</f>
        <v/>
      </c>
      <c r="C76" s="12">
        <f>IFERROR(INDEX(Inventario!C$4:C$103,MATCH(72,Inventario!K$4:K$103,0)),"")</f>
        <v/>
      </c>
      <c r="D76" s="13">
        <f>IFERROR(INDEX(Inventario!D$4:D$103,MATCH(72,Inventario!K$4:K$103,0)),"")</f>
        <v/>
      </c>
      <c r="E76" s="14">
        <f>IFERROR(INDEX(Inventario!E$4:E$103,MATCH(72,Inventario!K$4:K$103,0)),"")</f>
        <v/>
      </c>
      <c r="F76" s="14">
        <f>IFERROR(INDEX(Inventario!F$4:F$103,MATCH(72,Inventario!K$4:K$103,0)),"")</f>
        <v/>
      </c>
      <c r="G76" s="13">
        <f>IFERROR(INDEX(Inventario!J$4:J$103,MATCH(72,Inventario!K$4:K$103,0)),"")</f>
        <v/>
      </c>
    </row>
    <row r="77">
      <c r="A77" s="4">
        <f>IF(B77="","",73)</f>
        <v/>
      </c>
      <c r="B77" s="5">
        <f>IFERROR(INDEX(Inventario!B$4:B$103,MATCH(73,Inventario!K$4:K$103,0)),"")</f>
        <v/>
      </c>
      <c r="C77" s="5">
        <f>IFERROR(INDEX(Inventario!C$4:C$103,MATCH(73,Inventario!K$4:K$103,0)),"")</f>
        <v/>
      </c>
      <c r="D77" s="6">
        <f>IFERROR(INDEX(Inventario!D$4:D$103,MATCH(73,Inventario!K$4:K$103,0)),"")</f>
        <v/>
      </c>
      <c r="E77" s="7">
        <f>IFERROR(INDEX(Inventario!E$4:E$103,MATCH(73,Inventario!K$4:K$103,0)),"")</f>
        <v/>
      </c>
      <c r="F77" s="7">
        <f>IFERROR(INDEX(Inventario!F$4:F$103,MATCH(73,Inventario!K$4:K$103,0)),"")</f>
        <v/>
      </c>
      <c r="G77" s="6">
        <f>IFERROR(INDEX(Inventario!J$4:J$103,MATCH(73,Inventario!K$4:K$103,0)),"")</f>
        <v/>
      </c>
    </row>
    <row r="78">
      <c r="A78" s="11">
        <f>IF(B78="","",74)</f>
        <v/>
      </c>
      <c r="B78" s="12">
        <f>IFERROR(INDEX(Inventario!B$4:B$103,MATCH(74,Inventario!K$4:K$103,0)),"")</f>
        <v/>
      </c>
      <c r="C78" s="12">
        <f>IFERROR(INDEX(Inventario!C$4:C$103,MATCH(74,Inventario!K$4:K$103,0)),"")</f>
        <v/>
      </c>
      <c r="D78" s="13">
        <f>IFERROR(INDEX(Inventario!D$4:D$103,MATCH(74,Inventario!K$4:K$103,0)),"")</f>
        <v/>
      </c>
      <c r="E78" s="14">
        <f>IFERROR(INDEX(Inventario!E$4:E$103,MATCH(74,Inventario!K$4:K$103,0)),"")</f>
        <v/>
      </c>
      <c r="F78" s="14">
        <f>IFERROR(INDEX(Inventario!F$4:F$103,MATCH(74,Inventario!K$4:K$103,0)),"")</f>
        <v/>
      </c>
      <c r="G78" s="13">
        <f>IFERROR(INDEX(Inventario!J$4:J$103,MATCH(74,Inventario!K$4:K$103,0)),"")</f>
        <v/>
      </c>
    </row>
    <row r="79">
      <c r="A79" s="4">
        <f>IF(B79="","",75)</f>
        <v/>
      </c>
      <c r="B79" s="5">
        <f>IFERROR(INDEX(Inventario!B$4:B$103,MATCH(75,Inventario!K$4:K$103,0)),"")</f>
        <v/>
      </c>
      <c r="C79" s="5">
        <f>IFERROR(INDEX(Inventario!C$4:C$103,MATCH(75,Inventario!K$4:K$103,0)),"")</f>
        <v/>
      </c>
      <c r="D79" s="6">
        <f>IFERROR(INDEX(Inventario!D$4:D$103,MATCH(75,Inventario!K$4:K$103,0)),"")</f>
        <v/>
      </c>
      <c r="E79" s="7">
        <f>IFERROR(INDEX(Inventario!E$4:E$103,MATCH(75,Inventario!K$4:K$103,0)),"")</f>
        <v/>
      </c>
      <c r="F79" s="7">
        <f>IFERROR(INDEX(Inventario!F$4:F$103,MATCH(75,Inventario!K$4:K$103,0)),"")</f>
        <v/>
      </c>
      <c r="G79" s="6">
        <f>IFERROR(INDEX(Inventario!J$4:J$103,MATCH(75,Inventario!K$4:K$103,0)),"")</f>
        <v/>
      </c>
    </row>
    <row r="80">
      <c r="A80" s="11">
        <f>IF(B80="","",76)</f>
        <v/>
      </c>
      <c r="B80" s="12">
        <f>IFERROR(INDEX(Inventario!B$4:B$103,MATCH(76,Inventario!K$4:K$103,0)),"")</f>
        <v/>
      </c>
      <c r="C80" s="12">
        <f>IFERROR(INDEX(Inventario!C$4:C$103,MATCH(76,Inventario!K$4:K$103,0)),"")</f>
        <v/>
      </c>
      <c r="D80" s="13">
        <f>IFERROR(INDEX(Inventario!D$4:D$103,MATCH(76,Inventario!K$4:K$103,0)),"")</f>
        <v/>
      </c>
      <c r="E80" s="14">
        <f>IFERROR(INDEX(Inventario!E$4:E$103,MATCH(76,Inventario!K$4:K$103,0)),"")</f>
        <v/>
      </c>
      <c r="F80" s="14">
        <f>IFERROR(INDEX(Inventario!F$4:F$103,MATCH(76,Inventario!K$4:K$103,0)),"")</f>
        <v/>
      </c>
      <c r="G80" s="13">
        <f>IFERROR(INDEX(Inventario!J$4:J$103,MATCH(76,Inventario!K$4:K$103,0)),"")</f>
        <v/>
      </c>
    </row>
    <row r="81">
      <c r="A81" s="4">
        <f>IF(B81="","",77)</f>
        <v/>
      </c>
      <c r="B81" s="5">
        <f>IFERROR(INDEX(Inventario!B$4:B$103,MATCH(77,Inventario!K$4:K$103,0)),"")</f>
        <v/>
      </c>
      <c r="C81" s="5">
        <f>IFERROR(INDEX(Inventario!C$4:C$103,MATCH(77,Inventario!K$4:K$103,0)),"")</f>
        <v/>
      </c>
      <c r="D81" s="6">
        <f>IFERROR(INDEX(Inventario!D$4:D$103,MATCH(77,Inventario!K$4:K$103,0)),"")</f>
        <v/>
      </c>
      <c r="E81" s="7">
        <f>IFERROR(INDEX(Inventario!E$4:E$103,MATCH(77,Inventario!K$4:K$103,0)),"")</f>
        <v/>
      </c>
      <c r="F81" s="7">
        <f>IFERROR(INDEX(Inventario!F$4:F$103,MATCH(77,Inventario!K$4:K$103,0)),"")</f>
        <v/>
      </c>
      <c r="G81" s="6">
        <f>IFERROR(INDEX(Inventario!J$4:J$103,MATCH(77,Inventario!K$4:K$103,0)),"")</f>
        <v/>
      </c>
    </row>
    <row r="82">
      <c r="A82" s="11">
        <f>IF(B82="","",78)</f>
        <v/>
      </c>
      <c r="B82" s="12">
        <f>IFERROR(INDEX(Inventario!B$4:B$103,MATCH(78,Inventario!K$4:K$103,0)),"")</f>
        <v/>
      </c>
      <c r="C82" s="12">
        <f>IFERROR(INDEX(Inventario!C$4:C$103,MATCH(78,Inventario!K$4:K$103,0)),"")</f>
        <v/>
      </c>
      <c r="D82" s="13">
        <f>IFERROR(INDEX(Inventario!D$4:D$103,MATCH(78,Inventario!K$4:K$103,0)),"")</f>
        <v/>
      </c>
      <c r="E82" s="14">
        <f>IFERROR(INDEX(Inventario!E$4:E$103,MATCH(78,Inventario!K$4:K$103,0)),"")</f>
        <v/>
      </c>
      <c r="F82" s="14">
        <f>IFERROR(INDEX(Inventario!F$4:F$103,MATCH(78,Inventario!K$4:K$103,0)),"")</f>
        <v/>
      </c>
      <c r="G82" s="13">
        <f>IFERROR(INDEX(Inventario!J$4:J$103,MATCH(78,Inventario!K$4:K$103,0)),"")</f>
        <v/>
      </c>
    </row>
    <row r="83">
      <c r="A83" s="4">
        <f>IF(B83="","",79)</f>
        <v/>
      </c>
      <c r="B83" s="5">
        <f>IFERROR(INDEX(Inventario!B$4:B$103,MATCH(79,Inventario!K$4:K$103,0)),"")</f>
        <v/>
      </c>
      <c r="C83" s="5">
        <f>IFERROR(INDEX(Inventario!C$4:C$103,MATCH(79,Inventario!K$4:K$103,0)),"")</f>
        <v/>
      </c>
      <c r="D83" s="6">
        <f>IFERROR(INDEX(Inventario!D$4:D$103,MATCH(79,Inventario!K$4:K$103,0)),"")</f>
        <v/>
      </c>
      <c r="E83" s="7">
        <f>IFERROR(INDEX(Inventario!E$4:E$103,MATCH(79,Inventario!K$4:K$103,0)),"")</f>
        <v/>
      </c>
      <c r="F83" s="7">
        <f>IFERROR(INDEX(Inventario!F$4:F$103,MATCH(79,Inventario!K$4:K$103,0)),"")</f>
        <v/>
      </c>
      <c r="G83" s="6">
        <f>IFERROR(INDEX(Inventario!J$4:J$103,MATCH(79,Inventario!K$4:K$103,0)),"")</f>
        <v/>
      </c>
    </row>
    <row r="84">
      <c r="A84" s="11">
        <f>IF(B84="","",80)</f>
        <v/>
      </c>
      <c r="B84" s="12">
        <f>IFERROR(INDEX(Inventario!B$4:B$103,MATCH(80,Inventario!K$4:K$103,0)),"")</f>
        <v/>
      </c>
      <c r="C84" s="12">
        <f>IFERROR(INDEX(Inventario!C$4:C$103,MATCH(80,Inventario!K$4:K$103,0)),"")</f>
        <v/>
      </c>
      <c r="D84" s="13">
        <f>IFERROR(INDEX(Inventario!D$4:D$103,MATCH(80,Inventario!K$4:K$103,0)),"")</f>
        <v/>
      </c>
      <c r="E84" s="14">
        <f>IFERROR(INDEX(Inventario!E$4:E$103,MATCH(80,Inventario!K$4:K$103,0)),"")</f>
        <v/>
      </c>
      <c r="F84" s="14">
        <f>IFERROR(INDEX(Inventario!F$4:F$103,MATCH(80,Inventario!K$4:K$103,0)),"")</f>
        <v/>
      </c>
      <c r="G84" s="13">
        <f>IFERROR(INDEX(Inventario!J$4:J$103,MATCH(80,Inventario!K$4:K$103,0)),"")</f>
        <v/>
      </c>
    </row>
    <row r="85">
      <c r="A85" s="4">
        <f>IF(B85="","",81)</f>
        <v/>
      </c>
      <c r="B85" s="5">
        <f>IFERROR(INDEX(Inventario!B$4:B$103,MATCH(81,Inventario!K$4:K$103,0)),"")</f>
        <v/>
      </c>
      <c r="C85" s="5">
        <f>IFERROR(INDEX(Inventario!C$4:C$103,MATCH(81,Inventario!K$4:K$103,0)),"")</f>
        <v/>
      </c>
      <c r="D85" s="6">
        <f>IFERROR(INDEX(Inventario!D$4:D$103,MATCH(81,Inventario!K$4:K$103,0)),"")</f>
        <v/>
      </c>
      <c r="E85" s="7">
        <f>IFERROR(INDEX(Inventario!E$4:E$103,MATCH(81,Inventario!K$4:K$103,0)),"")</f>
        <v/>
      </c>
      <c r="F85" s="7">
        <f>IFERROR(INDEX(Inventario!F$4:F$103,MATCH(81,Inventario!K$4:K$103,0)),"")</f>
        <v/>
      </c>
      <c r="G85" s="6">
        <f>IFERROR(INDEX(Inventario!J$4:J$103,MATCH(81,Inventario!K$4:K$103,0)),"")</f>
        <v/>
      </c>
    </row>
    <row r="86">
      <c r="A86" s="11">
        <f>IF(B86="","",82)</f>
        <v/>
      </c>
      <c r="B86" s="12">
        <f>IFERROR(INDEX(Inventario!B$4:B$103,MATCH(82,Inventario!K$4:K$103,0)),"")</f>
        <v/>
      </c>
      <c r="C86" s="12">
        <f>IFERROR(INDEX(Inventario!C$4:C$103,MATCH(82,Inventario!K$4:K$103,0)),"")</f>
        <v/>
      </c>
      <c r="D86" s="13">
        <f>IFERROR(INDEX(Inventario!D$4:D$103,MATCH(82,Inventario!K$4:K$103,0)),"")</f>
        <v/>
      </c>
      <c r="E86" s="14">
        <f>IFERROR(INDEX(Inventario!E$4:E$103,MATCH(82,Inventario!K$4:K$103,0)),"")</f>
        <v/>
      </c>
      <c r="F86" s="14">
        <f>IFERROR(INDEX(Inventario!F$4:F$103,MATCH(82,Inventario!K$4:K$103,0)),"")</f>
        <v/>
      </c>
      <c r="G86" s="13">
        <f>IFERROR(INDEX(Inventario!J$4:J$103,MATCH(82,Inventario!K$4:K$103,0)),"")</f>
        <v/>
      </c>
    </row>
    <row r="87">
      <c r="A87" s="4">
        <f>IF(B87="","",83)</f>
        <v/>
      </c>
      <c r="B87" s="5">
        <f>IFERROR(INDEX(Inventario!B$4:B$103,MATCH(83,Inventario!K$4:K$103,0)),"")</f>
        <v/>
      </c>
      <c r="C87" s="5">
        <f>IFERROR(INDEX(Inventario!C$4:C$103,MATCH(83,Inventario!K$4:K$103,0)),"")</f>
        <v/>
      </c>
      <c r="D87" s="6">
        <f>IFERROR(INDEX(Inventario!D$4:D$103,MATCH(83,Inventario!K$4:K$103,0)),"")</f>
        <v/>
      </c>
      <c r="E87" s="7">
        <f>IFERROR(INDEX(Inventario!E$4:E$103,MATCH(83,Inventario!K$4:K$103,0)),"")</f>
        <v/>
      </c>
      <c r="F87" s="7">
        <f>IFERROR(INDEX(Inventario!F$4:F$103,MATCH(83,Inventario!K$4:K$103,0)),"")</f>
        <v/>
      </c>
      <c r="G87" s="6">
        <f>IFERROR(INDEX(Inventario!J$4:J$103,MATCH(83,Inventario!K$4:K$103,0)),"")</f>
        <v/>
      </c>
    </row>
    <row r="88">
      <c r="A88" s="11">
        <f>IF(B88="","",84)</f>
        <v/>
      </c>
      <c r="B88" s="12">
        <f>IFERROR(INDEX(Inventario!B$4:B$103,MATCH(84,Inventario!K$4:K$103,0)),"")</f>
        <v/>
      </c>
      <c r="C88" s="12">
        <f>IFERROR(INDEX(Inventario!C$4:C$103,MATCH(84,Inventario!K$4:K$103,0)),"")</f>
        <v/>
      </c>
      <c r="D88" s="13">
        <f>IFERROR(INDEX(Inventario!D$4:D$103,MATCH(84,Inventario!K$4:K$103,0)),"")</f>
        <v/>
      </c>
      <c r="E88" s="14">
        <f>IFERROR(INDEX(Inventario!E$4:E$103,MATCH(84,Inventario!K$4:K$103,0)),"")</f>
        <v/>
      </c>
      <c r="F88" s="14">
        <f>IFERROR(INDEX(Inventario!F$4:F$103,MATCH(84,Inventario!K$4:K$103,0)),"")</f>
        <v/>
      </c>
      <c r="G88" s="13">
        <f>IFERROR(INDEX(Inventario!J$4:J$103,MATCH(84,Inventario!K$4:K$103,0)),"")</f>
        <v/>
      </c>
    </row>
    <row r="89">
      <c r="A89" s="4">
        <f>IF(B89="","",85)</f>
        <v/>
      </c>
      <c r="B89" s="5">
        <f>IFERROR(INDEX(Inventario!B$4:B$103,MATCH(85,Inventario!K$4:K$103,0)),"")</f>
        <v/>
      </c>
      <c r="C89" s="5">
        <f>IFERROR(INDEX(Inventario!C$4:C$103,MATCH(85,Inventario!K$4:K$103,0)),"")</f>
        <v/>
      </c>
      <c r="D89" s="6">
        <f>IFERROR(INDEX(Inventario!D$4:D$103,MATCH(85,Inventario!K$4:K$103,0)),"")</f>
        <v/>
      </c>
      <c r="E89" s="7">
        <f>IFERROR(INDEX(Inventario!E$4:E$103,MATCH(85,Inventario!K$4:K$103,0)),"")</f>
        <v/>
      </c>
      <c r="F89" s="7">
        <f>IFERROR(INDEX(Inventario!F$4:F$103,MATCH(85,Inventario!K$4:K$103,0)),"")</f>
        <v/>
      </c>
      <c r="G89" s="6">
        <f>IFERROR(INDEX(Inventario!J$4:J$103,MATCH(85,Inventario!K$4:K$103,0)),"")</f>
        <v/>
      </c>
    </row>
    <row r="90">
      <c r="A90" s="11">
        <f>IF(B90="","",86)</f>
        <v/>
      </c>
      <c r="B90" s="12">
        <f>IFERROR(INDEX(Inventario!B$4:B$103,MATCH(86,Inventario!K$4:K$103,0)),"")</f>
        <v/>
      </c>
      <c r="C90" s="12">
        <f>IFERROR(INDEX(Inventario!C$4:C$103,MATCH(86,Inventario!K$4:K$103,0)),"")</f>
        <v/>
      </c>
      <c r="D90" s="13">
        <f>IFERROR(INDEX(Inventario!D$4:D$103,MATCH(86,Inventario!K$4:K$103,0)),"")</f>
        <v/>
      </c>
      <c r="E90" s="14">
        <f>IFERROR(INDEX(Inventario!E$4:E$103,MATCH(86,Inventario!K$4:K$103,0)),"")</f>
        <v/>
      </c>
      <c r="F90" s="14">
        <f>IFERROR(INDEX(Inventario!F$4:F$103,MATCH(86,Inventario!K$4:K$103,0)),"")</f>
        <v/>
      </c>
      <c r="G90" s="13">
        <f>IFERROR(INDEX(Inventario!J$4:J$103,MATCH(86,Inventario!K$4:K$103,0)),"")</f>
        <v/>
      </c>
    </row>
    <row r="91">
      <c r="A91" s="4">
        <f>IF(B91="","",87)</f>
        <v/>
      </c>
      <c r="B91" s="5">
        <f>IFERROR(INDEX(Inventario!B$4:B$103,MATCH(87,Inventario!K$4:K$103,0)),"")</f>
        <v/>
      </c>
      <c r="C91" s="5">
        <f>IFERROR(INDEX(Inventario!C$4:C$103,MATCH(87,Inventario!K$4:K$103,0)),"")</f>
        <v/>
      </c>
      <c r="D91" s="6">
        <f>IFERROR(INDEX(Inventario!D$4:D$103,MATCH(87,Inventario!K$4:K$103,0)),"")</f>
        <v/>
      </c>
      <c r="E91" s="7">
        <f>IFERROR(INDEX(Inventario!E$4:E$103,MATCH(87,Inventario!K$4:K$103,0)),"")</f>
        <v/>
      </c>
      <c r="F91" s="7">
        <f>IFERROR(INDEX(Inventario!F$4:F$103,MATCH(87,Inventario!K$4:K$103,0)),"")</f>
        <v/>
      </c>
      <c r="G91" s="6">
        <f>IFERROR(INDEX(Inventario!J$4:J$103,MATCH(87,Inventario!K$4:K$103,0)),"")</f>
        <v/>
      </c>
    </row>
    <row r="92">
      <c r="A92" s="11">
        <f>IF(B92="","",88)</f>
        <v/>
      </c>
      <c r="B92" s="12">
        <f>IFERROR(INDEX(Inventario!B$4:B$103,MATCH(88,Inventario!K$4:K$103,0)),"")</f>
        <v/>
      </c>
      <c r="C92" s="12">
        <f>IFERROR(INDEX(Inventario!C$4:C$103,MATCH(88,Inventario!K$4:K$103,0)),"")</f>
        <v/>
      </c>
      <c r="D92" s="13">
        <f>IFERROR(INDEX(Inventario!D$4:D$103,MATCH(88,Inventario!K$4:K$103,0)),"")</f>
        <v/>
      </c>
      <c r="E92" s="14">
        <f>IFERROR(INDEX(Inventario!E$4:E$103,MATCH(88,Inventario!K$4:K$103,0)),"")</f>
        <v/>
      </c>
      <c r="F92" s="14">
        <f>IFERROR(INDEX(Inventario!F$4:F$103,MATCH(88,Inventario!K$4:K$103,0)),"")</f>
        <v/>
      </c>
      <c r="G92" s="13">
        <f>IFERROR(INDEX(Inventario!J$4:J$103,MATCH(88,Inventario!K$4:K$103,0)),"")</f>
        <v/>
      </c>
    </row>
    <row r="93">
      <c r="A93" s="4">
        <f>IF(B93="","",89)</f>
        <v/>
      </c>
      <c r="B93" s="5">
        <f>IFERROR(INDEX(Inventario!B$4:B$103,MATCH(89,Inventario!K$4:K$103,0)),"")</f>
        <v/>
      </c>
      <c r="C93" s="5">
        <f>IFERROR(INDEX(Inventario!C$4:C$103,MATCH(89,Inventario!K$4:K$103,0)),"")</f>
        <v/>
      </c>
      <c r="D93" s="6">
        <f>IFERROR(INDEX(Inventario!D$4:D$103,MATCH(89,Inventario!K$4:K$103,0)),"")</f>
        <v/>
      </c>
      <c r="E93" s="7">
        <f>IFERROR(INDEX(Inventario!E$4:E$103,MATCH(89,Inventario!K$4:K$103,0)),"")</f>
        <v/>
      </c>
      <c r="F93" s="7">
        <f>IFERROR(INDEX(Inventario!F$4:F$103,MATCH(89,Inventario!K$4:K$103,0)),"")</f>
        <v/>
      </c>
      <c r="G93" s="6">
        <f>IFERROR(INDEX(Inventario!J$4:J$103,MATCH(89,Inventario!K$4:K$103,0)),"")</f>
        <v/>
      </c>
    </row>
    <row r="94">
      <c r="A94" s="11">
        <f>IF(B94="","",90)</f>
        <v/>
      </c>
      <c r="B94" s="12">
        <f>IFERROR(INDEX(Inventario!B$4:B$103,MATCH(90,Inventario!K$4:K$103,0)),"")</f>
        <v/>
      </c>
      <c r="C94" s="12">
        <f>IFERROR(INDEX(Inventario!C$4:C$103,MATCH(90,Inventario!K$4:K$103,0)),"")</f>
        <v/>
      </c>
      <c r="D94" s="13">
        <f>IFERROR(INDEX(Inventario!D$4:D$103,MATCH(90,Inventario!K$4:K$103,0)),"")</f>
        <v/>
      </c>
      <c r="E94" s="14">
        <f>IFERROR(INDEX(Inventario!E$4:E$103,MATCH(90,Inventario!K$4:K$103,0)),"")</f>
        <v/>
      </c>
      <c r="F94" s="14">
        <f>IFERROR(INDEX(Inventario!F$4:F$103,MATCH(90,Inventario!K$4:K$103,0)),"")</f>
        <v/>
      </c>
      <c r="G94" s="13">
        <f>IFERROR(INDEX(Inventario!J$4:J$103,MATCH(90,Inventario!K$4:K$103,0)),"")</f>
        <v/>
      </c>
    </row>
    <row r="95">
      <c r="A95" s="4">
        <f>IF(B95="","",91)</f>
        <v/>
      </c>
      <c r="B95" s="5">
        <f>IFERROR(INDEX(Inventario!B$4:B$103,MATCH(91,Inventario!K$4:K$103,0)),"")</f>
        <v/>
      </c>
      <c r="C95" s="5">
        <f>IFERROR(INDEX(Inventario!C$4:C$103,MATCH(91,Inventario!K$4:K$103,0)),"")</f>
        <v/>
      </c>
      <c r="D95" s="6">
        <f>IFERROR(INDEX(Inventario!D$4:D$103,MATCH(91,Inventario!K$4:K$103,0)),"")</f>
        <v/>
      </c>
      <c r="E95" s="7">
        <f>IFERROR(INDEX(Inventario!E$4:E$103,MATCH(91,Inventario!K$4:K$103,0)),"")</f>
        <v/>
      </c>
      <c r="F95" s="7">
        <f>IFERROR(INDEX(Inventario!F$4:F$103,MATCH(91,Inventario!K$4:K$103,0)),"")</f>
        <v/>
      </c>
      <c r="G95" s="6">
        <f>IFERROR(INDEX(Inventario!J$4:J$103,MATCH(91,Inventario!K$4:K$103,0)),"")</f>
        <v/>
      </c>
    </row>
    <row r="96">
      <c r="A96" s="11">
        <f>IF(B96="","",92)</f>
        <v/>
      </c>
      <c r="B96" s="12">
        <f>IFERROR(INDEX(Inventario!B$4:B$103,MATCH(92,Inventario!K$4:K$103,0)),"")</f>
        <v/>
      </c>
      <c r="C96" s="12">
        <f>IFERROR(INDEX(Inventario!C$4:C$103,MATCH(92,Inventario!K$4:K$103,0)),"")</f>
        <v/>
      </c>
      <c r="D96" s="13">
        <f>IFERROR(INDEX(Inventario!D$4:D$103,MATCH(92,Inventario!K$4:K$103,0)),"")</f>
        <v/>
      </c>
      <c r="E96" s="14">
        <f>IFERROR(INDEX(Inventario!E$4:E$103,MATCH(92,Inventario!K$4:K$103,0)),"")</f>
        <v/>
      </c>
      <c r="F96" s="14">
        <f>IFERROR(INDEX(Inventario!F$4:F$103,MATCH(92,Inventario!K$4:K$103,0)),"")</f>
        <v/>
      </c>
      <c r="G96" s="13">
        <f>IFERROR(INDEX(Inventario!J$4:J$103,MATCH(92,Inventario!K$4:K$103,0)),"")</f>
        <v/>
      </c>
    </row>
    <row r="97">
      <c r="A97" s="4">
        <f>IF(B97="","",93)</f>
        <v/>
      </c>
      <c r="B97" s="5">
        <f>IFERROR(INDEX(Inventario!B$4:B$103,MATCH(93,Inventario!K$4:K$103,0)),"")</f>
        <v/>
      </c>
      <c r="C97" s="5">
        <f>IFERROR(INDEX(Inventario!C$4:C$103,MATCH(93,Inventario!K$4:K$103,0)),"")</f>
        <v/>
      </c>
      <c r="D97" s="6">
        <f>IFERROR(INDEX(Inventario!D$4:D$103,MATCH(93,Inventario!K$4:K$103,0)),"")</f>
        <v/>
      </c>
      <c r="E97" s="7">
        <f>IFERROR(INDEX(Inventario!E$4:E$103,MATCH(93,Inventario!K$4:K$103,0)),"")</f>
        <v/>
      </c>
      <c r="F97" s="7">
        <f>IFERROR(INDEX(Inventario!F$4:F$103,MATCH(93,Inventario!K$4:K$103,0)),"")</f>
        <v/>
      </c>
      <c r="G97" s="6">
        <f>IFERROR(INDEX(Inventario!J$4:J$103,MATCH(93,Inventario!K$4:K$103,0)),"")</f>
        <v/>
      </c>
    </row>
    <row r="98">
      <c r="A98" s="11">
        <f>IF(B98="","",94)</f>
        <v/>
      </c>
      <c r="B98" s="12">
        <f>IFERROR(INDEX(Inventario!B$4:B$103,MATCH(94,Inventario!K$4:K$103,0)),"")</f>
        <v/>
      </c>
      <c r="C98" s="12">
        <f>IFERROR(INDEX(Inventario!C$4:C$103,MATCH(94,Inventario!K$4:K$103,0)),"")</f>
        <v/>
      </c>
      <c r="D98" s="13">
        <f>IFERROR(INDEX(Inventario!D$4:D$103,MATCH(94,Inventario!K$4:K$103,0)),"")</f>
        <v/>
      </c>
      <c r="E98" s="14">
        <f>IFERROR(INDEX(Inventario!E$4:E$103,MATCH(94,Inventario!K$4:K$103,0)),"")</f>
        <v/>
      </c>
      <c r="F98" s="14">
        <f>IFERROR(INDEX(Inventario!F$4:F$103,MATCH(94,Inventario!K$4:K$103,0)),"")</f>
        <v/>
      </c>
      <c r="G98" s="13">
        <f>IFERROR(INDEX(Inventario!J$4:J$103,MATCH(94,Inventario!K$4:K$103,0)),"")</f>
        <v/>
      </c>
    </row>
    <row r="99">
      <c r="A99" s="4">
        <f>IF(B99="","",95)</f>
        <v/>
      </c>
      <c r="B99" s="5">
        <f>IFERROR(INDEX(Inventario!B$4:B$103,MATCH(95,Inventario!K$4:K$103,0)),"")</f>
        <v/>
      </c>
      <c r="C99" s="5">
        <f>IFERROR(INDEX(Inventario!C$4:C$103,MATCH(95,Inventario!K$4:K$103,0)),"")</f>
        <v/>
      </c>
      <c r="D99" s="6">
        <f>IFERROR(INDEX(Inventario!D$4:D$103,MATCH(95,Inventario!K$4:K$103,0)),"")</f>
        <v/>
      </c>
      <c r="E99" s="7">
        <f>IFERROR(INDEX(Inventario!E$4:E$103,MATCH(95,Inventario!K$4:K$103,0)),"")</f>
        <v/>
      </c>
      <c r="F99" s="7">
        <f>IFERROR(INDEX(Inventario!F$4:F$103,MATCH(95,Inventario!K$4:K$103,0)),"")</f>
        <v/>
      </c>
      <c r="G99" s="6">
        <f>IFERROR(INDEX(Inventario!J$4:J$103,MATCH(95,Inventario!K$4:K$103,0)),"")</f>
        <v/>
      </c>
    </row>
    <row r="100">
      <c r="A100" s="11">
        <f>IF(B100="","",96)</f>
        <v/>
      </c>
      <c r="B100" s="12">
        <f>IFERROR(INDEX(Inventario!B$4:B$103,MATCH(96,Inventario!K$4:K$103,0)),"")</f>
        <v/>
      </c>
      <c r="C100" s="12">
        <f>IFERROR(INDEX(Inventario!C$4:C$103,MATCH(96,Inventario!K$4:K$103,0)),"")</f>
        <v/>
      </c>
      <c r="D100" s="13">
        <f>IFERROR(INDEX(Inventario!D$4:D$103,MATCH(96,Inventario!K$4:K$103,0)),"")</f>
        <v/>
      </c>
      <c r="E100" s="14">
        <f>IFERROR(INDEX(Inventario!E$4:E$103,MATCH(96,Inventario!K$4:K$103,0)),"")</f>
        <v/>
      </c>
      <c r="F100" s="14">
        <f>IFERROR(INDEX(Inventario!F$4:F$103,MATCH(96,Inventario!K$4:K$103,0)),"")</f>
        <v/>
      </c>
      <c r="G100" s="13">
        <f>IFERROR(INDEX(Inventario!J$4:J$103,MATCH(96,Inventario!K$4:K$103,0)),"")</f>
        <v/>
      </c>
    </row>
    <row r="101">
      <c r="A101" s="4">
        <f>IF(B101="","",97)</f>
        <v/>
      </c>
      <c r="B101" s="5">
        <f>IFERROR(INDEX(Inventario!B$4:B$103,MATCH(97,Inventario!K$4:K$103,0)),"")</f>
        <v/>
      </c>
      <c r="C101" s="5">
        <f>IFERROR(INDEX(Inventario!C$4:C$103,MATCH(97,Inventario!K$4:K$103,0)),"")</f>
        <v/>
      </c>
      <c r="D101" s="6">
        <f>IFERROR(INDEX(Inventario!D$4:D$103,MATCH(97,Inventario!K$4:K$103,0)),"")</f>
        <v/>
      </c>
      <c r="E101" s="7">
        <f>IFERROR(INDEX(Inventario!E$4:E$103,MATCH(97,Inventario!K$4:K$103,0)),"")</f>
        <v/>
      </c>
      <c r="F101" s="7">
        <f>IFERROR(INDEX(Inventario!F$4:F$103,MATCH(97,Inventario!K$4:K$103,0)),"")</f>
        <v/>
      </c>
      <c r="G101" s="6">
        <f>IFERROR(INDEX(Inventario!J$4:J$103,MATCH(97,Inventario!K$4:K$103,0)),"")</f>
        <v/>
      </c>
    </row>
    <row r="102">
      <c r="A102" s="11">
        <f>IF(B102="","",98)</f>
        <v/>
      </c>
      <c r="B102" s="12">
        <f>IFERROR(INDEX(Inventario!B$4:B$103,MATCH(98,Inventario!K$4:K$103,0)),"")</f>
        <v/>
      </c>
      <c r="C102" s="12">
        <f>IFERROR(INDEX(Inventario!C$4:C$103,MATCH(98,Inventario!K$4:K$103,0)),"")</f>
        <v/>
      </c>
      <c r="D102" s="13">
        <f>IFERROR(INDEX(Inventario!D$4:D$103,MATCH(98,Inventario!K$4:K$103,0)),"")</f>
        <v/>
      </c>
      <c r="E102" s="14">
        <f>IFERROR(INDEX(Inventario!E$4:E$103,MATCH(98,Inventario!K$4:K$103,0)),"")</f>
        <v/>
      </c>
      <c r="F102" s="14">
        <f>IFERROR(INDEX(Inventario!F$4:F$103,MATCH(98,Inventario!K$4:K$103,0)),"")</f>
        <v/>
      </c>
      <c r="G102" s="13">
        <f>IFERROR(INDEX(Inventario!J$4:J$103,MATCH(98,Inventario!K$4:K$103,0)),"")</f>
        <v/>
      </c>
    </row>
    <row r="103">
      <c r="A103" s="4">
        <f>IF(B103="","",99)</f>
        <v/>
      </c>
      <c r="B103" s="5">
        <f>IFERROR(INDEX(Inventario!B$4:B$103,MATCH(99,Inventario!K$4:K$103,0)),"")</f>
        <v/>
      </c>
      <c r="C103" s="5">
        <f>IFERROR(INDEX(Inventario!C$4:C$103,MATCH(99,Inventario!K$4:K$103,0)),"")</f>
        <v/>
      </c>
      <c r="D103" s="6">
        <f>IFERROR(INDEX(Inventario!D$4:D$103,MATCH(99,Inventario!K$4:K$103,0)),"")</f>
        <v/>
      </c>
      <c r="E103" s="7">
        <f>IFERROR(INDEX(Inventario!E$4:E$103,MATCH(99,Inventario!K$4:K$103,0)),"")</f>
        <v/>
      </c>
      <c r="F103" s="7">
        <f>IFERROR(INDEX(Inventario!F$4:F$103,MATCH(99,Inventario!K$4:K$103,0)),"")</f>
        <v/>
      </c>
      <c r="G103" s="6">
        <f>IFERROR(INDEX(Inventario!J$4:J$103,MATCH(99,Inventario!K$4:K$103,0)),"")</f>
        <v/>
      </c>
    </row>
    <row r="104">
      <c r="A104" s="11">
        <f>IF(B104="","",100)</f>
        <v/>
      </c>
      <c r="B104" s="12">
        <f>IFERROR(INDEX(Inventario!B$4:B$103,MATCH(100,Inventario!K$4:K$103,0)),"")</f>
        <v/>
      </c>
      <c r="C104" s="12">
        <f>IFERROR(INDEX(Inventario!C$4:C$103,MATCH(100,Inventario!K$4:K$103,0)),"")</f>
        <v/>
      </c>
      <c r="D104" s="13">
        <f>IFERROR(INDEX(Inventario!D$4:D$103,MATCH(100,Inventario!K$4:K$103,0)),"")</f>
        <v/>
      </c>
      <c r="E104" s="14">
        <f>IFERROR(INDEX(Inventario!E$4:E$103,MATCH(100,Inventario!K$4:K$103,0)),"")</f>
        <v/>
      </c>
      <c r="F104" s="14">
        <f>IFERROR(INDEX(Inventario!F$4:F$103,MATCH(100,Inventario!K$4:K$103,0)),"")</f>
        <v/>
      </c>
      <c r="G104" s="13">
        <f>IFERROR(INDEX(Inventario!J$4:J$103,MATCH(100,Inventario!K$4:K$103,0)),"")</f>
        <v/>
      </c>
    </row>
  </sheetData>
  <mergeCells count="3">
    <mergeCell ref="A2:G2"/>
    <mergeCell ref="A1:G1"/>
    <mergeCell ref="A4:G4"/>
  </mergeCells>
  <conditionalFormatting sqref="G5:G104">
    <cfRule type="expression" priority="1" dxfId="0">
      <formula>G5="🔴 REPONER"</formula>
    </cfRule>
    <cfRule type="expression" priority="2" dxfId="1">
      <formula>G5="⚠️ BAJO"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30" customHeight="1">
      <c r="A1" s="19" t="inlineStr">
        <is>
          <t>ℹ INSTRUCCIONES — Planilla Inventario y Stock Mínimo</t>
        </is>
      </c>
    </row>
    <row r="2" ht="17" customHeight="1">
      <c r="A2" s="20" t="inlineStr">
        <is>
          <t>HOJA 'INVENTARIO' — columnas que completás vos</t>
        </is>
      </c>
    </row>
    <row r="3" ht="17" customHeight="1">
      <c r="A3" s="21" t="inlineStr">
        <is>
          <t>Producto: nombre del artículo</t>
        </is>
      </c>
    </row>
    <row r="4" ht="17" customHeight="1">
      <c r="A4" s="21" t="inlineStr">
        <is>
          <t>Categoría: grupo (ej: lácteos, bebidas, limpieza)</t>
        </is>
      </c>
    </row>
    <row r="5" ht="17" customHeight="1">
      <c r="A5" s="21" t="inlineStr">
        <is>
          <t>Unidad: kg, l, unidades, cajas, etc.</t>
        </is>
      </c>
    </row>
    <row r="6" ht="17" customHeight="1">
      <c r="A6" s="21" t="inlineStr">
        <is>
          <t>Stock actual: cantidad física que tenés en este momento</t>
        </is>
      </c>
    </row>
    <row r="7" ht="17" customHeight="1">
      <c r="A7" s="21" t="inlineStr">
        <is>
          <t>Stock mínimo: el mínimo que no podés dejar de tener en stock</t>
        </is>
      </c>
    </row>
    <row r="8" ht="17" customHeight="1">
      <c r="A8" s="21" t="inlineStr">
        <is>
          <t>Costo unit. $: precio de costo por unidad (opcional)</t>
        </is>
      </c>
    </row>
    <row r="9" ht="17" customHeight="1">
      <c r="A9" s="21" t="inlineStr"/>
    </row>
    <row r="10" ht="17" customHeight="1">
      <c r="A10" s="20" t="inlineStr">
        <is>
          <t>HOJA 'INVENTARIO' — columnas calculadas automáticamente</t>
        </is>
      </c>
    </row>
    <row r="11" ht="17" customHeight="1">
      <c r="A11" s="21" t="inlineStr">
        <is>
          <t>Punto de pedido: mínimo × 1.2 (pedís antes de llegar al mínimo)</t>
        </is>
      </c>
    </row>
    <row r="12" ht="17" customHeight="1">
      <c r="A12" s="21" t="inlineStr">
        <is>
          <t>Valor stock $: stock actual × costo unitario</t>
        </is>
      </c>
    </row>
    <row r="13" ht="17" customHeight="1">
      <c r="A13" s="21" t="inlineStr">
        <is>
          <t>Estado: 🔴 REPONER si stock ≤ mínimo | ⚠️ BAJO si stock ≤ punto de pedido | ✅ OK si está bien</t>
        </is>
      </c>
    </row>
    <row r="14" ht="17" customHeight="1">
      <c r="A14" s="21" t="inlineStr"/>
    </row>
    <row r="15" ht="17" customHeight="1">
      <c r="A15" s="20" t="inlineStr">
        <is>
          <t>HOJA '🔴 ALERTAS DE REPOSICIÓN'</t>
        </is>
      </c>
    </row>
    <row r="16" ht="17" customHeight="1">
      <c r="A16" s="21" t="inlineStr">
        <is>
          <t>Muestra automáticamente todos los productos en estado REPONER o BAJO.</t>
        </is>
      </c>
    </row>
    <row r="17" ht="17" customHeight="1">
      <c r="A17" s="21" t="inlineStr">
        <is>
          <t>No necesitás revisar fila por fila: abrís esta hoja y ves qué hay que pedir.</t>
        </is>
      </c>
    </row>
    <row r="18" ht="17" customHeight="1">
      <c r="A18" s="21" t="inlineStr">
        <is>
          <t>Se actualiza sola cada vez que modificás el inventario.</t>
        </is>
      </c>
    </row>
    <row r="19" ht="17" customHeight="1">
      <c r="A19" s="21" t="inlineStr">
        <is>
          <t>Si la hoja está vacía, todos los productos están en ✅ OK.</t>
        </is>
      </c>
    </row>
    <row r="20" ht="17" customHeight="1">
      <c r="A20" s="21" t="inlineStr"/>
    </row>
    <row r="21" ht="17" customHeight="1">
      <c r="A21" s="20" t="inlineStr">
        <is>
          <t>TIPS</t>
        </is>
      </c>
    </row>
    <row r="22" ht="17" customHeight="1">
      <c r="A22" s="21" t="inlineStr">
        <is>
          <t>Actualizá el stock actual después de cada recepción o conteo físico.</t>
        </is>
      </c>
    </row>
    <row r="23" ht="17" customHeight="1">
      <c r="A23" s="21" t="inlineStr">
        <is>
          <t>Compatible con Google Sheets: subí el archivo a Drive y abrilo desde ahí.</t>
        </is>
      </c>
    </row>
    <row r="24" ht="17" customHeight="1">
      <c r="A24" s="21" t="inlineStr">
        <is>
          <t>Sin macros: todo funciona con fórmulas estándar de Excel.</t>
        </is>
      </c>
    </row>
  </sheetData>
  <mergeCells count="24">
    <mergeCell ref="A5:D5"/>
    <mergeCell ref="A17:D17"/>
    <mergeCell ref="A23:D23"/>
    <mergeCell ref="A8:D8"/>
    <mergeCell ref="A22:D22"/>
    <mergeCell ref="A4:D4"/>
    <mergeCell ref="A20:D20"/>
    <mergeCell ref="A19:D19"/>
    <mergeCell ref="A10:D10"/>
    <mergeCell ref="A13:D13"/>
    <mergeCell ref="A9:D9"/>
    <mergeCell ref="A15:D15"/>
    <mergeCell ref="A24:D24"/>
    <mergeCell ref="A11:D11"/>
    <mergeCell ref="A1:D1"/>
    <mergeCell ref="A6:D6"/>
    <mergeCell ref="A7:D7"/>
    <mergeCell ref="A16:D16"/>
    <mergeCell ref="A18:D18"/>
    <mergeCell ref="A12:D12"/>
    <mergeCell ref="A3:D3"/>
    <mergeCell ref="A21:D21"/>
    <mergeCell ref="A2:D2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2026-05-20T20:53:44Z</dcterms:created>
  <dcterms:modified xmlns:dcterms="http://purl.org/dc/terms/" xmlns:xsi="http://www.w3.org/2001/XMLSchema-instance" xsi:type="dcterms:W3CDTF">2026-05-20T20:53:46Z</dcterms:modified>
</cp:coreProperties>
</file>