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Clientes" sheetId="2" state="visible" r:id="rId4"/>
    <sheet name="Movimientos" sheetId="3" state="visible" r:id="rId5"/>
    <sheet name="Resumen" sheetId="4" state="visible" r:id="rId6"/>
    <sheet name="Estado de cuenta" sheetId="5" state="visible" r:id="rId7"/>
  </sheets>
  <definedNames>
    <definedName function="false" hidden="false" localSheetId="4" name="_xlnm.Print_Area" vbProcedure="false">'Estado de cuenta'!$B$1:$G$53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Días que le das para pagar cada factura. El vencimiento de cada factura = fecha + estos días.</t>
        </r>
      </text>
    </comment>
    <comment ref="G1" authorId="0">
      <text>
        <r>
          <rPr>
            <sz val="10"/>
            <rFont val="Arial"/>
            <family val="2"/>
          </rPr>
          <t xml:space="preserve">Hasta cuánto le fiás. Dejalo vacío si no le ponés límite.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Siempre en positivo. La planilla lo pone en Debe o en Haber según el tipo.</t>
        </r>
      </text>
    </comment>
    <comment ref="I1" authorId="0">
      <text>
        <r>
          <rPr>
            <sz val="10"/>
            <rFont val="Arial"/>
            <family val="2"/>
          </rPr>
          <t xml:space="preserve">Fecha de la factura + días de pago del cliente (pestaña Clientes).</t>
        </r>
      </text>
    </comment>
  </commentList>
</comments>
</file>

<file path=xl/sharedStrings.xml><?xml version="1.0" encoding="utf-8"?>
<sst xmlns="http://schemas.openxmlformats.org/spreadsheetml/2006/main" count="164" uniqueCount="122">
  <si>
    <t xml:space="preserve">bcnsoft  ·  CENTRO DE RECURSOS</t>
  </si>
  <si>
    <t xml:space="preserve">Planilla de cuenta corriente de clientes en Excel</t>
  </si>
  <si>
    <t xml:space="preserve">Para mayoristas y distribuidoras que venden a cuenta corriente</t>
  </si>
  <si>
    <t xml:space="preserve">Para mayoristas y distribuidoras que hoy llevan lo que les deben en un cuaderno, en el celular del preventista o en un Excel improvisado.</t>
  </si>
  <si>
    <t xml:space="preserve">Cargá cada factura y cada cobro, y la planilla te dice cuánto te debe cada cliente, cuánto está vencido y hace cuánto, quién pasó su límite de crédito, y te arma el estado de cuenta listo para mandarle.</t>
  </si>
  <si>
    <t xml:space="preserve">CÓMO USARLA</t>
  </si>
  <si>
    <t xml:space="preserve">1.  En «Clientes», cargá cada cliente con sus días de pago (7, 15, 30…) y su límite de crédito. Después aparece solo en el desplegable de «Movimientos».</t>
  </si>
  <si>
    <t xml:space="preserve">2.  En «Movimientos», sumá un renglón por cada factura, nota de débito, cobro o nota de crédito: fecha, cliente, tipo, número e importe (siempre en positivo). Para arrancar, cargá un «Saldo inicial» por cliente con lo que te debe hoy.</t>
  </si>
  <si>
    <t xml:space="preserve">3.  La planilla calcula sola el vencimiento de cada factura (fecha + días de pago del cliente) y el saldo de ese cliente renglón por renglón.</t>
  </si>
  <si>
    <t xml:space="preserve">4.  En «Resumen» ves el total a cobrar, cuánto está por vencer y cuánto vencido (1 a 30, 31 a 60 y más de 60 días) por cliente, con un semáforo: Al día · Cerca del límite · Con deuda vencida · Excedido.</t>
  </si>
  <si>
    <t xml:space="preserve">5.  En «Estado de cuenta» elegís un cliente y te arma su resumen con los últimos movimientos y el saldo. Imprimilo o guardalo como PDF y mandáselo por WhatsApp.</t>
  </si>
  <si>
    <t xml:space="preserve">QUÉ EDITÁS VOS Y QUÉ SE CALCULA SOLO</t>
  </si>
  <si>
    <t xml:space="preserve">•  Editás: las celdas blancas (datos del cliente, días de pago, límite, y en cada movimiento: fecha, cliente, tipo, número, detalle, importe, medio de pago y observaciones).</t>
  </si>
  <si>
    <t xml:space="preserve">•  No toques: las celdas grises con fórmula (Debe, Haber, Vencimiento, Saldo, Estado y todo «Resumen» y «Estado de cuenta»): se completan solas.</t>
  </si>
  <si>
    <t xml:space="preserve">•  Los clientes y movimientos de ejemplo están para que veas cómo funciona. Borralos (solo las celdas blancas) y cargá los tuyos. El aviso de «Cerca del límite» se ajusta en «Resumen».</t>
  </si>
  <si>
    <t xml:space="preserve">•  La deuda vencida se calcula como en la vida real: cada cobro cancela primero la factura más vieja.</t>
  </si>
  <si>
    <t xml:space="preserve">Esto te ordena la cuenta corriente hoy.</t>
  </si>
  <si>
    <t xml:space="preserve">Cuando la cartera crece, bcn mayoristas lleva la cuenta corriente de cada cliente sola, con límite de crédito configurable, y tus preventistas ven el saldo detallado de cada cliente desde el panel antes de tomar el pedido.</t>
  </si>
  <si>
    <t xml:space="preserve">¿Lo querés ver funcionando con tus clientes? Escribinos por WhatsApp: +54 9 11 2865-4468 — te atiende una persona, no un bot.</t>
  </si>
  <si>
    <t xml:space="preserve">Centro de Recursos bcnsoft · Recurso gratuito para mayoristas y distribuidoras · bcnsoft.com.ar</t>
  </si>
  <si>
    <t xml:space="preserve">Código</t>
  </si>
  <si>
    <t xml:space="preserve">Cliente</t>
  </si>
  <si>
    <t xml:space="preserve">CUIT</t>
  </si>
  <si>
    <t xml:space="preserve">WhatsApp / teléfono</t>
  </si>
  <si>
    <t xml:space="preserve">Vendedor / preventista</t>
  </si>
  <si>
    <t xml:space="preserve">Días de pago</t>
  </si>
  <si>
    <t xml:space="preserve">Límite de crédito</t>
  </si>
  <si>
    <t xml:space="preserve">Saldo actual</t>
  </si>
  <si>
    <t xml:space="preserve">Crédito disponible</t>
  </si>
  <si>
    <t xml:space="preserve">% del límite usado</t>
  </si>
  <si>
    <t xml:space="preserve">Deuda vencida</t>
  </si>
  <si>
    <t xml:space="preserve">Estado</t>
  </si>
  <si>
    <t xml:space="preserve">Último cobro</t>
  </si>
  <si>
    <t xml:space="preserve">Observaciones</t>
  </si>
  <si>
    <t xml:space="preserve">C-001</t>
  </si>
  <si>
    <t xml:space="preserve">Almacén Don Pepe</t>
  </si>
  <si>
    <t xml:space="preserve">11 5555-0101</t>
  </si>
  <si>
    <t xml:space="preserve">Marcos</t>
  </si>
  <si>
    <t xml:space="preserve">Paga por transferencia.</t>
  </si>
  <si>
    <t xml:space="preserve">C-002</t>
  </si>
  <si>
    <t xml:space="preserve">Kiosco La Esquina</t>
  </si>
  <si>
    <t xml:space="preserve">11 5555-0102</t>
  </si>
  <si>
    <t xml:space="preserve">C-003</t>
  </si>
  <si>
    <t xml:space="preserve">Autoservicio El Sol</t>
  </si>
  <si>
    <t xml:space="preserve">11 5555-0103</t>
  </si>
  <si>
    <t xml:space="preserve">Laura</t>
  </si>
  <si>
    <t xml:space="preserve">Compra fuerte en diciembre.</t>
  </si>
  <si>
    <t xml:space="preserve">C-004</t>
  </si>
  <si>
    <t xml:space="preserve">Maxikiosco Ruta 5</t>
  </si>
  <si>
    <t xml:space="preserve">11 5555-0104</t>
  </si>
  <si>
    <t xml:space="preserve">Fecha</t>
  </si>
  <si>
    <t xml:space="preserve">Tipo</t>
  </si>
  <si>
    <t xml:space="preserve">N° comprobante</t>
  </si>
  <si>
    <t xml:space="preserve">Detalle</t>
  </si>
  <si>
    <t xml:space="preserve">Importe</t>
  </si>
  <si>
    <t xml:space="preserve">Debe (te debe)</t>
  </si>
  <si>
    <t xml:space="preserve">Haber (te pagó)</t>
  </si>
  <si>
    <t xml:space="preserve">Vencimiento</t>
  </si>
  <si>
    <t xml:space="preserve">Saldo del cliente</t>
  </si>
  <si>
    <t xml:space="preserve">Medio de cobro</t>
  </si>
  <si>
    <t xml:space="preserve">aux</t>
  </si>
  <si>
    <t xml:space="preserve">Saldo inicial</t>
  </si>
  <si>
    <t xml:space="preserve">Lo que debía al empezar la planilla</t>
  </si>
  <si>
    <t xml:space="preserve">Factura</t>
  </si>
  <si>
    <t xml:space="preserve">A 0001-00001234</t>
  </si>
  <si>
    <t xml:space="preserve">Pedido semanal</t>
  </si>
  <si>
    <t xml:space="preserve">A 0001-00001240</t>
  </si>
  <si>
    <t xml:space="preserve">Pedido quincenal</t>
  </si>
  <si>
    <t xml:space="preserve">B 0001-00000560</t>
  </si>
  <si>
    <t xml:space="preserve">Golosinas y bebidas</t>
  </si>
  <si>
    <t xml:space="preserve">Cobro</t>
  </si>
  <si>
    <t xml:space="preserve">REC 0001-00000310</t>
  </si>
  <si>
    <t xml:space="preserve">Cobró el preventista</t>
  </si>
  <si>
    <t xml:space="preserve">Transferencia</t>
  </si>
  <si>
    <t xml:space="preserve">REC 0001-00000315</t>
  </si>
  <si>
    <t xml:space="preserve">Echeq</t>
  </si>
  <si>
    <t xml:space="preserve">Echeq a 30 días.</t>
  </si>
  <si>
    <t xml:space="preserve">B 0001-00000571</t>
  </si>
  <si>
    <t xml:space="preserve">Pedido</t>
  </si>
  <si>
    <t xml:space="preserve">A 0001-00001288</t>
  </si>
  <si>
    <t xml:space="preserve">B 0001-00000580</t>
  </si>
  <si>
    <t xml:space="preserve">Reposición</t>
  </si>
  <si>
    <t xml:space="preserve">Pasó el límite.</t>
  </si>
  <si>
    <t xml:space="preserve">Nota de crédito</t>
  </si>
  <si>
    <t xml:space="preserve">NC A 0001-00000045</t>
  </si>
  <si>
    <t xml:space="preserve">Devolución mercadería dañada</t>
  </si>
  <si>
    <t xml:space="preserve">REC 0001-00000330</t>
  </si>
  <si>
    <t xml:space="preserve">Pago parcial</t>
  </si>
  <si>
    <t xml:space="preserve">Efectivo</t>
  </si>
  <si>
    <t xml:space="preserve">A 0001-00001301</t>
  </si>
  <si>
    <t xml:space="preserve">Resumen de la cuenta corriente</t>
  </si>
  <si>
    <t xml:space="preserve">Se actualiza solo con lo que cargás en «Clientes» y «Movimientos».</t>
  </si>
  <si>
    <t xml:space="preserve">Fecha de hoy</t>
  </si>
  <si>
    <t xml:space="preserve">Avisar «Cerca del límite» al llegar al</t>
  </si>
  <si>
    <t xml:space="preserve">← cambialo si querés (80% = aviso cuando usó el 80% del límite)</t>
  </si>
  <si>
    <t xml:space="preserve">TOTALES</t>
  </si>
  <si>
    <t xml:space="preserve">Total a cobrar</t>
  </si>
  <si>
    <t xml:space="preserve">Por vencer</t>
  </si>
  <si>
    <t xml:space="preserve">Vencido 1 a 30 días</t>
  </si>
  <si>
    <t xml:space="preserve">Vencido 31 a 60 días</t>
  </si>
  <si>
    <t xml:space="preserve">Vencido más de 60 días</t>
  </si>
  <si>
    <t xml:space="preserve">% de la deuda vencida</t>
  </si>
  <si>
    <t xml:space="preserve">Clientes con deuda vencida</t>
  </si>
  <si>
    <t xml:space="preserve">Clientes que pasaron su límite</t>
  </si>
  <si>
    <t xml:space="preserve">Cobrado en los últimos 30 días</t>
  </si>
  <si>
    <t xml:space="preserve">ANTIGÜEDAD DE LA DEUDA POR CLIENTE</t>
  </si>
  <si>
    <t xml:space="preserve">Cada cobro cancela primero la factura más vieja. Las filas vacías son para los clientes que sumes.</t>
  </si>
  <si>
    <t xml:space="preserve">Saldo</t>
  </si>
  <si>
    <t xml:space="preserve">Vencido 1-30</t>
  </si>
  <si>
    <t xml:space="preserve">Vencido 31-60</t>
  </si>
  <si>
    <t xml:space="preserve">Vencido +60</t>
  </si>
  <si>
    <t xml:space="preserve">Estado de cuenta</t>
  </si>
  <si>
    <t xml:space="preserve">Elegí el cliente en la celda naranja. Imprimilo o guardalo como PDF y mandáselo.</t>
  </si>
  <si>
    <t xml:space="preserve">Emitido el</t>
  </si>
  <si>
    <t xml:space="preserve">SALDO A LA FECHA</t>
  </si>
  <si>
    <t xml:space="preserve">Vencido</t>
  </si>
  <si>
    <t xml:space="preserve">ÚLTIMOS MOVIMIENTOS</t>
  </si>
  <si>
    <t xml:space="preserve">Total de movimientos del cliente:</t>
  </si>
  <si>
    <t xml:space="preserve">Comprobante</t>
  </si>
  <si>
    <t xml:space="preserve">Debe</t>
  </si>
  <si>
    <t xml:space="preserve">Haber</t>
  </si>
  <si>
    <t xml:space="preserve">Muestra los últimos 40 movimientos del cliente. Cualquier diferencia, escribinos y lo revisamos juntos.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</si>
</sst>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\$#,##0;[RED]&quot;-$&quot;#,##0;\-"/>
    <numFmt numFmtId="167" formatCode="0%"/>
    <numFmt numFmtId="168" formatCode="dd/mm/yyyy"/>
    <numFmt numFmtId="169" formatCode="General"/>
    <numFmt numFmtId="170" formatCode="@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AF2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FFAF22"/>
      <name val="Arial"/>
      <family val="0"/>
      <charset val="1"/>
    </font>
    <font>
      <b val="true"/>
      <sz val="10"/>
      <color rgb="FF222036"/>
      <name val="Arial"/>
      <family val="0"/>
      <charset val="1"/>
    </font>
    <font>
      <sz val="10"/>
      <color rgb="FF333333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3333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AF22"/>
      <name val="Arial"/>
      <family val="0"/>
      <charset val="1"/>
    </font>
    <font>
      <b val="true"/>
      <sz val="11"/>
      <color rgb="FF222036"/>
      <name val="Arial"/>
      <family val="0"/>
      <charset val="1"/>
    </font>
    <font>
      <b val="true"/>
      <sz val="13"/>
      <color rgb="FF222036"/>
      <name val="Arial"/>
      <family val="0"/>
      <charset val="1"/>
    </font>
    <font>
      <b val="true"/>
      <sz val="10"/>
      <color rgb="FFD85A3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2036"/>
        <bgColor rgb="FF333333"/>
      </patternFill>
    </fill>
    <fill>
      <patternFill patternType="solid">
        <fgColor rgb="FFFFF3D6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FFE2A8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FFFFFF"/>
      </font>
      <fill>
        <patternFill>
          <bgColor rgb="FFD85A30"/>
        </patternFill>
      </fill>
    </dxf>
    <dxf>
      <font>
        <name val="Arial"/>
        <charset val="1"/>
        <family val="0"/>
        <b val="1"/>
        <color rgb="FF222036"/>
      </font>
      <fill>
        <patternFill>
          <bgColor rgb="FFE9A21A"/>
        </patternFill>
      </fill>
    </dxf>
    <dxf>
      <font>
        <name val="Arial"/>
        <charset val="1"/>
        <family val="0"/>
        <b val="1"/>
        <color rgb="FF222036"/>
      </font>
      <fill>
        <patternFill>
          <bgColor rgb="FFFFE2A8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1D9E75"/>
        </patternFill>
      </fill>
    </dxf>
    <dxf>
      <font>
        <name val="Arial"/>
        <charset val="1"/>
        <family val="0"/>
        <b val="1"/>
        <color rgb="FF555555"/>
      </font>
      <fill>
        <patternFill>
          <bgColor rgb="FFE6E6E6"/>
        </patternFill>
      </fill>
    </dxf>
    <dxf>
      <font>
        <name val="Arial"/>
        <charset val="1"/>
        <family val="0"/>
        <b val="1"/>
        <color rgb="FFD85A3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D6"/>
      <rgbColor rgb="FFF7F7F7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CCFFCC"/>
      <rgbColor rgb="FFFFFF99"/>
      <rgbColor rgb="FF99CCFF"/>
      <rgbColor rgb="FFFF99CC"/>
      <rgbColor rgb="FFCC99FF"/>
      <rgbColor rgb="FFFFE2A8"/>
      <rgbColor rgb="FF3366FF"/>
      <rgbColor rgb="FF33CCCC"/>
      <rgbColor rgb="FF99CC00"/>
      <rgbColor rgb="FFFFAF22"/>
      <rgbColor rgb="FFE9A21A"/>
      <rgbColor rgb="FFD85A30"/>
      <rgbColor rgb="FF555555"/>
      <rgbColor rgb="FF999999"/>
      <rgbColor rgb="FF003366"/>
      <rgbColor rgb="FF1D9E75"/>
      <rgbColor rgb="FF003300"/>
      <rgbColor rgb="FF222036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a.me/5491128654468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  <col collapsed="false" customWidth="true" hidden="false" outlineLevel="0" max="3" min="3" style="0" width="3"/>
  </cols>
  <sheetData>
    <row r="2" customFormat="false" ht="21.75" hidden="false" customHeight="true" outlineLevel="0" collapsed="false">
      <c r="B2" s="1" t="s">
        <v>0</v>
      </c>
    </row>
    <row r="3" customFormat="false" ht="30" hidden="false" customHeight="true" outlineLevel="0" collapsed="false">
      <c r="B3" s="2" t="s">
        <v>1</v>
      </c>
    </row>
    <row r="4" customFormat="false" ht="18" hidden="false" customHeight="true" outlineLevel="0" collapsed="false">
      <c r="B4" s="3" t="s">
        <v>2</v>
      </c>
    </row>
    <row r="6" customFormat="false" ht="33.75" hidden="false" customHeight="true" outlineLevel="0" collapsed="false">
      <c r="B6" s="4" t="s">
        <v>3</v>
      </c>
    </row>
    <row r="7" customFormat="false" ht="33.75" hidden="false" customHeight="true" outlineLevel="0" collapsed="false">
      <c r="B7" s="5" t="s">
        <v>4</v>
      </c>
    </row>
    <row r="9" customFormat="false" ht="15" hidden="false" customHeight="false" outlineLevel="0" collapsed="false">
      <c r="B9" s="4" t="s">
        <v>5</v>
      </c>
    </row>
    <row r="10" customFormat="false" ht="33.75" hidden="false" customHeight="true" outlineLevel="0" collapsed="false">
      <c r="B10" s="5" t="s">
        <v>6</v>
      </c>
    </row>
    <row r="11" customFormat="false" ht="33.75" hidden="false" customHeight="true" outlineLevel="0" collapsed="false">
      <c r="B11" s="5" t="s">
        <v>7</v>
      </c>
    </row>
    <row r="12" customFormat="false" ht="33.75" hidden="false" customHeight="true" outlineLevel="0" collapsed="false">
      <c r="B12" s="5" t="s">
        <v>8</v>
      </c>
    </row>
    <row r="13" customFormat="false" ht="33.75" hidden="false" customHeight="true" outlineLevel="0" collapsed="false">
      <c r="B13" s="5" t="s">
        <v>9</v>
      </c>
    </row>
    <row r="14" customFormat="false" ht="33.75" hidden="false" customHeight="true" outlineLevel="0" collapsed="false">
      <c r="B14" s="5" t="s">
        <v>10</v>
      </c>
    </row>
    <row r="16" customFormat="false" ht="15" hidden="false" customHeight="false" outlineLevel="0" collapsed="false">
      <c r="B16" s="4" t="s">
        <v>11</v>
      </c>
    </row>
    <row r="17" customFormat="false" ht="30" hidden="false" customHeight="true" outlineLevel="0" collapsed="false">
      <c r="B17" s="5" t="s">
        <v>12</v>
      </c>
    </row>
    <row r="18" customFormat="false" ht="30" hidden="false" customHeight="true" outlineLevel="0" collapsed="false">
      <c r="B18" s="5" t="s">
        <v>13</v>
      </c>
    </row>
    <row r="19" customFormat="false" ht="30" hidden="false" customHeight="true" outlineLevel="0" collapsed="false">
      <c r="B19" s="5" t="s">
        <v>14</v>
      </c>
    </row>
    <row r="20" customFormat="false" ht="18" hidden="false" customHeight="true" outlineLevel="0" collapsed="false">
      <c r="B20" s="5" t="s">
        <v>15</v>
      </c>
    </row>
    <row r="22" customFormat="false" ht="19.5" hidden="false" customHeight="true" outlineLevel="0" collapsed="false">
      <c r="B22" s="6" t="s">
        <v>16</v>
      </c>
    </row>
    <row r="23" customFormat="false" ht="33.75" hidden="false" customHeight="true" outlineLevel="0" collapsed="false">
      <c r="B23" s="7" t="s">
        <v>17</v>
      </c>
    </row>
    <row r="24" customFormat="false" ht="19.5" hidden="false" customHeight="true" outlineLevel="0" collapsed="false">
      <c r="B24" s="7" t="s">
        <v>18</v>
      </c>
    </row>
    <row r="26" customFormat="false" ht="15" hidden="false" customHeight="false" outlineLevel="0" collapsed="false">
      <c r="B26" s="8" t="s">
        <v>19</v>
      </c>
    </row>
  </sheetData>
  <hyperlinks>
    <hyperlink ref="B24" r:id="rId1" display="¿Lo querés ver funcionando con tus clientes? Escribinos por WhatsApp: +54 9 11 2865-4468 — te atiende una persona, no un bot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0"/>
    <col collapsed="false" customWidth="true" hidden="false" outlineLevel="0" max="9" min="7" style="0" width="15"/>
    <col collapsed="false" customWidth="true" hidden="false" outlineLevel="0" max="10" min="10" style="0" width="11"/>
    <col collapsed="false" customWidth="true" hidden="false" outlineLevel="0" max="11" min="11" style="0" width="15"/>
    <col collapsed="false" customWidth="true" hidden="false" outlineLevel="0" max="12" min="12" style="0" width="18"/>
    <col collapsed="false" customWidth="true" hidden="false" outlineLevel="0" max="13" min="13" style="0" width="13"/>
    <col collapsed="false" customWidth="true" hidden="false" outlineLevel="0" max="14" min="14" style="0" width="30"/>
  </cols>
  <sheetData>
    <row r="1" customFormat="false" ht="30" hidden="false" customHeight="true" outlineLevel="0" collapsed="false">
      <c r="A1" s="9" t="s">
        <v>20</v>
      </c>
      <c r="B1" s="9" t="s">
        <v>21</v>
      </c>
      <c r="C1" s="9" t="s">
        <v>22</v>
      </c>
      <c r="D1" s="9" t="s">
        <v>23</v>
      </c>
      <c r="E1" s="9" t="s">
        <v>24</v>
      </c>
      <c r="F1" s="9" t="s">
        <v>25</v>
      </c>
      <c r="G1" s="9" t="s">
        <v>26</v>
      </c>
      <c r="H1" s="9" t="s">
        <v>27</v>
      </c>
      <c r="I1" s="9" t="s">
        <v>28</v>
      </c>
      <c r="J1" s="9" t="s">
        <v>29</v>
      </c>
      <c r="K1" s="9" t="s">
        <v>30</v>
      </c>
      <c r="L1" s="9" t="s">
        <v>31</v>
      </c>
      <c r="M1" s="9" t="s">
        <v>32</v>
      </c>
      <c r="N1" s="9" t="s">
        <v>33</v>
      </c>
    </row>
    <row r="2" customFormat="false" ht="15" hidden="false" customHeight="false" outlineLevel="0" collapsed="false">
      <c r="A2" s="10" t="s">
        <v>34</v>
      </c>
      <c r="B2" s="10" t="s">
        <v>35</v>
      </c>
      <c r="C2" s="10"/>
      <c r="D2" s="10" t="s">
        <v>36</v>
      </c>
      <c r="E2" s="10" t="s">
        <v>37</v>
      </c>
      <c r="F2" s="11" t="n">
        <v>30</v>
      </c>
      <c r="G2" s="12" t="n">
        <v>1500000</v>
      </c>
      <c r="H2" s="13" t="n">
        <f aca="false">IF($B2="","",SUMIFS(Movimientos!$G$2:$G$501,Movimientos!$B$2:$B$501,$B2)-SUMIFS(Movimientos!$H$2:$H$501,Movimientos!$B$2:$B$501,$B2))</f>
        <v>590000</v>
      </c>
      <c r="I2" s="13" t="n">
        <f aca="false">IF(OR($B2="",$G2=""),"",$G2-$H2)</f>
        <v>910000</v>
      </c>
      <c r="J2" s="14" t="n">
        <f aca="false">IF(OR($B2="",N($G2)=0),"",MAX(0,$H2)/$G2)</f>
        <v>0.393333333333333</v>
      </c>
      <c r="K2" s="13" t="n">
        <f aca="false">IF($B2="","",MAX(0,$H2)-MIN(MAX(0,$H2),SUMIFS(Movimientos!$G$2:$G$501,Movimientos!$B$2:$B$501,$B2,Movimientos!$I$2:$I$501,"&gt;="&amp;Resumen!$C$4)))</f>
        <v>210000</v>
      </c>
      <c r="L2" s="15" t="str">
        <f aca="false">IF($B2="","",IF(N($H2)&lt;=0,"Sin deuda",IF(AND(N($G2)&gt;0,$H2&gt;$G2),"Excedido",IF(N($K2)&gt;0,"Con deuda vencida",IF(AND(N($G2)&gt;0,$H2&gt;=Resumen!$C$5*$G2),"Cerca del límite","Al día")))))</f>
        <v>Con deuda vencida</v>
      </c>
      <c r="M2" s="16" t="n">
        <f aca="false">IF($B2="","",IFERROR(1/(1/_xlfn.MAXIFS(Movimientos!$A$2:$A$501,Movimientos!$B$2:$B$501,$B2,Movimientos!$C$2:$C$501,"Cobro")),"—"))</f>
        <v>46293</v>
      </c>
      <c r="N2" s="10" t="s">
        <v>38</v>
      </c>
    </row>
    <row r="3" customFormat="false" ht="15" hidden="false" customHeight="false" outlineLevel="0" collapsed="false">
      <c r="A3" s="10" t="s">
        <v>39</v>
      </c>
      <c r="B3" s="10" t="s">
        <v>40</v>
      </c>
      <c r="C3" s="10"/>
      <c r="D3" s="10" t="s">
        <v>41</v>
      </c>
      <c r="E3" s="10" t="s">
        <v>37</v>
      </c>
      <c r="F3" s="11" t="n">
        <v>15</v>
      </c>
      <c r="G3" s="12" t="n">
        <v>600000</v>
      </c>
      <c r="H3" s="13" t="n">
        <f aca="false">IF($B3="","",SUMIFS(Movimientos!$G$2:$G$501,Movimientos!$B$2:$B$501,$B3)-SUMIFS(Movimientos!$H$2:$H$501,Movimientos!$B$2:$B$501,$B3))</f>
        <v>315000</v>
      </c>
      <c r="I3" s="13" t="n">
        <f aca="false">IF(OR($B3="",$G3=""),"",$G3-$H3)</f>
        <v>285000</v>
      </c>
      <c r="J3" s="14" t="n">
        <f aca="false">IF(OR($B3="",N($G3)=0),"",MAX(0,$H3)/$G3)</f>
        <v>0.525</v>
      </c>
      <c r="K3" s="13" t="n">
        <f aca="false">IF($B3="","",MAX(0,$H3)-MIN(MAX(0,$H3),SUMIFS(Movimientos!$G$2:$G$501,Movimientos!$B$2:$B$501,$B3,Movimientos!$I$2:$I$501,"&gt;="&amp;Resumen!$C$4)))</f>
        <v>315000</v>
      </c>
      <c r="L3" s="15" t="str">
        <f aca="false">IF($B3="","",IF(N($H3)&lt;=0,"Sin deuda",IF(AND(N($G3)&gt;0,$H3&gt;$G3),"Excedido",IF(N($K3)&gt;0,"Con deuda vencida",IF(AND(N($G3)&gt;0,$H3&gt;=Resumen!$C$5*$G3),"Cerca del límite","Al día")))))</f>
        <v>Con deuda vencida</v>
      </c>
      <c r="M3" s="16" t="str">
        <f aca="false">IF($B3="","",IFERROR(1/(1/_xlfn.MAXIFS(Movimientos!$A$2:$A$501,Movimientos!$B$2:$B$501,$B3,Movimientos!$C$2:$C$501,"Cobro")),"—"))</f>
        <v>—</v>
      </c>
      <c r="N3" s="10"/>
    </row>
    <row r="4" customFormat="false" ht="15" hidden="false" customHeight="false" outlineLevel="0" collapsed="false">
      <c r="A4" s="10" t="s">
        <v>42</v>
      </c>
      <c r="B4" s="10" t="s">
        <v>43</v>
      </c>
      <c r="C4" s="10"/>
      <c r="D4" s="10" t="s">
        <v>44</v>
      </c>
      <c r="E4" s="10" t="s">
        <v>45</v>
      </c>
      <c r="F4" s="11" t="n">
        <v>30</v>
      </c>
      <c r="G4" s="12" t="n">
        <v>3000000</v>
      </c>
      <c r="H4" s="13" t="n">
        <f aca="false">IF($B4="","",SUMIFS(Movimientos!$G$2:$G$501,Movimientos!$B$2:$B$501,$B4)-SUMIFS(Movimientos!$H$2:$H$501,Movimientos!$B$2:$B$501,$B4))</f>
        <v>1090000</v>
      </c>
      <c r="I4" s="13" t="n">
        <f aca="false">IF(OR($B4="",$G4=""),"",$G4-$H4)</f>
        <v>1910000</v>
      </c>
      <c r="J4" s="14" t="n">
        <f aca="false">IF(OR($B4="",N($G4)=0),"",MAX(0,$H4)/$G4)</f>
        <v>0.363333333333333</v>
      </c>
      <c r="K4" s="13" t="n">
        <f aca="false">IF($B4="","",MAX(0,$H4)-MIN(MAX(0,$H4),SUMIFS(Movimientos!$G$2:$G$501,Movimientos!$B$2:$B$501,$B4,Movimientos!$I$2:$I$501,"&gt;="&amp;Resumen!$C$4)))</f>
        <v>0</v>
      </c>
      <c r="L4" s="15" t="str">
        <f aca="false">IF($B4="","",IF(N($H4)&lt;=0,"Sin deuda",IF(AND(N($G4)&gt;0,$H4&gt;$G4),"Excedido",IF(N($K4)&gt;0,"Con deuda vencida",IF(AND(N($G4)&gt;0,$H4&gt;=Resumen!$C$5*$G4),"Cerca del límite","Al día")))))</f>
        <v>Al día</v>
      </c>
      <c r="M4" s="16" t="n">
        <f aca="false">IF($B4="","",IFERROR(1/(1/_xlfn.MAXIFS(Movimientos!$A$2:$A$501,Movimientos!$B$2:$B$501,$B4,Movimientos!$C$2:$C$501,"Cobro")),"—"))</f>
        <v>46267</v>
      </c>
      <c r="N4" s="10" t="s">
        <v>46</v>
      </c>
    </row>
    <row r="5" customFormat="false" ht="15" hidden="false" customHeight="false" outlineLevel="0" collapsed="false">
      <c r="A5" s="10" t="s">
        <v>47</v>
      </c>
      <c r="B5" s="10" t="s">
        <v>48</v>
      </c>
      <c r="C5" s="10"/>
      <c r="D5" s="10" t="s">
        <v>49</v>
      </c>
      <c r="E5" s="10" t="s">
        <v>45</v>
      </c>
      <c r="F5" s="11" t="n">
        <v>7</v>
      </c>
      <c r="G5" s="12" t="n">
        <v>400000</v>
      </c>
      <c r="H5" s="13" t="n">
        <f aca="false">IF($B5="","",SUMIFS(Movimientos!$G$2:$G$501,Movimientos!$B$2:$B$501,$B5)-SUMIFS(Movimientos!$H$2:$H$501,Movimientos!$B$2:$B$501,$B5))</f>
        <v>470000</v>
      </c>
      <c r="I5" s="13" t="n">
        <f aca="false">IF(OR($B5="",$G5=""),"",$G5-$H5)</f>
        <v>-70000</v>
      </c>
      <c r="J5" s="14" t="n">
        <f aca="false">IF(OR($B5="",N($G5)=0),"",MAX(0,$H5)/$G5)</f>
        <v>1.175</v>
      </c>
      <c r="K5" s="13" t="n">
        <f aca="false">IF($B5="","",MAX(0,$H5)-MIN(MAX(0,$H5),SUMIFS(Movimientos!$G$2:$G$501,Movimientos!$B$2:$B$501,$B5,Movimientos!$I$2:$I$501,"&gt;="&amp;Resumen!$C$4)))</f>
        <v>470000</v>
      </c>
      <c r="L5" s="15" t="str">
        <f aca="false">IF($B5="","",IF(N($H5)&lt;=0,"Sin deuda",IF(AND(N($G5)&gt;0,$H5&gt;$G5),"Excedido",IF(N($K5)&gt;0,"Con deuda vencida",IF(AND(N($G5)&gt;0,$H5&gt;=Resumen!$C$5*$G5),"Cerca del límite","Al día")))))</f>
        <v>Excedido</v>
      </c>
      <c r="M5" s="16" t="str">
        <f aca="false">IF($B5="","",IFERROR(1/(1/_xlfn.MAXIFS(Movimientos!$A$2:$A$501,Movimientos!$B$2:$B$501,$B5,Movimientos!$C$2:$C$501,"Cobro")),"—"))</f>
        <v>—</v>
      </c>
      <c r="N5" s="10"/>
    </row>
    <row r="6" customFormat="false" ht="15" hidden="false" customHeight="false" outlineLevel="0" collapsed="false">
      <c r="A6" s="10"/>
      <c r="B6" s="10"/>
      <c r="C6" s="10"/>
      <c r="D6" s="10"/>
      <c r="E6" s="10"/>
      <c r="F6" s="11"/>
      <c r="G6" s="12"/>
      <c r="H6" s="13" t="str">
        <f aca="false">IF($B6="","",SUMIFS(Movimientos!$G$2:$G$501,Movimientos!$B$2:$B$501,$B6)-SUMIFS(Movimientos!$H$2:$H$501,Movimientos!$B$2:$B$501,$B6))</f>
        <v/>
      </c>
      <c r="I6" s="13" t="str">
        <f aca="false">IF(OR($B6="",$G6=""),"",$G6-$H6)</f>
        <v/>
      </c>
      <c r="J6" s="14" t="str">
        <f aca="false">IF(OR($B6="",N($G6)=0),"",MAX(0,$H6)/$G6)</f>
        <v/>
      </c>
      <c r="K6" s="13" t="str">
        <f aca="false">IF($B6="","",MAX(0,$H6)-MIN(MAX(0,$H6),SUMIFS(Movimientos!$G$2:$G$501,Movimientos!$B$2:$B$501,$B6,Movimientos!$I$2:$I$501,"&gt;="&amp;Resumen!$C$4)))</f>
        <v/>
      </c>
      <c r="L6" s="15" t="str">
        <f aca="false">IF($B6="","",IF(N($H6)&lt;=0,"Sin deuda",IF(AND(N($G6)&gt;0,$H6&gt;$G6),"Excedido",IF(N($K6)&gt;0,"Con deuda vencida",IF(AND(N($G6)&gt;0,$H6&gt;=Resumen!$C$5*$G6),"Cerca del límite","Al día")))))</f>
        <v/>
      </c>
      <c r="M6" s="16" t="str">
        <f aca="false">IF($B6="","",IFERROR(1/(1/_xlfn.MAXIFS(Movimientos!$A$2:$A$501,Movimientos!$B$2:$B$501,$B6,Movimientos!$C$2:$C$501,"Cobro")),"—"))</f>
        <v/>
      </c>
      <c r="N6" s="10"/>
    </row>
    <row r="7" customFormat="false" ht="15" hidden="false" customHeight="false" outlineLevel="0" collapsed="false">
      <c r="A7" s="10"/>
      <c r="B7" s="10"/>
      <c r="C7" s="10"/>
      <c r="D7" s="10"/>
      <c r="E7" s="10"/>
      <c r="F7" s="11"/>
      <c r="G7" s="12"/>
      <c r="H7" s="13" t="str">
        <f aca="false">IF($B7="","",SUMIFS(Movimientos!$G$2:$G$501,Movimientos!$B$2:$B$501,$B7)-SUMIFS(Movimientos!$H$2:$H$501,Movimientos!$B$2:$B$501,$B7))</f>
        <v/>
      </c>
      <c r="I7" s="13" t="str">
        <f aca="false">IF(OR($B7="",$G7=""),"",$G7-$H7)</f>
        <v/>
      </c>
      <c r="J7" s="14" t="str">
        <f aca="false">IF(OR($B7="",N($G7)=0),"",MAX(0,$H7)/$G7)</f>
        <v/>
      </c>
      <c r="K7" s="13" t="str">
        <f aca="false">IF($B7="","",MAX(0,$H7)-MIN(MAX(0,$H7),SUMIFS(Movimientos!$G$2:$G$501,Movimientos!$B$2:$B$501,$B7,Movimientos!$I$2:$I$501,"&gt;="&amp;Resumen!$C$4)))</f>
        <v/>
      </c>
      <c r="L7" s="15" t="str">
        <f aca="false">IF($B7="","",IF(N($H7)&lt;=0,"Sin deuda",IF(AND(N($G7)&gt;0,$H7&gt;$G7),"Excedido",IF(N($K7)&gt;0,"Con deuda vencida",IF(AND(N($G7)&gt;0,$H7&gt;=Resumen!$C$5*$G7),"Cerca del límite","Al día")))))</f>
        <v/>
      </c>
      <c r="M7" s="16" t="str">
        <f aca="false">IF($B7="","",IFERROR(1/(1/_xlfn.MAXIFS(Movimientos!$A$2:$A$501,Movimientos!$B$2:$B$501,$B7,Movimientos!$C$2:$C$501,"Cobro")),"—"))</f>
        <v/>
      </c>
      <c r="N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1"/>
      <c r="G8" s="12"/>
      <c r="H8" s="13" t="str">
        <f aca="false">IF($B8="","",SUMIFS(Movimientos!$G$2:$G$501,Movimientos!$B$2:$B$501,$B8)-SUMIFS(Movimientos!$H$2:$H$501,Movimientos!$B$2:$B$501,$B8))</f>
        <v/>
      </c>
      <c r="I8" s="13" t="str">
        <f aca="false">IF(OR($B8="",$G8=""),"",$G8-$H8)</f>
        <v/>
      </c>
      <c r="J8" s="14" t="str">
        <f aca="false">IF(OR($B8="",N($G8)=0),"",MAX(0,$H8)/$G8)</f>
        <v/>
      </c>
      <c r="K8" s="13" t="str">
        <f aca="false">IF($B8="","",MAX(0,$H8)-MIN(MAX(0,$H8),SUMIFS(Movimientos!$G$2:$G$501,Movimientos!$B$2:$B$501,$B8,Movimientos!$I$2:$I$501,"&gt;="&amp;Resumen!$C$4)))</f>
        <v/>
      </c>
      <c r="L8" s="15" t="str">
        <f aca="false">IF($B8="","",IF(N($H8)&lt;=0,"Sin deuda",IF(AND(N($G8)&gt;0,$H8&gt;$G8),"Excedido",IF(N($K8)&gt;0,"Con deuda vencida",IF(AND(N($G8)&gt;0,$H8&gt;=Resumen!$C$5*$G8),"Cerca del límite","Al día")))))</f>
        <v/>
      </c>
      <c r="M8" s="16" t="str">
        <f aca="false">IF($B8="","",IFERROR(1/(1/_xlfn.MAXIFS(Movimientos!$A$2:$A$501,Movimientos!$B$2:$B$501,$B8,Movimientos!$C$2:$C$501,"Cobro")),"—"))</f>
        <v/>
      </c>
      <c r="N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1"/>
      <c r="G9" s="12"/>
      <c r="H9" s="13" t="str">
        <f aca="false">IF($B9="","",SUMIFS(Movimientos!$G$2:$G$501,Movimientos!$B$2:$B$501,$B9)-SUMIFS(Movimientos!$H$2:$H$501,Movimientos!$B$2:$B$501,$B9))</f>
        <v/>
      </c>
      <c r="I9" s="13" t="str">
        <f aca="false">IF(OR($B9="",$G9=""),"",$G9-$H9)</f>
        <v/>
      </c>
      <c r="J9" s="14" t="str">
        <f aca="false">IF(OR($B9="",N($G9)=0),"",MAX(0,$H9)/$G9)</f>
        <v/>
      </c>
      <c r="K9" s="13" t="str">
        <f aca="false">IF($B9="","",MAX(0,$H9)-MIN(MAX(0,$H9),SUMIFS(Movimientos!$G$2:$G$501,Movimientos!$B$2:$B$501,$B9,Movimientos!$I$2:$I$501,"&gt;="&amp;Resumen!$C$4)))</f>
        <v/>
      </c>
      <c r="L9" s="15" t="str">
        <f aca="false">IF($B9="","",IF(N($H9)&lt;=0,"Sin deuda",IF(AND(N($G9)&gt;0,$H9&gt;$G9),"Excedido",IF(N($K9)&gt;0,"Con deuda vencida",IF(AND(N($G9)&gt;0,$H9&gt;=Resumen!$C$5*$G9),"Cerca del límite","Al día")))))</f>
        <v/>
      </c>
      <c r="M9" s="16" t="str">
        <f aca="false">IF($B9="","",IFERROR(1/(1/_xlfn.MAXIFS(Movimientos!$A$2:$A$501,Movimientos!$B$2:$B$501,$B9,Movimientos!$C$2:$C$501,"Cobro")),"—"))</f>
        <v/>
      </c>
      <c r="N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1"/>
      <c r="G10" s="12"/>
      <c r="H10" s="13" t="str">
        <f aca="false">IF($B10="","",SUMIFS(Movimientos!$G$2:$G$501,Movimientos!$B$2:$B$501,$B10)-SUMIFS(Movimientos!$H$2:$H$501,Movimientos!$B$2:$B$501,$B10))</f>
        <v/>
      </c>
      <c r="I10" s="13" t="str">
        <f aca="false">IF(OR($B10="",$G10=""),"",$G10-$H10)</f>
        <v/>
      </c>
      <c r="J10" s="14" t="str">
        <f aca="false">IF(OR($B10="",N($G10)=0),"",MAX(0,$H10)/$G10)</f>
        <v/>
      </c>
      <c r="K10" s="13" t="str">
        <f aca="false">IF($B10="","",MAX(0,$H10)-MIN(MAX(0,$H10),SUMIFS(Movimientos!$G$2:$G$501,Movimientos!$B$2:$B$501,$B10,Movimientos!$I$2:$I$501,"&gt;="&amp;Resumen!$C$4)))</f>
        <v/>
      </c>
      <c r="L10" s="15" t="str">
        <f aca="false">IF($B10="","",IF(N($H10)&lt;=0,"Sin deuda",IF(AND(N($G10)&gt;0,$H10&gt;$G10),"Excedido",IF(N($K10)&gt;0,"Con deuda vencida",IF(AND(N($G10)&gt;0,$H10&gt;=Resumen!$C$5*$G10),"Cerca del límite","Al día")))))</f>
        <v/>
      </c>
      <c r="M10" s="16" t="str">
        <f aca="false">IF($B10="","",IFERROR(1/(1/_xlfn.MAXIFS(Movimientos!$A$2:$A$501,Movimientos!$B$2:$B$501,$B10,Movimientos!$C$2:$C$501,"Cobro")),"—"))</f>
        <v/>
      </c>
      <c r="N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1"/>
      <c r="G11" s="12"/>
      <c r="H11" s="13" t="str">
        <f aca="false">IF($B11="","",SUMIFS(Movimientos!$G$2:$G$501,Movimientos!$B$2:$B$501,$B11)-SUMIFS(Movimientos!$H$2:$H$501,Movimientos!$B$2:$B$501,$B11))</f>
        <v/>
      </c>
      <c r="I11" s="13" t="str">
        <f aca="false">IF(OR($B11="",$G11=""),"",$G11-$H11)</f>
        <v/>
      </c>
      <c r="J11" s="14" t="str">
        <f aca="false">IF(OR($B11="",N($G11)=0),"",MAX(0,$H11)/$G11)</f>
        <v/>
      </c>
      <c r="K11" s="13" t="str">
        <f aca="false">IF($B11="","",MAX(0,$H11)-MIN(MAX(0,$H11),SUMIFS(Movimientos!$G$2:$G$501,Movimientos!$B$2:$B$501,$B11,Movimientos!$I$2:$I$501,"&gt;="&amp;Resumen!$C$4)))</f>
        <v/>
      </c>
      <c r="L11" s="15" t="str">
        <f aca="false">IF($B11="","",IF(N($H11)&lt;=0,"Sin deuda",IF(AND(N($G11)&gt;0,$H11&gt;$G11),"Excedido",IF(N($K11)&gt;0,"Con deuda vencida",IF(AND(N($G11)&gt;0,$H11&gt;=Resumen!$C$5*$G11),"Cerca del límite","Al día")))))</f>
        <v/>
      </c>
      <c r="M11" s="16" t="str">
        <f aca="false">IF($B11="","",IFERROR(1/(1/_xlfn.MAXIFS(Movimientos!$A$2:$A$501,Movimientos!$B$2:$B$501,$B11,Movimientos!$C$2:$C$501,"Cobro")),"—"))</f>
        <v/>
      </c>
      <c r="N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1"/>
      <c r="G12" s="12"/>
      <c r="H12" s="13" t="str">
        <f aca="false">IF($B12="","",SUMIFS(Movimientos!$G$2:$G$501,Movimientos!$B$2:$B$501,$B12)-SUMIFS(Movimientos!$H$2:$H$501,Movimientos!$B$2:$B$501,$B12))</f>
        <v/>
      </c>
      <c r="I12" s="13" t="str">
        <f aca="false">IF(OR($B12="",$G12=""),"",$G12-$H12)</f>
        <v/>
      </c>
      <c r="J12" s="14" t="str">
        <f aca="false">IF(OR($B12="",N($G12)=0),"",MAX(0,$H12)/$G12)</f>
        <v/>
      </c>
      <c r="K12" s="13" t="str">
        <f aca="false">IF($B12="","",MAX(0,$H12)-MIN(MAX(0,$H12),SUMIFS(Movimientos!$G$2:$G$501,Movimientos!$B$2:$B$501,$B12,Movimientos!$I$2:$I$501,"&gt;="&amp;Resumen!$C$4)))</f>
        <v/>
      </c>
      <c r="L12" s="15" t="str">
        <f aca="false">IF($B12="","",IF(N($H12)&lt;=0,"Sin deuda",IF(AND(N($G12)&gt;0,$H12&gt;$G12),"Excedido",IF(N($K12)&gt;0,"Con deuda vencida",IF(AND(N($G12)&gt;0,$H12&gt;=Resumen!$C$5*$G12),"Cerca del límite","Al día")))))</f>
        <v/>
      </c>
      <c r="M12" s="16" t="str">
        <f aca="false">IF($B12="","",IFERROR(1/(1/_xlfn.MAXIFS(Movimientos!$A$2:$A$501,Movimientos!$B$2:$B$501,$B12,Movimientos!$C$2:$C$501,"Cobro")),"—"))</f>
        <v/>
      </c>
      <c r="N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1"/>
      <c r="G13" s="12"/>
      <c r="H13" s="13" t="str">
        <f aca="false">IF($B13="","",SUMIFS(Movimientos!$G$2:$G$501,Movimientos!$B$2:$B$501,$B13)-SUMIFS(Movimientos!$H$2:$H$501,Movimientos!$B$2:$B$501,$B13))</f>
        <v/>
      </c>
      <c r="I13" s="13" t="str">
        <f aca="false">IF(OR($B13="",$G13=""),"",$G13-$H13)</f>
        <v/>
      </c>
      <c r="J13" s="14" t="str">
        <f aca="false">IF(OR($B13="",N($G13)=0),"",MAX(0,$H13)/$G13)</f>
        <v/>
      </c>
      <c r="K13" s="13" t="str">
        <f aca="false">IF($B13="","",MAX(0,$H13)-MIN(MAX(0,$H13),SUMIFS(Movimientos!$G$2:$G$501,Movimientos!$B$2:$B$501,$B13,Movimientos!$I$2:$I$501,"&gt;="&amp;Resumen!$C$4)))</f>
        <v/>
      </c>
      <c r="L13" s="15" t="str">
        <f aca="false">IF($B13="","",IF(N($H13)&lt;=0,"Sin deuda",IF(AND(N($G13)&gt;0,$H13&gt;$G13),"Excedido",IF(N($K13)&gt;0,"Con deuda vencida",IF(AND(N($G13)&gt;0,$H13&gt;=Resumen!$C$5*$G13),"Cerca del límite","Al día")))))</f>
        <v/>
      </c>
      <c r="M13" s="16" t="str">
        <f aca="false">IF($B13="","",IFERROR(1/(1/_xlfn.MAXIFS(Movimientos!$A$2:$A$501,Movimientos!$B$2:$B$501,$B13,Movimientos!$C$2:$C$501,"Cobro")),"—"))</f>
        <v/>
      </c>
      <c r="N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1"/>
      <c r="G14" s="12"/>
      <c r="H14" s="13" t="str">
        <f aca="false">IF($B14="","",SUMIFS(Movimientos!$G$2:$G$501,Movimientos!$B$2:$B$501,$B14)-SUMIFS(Movimientos!$H$2:$H$501,Movimientos!$B$2:$B$501,$B14))</f>
        <v/>
      </c>
      <c r="I14" s="13" t="str">
        <f aca="false">IF(OR($B14="",$G14=""),"",$G14-$H14)</f>
        <v/>
      </c>
      <c r="J14" s="14" t="str">
        <f aca="false">IF(OR($B14="",N($G14)=0),"",MAX(0,$H14)/$G14)</f>
        <v/>
      </c>
      <c r="K14" s="13" t="str">
        <f aca="false">IF($B14="","",MAX(0,$H14)-MIN(MAX(0,$H14),SUMIFS(Movimientos!$G$2:$G$501,Movimientos!$B$2:$B$501,$B14,Movimientos!$I$2:$I$501,"&gt;="&amp;Resumen!$C$4)))</f>
        <v/>
      </c>
      <c r="L14" s="15" t="str">
        <f aca="false">IF($B14="","",IF(N($H14)&lt;=0,"Sin deuda",IF(AND(N($G14)&gt;0,$H14&gt;$G14),"Excedido",IF(N($K14)&gt;0,"Con deuda vencida",IF(AND(N($G14)&gt;0,$H14&gt;=Resumen!$C$5*$G14),"Cerca del límite","Al día")))))</f>
        <v/>
      </c>
      <c r="M14" s="16" t="str">
        <f aca="false">IF($B14="","",IFERROR(1/(1/_xlfn.MAXIFS(Movimientos!$A$2:$A$501,Movimientos!$B$2:$B$501,$B14,Movimientos!$C$2:$C$501,"Cobro")),"—"))</f>
        <v/>
      </c>
      <c r="N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1"/>
      <c r="G15" s="12"/>
      <c r="H15" s="13" t="str">
        <f aca="false">IF($B15="","",SUMIFS(Movimientos!$G$2:$G$501,Movimientos!$B$2:$B$501,$B15)-SUMIFS(Movimientos!$H$2:$H$501,Movimientos!$B$2:$B$501,$B15))</f>
        <v/>
      </c>
      <c r="I15" s="13" t="str">
        <f aca="false">IF(OR($B15="",$G15=""),"",$G15-$H15)</f>
        <v/>
      </c>
      <c r="J15" s="14" t="str">
        <f aca="false">IF(OR($B15="",N($G15)=0),"",MAX(0,$H15)/$G15)</f>
        <v/>
      </c>
      <c r="K15" s="13" t="str">
        <f aca="false">IF($B15="","",MAX(0,$H15)-MIN(MAX(0,$H15),SUMIFS(Movimientos!$G$2:$G$501,Movimientos!$B$2:$B$501,$B15,Movimientos!$I$2:$I$501,"&gt;="&amp;Resumen!$C$4)))</f>
        <v/>
      </c>
      <c r="L15" s="15" t="str">
        <f aca="false">IF($B15="","",IF(N($H15)&lt;=0,"Sin deuda",IF(AND(N($G15)&gt;0,$H15&gt;$G15),"Excedido",IF(N($K15)&gt;0,"Con deuda vencida",IF(AND(N($G15)&gt;0,$H15&gt;=Resumen!$C$5*$G15),"Cerca del límite","Al día")))))</f>
        <v/>
      </c>
      <c r="M15" s="16" t="str">
        <f aca="false">IF($B15="","",IFERROR(1/(1/_xlfn.MAXIFS(Movimientos!$A$2:$A$501,Movimientos!$B$2:$B$501,$B15,Movimientos!$C$2:$C$501,"Cobro")),"—"))</f>
        <v/>
      </c>
      <c r="N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1"/>
      <c r="G16" s="12"/>
      <c r="H16" s="13" t="str">
        <f aca="false">IF($B16="","",SUMIFS(Movimientos!$G$2:$G$501,Movimientos!$B$2:$B$501,$B16)-SUMIFS(Movimientos!$H$2:$H$501,Movimientos!$B$2:$B$501,$B16))</f>
        <v/>
      </c>
      <c r="I16" s="13" t="str">
        <f aca="false">IF(OR($B16="",$G16=""),"",$G16-$H16)</f>
        <v/>
      </c>
      <c r="J16" s="14" t="str">
        <f aca="false">IF(OR($B16="",N($G16)=0),"",MAX(0,$H16)/$G16)</f>
        <v/>
      </c>
      <c r="K16" s="13" t="str">
        <f aca="false">IF($B16="","",MAX(0,$H16)-MIN(MAX(0,$H16),SUMIFS(Movimientos!$G$2:$G$501,Movimientos!$B$2:$B$501,$B16,Movimientos!$I$2:$I$501,"&gt;="&amp;Resumen!$C$4)))</f>
        <v/>
      </c>
      <c r="L16" s="15" t="str">
        <f aca="false">IF($B16="","",IF(N($H16)&lt;=0,"Sin deuda",IF(AND(N($G16)&gt;0,$H16&gt;$G16),"Excedido",IF(N($K16)&gt;0,"Con deuda vencida",IF(AND(N($G16)&gt;0,$H16&gt;=Resumen!$C$5*$G16),"Cerca del límite","Al día")))))</f>
        <v/>
      </c>
      <c r="M16" s="16" t="str">
        <f aca="false">IF($B16="","",IFERROR(1/(1/_xlfn.MAXIFS(Movimientos!$A$2:$A$501,Movimientos!$B$2:$B$501,$B16,Movimientos!$C$2:$C$501,"Cobro")),"—"))</f>
        <v/>
      </c>
      <c r="N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1"/>
      <c r="G17" s="12"/>
      <c r="H17" s="13" t="str">
        <f aca="false">IF($B17="","",SUMIFS(Movimientos!$G$2:$G$501,Movimientos!$B$2:$B$501,$B17)-SUMIFS(Movimientos!$H$2:$H$501,Movimientos!$B$2:$B$501,$B17))</f>
        <v/>
      </c>
      <c r="I17" s="13" t="str">
        <f aca="false">IF(OR($B17="",$G17=""),"",$G17-$H17)</f>
        <v/>
      </c>
      <c r="J17" s="14" t="str">
        <f aca="false">IF(OR($B17="",N($G17)=0),"",MAX(0,$H17)/$G17)</f>
        <v/>
      </c>
      <c r="K17" s="13" t="str">
        <f aca="false">IF($B17="","",MAX(0,$H17)-MIN(MAX(0,$H17),SUMIFS(Movimientos!$G$2:$G$501,Movimientos!$B$2:$B$501,$B17,Movimientos!$I$2:$I$501,"&gt;="&amp;Resumen!$C$4)))</f>
        <v/>
      </c>
      <c r="L17" s="15" t="str">
        <f aca="false">IF($B17="","",IF(N($H17)&lt;=0,"Sin deuda",IF(AND(N($G17)&gt;0,$H17&gt;$G17),"Excedido",IF(N($K17)&gt;0,"Con deuda vencida",IF(AND(N($G17)&gt;0,$H17&gt;=Resumen!$C$5*$G17),"Cerca del límite","Al día")))))</f>
        <v/>
      </c>
      <c r="M17" s="16" t="str">
        <f aca="false">IF($B17="","",IFERROR(1/(1/_xlfn.MAXIFS(Movimientos!$A$2:$A$501,Movimientos!$B$2:$B$501,$B17,Movimientos!$C$2:$C$501,"Cobro")),"—"))</f>
        <v/>
      </c>
      <c r="N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1"/>
      <c r="G18" s="12"/>
      <c r="H18" s="13" t="str">
        <f aca="false">IF($B18="","",SUMIFS(Movimientos!$G$2:$G$501,Movimientos!$B$2:$B$501,$B18)-SUMIFS(Movimientos!$H$2:$H$501,Movimientos!$B$2:$B$501,$B18))</f>
        <v/>
      </c>
      <c r="I18" s="13" t="str">
        <f aca="false">IF(OR($B18="",$G18=""),"",$G18-$H18)</f>
        <v/>
      </c>
      <c r="J18" s="14" t="str">
        <f aca="false">IF(OR($B18="",N($G18)=0),"",MAX(0,$H18)/$G18)</f>
        <v/>
      </c>
      <c r="K18" s="13" t="str">
        <f aca="false">IF($B18="","",MAX(0,$H18)-MIN(MAX(0,$H18),SUMIFS(Movimientos!$G$2:$G$501,Movimientos!$B$2:$B$501,$B18,Movimientos!$I$2:$I$501,"&gt;="&amp;Resumen!$C$4)))</f>
        <v/>
      </c>
      <c r="L18" s="15" t="str">
        <f aca="false">IF($B18="","",IF(N($H18)&lt;=0,"Sin deuda",IF(AND(N($G18)&gt;0,$H18&gt;$G18),"Excedido",IF(N($K18)&gt;0,"Con deuda vencida",IF(AND(N($G18)&gt;0,$H18&gt;=Resumen!$C$5*$G18),"Cerca del límite","Al día")))))</f>
        <v/>
      </c>
      <c r="M18" s="16" t="str">
        <f aca="false">IF($B18="","",IFERROR(1/(1/_xlfn.MAXIFS(Movimientos!$A$2:$A$501,Movimientos!$B$2:$B$501,$B18,Movimientos!$C$2:$C$501,"Cobro")),"—"))</f>
        <v/>
      </c>
      <c r="N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1"/>
      <c r="G19" s="12"/>
      <c r="H19" s="13" t="str">
        <f aca="false">IF($B19="","",SUMIFS(Movimientos!$G$2:$G$501,Movimientos!$B$2:$B$501,$B19)-SUMIFS(Movimientos!$H$2:$H$501,Movimientos!$B$2:$B$501,$B19))</f>
        <v/>
      </c>
      <c r="I19" s="13" t="str">
        <f aca="false">IF(OR($B19="",$G19=""),"",$G19-$H19)</f>
        <v/>
      </c>
      <c r="J19" s="14" t="str">
        <f aca="false">IF(OR($B19="",N($G19)=0),"",MAX(0,$H19)/$G19)</f>
        <v/>
      </c>
      <c r="K19" s="13" t="str">
        <f aca="false">IF($B19="","",MAX(0,$H19)-MIN(MAX(0,$H19),SUMIFS(Movimientos!$G$2:$G$501,Movimientos!$B$2:$B$501,$B19,Movimientos!$I$2:$I$501,"&gt;="&amp;Resumen!$C$4)))</f>
        <v/>
      </c>
      <c r="L19" s="15" t="str">
        <f aca="false">IF($B19="","",IF(N($H19)&lt;=0,"Sin deuda",IF(AND(N($G19)&gt;0,$H19&gt;$G19),"Excedido",IF(N($K19)&gt;0,"Con deuda vencida",IF(AND(N($G19)&gt;0,$H19&gt;=Resumen!$C$5*$G19),"Cerca del límite","Al día")))))</f>
        <v/>
      </c>
      <c r="M19" s="16" t="str">
        <f aca="false">IF($B19="","",IFERROR(1/(1/_xlfn.MAXIFS(Movimientos!$A$2:$A$501,Movimientos!$B$2:$B$501,$B19,Movimientos!$C$2:$C$501,"Cobro")),"—"))</f>
        <v/>
      </c>
      <c r="N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1"/>
      <c r="G20" s="12"/>
      <c r="H20" s="13" t="str">
        <f aca="false">IF($B20="","",SUMIFS(Movimientos!$G$2:$G$501,Movimientos!$B$2:$B$501,$B20)-SUMIFS(Movimientos!$H$2:$H$501,Movimientos!$B$2:$B$501,$B20))</f>
        <v/>
      </c>
      <c r="I20" s="13" t="str">
        <f aca="false">IF(OR($B20="",$G20=""),"",$G20-$H20)</f>
        <v/>
      </c>
      <c r="J20" s="14" t="str">
        <f aca="false">IF(OR($B20="",N($G20)=0),"",MAX(0,$H20)/$G20)</f>
        <v/>
      </c>
      <c r="K20" s="13" t="str">
        <f aca="false">IF($B20="","",MAX(0,$H20)-MIN(MAX(0,$H20),SUMIFS(Movimientos!$G$2:$G$501,Movimientos!$B$2:$B$501,$B20,Movimientos!$I$2:$I$501,"&gt;="&amp;Resumen!$C$4)))</f>
        <v/>
      </c>
      <c r="L20" s="15" t="str">
        <f aca="false">IF($B20="","",IF(N($H20)&lt;=0,"Sin deuda",IF(AND(N($G20)&gt;0,$H20&gt;$G20),"Excedido",IF(N($K20)&gt;0,"Con deuda vencida",IF(AND(N($G20)&gt;0,$H20&gt;=Resumen!$C$5*$G20),"Cerca del límite","Al día")))))</f>
        <v/>
      </c>
      <c r="M20" s="16" t="str">
        <f aca="false">IF($B20="","",IFERROR(1/(1/_xlfn.MAXIFS(Movimientos!$A$2:$A$501,Movimientos!$B$2:$B$501,$B20,Movimientos!$C$2:$C$501,"Cobro")),"—"))</f>
        <v/>
      </c>
      <c r="N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1"/>
      <c r="G21" s="12"/>
      <c r="H21" s="13" t="str">
        <f aca="false">IF($B21="","",SUMIFS(Movimientos!$G$2:$G$501,Movimientos!$B$2:$B$501,$B21)-SUMIFS(Movimientos!$H$2:$H$501,Movimientos!$B$2:$B$501,$B21))</f>
        <v/>
      </c>
      <c r="I21" s="13" t="str">
        <f aca="false">IF(OR($B21="",$G21=""),"",$G21-$H21)</f>
        <v/>
      </c>
      <c r="J21" s="14" t="str">
        <f aca="false">IF(OR($B21="",N($G21)=0),"",MAX(0,$H21)/$G21)</f>
        <v/>
      </c>
      <c r="K21" s="13" t="str">
        <f aca="false">IF($B21="","",MAX(0,$H21)-MIN(MAX(0,$H21),SUMIFS(Movimientos!$G$2:$G$501,Movimientos!$B$2:$B$501,$B21,Movimientos!$I$2:$I$501,"&gt;="&amp;Resumen!$C$4)))</f>
        <v/>
      </c>
      <c r="L21" s="15" t="str">
        <f aca="false">IF($B21="","",IF(N($H21)&lt;=0,"Sin deuda",IF(AND(N($G21)&gt;0,$H21&gt;$G21),"Excedido",IF(N($K21)&gt;0,"Con deuda vencida",IF(AND(N($G21)&gt;0,$H21&gt;=Resumen!$C$5*$G21),"Cerca del límite","Al día")))))</f>
        <v/>
      </c>
      <c r="M21" s="16" t="str">
        <f aca="false">IF($B21="","",IFERROR(1/(1/_xlfn.MAXIFS(Movimientos!$A$2:$A$501,Movimientos!$B$2:$B$501,$B21,Movimientos!$C$2:$C$501,"Cobro")),"—"))</f>
        <v/>
      </c>
      <c r="N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1"/>
      <c r="G22" s="12"/>
      <c r="H22" s="13" t="str">
        <f aca="false">IF($B22="","",SUMIFS(Movimientos!$G$2:$G$501,Movimientos!$B$2:$B$501,$B22)-SUMIFS(Movimientos!$H$2:$H$501,Movimientos!$B$2:$B$501,$B22))</f>
        <v/>
      </c>
      <c r="I22" s="13" t="str">
        <f aca="false">IF(OR($B22="",$G22=""),"",$G22-$H22)</f>
        <v/>
      </c>
      <c r="J22" s="14" t="str">
        <f aca="false">IF(OR($B22="",N($G22)=0),"",MAX(0,$H22)/$G22)</f>
        <v/>
      </c>
      <c r="K22" s="13" t="str">
        <f aca="false">IF($B22="","",MAX(0,$H22)-MIN(MAX(0,$H22),SUMIFS(Movimientos!$G$2:$G$501,Movimientos!$B$2:$B$501,$B22,Movimientos!$I$2:$I$501,"&gt;="&amp;Resumen!$C$4)))</f>
        <v/>
      </c>
      <c r="L22" s="15" t="str">
        <f aca="false">IF($B22="","",IF(N($H22)&lt;=0,"Sin deuda",IF(AND(N($G22)&gt;0,$H22&gt;$G22),"Excedido",IF(N($K22)&gt;0,"Con deuda vencida",IF(AND(N($G22)&gt;0,$H22&gt;=Resumen!$C$5*$G22),"Cerca del límite","Al día")))))</f>
        <v/>
      </c>
      <c r="M22" s="16" t="str">
        <f aca="false">IF($B22="","",IFERROR(1/(1/_xlfn.MAXIFS(Movimientos!$A$2:$A$501,Movimientos!$B$2:$B$501,$B22,Movimientos!$C$2:$C$501,"Cobro")),"—"))</f>
        <v/>
      </c>
      <c r="N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1"/>
      <c r="G23" s="12"/>
      <c r="H23" s="13" t="str">
        <f aca="false">IF($B23="","",SUMIFS(Movimientos!$G$2:$G$501,Movimientos!$B$2:$B$501,$B23)-SUMIFS(Movimientos!$H$2:$H$501,Movimientos!$B$2:$B$501,$B23))</f>
        <v/>
      </c>
      <c r="I23" s="13" t="str">
        <f aca="false">IF(OR($B23="",$G23=""),"",$G23-$H23)</f>
        <v/>
      </c>
      <c r="J23" s="14" t="str">
        <f aca="false">IF(OR($B23="",N($G23)=0),"",MAX(0,$H23)/$G23)</f>
        <v/>
      </c>
      <c r="K23" s="13" t="str">
        <f aca="false">IF($B23="","",MAX(0,$H23)-MIN(MAX(0,$H23),SUMIFS(Movimientos!$G$2:$G$501,Movimientos!$B$2:$B$501,$B23,Movimientos!$I$2:$I$501,"&gt;="&amp;Resumen!$C$4)))</f>
        <v/>
      </c>
      <c r="L23" s="15" t="str">
        <f aca="false">IF($B23="","",IF(N($H23)&lt;=0,"Sin deuda",IF(AND(N($G23)&gt;0,$H23&gt;$G23),"Excedido",IF(N($K23)&gt;0,"Con deuda vencida",IF(AND(N($G23)&gt;0,$H23&gt;=Resumen!$C$5*$G23),"Cerca del límite","Al día")))))</f>
        <v/>
      </c>
      <c r="M23" s="16" t="str">
        <f aca="false">IF($B23="","",IFERROR(1/(1/_xlfn.MAXIFS(Movimientos!$A$2:$A$501,Movimientos!$B$2:$B$501,$B23,Movimientos!$C$2:$C$501,"Cobro")),"—"))</f>
        <v/>
      </c>
      <c r="N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1"/>
      <c r="G24" s="12"/>
      <c r="H24" s="13" t="str">
        <f aca="false">IF($B24="","",SUMIFS(Movimientos!$G$2:$G$501,Movimientos!$B$2:$B$501,$B24)-SUMIFS(Movimientos!$H$2:$H$501,Movimientos!$B$2:$B$501,$B24))</f>
        <v/>
      </c>
      <c r="I24" s="13" t="str">
        <f aca="false">IF(OR($B24="",$G24=""),"",$G24-$H24)</f>
        <v/>
      </c>
      <c r="J24" s="14" t="str">
        <f aca="false">IF(OR($B24="",N($G24)=0),"",MAX(0,$H24)/$G24)</f>
        <v/>
      </c>
      <c r="K24" s="13" t="str">
        <f aca="false">IF($B24="","",MAX(0,$H24)-MIN(MAX(0,$H24),SUMIFS(Movimientos!$G$2:$G$501,Movimientos!$B$2:$B$501,$B24,Movimientos!$I$2:$I$501,"&gt;="&amp;Resumen!$C$4)))</f>
        <v/>
      </c>
      <c r="L24" s="15" t="str">
        <f aca="false">IF($B24="","",IF(N($H24)&lt;=0,"Sin deuda",IF(AND(N($G24)&gt;0,$H24&gt;$G24),"Excedido",IF(N($K24)&gt;0,"Con deuda vencida",IF(AND(N($G24)&gt;0,$H24&gt;=Resumen!$C$5*$G24),"Cerca del límite","Al día")))))</f>
        <v/>
      </c>
      <c r="M24" s="16" t="str">
        <f aca="false">IF($B24="","",IFERROR(1/(1/_xlfn.MAXIFS(Movimientos!$A$2:$A$501,Movimientos!$B$2:$B$501,$B24,Movimientos!$C$2:$C$501,"Cobro")),"—"))</f>
        <v/>
      </c>
      <c r="N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1"/>
      <c r="G25" s="12"/>
      <c r="H25" s="13" t="str">
        <f aca="false">IF($B25="","",SUMIFS(Movimientos!$G$2:$G$501,Movimientos!$B$2:$B$501,$B25)-SUMIFS(Movimientos!$H$2:$H$501,Movimientos!$B$2:$B$501,$B25))</f>
        <v/>
      </c>
      <c r="I25" s="13" t="str">
        <f aca="false">IF(OR($B25="",$G25=""),"",$G25-$H25)</f>
        <v/>
      </c>
      <c r="J25" s="14" t="str">
        <f aca="false">IF(OR($B25="",N($G25)=0),"",MAX(0,$H25)/$G25)</f>
        <v/>
      </c>
      <c r="K25" s="13" t="str">
        <f aca="false">IF($B25="","",MAX(0,$H25)-MIN(MAX(0,$H25),SUMIFS(Movimientos!$G$2:$G$501,Movimientos!$B$2:$B$501,$B25,Movimientos!$I$2:$I$501,"&gt;="&amp;Resumen!$C$4)))</f>
        <v/>
      </c>
      <c r="L25" s="15" t="str">
        <f aca="false">IF($B25="","",IF(N($H25)&lt;=0,"Sin deuda",IF(AND(N($G25)&gt;0,$H25&gt;$G25),"Excedido",IF(N($K25)&gt;0,"Con deuda vencida",IF(AND(N($G25)&gt;0,$H25&gt;=Resumen!$C$5*$G25),"Cerca del límite","Al día")))))</f>
        <v/>
      </c>
      <c r="M25" s="16" t="str">
        <f aca="false">IF($B25="","",IFERROR(1/(1/_xlfn.MAXIFS(Movimientos!$A$2:$A$501,Movimientos!$B$2:$B$501,$B25,Movimientos!$C$2:$C$501,"Cobro")),"—"))</f>
        <v/>
      </c>
      <c r="N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1"/>
      <c r="G26" s="12"/>
      <c r="H26" s="13" t="str">
        <f aca="false">IF($B26="","",SUMIFS(Movimientos!$G$2:$G$501,Movimientos!$B$2:$B$501,$B26)-SUMIFS(Movimientos!$H$2:$H$501,Movimientos!$B$2:$B$501,$B26))</f>
        <v/>
      </c>
      <c r="I26" s="13" t="str">
        <f aca="false">IF(OR($B26="",$G26=""),"",$G26-$H26)</f>
        <v/>
      </c>
      <c r="J26" s="14" t="str">
        <f aca="false">IF(OR($B26="",N($G26)=0),"",MAX(0,$H26)/$G26)</f>
        <v/>
      </c>
      <c r="K26" s="13" t="str">
        <f aca="false">IF($B26="","",MAX(0,$H26)-MIN(MAX(0,$H26),SUMIFS(Movimientos!$G$2:$G$501,Movimientos!$B$2:$B$501,$B26,Movimientos!$I$2:$I$501,"&gt;="&amp;Resumen!$C$4)))</f>
        <v/>
      </c>
      <c r="L26" s="15" t="str">
        <f aca="false">IF($B26="","",IF(N($H26)&lt;=0,"Sin deuda",IF(AND(N($G26)&gt;0,$H26&gt;$G26),"Excedido",IF(N($K26)&gt;0,"Con deuda vencida",IF(AND(N($G26)&gt;0,$H26&gt;=Resumen!$C$5*$G26),"Cerca del límite","Al día")))))</f>
        <v/>
      </c>
      <c r="M26" s="16" t="str">
        <f aca="false">IF($B26="","",IFERROR(1/(1/_xlfn.MAXIFS(Movimientos!$A$2:$A$501,Movimientos!$B$2:$B$501,$B26,Movimientos!$C$2:$C$501,"Cobro")),"—"))</f>
        <v/>
      </c>
      <c r="N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1"/>
      <c r="G27" s="12"/>
      <c r="H27" s="13" t="str">
        <f aca="false">IF($B27="","",SUMIFS(Movimientos!$G$2:$G$501,Movimientos!$B$2:$B$501,$B27)-SUMIFS(Movimientos!$H$2:$H$501,Movimientos!$B$2:$B$501,$B27))</f>
        <v/>
      </c>
      <c r="I27" s="13" t="str">
        <f aca="false">IF(OR($B27="",$G27=""),"",$G27-$H27)</f>
        <v/>
      </c>
      <c r="J27" s="14" t="str">
        <f aca="false">IF(OR($B27="",N($G27)=0),"",MAX(0,$H27)/$G27)</f>
        <v/>
      </c>
      <c r="K27" s="13" t="str">
        <f aca="false">IF($B27="","",MAX(0,$H27)-MIN(MAX(0,$H27),SUMIFS(Movimientos!$G$2:$G$501,Movimientos!$B$2:$B$501,$B27,Movimientos!$I$2:$I$501,"&gt;="&amp;Resumen!$C$4)))</f>
        <v/>
      </c>
      <c r="L27" s="15" t="str">
        <f aca="false">IF($B27="","",IF(N($H27)&lt;=0,"Sin deuda",IF(AND(N($G27)&gt;0,$H27&gt;$G27),"Excedido",IF(N($K27)&gt;0,"Con deuda vencida",IF(AND(N($G27)&gt;0,$H27&gt;=Resumen!$C$5*$G27),"Cerca del límite","Al día")))))</f>
        <v/>
      </c>
      <c r="M27" s="16" t="str">
        <f aca="false">IF($B27="","",IFERROR(1/(1/_xlfn.MAXIFS(Movimientos!$A$2:$A$501,Movimientos!$B$2:$B$501,$B27,Movimientos!$C$2:$C$501,"Cobro")),"—"))</f>
        <v/>
      </c>
      <c r="N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1"/>
      <c r="G28" s="12"/>
      <c r="H28" s="13" t="str">
        <f aca="false">IF($B28="","",SUMIFS(Movimientos!$G$2:$G$501,Movimientos!$B$2:$B$501,$B28)-SUMIFS(Movimientos!$H$2:$H$501,Movimientos!$B$2:$B$501,$B28))</f>
        <v/>
      </c>
      <c r="I28" s="13" t="str">
        <f aca="false">IF(OR($B28="",$G28=""),"",$G28-$H28)</f>
        <v/>
      </c>
      <c r="J28" s="14" t="str">
        <f aca="false">IF(OR($B28="",N($G28)=0),"",MAX(0,$H28)/$G28)</f>
        <v/>
      </c>
      <c r="K28" s="13" t="str">
        <f aca="false">IF($B28="","",MAX(0,$H28)-MIN(MAX(0,$H28),SUMIFS(Movimientos!$G$2:$G$501,Movimientos!$B$2:$B$501,$B28,Movimientos!$I$2:$I$501,"&gt;="&amp;Resumen!$C$4)))</f>
        <v/>
      </c>
      <c r="L28" s="15" t="str">
        <f aca="false">IF($B28="","",IF(N($H28)&lt;=0,"Sin deuda",IF(AND(N($G28)&gt;0,$H28&gt;$G28),"Excedido",IF(N($K28)&gt;0,"Con deuda vencida",IF(AND(N($G28)&gt;0,$H28&gt;=Resumen!$C$5*$G28),"Cerca del límite","Al día")))))</f>
        <v/>
      </c>
      <c r="M28" s="16" t="str">
        <f aca="false">IF($B28="","",IFERROR(1/(1/_xlfn.MAXIFS(Movimientos!$A$2:$A$501,Movimientos!$B$2:$B$501,$B28,Movimientos!$C$2:$C$501,"Cobro")),"—"))</f>
        <v/>
      </c>
      <c r="N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1"/>
      <c r="G29" s="12"/>
      <c r="H29" s="13" t="str">
        <f aca="false">IF($B29="","",SUMIFS(Movimientos!$G$2:$G$501,Movimientos!$B$2:$B$501,$B29)-SUMIFS(Movimientos!$H$2:$H$501,Movimientos!$B$2:$B$501,$B29))</f>
        <v/>
      </c>
      <c r="I29" s="13" t="str">
        <f aca="false">IF(OR($B29="",$G29=""),"",$G29-$H29)</f>
        <v/>
      </c>
      <c r="J29" s="14" t="str">
        <f aca="false">IF(OR($B29="",N($G29)=0),"",MAX(0,$H29)/$G29)</f>
        <v/>
      </c>
      <c r="K29" s="13" t="str">
        <f aca="false">IF($B29="","",MAX(0,$H29)-MIN(MAX(0,$H29),SUMIFS(Movimientos!$G$2:$G$501,Movimientos!$B$2:$B$501,$B29,Movimientos!$I$2:$I$501,"&gt;="&amp;Resumen!$C$4)))</f>
        <v/>
      </c>
      <c r="L29" s="15" t="str">
        <f aca="false">IF($B29="","",IF(N($H29)&lt;=0,"Sin deuda",IF(AND(N($G29)&gt;0,$H29&gt;$G29),"Excedido",IF(N($K29)&gt;0,"Con deuda vencida",IF(AND(N($G29)&gt;0,$H29&gt;=Resumen!$C$5*$G29),"Cerca del límite","Al día")))))</f>
        <v/>
      </c>
      <c r="M29" s="16" t="str">
        <f aca="false">IF($B29="","",IFERROR(1/(1/_xlfn.MAXIFS(Movimientos!$A$2:$A$501,Movimientos!$B$2:$B$501,$B29,Movimientos!$C$2:$C$501,"Cobro")),"—"))</f>
        <v/>
      </c>
      <c r="N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1"/>
      <c r="G30" s="12"/>
      <c r="H30" s="13" t="str">
        <f aca="false">IF($B30="","",SUMIFS(Movimientos!$G$2:$G$501,Movimientos!$B$2:$B$501,$B30)-SUMIFS(Movimientos!$H$2:$H$501,Movimientos!$B$2:$B$501,$B30))</f>
        <v/>
      </c>
      <c r="I30" s="13" t="str">
        <f aca="false">IF(OR($B30="",$G30=""),"",$G30-$H30)</f>
        <v/>
      </c>
      <c r="J30" s="14" t="str">
        <f aca="false">IF(OR($B30="",N($G30)=0),"",MAX(0,$H30)/$G30)</f>
        <v/>
      </c>
      <c r="K30" s="13" t="str">
        <f aca="false">IF($B30="","",MAX(0,$H30)-MIN(MAX(0,$H30),SUMIFS(Movimientos!$G$2:$G$501,Movimientos!$B$2:$B$501,$B30,Movimientos!$I$2:$I$501,"&gt;="&amp;Resumen!$C$4)))</f>
        <v/>
      </c>
      <c r="L30" s="15" t="str">
        <f aca="false">IF($B30="","",IF(N($H30)&lt;=0,"Sin deuda",IF(AND(N($G30)&gt;0,$H30&gt;$G30),"Excedido",IF(N($K30)&gt;0,"Con deuda vencida",IF(AND(N($G30)&gt;0,$H30&gt;=Resumen!$C$5*$G30),"Cerca del límite","Al día")))))</f>
        <v/>
      </c>
      <c r="M30" s="16" t="str">
        <f aca="false">IF($B30="","",IFERROR(1/(1/_xlfn.MAXIFS(Movimientos!$A$2:$A$501,Movimientos!$B$2:$B$501,$B30,Movimientos!$C$2:$C$501,"Cobro")),"—"))</f>
        <v/>
      </c>
      <c r="N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1"/>
      <c r="G31" s="12"/>
      <c r="H31" s="13" t="str">
        <f aca="false">IF($B31="","",SUMIFS(Movimientos!$G$2:$G$501,Movimientos!$B$2:$B$501,$B31)-SUMIFS(Movimientos!$H$2:$H$501,Movimientos!$B$2:$B$501,$B31))</f>
        <v/>
      </c>
      <c r="I31" s="13" t="str">
        <f aca="false">IF(OR($B31="",$G31=""),"",$G31-$H31)</f>
        <v/>
      </c>
      <c r="J31" s="14" t="str">
        <f aca="false">IF(OR($B31="",N($G31)=0),"",MAX(0,$H31)/$G31)</f>
        <v/>
      </c>
      <c r="K31" s="13" t="str">
        <f aca="false">IF($B31="","",MAX(0,$H31)-MIN(MAX(0,$H31),SUMIFS(Movimientos!$G$2:$G$501,Movimientos!$B$2:$B$501,$B31,Movimientos!$I$2:$I$501,"&gt;="&amp;Resumen!$C$4)))</f>
        <v/>
      </c>
      <c r="L31" s="15" t="str">
        <f aca="false">IF($B31="","",IF(N($H31)&lt;=0,"Sin deuda",IF(AND(N($G31)&gt;0,$H31&gt;$G31),"Excedido",IF(N($K31)&gt;0,"Con deuda vencida",IF(AND(N($G31)&gt;0,$H31&gt;=Resumen!$C$5*$G31),"Cerca del límite","Al día")))))</f>
        <v/>
      </c>
      <c r="M31" s="16" t="str">
        <f aca="false">IF($B31="","",IFERROR(1/(1/_xlfn.MAXIFS(Movimientos!$A$2:$A$501,Movimientos!$B$2:$B$501,$B31,Movimientos!$C$2:$C$501,"Cobro")),"—"))</f>
        <v/>
      </c>
      <c r="N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1"/>
      <c r="G32" s="12"/>
      <c r="H32" s="13" t="str">
        <f aca="false">IF($B32="","",SUMIFS(Movimientos!$G$2:$G$501,Movimientos!$B$2:$B$501,$B32)-SUMIFS(Movimientos!$H$2:$H$501,Movimientos!$B$2:$B$501,$B32))</f>
        <v/>
      </c>
      <c r="I32" s="13" t="str">
        <f aca="false">IF(OR($B32="",$G32=""),"",$G32-$H32)</f>
        <v/>
      </c>
      <c r="J32" s="14" t="str">
        <f aca="false">IF(OR($B32="",N($G32)=0),"",MAX(0,$H32)/$G32)</f>
        <v/>
      </c>
      <c r="K32" s="13" t="str">
        <f aca="false">IF($B32="","",MAX(0,$H32)-MIN(MAX(0,$H32),SUMIFS(Movimientos!$G$2:$G$501,Movimientos!$B$2:$B$501,$B32,Movimientos!$I$2:$I$501,"&gt;="&amp;Resumen!$C$4)))</f>
        <v/>
      </c>
      <c r="L32" s="15" t="str">
        <f aca="false">IF($B32="","",IF(N($H32)&lt;=0,"Sin deuda",IF(AND(N($G32)&gt;0,$H32&gt;$G32),"Excedido",IF(N($K32)&gt;0,"Con deuda vencida",IF(AND(N($G32)&gt;0,$H32&gt;=Resumen!$C$5*$G32),"Cerca del límite","Al día")))))</f>
        <v/>
      </c>
      <c r="M32" s="16" t="str">
        <f aca="false">IF($B32="","",IFERROR(1/(1/_xlfn.MAXIFS(Movimientos!$A$2:$A$501,Movimientos!$B$2:$B$501,$B32,Movimientos!$C$2:$C$501,"Cobro")),"—"))</f>
        <v/>
      </c>
      <c r="N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1"/>
      <c r="G33" s="12"/>
      <c r="H33" s="13" t="str">
        <f aca="false">IF($B33="","",SUMIFS(Movimientos!$G$2:$G$501,Movimientos!$B$2:$B$501,$B33)-SUMIFS(Movimientos!$H$2:$H$501,Movimientos!$B$2:$B$501,$B33))</f>
        <v/>
      </c>
      <c r="I33" s="13" t="str">
        <f aca="false">IF(OR($B33="",$G33=""),"",$G33-$H33)</f>
        <v/>
      </c>
      <c r="J33" s="14" t="str">
        <f aca="false">IF(OR($B33="",N($G33)=0),"",MAX(0,$H33)/$G33)</f>
        <v/>
      </c>
      <c r="K33" s="13" t="str">
        <f aca="false">IF($B33="","",MAX(0,$H33)-MIN(MAX(0,$H33),SUMIFS(Movimientos!$G$2:$G$501,Movimientos!$B$2:$B$501,$B33,Movimientos!$I$2:$I$501,"&gt;="&amp;Resumen!$C$4)))</f>
        <v/>
      </c>
      <c r="L33" s="15" t="str">
        <f aca="false">IF($B33="","",IF(N($H33)&lt;=0,"Sin deuda",IF(AND(N($G33)&gt;0,$H33&gt;$G33),"Excedido",IF(N($K33)&gt;0,"Con deuda vencida",IF(AND(N($G33)&gt;0,$H33&gt;=Resumen!$C$5*$G33),"Cerca del límite","Al día")))))</f>
        <v/>
      </c>
      <c r="M33" s="16" t="str">
        <f aca="false">IF($B33="","",IFERROR(1/(1/_xlfn.MAXIFS(Movimientos!$A$2:$A$501,Movimientos!$B$2:$B$501,$B33,Movimientos!$C$2:$C$501,"Cobro")),"—"))</f>
        <v/>
      </c>
      <c r="N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1"/>
      <c r="G34" s="12"/>
      <c r="H34" s="13" t="str">
        <f aca="false">IF($B34="","",SUMIFS(Movimientos!$G$2:$G$501,Movimientos!$B$2:$B$501,$B34)-SUMIFS(Movimientos!$H$2:$H$501,Movimientos!$B$2:$B$501,$B34))</f>
        <v/>
      </c>
      <c r="I34" s="13" t="str">
        <f aca="false">IF(OR($B34="",$G34=""),"",$G34-$H34)</f>
        <v/>
      </c>
      <c r="J34" s="14" t="str">
        <f aca="false">IF(OR($B34="",N($G34)=0),"",MAX(0,$H34)/$G34)</f>
        <v/>
      </c>
      <c r="K34" s="13" t="str">
        <f aca="false">IF($B34="","",MAX(0,$H34)-MIN(MAX(0,$H34),SUMIFS(Movimientos!$G$2:$G$501,Movimientos!$B$2:$B$501,$B34,Movimientos!$I$2:$I$501,"&gt;="&amp;Resumen!$C$4)))</f>
        <v/>
      </c>
      <c r="L34" s="15" t="str">
        <f aca="false">IF($B34="","",IF(N($H34)&lt;=0,"Sin deuda",IF(AND(N($G34)&gt;0,$H34&gt;$G34),"Excedido",IF(N($K34)&gt;0,"Con deuda vencida",IF(AND(N($G34)&gt;0,$H34&gt;=Resumen!$C$5*$G34),"Cerca del límite","Al día")))))</f>
        <v/>
      </c>
      <c r="M34" s="16" t="str">
        <f aca="false">IF($B34="","",IFERROR(1/(1/_xlfn.MAXIFS(Movimientos!$A$2:$A$501,Movimientos!$B$2:$B$501,$B34,Movimientos!$C$2:$C$501,"Cobro")),"—"))</f>
        <v/>
      </c>
      <c r="N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1"/>
      <c r="G35" s="12"/>
      <c r="H35" s="13" t="str">
        <f aca="false">IF($B35="","",SUMIFS(Movimientos!$G$2:$G$501,Movimientos!$B$2:$B$501,$B35)-SUMIFS(Movimientos!$H$2:$H$501,Movimientos!$B$2:$B$501,$B35))</f>
        <v/>
      </c>
      <c r="I35" s="13" t="str">
        <f aca="false">IF(OR($B35="",$G35=""),"",$G35-$H35)</f>
        <v/>
      </c>
      <c r="J35" s="14" t="str">
        <f aca="false">IF(OR($B35="",N($G35)=0),"",MAX(0,$H35)/$G35)</f>
        <v/>
      </c>
      <c r="K35" s="13" t="str">
        <f aca="false">IF($B35="","",MAX(0,$H35)-MIN(MAX(0,$H35),SUMIFS(Movimientos!$G$2:$G$501,Movimientos!$B$2:$B$501,$B35,Movimientos!$I$2:$I$501,"&gt;="&amp;Resumen!$C$4)))</f>
        <v/>
      </c>
      <c r="L35" s="15" t="str">
        <f aca="false">IF($B35="","",IF(N($H35)&lt;=0,"Sin deuda",IF(AND(N($G35)&gt;0,$H35&gt;$G35),"Excedido",IF(N($K35)&gt;0,"Con deuda vencida",IF(AND(N($G35)&gt;0,$H35&gt;=Resumen!$C$5*$G35),"Cerca del límite","Al día")))))</f>
        <v/>
      </c>
      <c r="M35" s="16" t="str">
        <f aca="false">IF($B35="","",IFERROR(1/(1/_xlfn.MAXIFS(Movimientos!$A$2:$A$501,Movimientos!$B$2:$B$501,$B35,Movimientos!$C$2:$C$501,"Cobro")),"—"))</f>
        <v/>
      </c>
      <c r="N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1"/>
      <c r="G36" s="12"/>
      <c r="H36" s="13" t="str">
        <f aca="false">IF($B36="","",SUMIFS(Movimientos!$G$2:$G$501,Movimientos!$B$2:$B$501,$B36)-SUMIFS(Movimientos!$H$2:$H$501,Movimientos!$B$2:$B$501,$B36))</f>
        <v/>
      </c>
      <c r="I36" s="13" t="str">
        <f aca="false">IF(OR($B36="",$G36=""),"",$G36-$H36)</f>
        <v/>
      </c>
      <c r="J36" s="14" t="str">
        <f aca="false">IF(OR($B36="",N($G36)=0),"",MAX(0,$H36)/$G36)</f>
        <v/>
      </c>
      <c r="K36" s="13" t="str">
        <f aca="false">IF($B36="","",MAX(0,$H36)-MIN(MAX(0,$H36),SUMIFS(Movimientos!$G$2:$G$501,Movimientos!$B$2:$B$501,$B36,Movimientos!$I$2:$I$501,"&gt;="&amp;Resumen!$C$4)))</f>
        <v/>
      </c>
      <c r="L36" s="15" t="str">
        <f aca="false">IF($B36="","",IF(N($H36)&lt;=0,"Sin deuda",IF(AND(N($G36)&gt;0,$H36&gt;$G36),"Excedido",IF(N($K36)&gt;0,"Con deuda vencida",IF(AND(N($G36)&gt;0,$H36&gt;=Resumen!$C$5*$G36),"Cerca del límite","Al día")))))</f>
        <v/>
      </c>
      <c r="M36" s="16" t="str">
        <f aca="false">IF($B36="","",IFERROR(1/(1/_xlfn.MAXIFS(Movimientos!$A$2:$A$501,Movimientos!$B$2:$B$501,$B36,Movimientos!$C$2:$C$501,"Cobro")),"—"))</f>
        <v/>
      </c>
      <c r="N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1"/>
      <c r="G37" s="12"/>
      <c r="H37" s="13" t="str">
        <f aca="false">IF($B37="","",SUMIFS(Movimientos!$G$2:$G$501,Movimientos!$B$2:$B$501,$B37)-SUMIFS(Movimientos!$H$2:$H$501,Movimientos!$B$2:$B$501,$B37))</f>
        <v/>
      </c>
      <c r="I37" s="13" t="str">
        <f aca="false">IF(OR($B37="",$G37=""),"",$G37-$H37)</f>
        <v/>
      </c>
      <c r="J37" s="14" t="str">
        <f aca="false">IF(OR($B37="",N($G37)=0),"",MAX(0,$H37)/$G37)</f>
        <v/>
      </c>
      <c r="K37" s="13" t="str">
        <f aca="false">IF($B37="","",MAX(0,$H37)-MIN(MAX(0,$H37),SUMIFS(Movimientos!$G$2:$G$501,Movimientos!$B$2:$B$501,$B37,Movimientos!$I$2:$I$501,"&gt;="&amp;Resumen!$C$4)))</f>
        <v/>
      </c>
      <c r="L37" s="15" t="str">
        <f aca="false">IF($B37="","",IF(N($H37)&lt;=0,"Sin deuda",IF(AND(N($G37)&gt;0,$H37&gt;$G37),"Excedido",IF(N($K37)&gt;0,"Con deuda vencida",IF(AND(N($G37)&gt;0,$H37&gt;=Resumen!$C$5*$G37),"Cerca del límite","Al día")))))</f>
        <v/>
      </c>
      <c r="M37" s="16" t="str">
        <f aca="false">IF($B37="","",IFERROR(1/(1/_xlfn.MAXIFS(Movimientos!$A$2:$A$501,Movimientos!$B$2:$B$501,$B37,Movimientos!$C$2:$C$501,"Cobro")),"—"))</f>
        <v/>
      </c>
      <c r="N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1"/>
      <c r="G38" s="12"/>
      <c r="H38" s="13" t="str">
        <f aca="false">IF($B38="","",SUMIFS(Movimientos!$G$2:$G$501,Movimientos!$B$2:$B$501,$B38)-SUMIFS(Movimientos!$H$2:$H$501,Movimientos!$B$2:$B$501,$B38))</f>
        <v/>
      </c>
      <c r="I38" s="13" t="str">
        <f aca="false">IF(OR($B38="",$G38=""),"",$G38-$H38)</f>
        <v/>
      </c>
      <c r="J38" s="14" t="str">
        <f aca="false">IF(OR($B38="",N($G38)=0),"",MAX(0,$H38)/$G38)</f>
        <v/>
      </c>
      <c r="K38" s="13" t="str">
        <f aca="false">IF($B38="","",MAX(0,$H38)-MIN(MAX(0,$H38),SUMIFS(Movimientos!$G$2:$G$501,Movimientos!$B$2:$B$501,$B38,Movimientos!$I$2:$I$501,"&gt;="&amp;Resumen!$C$4)))</f>
        <v/>
      </c>
      <c r="L38" s="15" t="str">
        <f aca="false">IF($B38="","",IF(N($H38)&lt;=0,"Sin deuda",IF(AND(N($G38)&gt;0,$H38&gt;$G38),"Excedido",IF(N($K38)&gt;0,"Con deuda vencida",IF(AND(N($G38)&gt;0,$H38&gt;=Resumen!$C$5*$G38),"Cerca del límite","Al día")))))</f>
        <v/>
      </c>
      <c r="M38" s="16" t="str">
        <f aca="false">IF($B38="","",IFERROR(1/(1/_xlfn.MAXIFS(Movimientos!$A$2:$A$501,Movimientos!$B$2:$B$501,$B38,Movimientos!$C$2:$C$501,"Cobro")),"—"))</f>
        <v/>
      </c>
      <c r="N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1"/>
      <c r="G39" s="12"/>
      <c r="H39" s="13" t="str">
        <f aca="false">IF($B39="","",SUMIFS(Movimientos!$G$2:$G$501,Movimientos!$B$2:$B$501,$B39)-SUMIFS(Movimientos!$H$2:$H$501,Movimientos!$B$2:$B$501,$B39))</f>
        <v/>
      </c>
      <c r="I39" s="13" t="str">
        <f aca="false">IF(OR($B39="",$G39=""),"",$G39-$H39)</f>
        <v/>
      </c>
      <c r="J39" s="14" t="str">
        <f aca="false">IF(OR($B39="",N($G39)=0),"",MAX(0,$H39)/$G39)</f>
        <v/>
      </c>
      <c r="K39" s="13" t="str">
        <f aca="false">IF($B39="","",MAX(0,$H39)-MIN(MAX(0,$H39),SUMIFS(Movimientos!$G$2:$G$501,Movimientos!$B$2:$B$501,$B39,Movimientos!$I$2:$I$501,"&gt;="&amp;Resumen!$C$4)))</f>
        <v/>
      </c>
      <c r="L39" s="15" t="str">
        <f aca="false">IF($B39="","",IF(N($H39)&lt;=0,"Sin deuda",IF(AND(N($G39)&gt;0,$H39&gt;$G39),"Excedido",IF(N($K39)&gt;0,"Con deuda vencida",IF(AND(N($G39)&gt;0,$H39&gt;=Resumen!$C$5*$G39),"Cerca del límite","Al día")))))</f>
        <v/>
      </c>
      <c r="M39" s="16" t="str">
        <f aca="false">IF($B39="","",IFERROR(1/(1/_xlfn.MAXIFS(Movimientos!$A$2:$A$501,Movimientos!$B$2:$B$501,$B39,Movimientos!$C$2:$C$501,"Cobro")),"—"))</f>
        <v/>
      </c>
      <c r="N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1"/>
      <c r="G40" s="12"/>
      <c r="H40" s="13" t="str">
        <f aca="false">IF($B40="","",SUMIFS(Movimientos!$G$2:$G$501,Movimientos!$B$2:$B$501,$B40)-SUMIFS(Movimientos!$H$2:$H$501,Movimientos!$B$2:$B$501,$B40))</f>
        <v/>
      </c>
      <c r="I40" s="13" t="str">
        <f aca="false">IF(OR($B40="",$G40=""),"",$G40-$H40)</f>
        <v/>
      </c>
      <c r="J40" s="14" t="str">
        <f aca="false">IF(OR($B40="",N($G40)=0),"",MAX(0,$H40)/$G40)</f>
        <v/>
      </c>
      <c r="K40" s="13" t="str">
        <f aca="false">IF($B40="","",MAX(0,$H40)-MIN(MAX(0,$H40),SUMIFS(Movimientos!$G$2:$G$501,Movimientos!$B$2:$B$501,$B40,Movimientos!$I$2:$I$501,"&gt;="&amp;Resumen!$C$4)))</f>
        <v/>
      </c>
      <c r="L40" s="15" t="str">
        <f aca="false">IF($B40="","",IF(N($H40)&lt;=0,"Sin deuda",IF(AND(N($G40)&gt;0,$H40&gt;$G40),"Excedido",IF(N($K40)&gt;0,"Con deuda vencida",IF(AND(N($G40)&gt;0,$H40&gt;=Resumen!$C$5*$G40),"Cerca del límite","Al día")))))</f>
        <v/>
      </c>
      <c r="M40" s="16" t="str">
        <f aca="false">IF($B40="","",IFERROR(1/(1/_xlfn.MAXIFS(Movimientos!$A$2:$A$501,Movimientos!$B$2:$B$501,$B40,Movimientos!$C$2:$C$501,"Cobro")),"—"))</f>
        <v/>
      </c>
      <c r="N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1"/>
      <c r="G41" s="12"/>
      <c r="H41" s="13" t="str">
        <f aca="false">IF($B41="","",SUMIFS(Movimientos!$G$2:$G$501,Movimientos!$B$2:$B$501,$B41)-SUMIFS(Movimientos!$H$2:$H$501,Movimientos!$B$2:$B$501,$B41))</f>
        <v/>
      </c>
      <c r="I41" s="13" t="str">
        <f aca="false">IF(OR($B41="",$G41=""),"",$G41-$H41)</f>
        <v/>
      </c>
      <c r="J41" s="14" t="str">
        <f aca="false">IF(OR($B41="",N($G41)=0),"",MAX(0,$H41)/$G41)</f>
        <v/>
      </c>
      <c r="K41" s="13" t="str">
        <f aca="false">IF($B41="","",MAX(0,$H41)-MIN(MAX(0,$H41),SUMIFS(Movimientos!$G$2:$G$501,Movimientos!$B$2:$B$501,$B41,Movimientos!$I$2:$I$501,"&gt;="&amp;Resumen!$C$4)))</f>
        <v/>
      </c>
      <c r="L41" s="15" t="str">
        <f aca="false">IF($B41="","",IF(N($H41)&lt;=0,"Sin deuda",IF(AND(N($G41)&gt;0,$H41&gt;$G41),"Excedido",IF(N($K41)&gt;0,"Con deuda vencida",IF(AND(N($G41)&gt;0,$H41&gt;=Resumen!$C$5*$G41),"Cerca del límite","Al día")))))</f>
        <v/>
      </c>
      <c r="M41" s="16" t="str">
        <f aca="false">IF($B41="","",IFERROR(1/(1/_xlfn.MAXIFS(Movimientos!$A$2:$A$501,Movimientos!$B$2:$B$501,$B41,Movimientos!$C$2:$C$501,"Cobro")),"—"))</f>
        <v/>
      </c>
      <c r="N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1"/>
      <c r="G42" s="12"/>
      <c r="H42" s="13" t="str">
        <f aca="false">IF($B42="","",SUMIFS(Movimientos!$G$2:$G$501,Movimientos!$B$2:$B$501,$B42)-SUMIFS(Movimientos!$H$2:$H$501,Movimientos!$B$2:$B$501,$B42))</f>
        <v/>
      </c>
      <c r="I42" s="13" t="str">
        <f aca="false">IF(OR($B42="",$G42=""),"",$G42-$H42)</f>
        <v/>
      </c>
      <c r="J42" s="14" t="str">
        <f aca="false">IF(OR($B42="",N($G42)=0),"",MAX(0,$H42)/$G42)</f>
        <v/>
      </c>
      <c r="K42" s="13" t="str">
        <f aca="false">IF($B42="","",MAX(0,$H42)-MIN(MAX(0,$H42),SUMIFS(Movimientos!$G$2:$G$501,Movimientos!$B$2:$B$501,$B42,Movimientos!$I$2:$I$501,"&gt;="&amp;Resumen!$C$4)))</f>
        <v/>
      </c>
      <c r="L42" s="15" t="str">
        <f aca="false">IF($B42="","",IF(N($H42)&lt;=0,"Sin deuda",IF(AND(N($G42)&gt;0,$H42&gt;$G42),"Excedido",IF(N($K42)&gt;0,"Con deuda vencida",IF(AND(N($G42)&gt;0,$H42&gt;=Resumen!$C$5*$G42),"Cerca del límite","Al día")))))</f>
        <v/>
      </c>
      <c r="M42" s="16" t="str">
        <f aca="false">IF($B42="","",IFERROR(1/(1/_xlfn.MAXIFS(Movimientos!$A$2:$A$501,Movimientos!$B$2:$B$501,$B42,Movimientos!$C$2:$C$501,"Cobro")),"—"))</f>
        <v/>
      </c>
      <c r="N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1"/>
      <c r="G43" s="12"/>
      <c r="H43" s="13" t="str">
        <f aca="false">IF($B43="","",SUMIFS(Movimientos!$G$2:$G$501,Movimientos!$B$2:$B$501,$B43)-SUMIFS(Movimientos!$H$2:$H$501,Movimientos!$B$2:$B$501,$B43))</f>
        <v/>
      </c>
      <c r="I43" s="13" t="str">
        <f aca="false">IF(OR($B43="",$G43=""),"",$G43-$H43)</f>
        <v/>
      </c>
      <c r="J43" s="14" t="str">
        <f aca="false">IF(OR($B43="",N($G43)=0),"",MAX(0,$H43)/$G43)</f>
        <v/>
      </c>
      <c r="K43" s="13" t="str">
        <f aca="false">IF($B43="","",MAX(0,$H43)-MIN(MAX(0,$H43),SUMIFS(Movimientos!$G$2:$G$501,Movimientos!$B$2:$B$501,$B43,Movimientos!$I$2:$I$501,"&gt;="&amp;Resumen!$C$4)))</f>
        <v/>
      </c>
      <c r="L43" s="15" t="str">
        <f aca="false">IF($B43="","",IF(N($H43)&lt;=0,"Sin deuda",IF(AND(N($G43)&gt;0,$H43&gt;$G43),"Excedido",IF(N($K43)&gt;0,"Con deuda vencida",IF(AND(N($G43)&gt;0,$H43&gt;=Resumen!$C$5*$G43),"Cerca del límite","Al día")))))</f>
        <v/>
      </c>
      <c r="M43" s="16" t="str">
        <f aca="false">IF($B43="","",IFERROR(1/(1/_xlfn.MAXIFS(Movimientos!$A$2:$A$501,Movimientos!$B$2:$B$501,$B43,Movimientos!$C$2:$C$501,"Cobro")),"—"))</f>
        <v/>
      </c>
      <c r="N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1"/>
      <c r="G44" s="12"/>
      <c r="H44" s="13" t="str">
        <f aca="false">IF($B44="","",SUMIFS(Movimientos!$G$2:$G$501,Movimientos!$B$2:$B$501,$B44)-SUMIFS(Movimientos!$H$2:$H$501,Movimientos!$B$2:$B$501,$B44))</f>
        <v/>
      </c>
      <c r="I44" s="13" t="str">
        <f aca="false">IF(OR($B44="",$G44=""),"",$G44-$H44)</f>
        <v/>
      </c>
      <c r="J44" s="14" t="str">
        <f aca="false">IF(OR($B44="",N($G44)=0),"",MAX(0,$H44)/$G44)</f>
        <v/>
      </c>
      <c r="K44" s="13" t="str">
        <f aca="false">IF($B44="","",MAX(0,$H44)-MIN(MAX(0,$H44),SUMIFS(Movimientos!$G$2:$G$501,Movimientos!$B$2:$B$501,$B44,Movimientos!$I$2:$I$501,"&gt;="&amp;Resumen!$C$4)))</f>
        <v/>
      </c>
      <c r="L44" s="15" t="str">
        <f aca="false">IF($B44="","",IF(N($H44)&lt;=0,"Sin deuda",IF(AND(N($G44)&gt;0,$H44&gt;$G44),"Excedido",IF(N($K44)&gt;0,"Con deuda vencida",IF(AND(N($G44)&gt;0,$H44&gt;=Resumen!$C$5*$G44),"Cerca del límite","Al día")))))</f>
        <v/>
      </c>
      <c r="M44" s="16" t="str">
        <f aca="false">IF($B44="","",IFERROR(1/(1/_xlfn.MAXIFS(Movimientos!$A$2:$A$501,Movimientos!$B$2:$B$501,$B44,Movimientos!$C$2:$C$501,"Cobro")),"—"))</f>
        <v/>
      </c>
      <c r="N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1"/>
      <c r="G45" s="12"/>
      <c r="H45" s="13" t="str">
        <f aca="false">IF($B45="","",SUMIFS(Movimientos!$G$2:$G$501,Movimientos!$B$2:$B$501,$B45)-SUMIFS(Movimientos!$H$2:$H$501,Movimientos!$B$2:$B$501,$B45))</f>
        <v/>
      </c>
      <c r="I45" s="13" t="str">
        <f aca="false">IF(OR($B45="",$G45=""),"",$G45-$H45)</f>
        <v/>
      </c>
      <c r="J45" s="14" t="str">
        <f aca="false">IF(OR($B45="",N($G45)=0),"",MAX(0,$H45)/$G45)</f>
        <v/>
      </c>
      <c r="K45" s="13" t="str">
        <f aca="false">IF($B45="","",MAX(0,$H45)-MIN(MAX(0,$H45),SUMIFS(Movimientos!$G$2:$G$501,Movimientos!$B$2:$B$501,$B45,Movimientos!$I$2:$I$501,"&gt;="&amp;Resumen!$C$4)))</f>
        <v/>
      </c>
      <c r="L45" s="15" t="str">
        <f aca="false">IF($B45="","",IF(N($H45)&lt;=0,"Sin deuda",IF(AND(N($G45)&gt;0,$H45&gt;$G45),"Excedido",IF(N($K45)&gt;0,"Con deuda vencida",IF(AND(N($G45)&gt;0,$H45&gt;=Resumen!$C$5*$G45),"Cerca del límite","Al día")))))</f>
        <v/>
      </c>
      <c r="M45" s="16" t="str">
        <f aca="false">IF($B45="","",IFERROR(1/(1/_xlfn.MAXIFS(Movimientos!$A$2:$A$501,Movimientos!$B$2:$B$501,$B45,Movimientos!$C$2:$C$501,"Cobro")),"—"))</f>
        <v/>
      </c>
      <c r="N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1"/>
      <c r="G46" s="12"/>
      <c r="H46" s="13" t="str">
        <f aca="false">IF($B46="","",SUMIFS(Movimientos!$G$2:$G$501,Movimientos!$B$2:$B$501,$B46)-SUMIFS(Movimientos!$H$2:$H$501,Movimientos!$B$2:$B$501,$B46))</f>
        <v/>
      </c>
      <c r="I46" s="13" t="str">
        <f aca="false">IF(OR($B46="",$G46=""),"",$G46-$H46)</f>
        <v/>
      </c>
      <c r="J46" s="14" t="str">
        <f aca="false">IF(OR($B46="",N($G46)=0),"",MAX(0,$H46)/$G46)</f>
        <v/>
      </c>
      <c r="K46" s="13" t="str">
        <f aca="false">IF($B46="","",MAX(0,$H46)-MIN(MAX(0,$H46),SUMIFS(Movimientos!$G$2:$G$501,Movimientos!$B$2:$B$501,$B46,Movimientos!$I$2:$I$501,"&gt;="&amp;Resumen!$C$4)))</f>
        <v/>
      </c>
      <c r="L46" s="15" t="str">
        <f aca="false">IF($B46="","",IF(N($H46)&lt;=0,"Sin deuda",IF(AND(N($G46)&gt;0,$H46&gt;$G46),"Excedido",IF(N($K46)&gt;0,"Con deuda vencida",IF(AND(N($G46)&gt;0,$H46&gt;=Resumen!$C$5*$G46),"Cerca del límite","Al día")))))</f>
        <v/>
      </c>
      <c r="M46" s="16" t="str">
        <f aca="false">IF($B46="","",IFERROR(1/(1/_xlfn.MAXIFS(Movimientos!$A$2:$A$501,Movimientos!$B$2:$B$501,$B46,Movimientos!$C$2:$C$501,"Cobro")),"—"))</f>
        <v/>
      </c>
      <c r="N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1"/>
      <c r="G47" s="12"/>
      <c r="H47" s="13" t="str">
        <f aca="false">IF($B47="","",SUMIFS(Movimientos!$G$2:$G$501,Movimientos!$B$2:$B$501,$B47)-SUMIFS(Movimientos!$H$2:$H$501,Movimientos!$B$2:$B$501,$B47))</f>
        <v/>
      </c>
      <c r="I47" s="13" t="str">
        <f aca="false">IF(OR($B47="",$G47=""),"",$G47-$H47)</f>
        <v/>
      </c>
      <c r="J47" s="14" t="str">
        <f aca="false">IF(OR($B47="",N($G47)=0),"",MAX(0,$H47)/$G47)</f>
        <v/>
      </c>
      <c r="K47" s="13" t="str">
        <f aca="false">IF($B47="","",MAX(0,$H47)-MIN(MAX(0,$H47),SUMIFS(Movimientos!$G$2:$G$501,Movimientos!$B$2:$B$501,$B47,Movimientos!$I$2:$I$501,"&gt;="&amp;Resumen!$C$4)))</f>
        <v/>
      </c>
      <c r="L47" s="15" t="str">
        <f aca="false">IF($B47="","",IF(N($H47)&lt;=0,"Sin deuda",IF(AND(N($G47)&gt;0,$H47&gt;$G47),"Excedido",IF(N($K47)&gt;0,"Con deuda vencida",IF(AND(N($G47)&gt;0,$H47&gt;=Resumen!$C$5*$G47),"Cerca del límite","Al día")))))</f>
        <v/>
      </c>
      <c r="M47" s="16" t="str">
        <f aca="false">IF($B47="","",IFERROR(1/(1/_xlfn.MAXIFS(Movimientos!$A$2:$A$501,Movimientos!$B$2:$B$501,$B47,Movimientos!$C$2:$C$501,"Cobro")),"—"))</f>
        <v/>
      </c>
      <c r="N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1"/>
      <c r="G48" s="12"/>
      <c r="H48" s="13" t="str">
        <f aca="false">IF($B48="","",SUMIFS(Movimientos!$G$2:$G$501,Movimientos!$B$2:$B$501,$B48)-SUMIFS(Movimientos!$H$2:$H$501,Movimientos!$B$2:$B$501,$B48))</f>
        <v/>
      </c>
      <c r="I48" s="13" t="str">
        <f aca="false">IF(OR($B48="",$G48=""),"",$G48-$H48)</f>
        <v/>
      </c>
      <c r="J48" s="14" t="str">
        <f aca="false">IF(OR($B48="",N($G48)=0),"",MAX(0,$H48)/$G48)</f>
        <v/>
      </c>
      <c r="K48" s="13" t="str">
        <f aca="false">IF($B48="","",MAX(0,$H48)-MIN(MAX(0,$H48),SUMIFS(Movimientos!$G$2:$G$501,Movimientos!$B$2:$B$501,$B48,Movimientos!$I$2:$I$501,"&gt;="&amp;Resumen!$C$4)))</f>
        <v/>
      </c>
      <c r="L48" s="15" t="str">
        <f aca="false">IF($B48="","",IF(N($H48)&lt;=0,"Sin deuda",IF(AND(N($G48)&gt;0,$H48&gt;$G48),"Excedido",IF(N($K48)&gt;0,"Con deuda vencida",IF(AND(N($G48)&gt;0,$H48&gt;=Resumen!$C$5*$G48),"Cerca del límite","Al día")))))</f>
        <v/>
      </c>
      <c r="M48" s="16" t="str">
        <f aca="false">IF($B48="","",IFERROR(1/(1/_xlfn.MAXIFS(Movimientos!$A$2:$A$501,Movimientos!$B$2:$B$501,$B48,Movimientos!$C$2:$C$501,"Cobro")),"—"))</f>
        <v/>
      </c>
      <c r="N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1"/>
      <c r="G49" s="12"/>
      <c r="H49" s="13" t="str">
        <f aca="false">IF($B49="","",SUMIFS(Movimientos!$G$2:$G$501,Movimientos!$B$2:$B$501,$B49)-SUMIFS(Movimientos!$H$2:$H$501,Movimientos!$B$2:$B$501,$B49))</f>
        <v/>
      </c>
      <c r="I49" s="13" t="str">
        <f aca="false">IF(OR($B49="",$G49=""),"",$G49-$H49)</f>
        <v/>
      </c>
      <c r="J49" s="14" t="str">
        <f aca="false">IF(OR($B49="",N($G49)=0),"",MAX(0,$H49)/$G49)</f>
        <v/>
      </c>
      <c r="K49" s="13" t="str">
        <f aca="false">IF($B49="","",MAX(0,$H49)-MIN(MAX(0,$H49),SUMIFS(Movimientos!$G$2:$G$501,Movimientos!$B$2:$B$501,$B49,Movimientos!$I$2:$I$501,"&gt;="&amp;Resumen!$C$4)))</f>
        <v/>
      </c>
      <c r="L49" s="15" t="str">
        <f aca="false">IF($B49="","",IF(N($H49)&lt;=0,"Sin deuda",IF(AND(N($G49)&gt;0,$H49&gt;$G49),"Excedido",IF(N($K49)&gt;0,"Con deuda vencida",IF(AND(N($G49)&gt;0,$H49&gt;=Resumen!$C$5*$G49),"Cerca del límite","Al día")))))</f>
        <v/>
      </c>
      <c r="M49" s="16" t="str">
        <f aca="false">IF($B49="","",IFERROR(1/(1/_xlfn.MAXIFS(Movimientos!$A$2:$A$501,Movimientos!$B$2:$B$501,$B49,Movimientos!$C$2:$C$501,"Cobro")),"—"))</f>
        <v/>
      </c>
      <c r="N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1"/>
      <c r="G50" s="12"/>
      <c r="H50" s="13" t="str">
        <f aca="false">IF($B50="","",SUMIFS(Movimientos!$G$2:$G$501,Movimientos!$B$2:$B$501,$B50)-SUMIFS(Movimientos!$H$2:$H$501,Movimientos!$B$2:$B$501,$B50))</f>
        <v/>
      </c>
      <c r="I50" s="13" t="str">
        <f aca="false">IF(OR($B50="",$G50=""),"",$G50-$H50)</f>
        <v/>
      </c>
      <c r="J50" s="14" t="str">
        <f aca="false">IF(OR($B50="",N($G50)=0),"",MAX(0,$H50)/$G50)</f>
        <v/>
      </c>
      <c r="K50" s="13" t="str">
        <f aca="false">IF($B50="","",MAX(0,$H50)-MIN(MAX(0,$H50),SUMIFS(Movimientos!$G$2:$G$501,Movimientos!$B$2:$B$501,$B50,Movimientos!$I$2:$I$501,"&gt;="&amp;Resumen!$C$4)))</f>
        <v/>
      </c>
      <c r="L50" s="15" t="str">
        <f aca="false">IF($B50="","",IF(N($H50)&lt;=0,"Sin deuda",IF(AND(N($G50)&gt;0,$H50&gt;$G50),"Excedido",IF(N($K50)&gt;0,"Con deuda vencida",IF(AND(N($G50)&gt;0,$H50&gt;=Resumen!$C$5*$G50),"Cerca del límite","Al día")))))</f>
        <v/>
      </c>
      <c r="M50" s="16" t="str">
        <f aca="false">IF($B50="","",IFERROR(1/(1/_xlfn.MAXIFS(Movimientos!$A$2:$A$501,Movimientos!$B$2:$B$501,$B50,Movimientos!$C$2:$C$501,"Cobro")),"—"))</f>
        <v/>
      </c>
      <c r="N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1"/>
      <c r="G51" s="12"/>
      <c r="H51" s="13" t="str">
        <f aca="false">IF($B51="","",SUMIFS(Movimientos!$G$2:$G$501,Movimientos!$B$2:$B$501,$B51)-SUMIFS(Movimientos!$H$2:$H$501,Movimientos!$B$2:$B$501,$B51))</f>
        <v/>
      </c>
      <c r="I51" s="13" t="str">
        <f aca="false">IF(OR($B51="",$G51=""),"",$G51-$H51)</f>
        <v/>
      </c>
      <c r="J51" s="14" t="str">
        <f aca="false">IF(OR($B51="",N($G51)=0),"",MAX(0,$H51)/$G51)</f>
        <v/>
      </c>
      <c r="K51" s="13" t="str">
        <f aca="false">IF($B51="","",MAX(0,$H51)-MIN(MAX(0,$H51),SUMIFS(Movimientos!$G$2:$G$501,Movimientos!$B$2:$B$501,$B51,Movimientos!$I$2:$I$501,"&gt;="&amp;Resumen!$C$4)))</f>
        <v/>
      </c>
      <c r="L51" s="15" t="str">
        <f aca="false">IF($B51="","",IF(N($H51)&lt;=0,"Sin deuda",IF(AND(N($G51)&gt;0,$H51&gt;$G51),"Excedido",IF(N($K51)&gt;0,"Con deuda vencida",IF(AND(N($G51)&gt;0,$H51&gt;=Resumen!$C$5*$G51),"Cerca del límite","Al día")))))</f>
        <v/>
      </c>
      <c r="M51" s="16" t="str">
        <f aca="false">IF($B51="","",IFERROR(1/(1/_xlfn.MAXIFS(Movimientos!$A$2:$A$501,Movimientos!$B$2:$B$501,$B51,Movimientos!$C$2:$C$501,"Cobro")),"—"))</f>
        <v/>
      </c>
      <c r="N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1"/>
      <c r="G52" s="12"/>
      <c r="H52" s="13" t="str">
        <f aca="false">IF($B52="","",SUMIFS(Movimientos!$G$2:$G$501,Movimientos!$B$2:$B$501,$B52)-SUMIFS(Movimientos!$H$2:$H$501,Movimientos!$B$2:$B$501,$B52))</f>
        <v/>
      </c>
      <c r="I52" s="13" t="str">
        <f aca="false">IF(OR($B52="",$G52=""),"",$G52-$H52)</f>
        <v/>
      </c>
      <c r="J52" s="14" t="str">
        <f aca="false">IF(OR($B52="",N($G52)=0),"",MAX(0,$H52)/$G52)</f>
        <v/>
      </c>
      <c r="K52" s="13" t="str">
        <f aca="false">IF($B52="","",MAX(0,$H52)-MIN(MAX(0,$H52),SUMIFS(Movimientos!$G$2:$G$501,Movimientos!$B$2:$B$501,$B52,Movimientos!$I$2:$I$501,"&gt;="&amp;Resumen!$C$4)))</f>
        <v/>
      </c>
      <c r="L52" s="15" t="str">
        <f aca="false">IF($B52="","",IF(N($H52)&lt;=0,"Sin deuda",IF(AND(N($G52)&gt;0,$H52&gt;$G52),"Excedido",IF(N($K52)&gt;0,"Con deuda vencida",IF(AND(N($G52)&gt;0,$H52&gt;=Resumen!$C$5*$G52),"Cerca del límite","Al día")))))</f>
        <v/>
      </c>
      <c r="M52" s="16" t="str">
        <f aca="false">IF($B52="","",IFERROR(1/(1/_xlfn.MAXIFS(Movimientos!$A$2:$A$501,Movimientos!$B$2:$B$501,$B52,Movimientos!$C$2:$C$501,"Cobro")),"—"))</f>
        <v/>
      </c>
      <c r="N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1"/>
      <c r="G53" s="12"/>
      <c r="H53" s="13" t="str">
        <f aca="false">IF($B53="","",SUMIFS(Movimientos!$G$2:$G$501,Movimientos!$B$2:$B$501,$B53)-SUMIFS(Movimientos!$H$2:$H$501,Movimientos!$B$2:$B$501,$B53))</f>
        <v/>
      </c>
      <c r="I53" s="13" t="str">
        <f aca="false">IF(OR($B53="",$G53=""),"",$G53-$H53)</f>
        <v/>
      </c>
      <c r="J53" s="14" t="str">
        <f aca="false">IF(OR($B53="",N($G53)=0),"",MAX(0,$H53)/$G53)</f>
        <v/>
      </c>
      <c r="K53" s="13" t="str">
        <f aca="false">IF($B53="","",MAX(0,$H53)-MIN(MAX(0,$H53),SUMIFS(Movimientos!$G$2:$G$501,Movimientos!$B$2:$B$501,$B53,Movimientos!$I$2:$I$501,"&gt;="&amp;Resumen!$C$4)))</f>
        <v/>
      </c>
      <c r="L53" s="15" t="str">
        <f aca="false">IF($B53="","",IF(N($H53)&lt;=0,"Sin deuda",IF(AND(N($G53)&gt;0,$H53&gt;$G53),"Excedido",IF(N($K53)&gt;0,"Con deuda vencida",IF(AND(N($G53)&gt;0,$H53&gt;=Resumen!$C$5*$G53),"Cerca del límite","Al día")))))</f>
        <v/>
      </c>
      <c r="M53" s="16" t="str">
        <f aca="false">IF($B53="","",IFERROR(1/(1/_xlfn.MAXIFS(Movimientos!$A$2:$A$501,Movimientos!$B$2:$B$501,$B53,Movimientos!$C$2:$C$501,"Cobro")),"—"))</f>
        <v/>
      </c>
      <c r="N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1"/>
      <c r="G54" s="12"/>
      <c r="H54" s="13" t="str">
        <f aca="false">IF($B54="","",SUMIFS(Movimientos!$G$2:$G$501,Movimientos!$B$2:$B$501,$B54)-SUMIFS(Movimientos!$H$2:$H$501,Movimientos!$B$2:$B$501,$B54))</f>
        <v/>
      </c>
      <c r="I54" s="13" t="str">
        <f aca="false">IF(OR($B54="",$G54=""),"",$G54-$H54)</f>
        <v/>
      </c>
      <c r="J54" s="14" t="str">
        <f aca="false">IF(OR($B54="",N($G54)=0),"",MAX(0,$H54)/$G54)</f>
        <v/>
      </c>
      <c r="K54" s="13" t="str">
        <f aca="false">IF($B54="","",MAX(0,$H54)-MIN(MAX(0,$H54),SUMIFS(Movimientos!$G$2:$G$501,Movimientos!$B$2:$B$501,$B54,Movimientos!$I$2:$I$501,"&gt;="&amp;Resumen!$C$4)))</f>
        <v/>
      </c>
      <c r="L54" s="15" t="str">
        <f aca="false">IF($B54="","",IF(N($H54)&lt;=0,"Sin deuda",IF(AND(N($G54)&gt;0,$H54&gt;$G54),"Excedido",IF(N($K54)&gt;0,"Con deuda vencida",IF(AND(N($G54)&gt;0,$H54&gt;=Resumen!$C$5*$G54),"Cerca del límite","Al día")))))</f>
        <v/>
      </c>
      <c r="M54" s="16" t="str">
        <f aca="false">IF($B54="","",IFERROR(1/(1/_xlfn.MAXIFS(Movimientos!$A$2:$A$501,Movimientos!$B$2:$B$501,$B54,Movimientos!$C$2:$C$501,"Cobro")),"—"))</f>
        <v/>
      </c>
      <c r="N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1"/>
      <c r="G55" s="12"/>
      <c r="H55" s="13" t="str">
        <f aca="false">IF($B55="","",SUMIFS(Movimientos!$G$2:$G$501,Movimientos!$B$2:$B$501,$B55)-SUMIFS(Movimientos!$H$2:$H$501,Movimientos!$B$2:$B$501,$B55))</f>
        <v/>
      </c>
      <c r="I55" s="13" t="str">
        <f aca="false">IF(OR($B55="",$G55=""),"",$G55-$H55)</f>
        <v/>
      </c>
      <c r="J55" s="14" t="str">
        <f aca="false">IF(OR($B55="",N($G55)=0),"",MAX(0,$H55)/$G55)</f>
        <v/>
      </c>
      <c r="K55" s="13" t="str">
        <f aca="false">IF($B55="","",MAX(0,$H55)-MIN(MAX(0,$H55),SUMIFS(Movimientos!$G$2:$G$501,Movimientos!$B$2:$B$501,$B55,Movimientos!$I$2:$I$501,"&gt;="&amp;Resumen!$C$4)))</f>
        <v/>
      </c>
      <c r="L55" s="15" t="str">
        <f aca="false">IF($B55="","",IF(N($H55)&lt;=0,"Sin deuda",IF(AND(N($G55)&gt;0,$H55&gt;$G55),"Excedido",IF(N($K55)&gt;0,"Con deuda vencida",IF(AND(N($G55)&gt;0,$H55&gt;=Resumen!$C$5*$G55),"Cerca del límite","Al día")))))</f>
        <v/>
      </c>
      <c r="M55" s="16" t="str">
        <f aca="false">IF($B55="","",IFERROR(1/(1/_xlfn.MAXIFS(Movimientos!$A$2:$A$501,Movimientos!$B$2:$B$501,$B55,Movimientos!$C$2:$C$501,"Cobro")),"—"))</f>
        <v/>
      </c>
      <c r="N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1"/>
      <c r="G56" s="12"/>
      <c r="H56" s="13" t="str">
        <f aca="false">IF($B56="","",SUMIFS(Movimientos!$G$2:$G$501,Movimientos!$B$2:$B$501,$B56)-SUMIFS(Movimientos!$H$2:$H$501,Movimientos!$B$2:$B$501,$B56))</f>
        <v/>
      </c>
      <c r="I56" s="13" t="str">
        <f aca="false">IF(OR($B56="",$G56=""),"",$G56-$H56)</f>
        <v/>
      </c>
      <c r="J56" s="14" t="str">
        <f aca="false">IF(OR($B56="",N($G56)=0),"",MAX(0,$H56)/$G56)</f>
        <v/>
      </c>
      <c r="K56" s="13" t="str">
        <f aca="false">IF($B56="","",MAX(0,$H56)-MIN(MAX(0,$H56),SUMIFS(Movimientos!$G$2:$G$501,Movimientos!$B$2:$B$501,$B56,Movimientos!$I$2:$I$501,"&gt;="&amp;Resumen!$C$4)))</f>
        <v/>
      </c>
      <c r="L56" s="15" t="str">
        <f aca="false">IF($B56="","",IF(N($H56)&lt;=0,"Sin deuda",IF(AND(N($G56)&gt;0,$H56&gt;$G56),"Excedido",IF(N($K56)&gt;0,"Con deuda vencida",IF(AND(N($G56)&gt;0,$H56&gt;=Resumen!$C$5*$G56),"Cerca del límite","Al día")))))</f>
        <v/>
      </c>
      <c r="M56" s="16" t="str">
        <f aca="false">IF($B56="","",IFERROR(1/(1/_xlfn.MAXIFS(Movimientos!$A$2:$A$501,Movimientos!$B$2:$B$501,$B56,Movimientos!$C$2:$C$501,"Cobro")),"—"))</f>
        <v/>
      </c>
      <c r="N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1"/>
      <c r="G57" s="12"/>
      <c r="H57" s="13" t="str">
        <f aca="false">IF($B57="","",SUMIFS(Movimientos!$G$2:$G$501,Movimientos!$B$2:$B$501,$B57)-SUMIFS(Movimientos!$H$2:$H$501,Movimientos!$B$2:$B$501,$B57))</f>
        <v/>
      </c>
      <c r="I57" s="13" t="str">
        <f aca="false">IF(OR($B57="",$G57=""),"",$G57-$H57)</f>
        <v/>
      </c>
      <c r="J57" s="14" t="str">
        <f aca="false">IF(OR($B57="",N($G57)=0),"",MAX(0,$H57)/$G57)</f>
        <v/>
      </c>
      <c r="K57" s="13" t="str">
        <f aca="false">IF($B57="","",MAX(0,$H57)-MIN(MAX(0,$H57),SUMIFS(Movimientos!$G$2:$G$501,Movimientos!$B$2:$B$501,$B57,Movimientos!$I$2:$I$501,"&gt;="&amp;Resumen!$C$4)))</f>
        <v/>
      </c>
      <c r="L57" s="15" t="str">
        <f aca="false">IF($B57="","",IF(N($H57)&lt;=0,"Sin deuda",IF(AND(N($G57)&gt;0,$H57&gt;$G57),"Excedido",IF(N($K57)&gt;0,"Con deuda vencida",IF(AND(N($G57)&gt;0,$H57&gt;=Resumen!$C$5*$G57),"Cerca del límite","Al día")))))</f>
        <v/>
      </c>
      <c r="M57" s="16" t="str">
        <f aca="false">IF($B57="","",IFERROR(1/(1/_xlfn.MAXIFS(Movimientos!$A$2:$A$501,Movimientos!$B$2:$B$501,$B57,Movimientos!$C$2:$C$501,"Cobro")),"—"))</f>
        <v/>
      </c>
      <c r="N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1"/>
      <c r="G58" s="12"/>
      <c r="H58" s="13" t="str">
        <f aca="false">IF($B58="","",SUMIFS(Movimientos!$G$2:$G$501,Movimientos!$B$2:$B$501,$B58)-SUMIFS(Movimientos!$H$2:$H$501,Movimientos!$B$2:$B$501,$B58))</f>
        <v/>
      </c>
      <c r="I58" s="13" t="str">
        <f aca="false">IF(OR($B58="",$G58=""),"",$G58-$H58)</f>
        <v/>
      </c>
      <c r="J58" s="14" t="str">
        <f aca="false">IF(OR($B58="",N($G58)=0),"",MAX(0,$H58)/$G58)</f>
        <v/>
      </c>
      <c r="K58" s="13" t="str">
        <f aca="false">IF($B58="","",MAX(0,$H58)-MIN(MAX(0,$H58),SUMIFS(Movimientos!$G$2:$G$501,Movimientos!$B$2:$B$501,$B58,Movimientos!$I$2:$I$501,"&gt;="&amp;Resumen!$C$4)))</f>
        <v/>
      </c>
      <c r="L58" s="15" t="str">
        <f aca="false">IF($B58="","",IF(N($H58)&lt;=0,"Sin deuda",IF(AND(N($G58)&gt;0,$H58&gt;$G58),"Excedido",IF(N($K58)&gt;0,"Con deuda vencida",IF(AND(N($G58)&gt;0,$H58&gt;=Resumen!$C$5*$G58),"Cerca del límite","Al día")))))</f>
        <v/>
      </c>
      <c r="M58" s="16" t="str">
        <f aca="false">IF($B58="","",IFERROR(1/(1/_xlfn.MAXIFS(Movimientos!$A$2:$A$501,Movimientos!$B$2:$B$501,$B58,Movimientos!$C$2:$C$501,"Cobro")),"—"))</f>
        <v/>
      </c>
      <c r="N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1"/>
      <c r="G59" s="12"/>
      <c r="H59" s="13" t="str">
        <f aca="false">IF($B59="","",SUMIFS(Movimientos!$G$2:$G$501,Movimientos!$B$2:$B$501,$B59)-SUMIFS(Movimientos!$H$2:$H$501,Movimientos!$B$2:$B$501,$B59))</f>
        <v/>
      </c>
      <c r="I59" s="13" t="str">
        <f aca="false">IF(OR($B59="",$G59=""),"",$G59-$H59)</f>
        <v/>
      </c>
      <c r="J59" s="14" t="str">
        <f aca="false">IF(OR($B59="",N($G59)=0),"",MAX(0,$H59)/$G59)</f>
        <v/>
      </c>
      <c r="K59" s="13" t="str">
        <f aca="false">IF($B59="","",MAX(0,$H59)-MIN(MAX(0,$H59),SUMIFS(Movimientos!$G$2:$G$501,Movimientos!$B$2:$B$501,$B59,Movimientos!$I$2:$I$501,"&gt;="&amp;Resumen!$C$4)))</f>
        <v/>
      </c>
      <c r="L59" s="15" t="str">
        <f aca="false">IF($B59="","",IF(N($H59)&lt;=0,"Sin deuda",IF(AND(N($G59)&gt;0,$H59&gt;$G59),"Excedido",IF(N($K59)&gt;0,"Con deuda vencida",IF(AND(N($G59)&gt;0,$H59&gt;=Resumen!$C$5*$G59),"Cerca del límite","Al día")))))</f>
        <v/>
      </c>
      <c r="M59" s="16" t="str">
        <f aca="false">IF($B59="","",IFERROR(1/(1/_xlfn.MAXIFS(Movimientos!$A$2:$A$501,Movimientos!$B$2:$B$501,$B59,Movimientos!$C$2:$C$501,"Cobro")),"—"))</f>
        <v/>
      </c>
      <c r="N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1"/>
      <c r="G60" s="12"/>
      <c r="H60" s="13" t="str">
        <f aca="false">IF($B60="","",SUMIFS(Movimientos!$G$2:$G$501,Movimientos!$B$2:$B$501,$B60)-SUMIFS(Movimientos!$H$2:$H$501,Movimientos!$B$2:$B$501,$B60))</f>
        <v/>
      </c>
      <c r="I60" s="13" t="str">
        <f aca="false">IF(OR($B60="",$G60=""),"",$G60-$H60)</f>
        <v/>
      </c>
      <c r="J60" s="14" t="str">
        <f aca="false">IF(OR($B60="",N($G60)=0),"",MAX(0,$H60)/$G60)</f>
        <v/>
      </c>
      <c r="K60" s="13" t="str">
        <f aca="false">IF($B60="","",MAX(0,$H60)-MIN(MAX(0,$H60),SUMIFS(Movimientos!$G$2:$G$501,Movimientos!$B$2:$B$501,$B60,Movimientos!$I$2:$I$501,"&gt;="&amp;Resumen!$C$4)))</f>
        <v/>
      </c>
      <c r="L60" s="15" t="str">
        <f aca="false">IF($B60="","",IF(N($H60)&lt;=0,"Sin deuda",IF(AND(N($G60)&gt;0,$H60&gt;$G60),"Excedido",IF(N($K60)&gt;0,"Con deuda vencida",IF(AND(N($G60)&gt;0,$H60&gt;=Resumen!$C$5*$G60),"Cerca del límite","Al día")))))</f>
        <v/>
      </c>
      <c r="M60" s="16" t="str">
        <f aca="false">IF($B60="","",IFERROR(1/(1/_xlfn.MAXIFS(Movimientos!$A$2:$A$501,Movimientos!$B$2:$B$501,$B60,Movimientos!$C$2:$C$501,"Cobro")),"—"))</f>
        <v/>
      </c>
      <c r="N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1"/>
      <c r="G61" s="12"/>
      <c r="H61" s="13" t="str">
        <f aca="false">IF($B61="","",SUMIFS(Movimientos!$G$2:$G$501,Movimientos!$B$2:$B$501,$B61)-SUMIFS(Movimientos!$H$2:$H$501,Movimientos!$B$2:$B$501,$B61))</f>
        <v/>
      </c>
      <c r="I61" s="13" t="str">
        <f aca="false">IF(OR($B61="",$G61=""),"",$G61-$H61)</f>
        <v/>
      </c>
      <c r="J61" s="14" t="str">
        <f aca="false">IF(OR($B61="",N($G61)=0),"",MAX(0,$H61)/$G61)</f>
        <v/>
      </c>
      <c r="K61" s="13" t="str">
        <f aca="false">IF($B61="","",MAX(0,$H61)-MIN(MAX(0,$H61),SUMIFS(Movimientos!$G$2:$G$501,Movimientos!$B$2:$B$501,$B61,Movimientos!$I$2:$I$501,"&gt;="&amp;Resumen!$C$4)))</f>
        <v/>
      </c>
      <c r="L61" s="15" t="str">
        <f aca="false">IF($B61="","",IF(N($H61)&lt;=0,"Sin deuda",IF(AND(N($G61)&gt;0,$H61&gt;$G61),"Excedido",IF(N($K61)&gt;0,"Con deuda vencida",IF(AND(N($G61)&gt;0,$H61&gt;=Resumen!$C$5*$G61),"Cerca del límite","Al día")))))</f>
        <v/>
      </c>
      <c r="M61" s="16" t="str">
        <f aca="false">IF($B61="","",IFERROR(1/(1/_xlfn.MAXIFS(Movimientos!$A$2:$A$501,Movimientos!$B$2:$B$501,$B61,Movimientos!$C$2:$C$501,"Cobro")),"—"))</f>
        <v/>
      </c>
      <c r="N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1"/>
      <c r="G62" s="12"/>
      <c r="H62" s="13" t="str">
        <f aca="false">IF($B62="","",SUMIFS(Movimientos!$G$2:$G$501,Movimientos!$B$2:$B$501,$B62)-SUMIFS(Movimientos!$H$2:$H$501,Movimientos!$B$2:$B$501,$B62))</f>
        <v/>
      </c>
      <c r="I62" s="13" t="str">
        <f aca="false">IF(OR($B62="",$G62=""),"",$G62-$H62)</f>
        <v/>
      </c>
      <c r="J62" s="14" t="str">
        <f aca="false">IF(OR($B62="",N($G62)=0),"",MAX(0,$H62)/$G62)</f>
        <v/>
      </c>
      <c r="K62" s="13" t="str">
        <f aca="false">IF($B62="","",MAX(0,$H62)-MIN(MAX(0,$H62),SUMIFS(Movimientos!$G$2:$G$501,Movimientos!$B$2:$B$501,$B62,Movimientos!$I$2:$I$501,"&gt;="&amp;Resumen!$C$4)))</f>
        <v/>
      </c>
      <c r="L62" s="15" t="str">
        <f aca="false">IF($B62="","",IF(N($H62)&lt;=0,"Sin deuda",IF(AND(N($G62)&gt;0,$H62&gt;$G62),"Excedido",IF(N($K62)&gt;0,"Con deuda vencida",IF(AND(N($G62)&gt;0,$H62&gt;=Resumen!$C$5*$G62),"Cerca del límite","Al día")))))</f>
        <v/>
      </c>
      <c r="M62" s="16" t="str">
        <f aca="false">IF($B62="","",IFERROR(1/(1/_xlfn.MAXIFS(Movimientos!$A$2:$A$501,Movimientos!$B$2:$B$501,$B62,Movimientos!$C$2:$C$501,"Cobro")),"—"))</f>
        <v/>
      </c>
      <c r="N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1"/>
      <c r="G63" s="12"/>
      <c r="H63" s="13" t="str">
        <f aca="false">IF($B63="","",SUMIFS(Movimientos!$G$2:$G$501,Movimientos!$B$2:$B$501,$B63)-SUMIFS(Movimientos!$H$2:$H$501,Movimientos!$B$2:$B$501,$B63))</f>
        <v/>
      </c>
      <c r="I63" s="13" t="str">
        <f aca="false">IF(OR($B63="",$G63=""),"",$G63-$H63)</f>
        <v/>
      </c>
      <c r="J63" s="14" t="str">
        <f aca="false">IF(OR($B63="",N($G63)=0),"",MAX(0,$H63)/$G63)</f>
        <v/>
      </c>
      <c r="K63" s="13" t="str">
        <f aca="false">IF($B63="","",MAX(0,$H63)-MIN(MAX(0,$H63),SUMIFS(Movimientos!$G$2:$G$501,Movimientos!$B$2:$B$501,$B63,Movimientos!$I$2:$I$501,"&gt;="&amp;Resumen!$C$4)))</f>
        <v/>
      </c>
      <c r="L63" s="15" t="str">
        <f aca="false">IF($B63="","",IF(N($H63)&lt;=0,"Sin deuda",IF(AND(N($G63)&gt;0,$H63&gt;$G63),"Excedido",IF(N($K63)&gt;0,"Con deuda vencida",IF(AND(N($G63)&gt;0,$H63&gt;=Resumen!$C$5*$G63),"Cerca del límite","Al día")))))</f>
        <v/>
      </c>
      <c r="M63" s="16" t="str">
        <f aca="false">IF($B63="","",IFERROR(1/(1/_xlfn.MAXIFS(Movimientos!$A$2:$A$501,Movimientos!$B$2:$B$501,$B63,Movimientos!$C$2:$C$501,"Cobro")),"—"))</f>
        <v/>
      </c>
      <c r="N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1"/>
      <c r="G64" s="12"/>
      <c r="H64" s="13" t="str">
        <f aca="false">IF($B64="","",SUMIFS(Movimientos!$G$2:$G$501,Movimientos!$B$2:$B$501,$B64)-SUMIFS(Movimientos!$H$2:$H$501,Movimientos!$B$2:$B$501,$B64))</f>
        <v/>
      </c>
      <c r="I64" s="13" t="str">
        <f aca="false">IF(OR($B64="",$G64=""),"",$G64-$H64)</f>
        <v/>
      </c>
      <c r="J64" s="14" t="str">
        <f aca="false">IF(OR($B64="",N($G64)=0),"",MAX(0,$H64)/$G64)</f>
        <v/>
      </c>
      <c r="K64" s="13" t="str">
        <f aca="false">IF($B64="","",MAX(0,$H64)-MIN(MAX(0,$H64),SUMIFS(Movimientos!$G$2:$G$501,Movimientos!$B$2:$B$501,$B64,Movimientos!$I$2:$I$501,"&gt;="&amp;Resumen!$C$4)))</f>
        <v/>
      </c>
      <c r="L64" s="15" t="str">
        <f aca="false">IF($B64="","",IF(N($H64)&lt;=0,"Sin deuda",IF(AND(N($G64)&gt;0,$H64&gt;$G64),"Excedido",IF(N($K64)&gt;0,"Con deuda vencida",IF(AND(N($G64)&gt;0,$H64&gt;=Resumen!$C$5*$G64),"Cerca del límite","Al día")))))</f>
        <v/>
      </c>
      <c r="M64" s="16" t="str">
        <f aca="false">IF($B64="","",IFERROR(1/(1/_xlfn.MAXIFS(Movimientos!$A$2:$A$501,Movimientos!$B$2:$B$501,$B64,Movimientos!$C$2:$C$501,"Cobro")),"—"))</f>
        <v/>
      </c>
      <c r="N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1"/>
      <c r="G65" s="12"/>
      <c r="H65" s="13" t="str">
        <f aca="false">IF($B65="","",SUMIFS(Movimientos!$G$2:$G$501,Movimientos!$B$2:$B$501,$B65)-SUMIFS(Movimientos!$H$2:$H$501,Movimientos!$B$2:$B$501,$B65))</f>
        <v/>
      </c>
      <c r="I65" s="13" t="str">
        <f aca="false">IF(OR($B65="",$G65=""),"",$G65-$H65)</f>
        <v/>
      </c>
      <c r="J65" s="14" t="str">
        <f aca="false">IF(OR($B65="",N($G65)=0),"",MAX(0,$H65)/$G65)</f>
        <v/>
      </c>
      <c r="K65" s="13" t="str">
        <f aca="false">IF($B65="","",MAX(0,$H65)-MIN(MAX(0,$H65),SUMIFS(Movimientos!$G$2:$G$501,Movimientos!$B$2:$B$501,$B65,Movimientos!$I$2:$I$501,"&gt;="&amp;Resumen!$C$4)))</f>
        <v/>
      </c>
      <c r="L65" s="15" t="str">
        <f aca="false">IF($B65="","",IF(N($H65)&lt;=0,"Sin deuda",IF(AND(N($G65)&gt;0,$H65&gt;$G65),"Excedido",IF(N($K65)&gt;0,"Con deuda vencida",IF(AND(N($G65)&gt;0,$H65&gt;=Resumen!$C$5*$G65),"Cerca del límite","Al día")))))</f>
        <v/>
      </c>
      <c r="M65" s="16" t="str">
        <f aca="false">IF($B65="","",IFERROR(1/(1/_xlfn.MAXIFS(Movimientos!$A$2:$A$501,Movimientos!$B$2:$B$501,$B65,Movimientos!$C$2:$C$501,"Cobro")),"—"))</f>
        <v/>
      </c>
      <c r="N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1"/>
      <c r="G66" s="12"/>
      <c r="H66" s="13" t="str">
        <f aca="false">IF($B66="","",SUMIFS(Movimientos!$G$2:$G$501,Movimientos!$B$2:$B$501,$B66)-SUMIFS(Movimientos!$H$2:$H$501,Movimientos!$B$2:$B$501,$B66))</f>
        <v/>
      </c>
      <c r="I66" s="13" t="str">
        <f aca="false">IF(OR($B66="",$G66=""),"",$G66-$H66)</f>
        <v/>
      </c>
      <c r="J66" s="14" t="str">
        <f aca="false">IF(OR($B66="",N($G66)=0),"",MAX(0,$H66)/$G66)</f>
        <v/>
      </c>
      <c r="K66" s="13" t="str">
        <f aca="false">IF($B66="","",MAX(0,$H66)-MIN(MAX(0,$H66),SUMIFS(Movimientos!$G$2:$G$501,Movimientos!$B$2:$B$501,$B66,Movimientos!$I$2:$I$501,"&gt;="&amp;Resumen!$C$4)))</f>
        <v/>
      </c>
      <c r="L66" s="15" t="str">
        <f aca="false">IF($B66="","",IF(N($H66)&lt;=0,"Sin deuda",IF(AND(N($G66)&gt;0,$H66&gt;$G66),"Excedido",IF(N($K66)&gt;0,"Con deuda vencida",IF(AND(N($G66)&gt;0,$H66&gt;=Resumen!$C$5*$G66),"Cerca del límite","Al día")))))</f>
        <v/>
      </c>
      <c r="M66" s="16" t="str">
        <f aca="false">IF($B66="","",IFERROR(1/(1/_xlfn.MAXIFS(Movimientos!$A$2:$A$501,Movimientos!$B$2:$B$501,$B66,Movimientos!$C$2:$C$501,"Cobro")),"—"))</f>
        <v/>
      </c>
      <c r="N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1"/>
      <c r="G67" s="12"/>
      <c r="H67" s="13" t="str">
        <f aca="false">IF($B67="","",SUMIFS(Movimientos!$G$2:$G$501,Movimientos!$B$2:$B$501,$B67)-SUMIFS(Movimientos!$H$2:$H$501,Movimientos!$B$2:$B$501,$B67))</f>
        <v/>
      </c>
      <c r="I67" s="13" t="str">
        <f aca="false">IF(OR($B67="",$G67=""),"",$G67-$H67)</f>
        <v/>
      </c>
      <c r="J67" s="14" t="str">
        <f aca="false">IF(OR($B67="",N($G67)=0),"",MAX(0,$H67)/$G67)</f>
        <v/>
      </c>
      <c r="K67" s="13" t="str">
        <f aca="false">IF($B67="","",MAX(0,$H67)-MIN(MAX(0,$H67),SUMIFS(Movimientos!$G$2:$G$501,Movimientos!$B$2:$B$501,$B67,Movimientos!$I$2:$I$501,"&gt;="&amp;Resumen!$C$4)))</f>
        <v/>
      </c>
      <c r="L67" s="15" t="str">
        <f aca="false">IF($B67="","",IF(N($H67)&lt;=0,"Sin deuda",IF(AND(N($G67)&gt;0,$H67&gt;$G67),"Excedido",IF(N($K67)&gt;0,"Con deuda vencida",IF(AND(N($G67)&gt;0,$H67&gt;=Resumen!$C$5*$G67),"Cerca del límite","Al día")))))</f>
        <v/>
      </c>
      <c r="M67" s="16" t="str">
        <f aca="false">IF($B67="","",IFERROR(1/(1/_xlfn.MAXIFS(Movimientos!$A$2:$A$501,Movimientos!$B$2:$B$501,$B67,Movimientos!$C$2:$C$501,"Cobro")),"—"))</f>
        <v/>
      </c>
      <c r="N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1"/>
      <c r="G68" s="12"/>
      <c r="H68" s="13" t="str">
        <f aca="false">IF($B68="","",SUMIFS(Movimientos!$G$2:$G$501,Movimientos!$B$2:$B$501,$B68)-SUMIFS(Movimientos!$H$2:$H$501,Movimientos!$B$2:$B$501,$B68))</f>
        <v/>
      </c>
      <c r="I68" s="13" t="str">
        <f aca="false">IF(OR($B68="",$G68=""),"",$G68-$H68)</f>
        <v/>
      </c>
      <c r="J68" s="14" t="str">
        <f aca="false">IF(OR($B68="",N($G68)=0),"",MAX(0,$H68)/$G68)</f>
        <v/>
      </c>
      <c r="K68" s="13" t="str">
        <f aca="false">IF($B68="","",MAX(0,$H68)-MIN(MAX(0,$H68),SUMIFS(Movimientos!$G$2:$G$501,Movimientos!$B$2:$B$501,$B68,Movimientos!$I$2:$I$501,"&gt;="&amp;Resumen!$C$4)))</f>
        <v/>
      </c>
      <c r="L68" s="15" t="str">
        <f aca="false">IF($B68="","",IF(N($H68)&lt;=0,"Sin deuda",IF(AND(N($G68)&gt;0,$H68&gt;$G68),"Excedido",IF(N($K68)&gt;0,"Con deuda vencida",IF(AND(N($G68)&gt;0,$H68&gt;=Resumen!$C$5*$G68),"Cerca del límite","Al día")))))</f>
        <v/>
      </c>
      <c r="M68" s="16" t="str">
        <f aca="false">IF($B68="","",IFERROR(1/(1/_xlfn.MAXIFS(Movimientos!$A$2:$A$501,Movimientos!$B$2:$B$501,$B68,Movimientos!$C$2:$C$501,"Cobro")),"—"))</f>
        <v/>
      </c>
      <c r="N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1"/>
      <c r="G69" s="12"/>
      <c r="H69" s="13" t="str">
        <f aca="false">IF($B69="","",SUMIFS(Movimientos!$G$2:$G$501,Movimientos!$B$2:$B$501,$B69)-SUMIFS(Movimientos!$H$2:$H$501,Movimientos!$B$2:$B$501,$B69))</f>
        <v/>
      </c>
      <c r="I69" s="13" t="str">
        <f aca="false">IF(OR($B69="",$G69=""),"",$G69-$H69)</f>
        <v/>
      </c>
      <c r="J69" s="14" t="str">
        <f aca="false">IF(OR($B69="",N($G69)=0),"",MAX(0,$H69)/$G69)</f>
        <v/>
      </c>
      <c r="K69" s="13" t="str">
        <f aca="false">IF($B69="","",MAX(0,$H69)-MIN(MAX(0,$H69),SUMIFS(Movimientos!$G$2:$G$501,Movimientos!$B$2:$B$501,$B69,Movimientos!$I$2:$I$501,"&gt;="&amp;Resumen!$C$4)))</f>
        <v/>
      </c>
      <c r="L69" s="15" t="str">
        <f aca="false">IF($B69="","",IF(N($H69)&lt;=0,"Sin deuda",IF(AND(N($G69)&gt;0,$H69&gt;$G69),"Excedido",IF(N($K69)&gt;0,"Con deuda vencida",IF(AND(N($G69)&gt;0,$H69&gt;=Resumen!$C$5*$G69),"Cerca del límite","Al día")))))</f>
        <v/>
      </c>
      <c r="M69" s="16" t="str">
        <f aca="false">IF($B69="","",IFERROR(1/(1/_xlfn.MAXIFS(Movimientos!$A$2:$A$501,Movimientos!$B$2:$B$501,$B69,Movimientos!$C$2:$C$501,"Cobro")),"—"))</f>
        <v/>
      </c>
      <c r="N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1"/>
      <c r="G70" s="12"/>
      <c r="H70" s="13" t="str">
        <f aca="false">IF($B70="","",SUMIFS(Movimientos!$G$2:$G$501,Movimientos!$B$2:$B$501,$B70)-SUMIFS(Movimientos!$H$2:$H$501,Movimientos!$B$2:$B$501,$B70))</f>
        <v/>
      </c>
      <c r="I70" s="13" t="str">
        <f aca="false">IF(OR($B70="",$G70=""),"",$G70-$H70)</f>
        <v/>
      </c>
      <c r="J70" s="14" t="str">
        <f aca="false">IF(OR($B70="",N($G70)=0),"",MAX(0,$H70)/$G70)</f>
        <v/>
      </c>
      <c r="K70" s="13" t="str">
        <f aca="false">IF($B70="","",MAX(0,$H70)-MIN(MAX(0,$H70),SUMIFS(Movimientos!$G$2:$G$501,Movimientos!$B$2:$B$501,$B70,Movimientos!$I$2:$I$501,"&gt;="&amp;Resumen!$C$4)))</f>
        <v/>
      </c>
      <c r="L70" s="15" t="str">
        <f aca="false">IF($B70="","",IF(N($H70)&lt;=0,"Sin deuda",IF(AND(N($G70)&gt;0,$H70&gt;$G70),"Excedido",IF(N($K70)&gt;0,"Con deuda vencida",IF(AND(N($G70)&gt;0,$H70&gt;=Resumen!$C$5*$G70),"Cerca del límite","Al día")))))</f>
        <v/>
      </c>
      <c r="M70" s="16" t="str">
        <f aca="false">IF($B70="","",IFERROR(1/(1/_xlfn.MAXIFS(Movimientos!$A$2:$A$501,Movimientos!$B$2:$B$501,$B70,Movimientos!$C$2:$C$501,"Cobro")),"—"))</f>
        <v/>
      </c>
      <c r="N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1"/>
      <c r="G71" s="12"/>
      <c r="H71" s="13" t="str">
        <f aca="false">IF($B71="","",SUMIFS(Movimientos!$G$2:$G$501,Movimientos!$B$2:$B$501,$B71)-SUMIFS(Movimientos!$H$2:$H$501,Movimientos!$B$2:$B$501,$B71))</f>
        <v/>
      </c>
      <c r="I71" s="13" t="str">
        <f aca="false">IF(OR($B71="",$G71=""),"",$G71-$H71)</f>
        <v/>
      </c>
      <c r="J71" s="14" t="str">
        <f aca="false">IF(OR($B71="",N($G71)=0),"",MAX(0,$H71)/$G71)</f>
        <v/>
      </c>
      <c r="K71" s="13" t="str">
        <f aca="false">IF($B71="","",MAX(0,$H71)-MIN(MAX(0,$H71),SUMIFS(Movimientos!$G$2:$G$501,Movimientos!$B$2:$B$501,$B71,Movimientos!$I$2:$I$501,"&gt;="&amp;Resumen!$C$4)))</f>
        <v/>
      </c>
      <c r="L71" s="15" t="str">
        <f aca="false">IF($B71="","",IF(N($H71)&lt;=0,"Sin deuda",IF(AND(N($G71)&gt;0,$H71&gt;$G71),"Excedido",IF(N($K71)&gt;0,"Con deuda vencida",IF(AND(N($G71)&gt;0,$H71&gt;=Resumen!$C$5*$G71),"Cerca del límite","Al día")))))</f>
        <v/>
      </c>
      <c r="M71" s="16" t="str">
        <f aca="false">IF($B71="","",IFERROR(1/(1/_xlfn.MAXIFS(Movimientos!$A$2:$A$501,Movimientos!$B$2:$B$501,$B71,Movimientos!$C$2:$C$501,"Cobro")),"—"))</f>
        <v/>
      </c>
      <c r="N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1"/>
      <c r="G72" s="12"/>
      <c r="H72" s="13" t="str">
        <f aca="false">IF($B72="","",SUMIFS(Movimientos!$G$2:$G$501,Movimientos!$B$2:$B$501,$B72)-SUMIFS(Movimientos!$H$2:$H$501,Movimientos!$B$2:$B$501,$B72))</f>
        <v/>
      </c>
      <c r="I72" s="13" t="str">
        <f aca="false">IF(OR($B72="",$G72=""),"",$G72-$H72)</f>
        <v/>
      </c>
      <c r="J72" s="14" t="str">
        <f aca="false">IF(OR($B72="",N($G72)=0),"",MAX(0,$H72)/$G72)</f>
        <v/>
      </c>
      <c r="K72" s="13" t="str">
        <f aca="false">IF($B72="","",MAX(0,$H72)-MIN(MAX(0,$H72),SUMIFS(Movimientos!$G$2:$G$501,Movimientos!$B$2:$B$501,$B72,Movimientos!$I$2:$I$501,"&gt;="&amp;Resumen!$C$4)))</f>
        <v/>
      </c>
      <c r="L72" s="15" t="str">
        <f aca="false">IF($B72="","",IF(N($H72)&lt;=0,"Sin deuda",IF(AND(N($G72)&gt;0,$H72&gt;$G72),"Excedido",IF(N($K72)&gt;0,"Con deuda vencida",IF(AND(N($G72)&gt;0,$H72&gt;=Resumen!$C$5*$G72),"Cerca del límite","Al día")))))</f>
        <v/>
      </c>
      <c r="M72" s="16" t="str">
        <f aca="false">IF($B72="","",IFERROR(1/(1/_xlfn.MAXIFS(Movimientos!$A$2:$A$501,Movimientos!$B$2:$B$501,$B72,Movimientos!$C$2:$C$501,"Cobro")),"—"))</f>
        <v/>
      </c>
      <c r="N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1"/>
      <c r="G73" s="12"/>
      <c r="H73" s="13" t="str">
        <f aca="false">IF($B73="","",SUMIFS(Movimientos!$G$2:$G$501,Movimientos!$B$2:$B$501,$B73)-SUMIFS(Movimientos!$H$2:$H$501,Movimientos!$B$2:$B$501,$B73))</f>
        <v/>
      </c>
      <c r="I73" s="13" t="str">
        <f aca="false">IF(OR($B73="",$G73=""),"",$G73-$H73)</f>
        <v/>
      </c>
      <c r="J73" s="14" t="str">
        <f aca="false">IF(OR($B73="",N($G73)=0),"",MAX(0,$H73)/$G73)</f>
        <v/>
      </c>
      <c r="K73" s="13" t="str">
        <f aca="false">IF($B73="","",MAX(0,$H73)-MIN(MAX(0,$H73),SUMIFS(Movimientos!$G$2:$G$501,Movimientos!$B$2:$B$501,$B73,Movimientos!$I$2:$I$501,"&gt;="&amp;Resumen!$C$4)))</f>
        <v/>
      </c>
      <c r="L73" s="15" t="str">
        <f aca="false">IF($B73="","",IF(N($H73)&lt;=0,"Sin deuda",IF(AND(N($G73)&gt;0,$H73&gt;$G73),"Excedido",IF(N($K73)&gt;0,"Con deuda vencida",IF(AND(N($G73)&gt;0,$H73&gt;=Resumen!$C$5*$G73),"Cerca del límite","Al día")))))</f>
        <v/>
      </c>
      <c r="M73" s="16" t="str">
        <f aca="false">IF($B73="","",IFERROR(1/(1/_xlfn.MAXIFS(Movimientos!$A$2:$A$501,Movimientos!$B$2:$B$501,$B73,Movimientos!$C$2:$C$501,"Cobro")),"—"))</f>
        <v/>
      </c>
      <c r="N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1"/>
      <c r="G74" s="12"/>
      <c r="H74" s="13" t="str">
        <f aca="false">IF($B74="","",SUMIFS(Movimientos!$G$2:$G$501,Movimientos!$B$2:$B$501,$B74)-SUMIFS(Movimientos!$H$2:$H$501,Movimientos!$B$2:$B$501,$B74))</f>
        <v/>
      </c>
      <c r="I74" s="13" t="str">
        <f aca="false">IF(OR($B74="",$G74=""),"",$G74-$H74)</f>
        <v/>
      </c>
      <c r="J74" s="14" t="str">
        <f aca="false">IF(OR($B74="",N($G74)=0),"",MAX(0,$H74)/$G74)</f>
        <v/>
      </c>
      <c r="K74" s="13" t="str">
        <f aca="false">IF($B74="","",MAX(0,$H74)-MIN(MAX(0,$H74),SUMIFS(Movimientos!$G$2:$G$501,Movimientos!$B$2:$B$501,$B74,Movimientos!$I$2:$I$501,"&gt;="&amp;Resumen!$C$4)))</f>
        <v/>
      </c>
      <c r="L74" s="15" t="str">
        <f aca="false">IF($B74="","",IF(N($H74)&lt;=0,"Sin deuda",IF(AND(N($G74)&gt;0,$H74&gt;$G74),"Excedido",IF(N($K74)&gt;0,"Con deuda vencida",IF(AND(N($G74)&gt;0,$H74&gt;=Resumen!$C$5*$G74),"Cerca del límite","Al día")))))</f>
        <v/>
      </c>
      <c r="M74" s="16" t="str">
        <f aca="false">IF($B74="","",IFERROR(1/(1/_xlfn.MAXIFS(Movimientos!$A$2:$A$501,Movimientos!$B$2:$B$501,$B74,Movimientos!$C$2:$C$501,"Cobro")),"—"))</f>
        <v/>
      </c>
      <c r="N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1"/>
      <c r="G75" s="12"/>
      <c r="H75" s="13" t="str">
        <f aca="false">IF($B75="","",SUMIFS(Movimientos!$G$2:$G$501,Movimientos!$B$2:$B$501,$B75)-SUMIFS(Movimientos!$H$2:$H$501,Movimientos!$B$2:$B$501,$B75))</f>
        <v/>
      </c>
      <c r="I75" s="13" t="str">
        <f aca="false">IF(OR($B75="",$G75=""),"",$G75-$H75)</f>
        <v/>
      </c>
      <c r="J75" s="14" t="str">
        <f aca="false">IF(OR($B75="",N($G75)=0),"",MAX(0,$H75)/$G75)</f>
        <v/>
      </c>
      <c r="K75" s="13" t="str">
        <f aca="false">IF($B75="","",MAX(0,$H75)-MIN(MAX(0,$H75),SUMIFS(Movimientos!$G$2:$G$501,Movimientos!$B$2:$B$501,$B75,Movimientos!$I$2:$I$501,"&gt;="&amp;Resumen!$C$4)))</f>
        <v/>
      </c>
      <c r="L75" s="15" t="str">
        <f aca="false">IF($B75="","",IF(N($H75)&lt;=0,"Sin deuda",IF(AND(N($G75)&gt;0,$H75&gt;$G75),"Excedido",IF(N($K75)&gt;0,"Con deuda vencida",IF(AND(N($G75)&gt;0,$H75&gt;=Resumen!$C$5*$G75),"Cerca del límite","Al día")))))</f>
        <v/>
      </c>
      <c r="M75" s="16" t="str">
        <f aca="false">IF($B75="","",IFERROR(1/(1/_xlfn.MAXIFS(Movimientos!$A$2:$A$501,Movimientos!$B$2:$B$501,$B75,Movimientos!$C$2:$C$501,"Cobro")),"—"))</f>
        <v/>
      </c>
      <c r="N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1"/>
      <c r="G76" s="12"/>
      <c r="H76" s="13" t="str">
        <f aca="false">IF($B76="","",SUMIFS(Movimientos!$G$2:$G$501,Movimientos!$B$2:$B$501,$B76)-SUMIFS(Movimientos!$H$2:$H$501,Movimientos!$B$2:$B$501,$B76))</f>
        <v/>
      </c>
      <c r="I76" s="13" t="str">
        <f aca="false">IF(OR($B76="",$G76=""),"",$G76-$H76)</f>
        <v/>
      </c>
      <c r="J76" s="14" t="str">
        <f aca="false">IF(OR($B76="",N($G76)=0),"",MAX(0,$H76)/$G76)</f>
        <v/>
      </c>
      <c r="K76" s="13" t="str">
        <f aca="false">IF($B76="","",MAX(0,$H76)-MIN(MAX(0,$H76),SUMIFS(Movimientos!$G$2:$G$501,Movimientos!$B$2:$B$501,$B76,Movimientos!$I$2:$I$501,"&gt;="&amp;Resumen!$C$4)))</f>
        <v/>
      </c>
      <c r="L76" s="15" t="str">
        <f aca="false">IF($B76="","",IF(N($H76)&lt;=0,"Sin deuda",IF(AND(N($G76)&gt;0,$H76&gt;$G76),"Excedido",IF(N($K76)&gt;0,"Con deuda vencida",IF(AND(N($G76)&gt;0,$H76&gt;=Resumen!$C$5*$G76),"Cerca del límite","Al día")))))</f>
        <v/>
      </c>
      <c r="M76" s="16" t="str">
        <f aca="false">IF($B76="","",IFERROR(1/(1/_xlfn.MAXIFS(Movimientos!$A$2:$A$501,Movimientos!$B$2:$B$501,$B76,Movimientos!$C$2:$C$501,"Cobro")),"—"))</f>
        <v/>
      </c>
      <c r="N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1"/>
      <c r="G77" s="12"/>
      <c r="H77" s="13" t="str">
        <f aca="false">IF($B77="","",SUMIFS(Movimientos!$G$2:$G$501,Movimientos!$B$2:$B$501,$B77)-SUMIFS(Movimientos!$H$2:$H$501,Movimientos!$B$2:$B$501,$B77))</f>
        <v/>
      </c>
      <c r="I77" s="13" t="str">
        <f aca="false">IF(OR($B77="",$G77=""),"",$G77-$H77)</f>
        <v/>
      </c>
      <c r="J77" s="14" t="str">
        <f aca="false">IF(OR($B77="",N($G77)=0),"",MAX(0,$H77)/$G77)</f>
        <v/>
      </c>
      <c r="K77" s="13" t="str">
        <f aca="false">IF($B77="","",MAX(0,$H77)-MIN(MAX(0,$H77),SUMIFS(Movimientos!$G$2:$G$501,Movimientos!$B$2:$B$501,$B77,Movimientos!$I$2:$I$501,"&gt;="&amp;Resumen!$C$4)))</f>
        <v/>
      </c>
      <c r="L77" s="15" t="str">
        <f aca="false">IF($B77="","",IF(N($H77)&lt;=0,"Sin deuda",IF(AND(N($G77)&gt;0,$H77&gt;$G77),"Excedido",IF(N($K77)&gt;0,"Con deuda vencida",IF(AND(N($G77)&gt;0,$H77&gt;=Resumen!$C$5*$G77),"Cerca del límite","Al día")))))</f>
        <v/>
      </c>
      <c r="M77" s="16" t="str">
        <f aca="false">IF($B77="","",IFERROR(1/(1/_xlfn.MAXIFS(Movimientos!$A$2:$A$501,Movimientos!$B$2:$B$501,$B77,Movimientos!$C$2:$C$501,"Cobro")),"—"))</f>
        <v/>
      </c>
      <c r="N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1"/>
      <c r="G78" s="12"/>
      <c r="H78" s="13" t="str">
        <f aca="false">IF($B78="","",SUMIFS(Movimientos!$G$2:$G$501,Movimientos!$B$2:$B$501,$B78)-SUMIFS(Movimientos!$H$2:$H$501,Movimientos!$B$2:$B$501,$B78))</f>
        <v/>
      </c>
      <c r="I78" s="13" t="str">
        <f aca="false">IF(OR($B78="",$G78=""),"",$G78-$H78)</f>
        <v/>
      </c>
      <c r="J78" s="14" t="str">
        <f aca="false">IF(OR($B78="",N($G78)=0),"",MAX(0,$H78)/$G78)</f>
        <v/>
      </c>
      <c r="K78" s="13" t="str">
        <f aca="false">IF($B78="","",MAX(0,$H78)-MIN(MAX(0,$H78),SUMIFS(Movimientos!$G$2:$G$501,Movimientos!$B$2:$B$501,$B78,Movimientos!$I$2:$I$501,"&gt;="&amp;Resumen!$C$4)))</f>
        <v/>
      </c>
      <c r="L78" s="15" t="str">
        <f aca="false">IF($B78="","",IF(N($H78)&lt;=0,"Sin deuda",IF(AND(N($G78)&gt;0,$H78&gt;$G78),"Excedido",IF(N($K78)&gt;0,"Con deuda vencida",IF(AND(N($G78)&gt;0,$H78&gt;=Resumen!$C$5*$G78),"Cerca del límite","Al día")))))</f>
        <v/>
      </c>
      <c r="M78" s="16" t="str">
        <f aca="false">IF($B78="","",IFERROR(1/(1/_xlfn.MAXIFS(Movimientos!$A$2:$A$501,Movimientos!$B$2:$B$501,$B78,Movimientos!$C$2:$C$501,"Cobro")),"—"))</f>
        <v/>
      </c>
      <c r="N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1"/>
      <c r="G79" s="12"/>
      <c r="H79" s="13" t="str">
        <f aca="false">IF($B79="","",SUMIFS(Movimientos!$G$2:$G$501,Movimientos!$B$2:$B$501,$B79)-SUMIFS(Movimientos!$H$2:$H$501,Movimientos!$B$2:$B$501,$B79))</f>
        <v/>
      </c>
      <c r="I79" s="13" t="str">
        <f aca="false">IF(OR($B79="",$G79=""),"",$G79-$H79)</f>
        <v/>
      </c>
      <c r="J79" s="14" t="str">
        <f aca="false">IF(OR($B79="",N($G79)=0),"",MAX(0,$H79)/$G79)</f>
        <v/>
      </c>
      <c r="K79" s="13" t="str">
        <f aca="false">IF($B79="","",MAX(0,$H79)-MIN(MAX(0,$H79),SUMIFS(Movimientos!$G$2:$G$501,Movimientos!$B$2:$B$501,$B79,Movimientos!$I$2:$I$501,"&gt;="&amp;Resumen!$C$4)))</f>
        <v/>
      </c>
      <c r="L79" s="15" t="str">
        <f aca="false">IF($B79="","",IF(N($H79)&lt;=0,"Sin deuda",IF(AND(N($G79)&gt;0,$H79&gt;$G79),"Excedido",IF(N($K79)&gt;0,"Con deuda vencida",IF(AND(N($G79)&gt;0,$H79&gt;=Resumen!$C$5*$G79),"Cerca del límite","Al día")))))</f>
        <v/>
      </c>
      <c r="M79" s="16" t="str">
        <f aca="false">IF($B79="","",IFERROR(1/(1/_xlfn.MAXIFS(Movimientos!$A$2:$A$501,Movimientos!$B$2:$B$501,$B79,Movimientos!$C$2:$C$501,"Cobro")),"—"))</f>
        <v/>
      </c>
      <c r="N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1"/>
      <c r="G80" s="12"/>
      <c r="H80" s="13" t="str">
        <f aca="false">IF($B80="","",SUMIFS(Movimientos!$G$2:$G$501,Movimientos!$B$2:$B$501,$B80)-SUMIFS(Movimientos!$H$2:$H$501,Movimientos!$B$2:$B$501,$B80))</f>
        <v/>
      </c>
      <c r="I80" s="13" t="str">
        <f aca="false">IF(OR($B80="",$G80=""),"",$G80-$H80)</f>
        <v/>
      </c>
      <c r="J80" s="14" t="str">
        <f aca="false">IF(OR($B80="",N($G80)=0),"",MAX(0,$H80)/$G80)</f>
        <v/>
      </c>
      <c r="K80" s="13" t="str">
        <f aca="false">IF($B80="","",MAX(0,$H80)-MIN(MAX(0,$H80),SUMIFS(Movimientos!$G$2:$G$501,Movimientos!$B$2:$B$501,$B80,Movimientos!$I$2:$I$501,"&gt;="&amp;Resumen!$C$4)))</f>
        <v/>
      </c>
      <c r="L80" s="15" t="str">
        <f aca="false">IF($B80="","",IF(N($H80)&lt;=0,"Sin deuda",IF(AND(N($G80)&gt;0,$H80&gt;$G80),"Excedido",IF(N($K80)&gt;0,"Con deuda vencida",IF(AND(N($G80)&gt;0,$H80&gt;=Resumen!$C$5*$G80),"Cerca del límite","Al día")))))</f>
        <v/>
      </c>
      <c r="M80" s="16" t="str">
        <f aca="false">IF($B80="","",IFERROR(1/(1/_xlfn.MAXIFS(Movimientos!$A$2:$A$501,Movimientos!$B$2:$B$501,$B80,Movimientos!$C$2:$C$501,"Cobro")),"—"))</f>
        <v/>
      </c>
      <c r="N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1"/>
      <c r="G81" s="12"/>
      <c r="H81" s="13" t="str">
        <f aca="false">IF($B81="","",SUMIFS(Movimientos!$G$2:$G$501,Movimientos!$B$2:$B$501,$B81)-SUMIFS(Movimientos!$H$2:$H$501,Movimientos!$B$2:$B$501,$B81))</f>
        <v/>
      </c>
      <c r="I81" s="13" t="str">
        <f aca="false">IF(OR($B81="",$G81=""),"",$G81-$H81)</f>
        <v/>
      </c>
      <c r="J81" s="14" t="str">
        <f aca="false">IF(OR($B81="",N($G81)=0),"",MAX(0,$H81)/$G81)</f>
        <v/>
      </c>
      <c r="K81" s="13" t="str">
        <f aca="false">IF($B81="","",MAX(0,$H81)-MIN(MAX(0,$H81),SUMIFS(Movimientos!$G$2:$G$501,Movimientos!$B$2:$B$501,$B81,Movimientos!$I$2:$I$501,"&gt;="&amp;Resumen!$C$4)))</f>
        <v/>
      </c>
      <c r="L81" s="15" t="str">
        <f aca="false">IF($B81="","",IF(N($H81)&lt;=0,"Sin deuda",IF(AND(N($G81)&gt;0,$H81&gt;$G81),"Excedido",IF(N($K81)&gt;0,"Con deuda vencida",IF(AND(N($G81)&gt;0,$H81&gt;=Resumen!$C$5*$G81),"Cerca del límite","Al día")))))</f>
        <v/>
      </c>
      <c r="M81" s="16" t="str">
        <f aca="false">IF($B81="","",IFERROR(1/(1/_xlfn.MAXIFS(Movimientos!$A$2:$A$501,Movimientos!$B$2:$B$501,$B81,Movimientos!$C$2:$C$501,"Cobro")),"—"))</f>
        <v/>
      </c>
      <c r="N81" s="10"/>
    </row>
  </sheetData>
  <conditionalFormatting sqref="L2:L81">
    <cfRule type="expression" priority="2" aboveAverage="0" equalAverage="0" bottom="0" percent="0" rank="0" text="" dxfId="0">
      <formula>$L2="Excedido"</formula>
    </cfRule>
    <cfRule type="expression" priority="3" aboveAverage="0" equalAverage="0" bottom="0" percent="0" rank="0" text="" dxfId="1">
      <formula>$L2="Con deuda vencida"</formula>
    </cfRule>
    <cfRule type="expression" priority="4" aboveAverage="0" equalAverage="0" bottom="0" percent="0" rank="0" text="" dxfId="2">
      <formula>$L2="Cerca del límite"</formula>
    </cfRule>
    <cfRule type="expression" priority="5" aboveAverage="0" equalAverage="0" bottom="0" percent="0" rank="0" text="" dxfId="3">
      <formula>$L2="Al día"</formula>
    </cfRule>
    <cfRule type="expression" priority="6" aboveAverage="0" equalAverage="0" bottom="0" percent="0" rank="0" text="" dxfId="4">
      <formula>$L2="Sin deuda"</formula>
    </cfRule>
  </conditionalFormatting>
  <dataValidations count="1">
    <dataValidation allowBlank="true" errorStyle="stop" operator="between" showDropDown="false" showErrorMessage="false" showInputMessage="false" sqref="F2:F81" type="list">
      <formula1>"0,7,10,15,21,30,45,60,90"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4" min="3" style="0" width="16"/>
    <col collapsed="false" customWidth="true" hidden="false" outlineLevel="0" max="5" min="5" style="0" width="28"/>
    <col collapsed="false" customWidth="true" hidden="false" outlineLevel="0" max="8" min="6" style="0" width="14"/>
    <col collapsed="false" customWidth="true" hidden="false" outlineLevel="0" max="9" min="9" style="0" width="13"/>
    <col collapsed="false" customWidth="true" hidden="false" outlineLevel="0" max="11" min="10" style="0" width="15"/>
    <col collapsed="false" customWidth="true" hidden="false" outlineLevel="0" max="12" min="12" style="0" width="28"/>
    <col collapsed="false" customWidth="true" hidden="true" outlineLevel="0" max="13" min="13" style="0" width="5"/>
  </cols>
  <sheetData>
    <row r="1" customFormat="false" ht="30" hidden="false" customHeight="true" outlineLevel="0" collapsed="false">
      <c r="A1" s="9" t="s">
        <v>50</v>
      </c>
      <c r="B1" s="9" t="s">
        <v>21</v>
      </c>
      <c r="C1" s="9" t="s">
        <v>51</v>
      </c>
      <c r="D1" s="9" t="s">
        <v>52</v>
      </c>
      <c r="E1" s="9" t="s">
        <v>53</v>
      </c>
      <c r="F1" s="9" t="s">
        <v>54</v>
      </c>
      <c r="G1" s="9" t="s">
        <v>55</v>
      </c>
      <c r="H1" s="9" t="s">
        <v>56</v>
      </c>
      <c r="I1" s="9" t="s">
        <v>57</v>
      </c>
      <c r="J1" s="9" t="s">
        <v>58</v>
      </c>
      <c r="K1" s="9" t="s">
        <v>59</v>
      </c>
      <c r="L1" s="9" t="s">
        <v>33</v>
      </c>
      <c r="M1" s="9" t="s">
        <v>60</v>
      </c>
    </row>
    <row r="2" customFormat="false" ht="15" hidden="false" customHeight="false" outlineLevel="0" collapsed="false">
      <c r="A2" s="17" t="n">
        <v>46235</v>
      </c>
      <c r="B2" s="10" t="s">
        <v>35</v>
      </c>
      <c r="C2" s="10" t="s">
        <v>61</v>
      </c>
      <c r="D2" s="10"/>
      <c r="E2" s="10" t="s">
        <v>62</v>
      </c>
      <c r="F2" s="12" t="n">
        <v>320000</v>
      </c>
      <c r="G2" s="13" t="n">
        <f aca="false">IF(OR($B2="",$F2=""),"",IF(OR($C2="Saldo inicial",$C2="Factura",$C2="Nota de débito"),$F2,0))</f>
        <v>320000</v>
      </c>
      <c r="H2" s="13" t="n">
        <f aca="false">IF(OR($B2="",$F2=""),"",IF(OR($C2="Cobro",$C2="Nota de crédito"),$F2,0))</f>
        <v>0</v>
      </c>
      <c r="I2" s="16" t="n">
        <f aca="false">IF(OR($A2="",N($G2)=0),"",$A2+IFERROR(INDEX(Clientes!$F$2:$F$81,MATCH($B2,Clientes!$B$2:$B$81,0)),0))</f>
        <v>46265</v>
      </c>
      <c r="J2" s="13" t="n">
        <f aca="false">IF($B2="","",SUMIFS($G$2:$G2,$B$2:$B2,$B2)-SUMIFS($H$2:$H2,$B$2:$B2,$B2))</f>
        <v>320000</v>
      </c>
      <c r="K2" s="10"/>
      <c r="L2" s="10"/>
      <c r="M2" s="18" t="n">
        <f aca="false">IF(AND($B2&lt;&gt;"",$B2='Estado de cuenta'!$C$4),COUNTIF($B$2:$B2,'Estado de cuenta'!$C$4),"")</f>
        <v>1</v>
      </c>
    </row>
    <row r="3" customFormat="false" ht="15" hidden="false" customHeight="false" outlineLevel="0" collapsed="false">
      <c r="A3" s="17" t="n">
        <v>46235</v>
      </c>
      <c r="B3" s="10" t="s">
        <v>40</v>
      </c>
      <c r="C3" s="10" t="s">
        <v>61</v>
      </c>
      <c r="D3" s="10"/>
      <c r="E3" s="10" t="s">
        <v>62</v>
      </c>
      <c r="F3" s="12" t="n">
        <v>85000</v>
      </c>
      <c r="G3" s="13" t="n">
        <f aca="false">IF(OR($B3="",$F3=""),"",IF(OR($C3="Saldo inicial",$C3="Factura",$C3="Nota de débito"),$F3,0))</f>
        <v>85000</v>
      </c>
      <c r="H3" s="13" t="n">
        <f aca="false">IF(OR($B3="",$F3=""),"",IF(OR($C3="Cobro",$C3="Nota de crédito"),$F3,0))</f>
        <v>0</v>
      </c>
      <c r="I3" s="16" t="n">
        <f aca="false">IF(OR($A3="",N($G3)=0),"",$A3+IFERROR(INDEX(Clientes!$F$2:$F$81,MATCH($B3,Clientes!$B$2:$B$81,0)),0))</f>
        <v>46250</v>
      </c>
      <c r="J3" s="13" t="n">
        <f aca="false">IF($B3="","",SUMIFS($G$2:$G3,$B$2:$B3,$B3)-SUMIFS($H$2:$H3,$B$2:$B3,$B3))</f>
        <v>85000</v>
      </c>
      <c r="K3" s="10"/>
      <c r="L3" s="10"/>
      <c r="M3" s="18" t="str">
        <f aca="false">IF(AND($B3&lt;&gt;"",$B3='Estado de cuenta'!$C$4),COUNTIF($B$2:$B3,'Estado de cuenta'!$C$4),"")</f>
        <v/>
      </c>
    </row>
    <row r="4" customFormat="false" ht="15" hidden="false" customHeight="false" outlineLevel="0" collapsed="false">
      <c r="A4" s="17" t="n">
        <v>46239</v>
      </c>
      <c r="B4" s="10" t="s">
        <v>43</v>
      </c>
      <c r="C4" s="10" t="s">
        <v>63</v>
      </c>
      <c r="D4" s="10" t="s">
        <v>64</v>
      </c>
      <c r="E4" s="10" t="s">
        <v>65</v>
      </c>
      <c r="F4" s="12" t="n">
        <v>940000</v>
      </c>
      <c r="G4" s="13" t="n">
        <f aca="false">IF(OR($B4="",$F4=""),"",IF(OR($C4="Saldo inicial",$C4="Factura",$C4="Nota de débito"),$F4,0))</f>
        <v>940000</v>
      </c>
      <c r="H4" s="13" t="n">
        <f aca="false">IF(OR($B4="",$F4=""),"",IF(OR($C4="Cobro",$C4="Nota de crédito"),$F4,0))</f>
        <v>0</v>
      </c>
      <c r="I4" s="16" t="n">
        <f aca="false">IF(OR($A4="",N($G4)=0),"",$A4+IFERROR(INDEX(Clientes!$F$2:$F$81,MATCH($B4,Clientes!$B$2:$B$81,0)),0))</f>
        <v>46269</v>
      </c>
      <c r="J4" s="13" t="n">
        <f aca="false">IF($B4="","",SUMIFS($G$2:$G4,$B$2:$B4,$B4)-SUMIFS($H$2:$H4,$B$2:$B4,$B4))</f>
        <v>940000</v>
      </c>
      <c r="K4" s="10"/>
      <c r="L4" s="10"/>
      <c r="M4" s="18" t="str">
        <f aca="false">IF(AND($B4&lt;&gt;"",$B4='Estado de cuenta'!$C$4),COUNTIF($B$2:$B4,'Estado de cuenta'!$C$4),"")</f>
        <v/>
      </c>
    </row>
    <row r="5" customFormat="false" ht="15" hidden="false" customHeight="false" outlineLevel="0" collapsed="false">
      <c r="A5" s="17" t="n">
        <v>46246</v>
      </c>
      <c r="B5" s="10" t="s">
        <v>35</v>
      </c>
      <c r="C5" s="10" t="s">
        <v>63</v>
      </c>
      <c r="D5" s="10" t="s">
        <v>66</v>
      </c>
      <c r="E5" s="10" t="s">
        <v>67</v>
      </c>
      <c r="F5" s="12" t="n">
        <v>410000</v>
      </c>
      <c r="G5" s="13" t="n">
        <f aca="false">IF(OR($B5="",$F5=""),"",IF(OR($C5="Saldo inicial",$C5="Factura",$C5="Nota de débito"),$F5,0))</f>
        <v>410000</v>
      </c>
      <c r="H5" s="13" t="n">
        <f aca="false">IF(OR($B5="",$F5=""),"",IF(OR($C5="Cobro",$C5="Nota de crédito"),$F5,0))</f>
        <v>0</v>
      </c>
      <c r="I5" s="16" t="n">
        <f aca="false">IF(OR($A5="",N($G5)=0),"",$A5+IFERROR(INDEX(Clientes!$F$2:$F$81,MATCH($B5,Clientes!$B$2:$B$81,0)),0))</f>
        <v>46276</v>
      </c>
      <c r="J5" s="13" t="n">
        <f aca="false">IF($B5="","",SUMIFS($G$2:$G5,$B$2:$B5,$B5)-SUMIFS($H$2:$H5,$B$2:$B5,$B5))</f>
        <v>730000</v>
      </c>
      <c r="K5" s="10"/>
      <c r="L5" s="10"/>
      <c r="M5" s="18" t="n">
        <f aca="false">IF(AND($B5&lt;&gt;"",$B5='Estado de cuenta'!$C$4),COUNTIF($B$2:$B5,'Estado de cuenta'!$C$4),"")</f>
        <v>2</v>
      </c>
    </row>
    <row r="6" customFormat="false" ht="15" hidden="false" customHeight="false" outlineLevel="0" collapsed="false">
      <c r="A6" s="17" t="n">
        <v>46254</v>
      </c>
      <c r="B6" s="10" t="s">
        <v>48</v>
      </c>
      <c r="C6" s="10" t="s">
        <v>63</v>
      </c>
      <c r="D6" s="10" t="s">
        <v>68</v>
      </c>
      <c r="E6" s="10" t="s">
        <v>69</v>
      </c>
      <c r="F6" s="12" t="n">
        <v>260000</v>
      </c>
      <c r="G6" s="13" t="n">
        <f aca="false">IF(OR($B6="",$F6=""),"",IF(OR($C6="Saldo inicial",$C6="Factura",$C6="Nota de débito"),$F6,0))</f>
        <v>260000</v>
      </c>
      <c r="H6" s="13" t="n">
        <f aca="false">IF(OR($B6="",$F6=""),"",IF(OR($C6="Cobro",$C6="Nota de crédito"),$F6,0))</f>
        <v>0</v>
      </c>
      <c r="I6" s="16" t="n">
        <f aca="false">IF(OR($A6="",N($G6)=0),"",$A6+IFERROR(INDEX(Clientes!$F$2:$F$81,MATCH($B6,Clientes!$B$2:$B$81,0)),0))</f>
        <v>46261</v>
      </c>
      <c r="J6" s="13" t="n">
        <f aca="false">IF($B6="","",SUMIFS($G$2:$G6,$B$2:$B6,$B6)-SUMIFS($H$2:$H6,$B$2:$B6,$B6))</f>
        <v>260000</v>
      </c>
      <c r="K6" s="10"/>
      <c r="L6" s="10"/>
      <c r="M6" s="18" t="str">
        <f aca="false">IF(AND($B6&lt;&gt;"",$B6='Estado de cuenta'!$C$4),COUNTIF($B$2:$B6,'Estado de cuenta'!$C$4),"")</f>
        <v/>
      </c>
    </row>
    <row r="7" customFormat="false" ht="15" hidden="false" customHeight="false" outlineLevel="0" collapsed="false">
      <c r="A7" s="17" t="n">
        <v>46265</v>
      </c>
      <c r="B7" s="10" t="s">
        <v>35</v>
      </c>
      <c r="C7" s="10" t="s">
        <v>70</v>
      </c>
      <c r="D7" s="10" t="s">
        <v>71</v>
      </c>
      <c r="E7" s="10" t="s">
        <v>72</v>
      </c>
      <c r="F7" s="12" t="n">
        <v>320000</v>
      </c>
      <c r="G7" s="13" t="n">
        <f aca="false">IF(OR($B7="",$F7=""),"",IF(OR($C7="Saldo inicial",$C7="Factura",$C7="Nota de débito"),$F7,0))</f>
        <v>0</v>
      </c>
      <c r="H7" s="13" t="n">
        <f aca="false">IF(OR($B7="",$F7=""),"",IF(OR($C7="Cobro",$C7="Nota de crédito"),$F7,0))</f>
        <v>320000</v>
      </c>
      <c r="I7" s="16" t="str">
        <f aca="false">IF(OR($A7="",N($G7)=0),"",$A7+IFERROR(INDEX(Clientes!$F$2:$F$81,MATCH($B7,Clientes!$B$2:$B$81,0)),0))</f>
        <v/>
      </c>
      <c r="J7" s="13" t="n">
        <f aca="false">IF($B7="","",SUMIFS($G$2:$G7,$B$2:$B7,$B7)-SUMIFS($H$2:$H7,$B$2:$B7,$B7))</f>
        <v>410000</v>
      </c>
      <c r="K7" s="10" t="s">
        <v>73</v>
      </c>
      <c r="L7" s="10"/>
      <c r="M7" s="18" t="n">
        <f aca="false">IF(AND($B7&lt;&gt;"",$B7='Estado de cuenta'!$C$4),COUNTIF($B$2:$B7,'Estado de cuenta'!$C$4),"")</f>
        <v>3</v>
      </c>
    </row>
    <row r="8" customFormat="false" ht="15" hidden="false" customHeight="false" outlineLevel="0" collapsed="false">
      <c r="A8" s="17" t="n">
        <v>46267</v>
      </c>
      <c r="B8" s="10" t="s">
        <v>43</v>
      </c>
      <c r="C8" s="10" t="s">
        <v>70</v>
      </c>
      <c r="D8" s="10" t="s">
        <v>74</v>
      </c>
      <c r="E8" s="10"/>
      <c r="F8" s="12" t="n">
        <v>940000</v>
      </c>
      <c r="G8" s="13" t="n">
        <f aca="false">IF(OR($B8="",$F8=""),"",IF(OR($C8="Saldo inicial",$C8="Factura",$C8="Nota de débito"),$F8,0))</f>
        <v>0</v>
      </c>
      <c r="H8" s="13" t="n">
        <f aca="false">IF(OR($B8="",$F8=""),"",IF(OR($C8="Cobro",$C8="Nota de crédito"),$F8,0))</f>
        <v>940000</v>
      </c>
      <c r="I8" s="16" t="str">
        <f aca="false">IF(OR($A8="",N($G8)=0),"",$A8+IFERROR(INDEX(Clientes!$F$2:$F$81,MATCH($B8,Clientes!$B$2:$B$81,0)),0))</f>
        <v/>
      </c>
      <c r="J8" s="13" t="n">
        <f aca="false">IF($B8="","",SUMIFS($G$2:$G8,$B$2:$B8,$B8)-SUMIFS($H$2:$H8,$B$2:$B8,$B8))</f>
        <v>0</v>
      </c>
      <c r="K8" s="10" t="s">
        <v>75</v>
      </c>
      <c r="L8" s="10" t="s">
        <v>76</v>
      </c>
      <c r="M8" s="18" t="str">
        <f aca="false">IF(AND($B8&lt;&gt;"",$B8='Estado de cuenta'!$C$4),COUNTIF($B$2:$B8,'Estado de cuenta'!$C$4),"")</f>
        <v/>
      </c>
    </row>
    <row r="9" customFormat="false" ht="15" hidden="false" customHeight="false" outlineLevel="0" collapsed="false">
      <c r="A9" s="17" t="n">
        <v>46274</v>
      </c>
      <c r="B9" s="10" t="s">
        <v>40</v>
      </c>
      <c r="C9" s="10" t="s">
        <v>63</v>
      </c>
      <c r="D9" s="10" t="s">
        <v>77</v>
      </c>
      <c r="E9" s="10" t="s">
        <v>78</v>
      </c>
      <c r="F9" s="12" t="n">
        <v>230000</v>
      </c>
      <c r="G9" s="13" t="n">
        <f aca="false">IF(OR($B9="",$F9=""),"",IF(OR($C9="Saldo inicial",$C9="Factura",$C9="Nota de débito"),$F9,0))</f>
        <v>230000</v>
      </c>
      <c r="H9" s="13" t="n">
        <f aca="false">IF(OR($B9="",$F9=""),"",IF(OR($C9="Cobro",$C9="Nota de crédito"),$F9,0))</f>
        <v>0</v>
      </c>
      <c r="I9" s="16" t="n">
        <f aca="false">IF(OR($A9="",N($G9)=0),"",$A9+IFERROR(INDEX(Clientes!$F$2:$F$81,MATCH($B9,Clientes!$B$2:$B$81,0)),0))</f>
        <v>46289</v>
      </c>
      <c r="J9" s="13" t="n">
        <f aca="false">IF($B9="","",SUMIFS($G$2:$G9,$B$2:$B9,$B9)-SUMIFS($H$2:$H9,$B$2:$B9,$B9))</f>
        <v>315000</v>
      </c>
      <c r="K9" s="10"/>
      <c r="L9" s="10"/>
      <c r="M9" s="18" t="str">
        <f aca="false">IF(AND($B9&lt;&gt;"",$B9='Estado de cuenta'!$C$4),COUNTIF($B$2:$B9,'Estado de cuenta'!$C$4),"")</f>
        <v/>
      </c>
    </row>
    <row r="10" customFormat="false" ht="15" hidden="false" customHeight="false" outlineLevel="0" collapsed="false">
      <c r="A10" s="17" t="n">
        <v>46280</v>
      </c>
      <c r="B10" s="10" t="s">
        <v>43</v>
      </c>
      <c r="C10" s="10" t="s">
        <v>63</v>
      </c>
      <c r="D10" s="10" t="s">
        <v>79</v>
      </c>
      <c r="E10" s="10" t="s">
        <v>65</v>
      </c>
      <c r="F10" s="12" t="n">
        <v>1150000</v>
      </c>
      <c r="G10" s="13" t="n">
        <f aca="false">IF(OR($B10="",$F10=""),"",IF(OR($C10="Saldo inicial",$C10="Factura",$C10="Nota de débito"),$F10,0))</f>
        <v>1150000</v>
      </c>
      <c r="H10" s="13" t="n">
        <f aca="false">IF(OR($B10="",$F10=""),"",IF(OR($C10="Cobro",$C10="Nota de crédito"),$F10,0))</f>
        <v>0</v>
      </c>
      <c r="I10" s="16" t="n">
        <f aca="false">IF(OR($A10="",N($G10)=0),"",$A10+IFERROR(INDEX(Clientes!$F$2:$F$81,MATCH($B10,Clientes!$B$2:$B$81,0)),0))</f>
        <v>46310</v>
      </c>
      <c r="J10" s="13" t="n">
        <f aca="false">IF($B10="","",SUMIFS($G$2:$G10,$B$2:$B10,$B10)-SUMIFS($H$2:$H10,$B$2:$B10,$B10))</f>
        <v>1150000</v>
      </c>
      <c r="K10" s="10"/>
      <c r="L10" s="10"/>
      <c r="M10" s="18" t="str">
        <f aca="false">IF(AND($B10&lt;&gt;"",$B10='Estado de cuenta'!$C$4),COUNTIF($B$2:$B10,'Estado de cuenta'!$C$4),"")</f>
        <v/>
      </c>
    </row>
    <row r="11" customFormat="false" ht="15" hidden="false" customHeight="false" outlineLevel="0" collapsed="false">
      <c r="A11" s="17" t="n">
        <v>46283</v>
      </c>
      <c r="B11" s="10" t="s">
        <v>48</v>
      </c>
      <c r="C11" s="10" t="s">
        <v>63</v>
      </c>
      <c r="D11" s="10" t="s">
        <v>80</v>
      </c>
      <c r="E11" s="10" t="s">
        <v>81</v>
      </c>
      <c r="F11" s="12" t="n">
        <v>210000</v>
      </c>
      <c r="G11" s="13" t="n">
        <f aca="false">IF(OR($B11="",$F11=""),"",IF(OR($C11="Saldo inicial",$C11="Factura",$C11="Nota de débito"),$F11,0))</f>
        <v>210000</v>
      </c>
      <c r="H11" s="13" t="n">
        <f aca="false">IF(OR($B11="",$F11=""),"",IF(OR($C11="Cobro",$C11="Nota de crédito"),$F11,0))</f>
        <v>0</v>
      </c>
      <c r="I11" s="16" t="n">
        <f aca="false">IF(OR($A11="",N($G11)=0),"",$A11+IFERROR(INDEX(Clientes!$F$2:$F$81,MATCH($B11,Clientes!$B$2:$B$81,0)),0))</f>
        <v>46290</v>
      </c>
      <c r="J11" s="13" t="n">
        <f aca="false">IF($B11="","",SUMIFS($G$2:$G11,$B$2:$B11,$B11)-SUMIFS($H$2:$H11,$B$2:$B11,$B11))</f>
        <v>470000</v>
      </c>
      <c r="K11" s="10"/>
      <c r="L11" s="10" t="s">
        <v>82</v>
      </c>
      <c r="M11" s="18" t="str">
        <f aca="false">IF(AND($B11&lt;&gt;"",$B11='Estado de cuenta'!$C$4),COUNTIF($B$2:$B11,'Estado de cuenta'!$C$4),"")</f>
        <v/>
      </c>
    </row>
    <row r="12" customFormat="false" ht="15" hidden="false" customHeight="false" outlineLevel="0" collapsed="false">
      <c r="A12" s="17" t="n">
        <v>46287</v>
      </c>
      <c r="B12" s="10" t="s">
        <v>43</v>
      </c>
      <c r="C12" s="10" t="s">
        <v>83</v>
      </c>
      <c r="D12" s="10" t="s">
        <v>84</v>
      </c>
      <c r="E12" s="10" t="s">
        <v>85</v>
      </c>
      <c r="F12" s="12" t="n">
        <v>60000</v>
      </c>
      <c r="G12" s="13" t="n">
        <f aca="false">IF(OR($B12="",$F12=""),"",IF(OR($C12="Saldo inicial",$C12="Factura",$C12="Nota de débito"),$F12,0))</f>
        <v>0</v>
      </c>
      <c r="H12" s="13" t="n">
        <f aca="false">IF(OR($B12="",$F12=""),"",IF(OR($C12="Cobro",$C12="Nota de crédito"),$F12,0))</f>
        <v>60000</v>
      </c>
      <c r="I12" s="16" t="str">
        <f aca="false">IF(OR($A12="",N($G12)=0),"",$A12+IFERROR(INDEX(Clientes!$F$2:$F$81,MATCH($B12,Clientes!$B$2:$B$81,0)),0))</f>
        <v/>
      </c>
      <c r="J12" s="13" t="n">
        <f aca="false">IF($B12="","",SUMIFS($G$2:$G12,$B$2:$B12,$B12)-SUMIFS($H$2:$H12,$B$2:$B12,$B12))</f>
        <v>1090000</v>
      </c>
      <c r="K12" s="10"/>
      <c r="L12" s="10"/>
      <c r="M12" s="18" t="str">
        <f aca="false">IF(AND($B12&lt;&gt;"",$B12='Estado de cuenta'!$C$4),COUNTIF($B$2:$B12,'Estado de cuenta'!$C$4),"")</f>
        <v/>
      </c>
    </row>
    <row r="13" customFormat="false" ht="15" hidden="false" customHeight="false" outlineLevel="0" collapsed="false">
      <c r="A13" s="17" t="n">
        <v>46293</v>
      </c>
      <c r="B13" s="10" t="s">
        <v>35</v>
      </c>
      <c r="C13" s="10" t="s">
        <v>70</v>
      </c>
      <c r="D13" s="10" t="s">
        <v>86</v>
      </c>
      <c r="E13" s="10" t="s">
        <v>87</v>
      </c>
      <c r="F13" s="12" t="n">
        <v>200000</v>
      </c>
      <c r="G13" s="13" t="n">
        <f aca="false">IF(OR($B13="",$F13=""),"",IF(OR($C13="Saldo inicial",$C13="Factura",$C13="Nota de débito"),$F13,0))</f>
        <v>0</v>
      </c>
      <c r="H13" s="13" t="n">
        <f aca="false">IF(OR($B13="",$F13=""),"",IF(OR($C13="Cobro",$C13="Nota de crédito"),$F13,0))</f>
        <v>200000</v>
      </c>
      <c r="I13" s="16" t="str">
        <f aca="false">IF(OR($A13="",N($G13)=0),"",$A13+IFERROR(INDEX(Clientes!$F$2:$F$81,MATCH($B13,Clientes!$B$2:$B$81,0)),0))</f>
        <v/>
      </c>
      <c r="J13" s="13" t="n">
        <f aca="false">IF($B13="","",SUMIFS($G$2:$G13,$B$2:$B13,$B13)-SUMIFS($H$2:$H13,$B$2:$B13,$B13))</f>
        <v>210000</v>
      </c>
      <c r="K13" s="10" t="s">
        <v>88</v>
      </c>
      <c r="L13" s="10"/>
      <c r="M13" s="18" t="n">
        <f aca="false">IF(AND($B13&lt;&gt;"",$B13='Estado de cuenta'!$C$4),COUNTIF($B$2:$B13,'Estado de cuenta'!$C$4),"")</f>
        <v>4</v>
      </c>
    </row>
    <row r="14" customFormat="false" ht="15" hidden="false" customHeight="false" outlineLevel="0" collapsed="false">
      <c r="A14" s="17" t="n">
        <v>46296</v>
      </c>
      <c r="B14" s="10" t="s">
        <v>35</v>
      </c>
      <c r="C14" s="10" t="s">
        <v>63</v>
      </c>
      <c r="D14" s="10" t="s">
        <v>89</v>
      </c>
      <c r="E14" s="10" t="s">
        <v>67</v>
      </c>
      <c r="F14" s="12" t="n">
        <v>380000</v>
      </c>
      <c r="G14" s="13" t="n">
        <f aca="false">IF(OR($B14="",$F14=""),"",IF(OR($C14="Saldo inicial",$C14="Factura",$C14="Nota de débito"),$F14,0))</f>
        <v>380000</v>
      </c>
      <c r="H14" s="13" t="n">
        <f aca="false">IF(OR($B14="",$F14=""),"",IF(OR($C14="Cobro",$C14="Nota de crédito"),$F14,0))</f>
        <v>0</v>
      </c>
      <c r="I14" s="16" t="n">
        <f aca="false">IF(OR($A14="",N($G14)=0),"",$A14+IFERROR(INDEX(Clientes!$F$2:$F$81,MATCH($B14,Clientes!$B$2:$B$81,0)),0))</f>
        <v>46326</v>
      </c>
      <c r="J14" s="13" t="n">
        <f aca="false">IF($B14="","",SUMIFS($G$2:$G14,$B$2:$B14,$B14)-SUMIFS($H$2:$H14,$B$2:$B14,$B14))</f>
        <v>590000</v>
      </c>
      <c r="K14" s="10"/>
      <c r="L14" s="10"/>
      <c r="M14" s="18" t="n">
        <f aca="false">IF(AND($B14&lt;&gt;"",$B14='Estado de cuenta'!$C$4),COUNTIF($B$2:$B14,'Estado de cuenta'!$C$4),"")</f>
        <v>5</v>
      </c>
    </row>
    <row r="15" customFormat="false" ht="15" hidden="false" customHeight="false" outlineLevel="0" collapsed="false">
      <c r="A15" s="17"/>
      <c r="B15" s="10"/>
      <c r="C15" s="10"/>
      <c r="D15" s="10"/>
      <c r="E15" s="10"/>
      <c r="F15" s="12"/>
      <c r="G15" s="13" t="str">
        <f aca="false">IF(OR($B15="",$F15=""),"",IF(OR($C15="Saldo inicial",$C15="Factura",$C15="Nota de débito"),$F15,0))</f>
        <v/>
      </c>
      <c r="H15" s="13" t="str">
        <f aca="false">IF(OR($B15="",$F15=""),"",IF(OR($C15="Cobro",$C15="Nota de crédito"),$F15,0))</f>
        <v/>
      </c>
      <c r="I15" s="16" t="str">
        <f aca="false">IF(OR($A15="",N($G15)=0),"",$A15+IFERROR(INDEX(Clientes!$F$2:$F$81,MATCH($B15,Clientes!$B$2:$B$81,0)),0))</f>
        <v/>
      </c>
      <c r="J15" s="13" t="str">
        <f aca="false">IF($B15="","",SUMIFS($G$2:$G15,$B$2:$B15,$B15)-SUMIFS($H$2:$H15,$B$2:$B15,$B15))</f>
        <v/>
      </c>
      <c r="K15" s="10"/>
      <c r="L15" s="10"/>
      <c r="M15" s="18" t="str">
        <f aca="false">IF(AND($B15&lt;&gt;"",$B15='Estado de cuenta'!$C$4),COUNTIF($B$2:$B15,'Estado de cuenta'!$C$4),"")</f>
        <v/>
      </c>
    </row>
    <row r="16" customFormat="false" ht="15" hidden="false" customHeight="false" outlineLevel="0" collapsed="false">
      <c r="A16" s="17"/>
      <c r="B16" s="10"/>
      <c r="C16" s="10"/>
      <c r="D16" s="10"/>
      <c r="E16" s="10"/>
      <c r="F16" s="12"/>
      <c r="G16" s="13" t="str">
        <f aca="false">IF(OR($B16="",$F16=""),"",IF(OR($C16="Saldo inicial",$C16="Factura",$C16="Nota de débito"),$F16,0))</f>
        <v/>
      </c>
      <c r="H16" s="13" t="str">
        <f aca="false">IF(OR($B16="",$F16=""),"",IF(OR($C16="Cobro",$C16="Nota de crédito"),$F16,0))</f>
        <v/>
      </c>
      <c r="I16" s="16" t="str">
        <f aca="false">IF(OR($A16="",N($G16)=0),"",$A16+IFERROR(INDEX(Clientes!$F$2:$F$81,MATCH($B16,Clientes!$B$2:$B$81,0)),0))</f>
        <v/>
      </c>
      <c r="J16" s="13" t="str">
        <f aca="false">IF($B16="","",SUMIFS($G$2:$G16,$B$2:$B16,$B16)-SUMIFS($H$2:$H16,$B$2:$B16,$B16))</f>
        <v/>
      </c>
      <c r="K16" s="10"/>
      <c r="L16" s="10"/>
      <c r="M16" s="18" t="str">
        <f aca="false">IF(AND($B16&lt;&gt;"",$B16='Estado de cuenta'!$C$4),COUNTIF($B$2:$B16,'Estado de cuenta'!$C$4),"")</f>
        <v/>
      </c>
    </row>
    <row r="17" customFormat="false" ht="15" hidden="false" customHeight="false" outlineLevel="0" collapsed="false">
      <c r="A17" s="17"/>
      <c r="B17" s="10"/>
      <c r="C17" s="10"/>
      <c r="D17" s="10"/>
      <c r="E17" s="10"/>
      <c r="F17" s="12"/>
      <c r="G17" s="13" t="str">
        <f aca="false">IF(OR($B17="",$F17=""),"",IF(OR($C17="Saldo inicial",$C17="Factura",$C17="Nota de débito"),$F17,0))</f>
        <v/>
      </c>
      <c r="H17" s="13" t="str">
        <f aca="false">IF(OR($B17="",$F17=""),"",IF(OR($C17="Cobro",$C17="Nota de crédito"),$F17,0))</f>
        <v/>
      </c>
      <c r="I17" s="16" t="str">
        <f aca="false">IF(OR($A17="",N($G17)=0),"",$A17+IFERROR(INDEX(Clientes!$F$2:$F$81,MATCH($B17,Clientes!$B$2:$B$81,0)),0))</f>
        <v/>
      </c>
      <c r="J17" s="13" t="str">
        <f aca="false">IF($B17="","",SUMIFS($G$2:$G17,$B$2:$B17,$B17)-SUMIFS($H$2:$H17,$B$2:$B17,$B17))</f>
        <v/>
      </c>
      <c r="K17" s="10"/>
      <c r="L17" s="10"/>
      <c r="M17" s="18" t="str">
        <f aca="false">IF(AND($B17&lt;&gt;"",$B17='Estado de cuenta'!$C$4),COUNTIF($B$2:$B17,'Estado de cuenta'!$C$4),"")</f>
        <v/>
      </c>
    </row>
    <row r="18" customFormat="false" ht="15" hidden="false" customHeight="false" outlineLevel="0" collapsed="false">
      <c r="A18" s="17"/>
      <c r="B18" s="10"/>
      <c r="C18" s="10"/>
      <c r="D18" s="10"/>
      <c r="E18" s="10"/>
      <c r="F18" s="12"/>
      <c r="G18" s="13" t="str">
        <f aca="false">IF(OR($B18="",$F18=""),"",IF(OR($C18="Saldo inicial",$C18="Factura",$C18="Nota de débito"),$F18,0))</f>
        <v/>
      </c>
      <c r="H18" s="13" t="str">
        <f aca="false">IF(OR($B18="",$F18=""),"",IF(OR($C18="Cobro",$C18="Nota de crédito"),$F18,0))</f>
        <v/>
      </c>
      <c r="I18" s="16" t="str">
        <f aca="false">IF(OR($A18="",N($G18)=0),"",$A18+IFERROR(INDEX(Clientes!$F$2:$F$81,MATCH($B18,Clientes!$B$2:$B$81,0)),0))</f>
        <v/>
      </c>
      <c r="J18" s="13" t="str">
        <f aca="false">IF($B18="","",SUMIFS($G$2:$G18,$B$2:$B18,$B18)-SUMIFS($H$2:$H18,$B$2:$B18,$B18))</f>
        <v/>
      </c>
      <c r="K18" s="10"/>
      <c r="L18" s="10"/>
      <c r="M18" s="18" t="str">
        <f aca="false">IF(AND($B18&lt;&gt;"",$B18='Estado de cuenta'!$C$4),COUNTIF($B$2:$B18,'Estado de cuenta'!$C$4),"")</f>
        <v/>
      </c>
    </row>
    <row r="19" customFormat="false" ht="15" hidden="false" customHeight="false" outlineLevel="0" collapsed="false">
      <c r="A19" s="17"/>
      <c r="B19" s="10"/>
      <c r="C19" s="10"/>
      <c r="D19" s="10"/>
      <c r="E19" s="10"/>
      <c r="F19" s="12"/>
      <c r="G19" s="13" t="str">
        <f aca="false">IF(OR($B19="",$F19=""),"",IF(OR($C19="Saldo inicial",$C19="Factura",$C19="Nota de débito"),$F19,0))</f>
        <v/>
      </c>
      <c r="H19" s="13" t="str">
        <f aca="false">IF(OR($B19="",$F19=""),"",IF(OR($C19="Cobro",$C19="Nota de crédito"),$F19,0))</f>
        <v/>
      </c>
      <c r="I19" s="16" t="str">
        <f aca="false">IF(OR($A19="",N($G19)=0),"",$A19+IFERROR(INDEX(Clientes!$F$2:$F$81,MATCH($B19,Clientes!$B$2:$B$81,0)),0))</f>
        <v/>
      </c>
      <c r="J19" s="13" t="str">
        <f aca="false">IF($B19="","",SUMIFS($G$2:$G19,$B$2:$B19,$B19)-SUMIFS($H$2:$H19,$B$2:$B19,$B19))</f>
        <v/>
      </c>
      <c r="K19" s="10"/>
      <c r="L19" s="10"/>
      <c r="M19" s="18" t="str">
        <f aca="false">IF(AND($B19&lt;&gt;"",$B19='Estado de cuenta'!$C$4),COUNTIF($B$2:$B19,'Estado de cuenta'!$C$4),"")</f>
        <v/>
      </c>
    </row>
    <row r="20" customFormat="false" ht="15" hidden="false" customHeight="false" outlineLevel="0" collapsed="false">
      <c r="A20" s="17"/>
      <c r="B20" s="10"/>
      <c r="C20" s="10"/>
      <c r="D20" s="10"/>
      <c r="E20" s="10"/>
      <c r="F20" s="12"/>
      <c r="G20" s="13" t="str">
        <f aca="false">IF(OR($B20="",$F20=""),"",IF(OR($C20="Saldo inicial",$C20="Factura",$C20="Nota de débito"),$F20,0))</f>
        <v/>
      </c>
      <c r="H20" s="13" t="str">
        <f aca="false">IF(OR($B20="",$F20=""),"",IF(OR($C20="Cobro",$C20="Nota de crédito"),$F20,0))</f>
        <v/>
      </c>
      <c r="I20" s="16" t="str">
        <f aca="false">IF(OR($A20="",N($G20)=0),"",$A20+IFERROR(INDEX(Clientes!$F$2:$F$81,MATCH($B20,Clientes!$B$2:$B$81,0)),0))</f>
        <v/>
      </c>
      <c r="J20" s="13" t="str">
        <f aca="false">IF($B20="","",SUMIFS($G$2:$G20,$B$2:$B20,$B20)-SUMIFS($H$2:$H20,$B$2:$B20,$B20))</f>
        <v/>
      </c>
      <c r="K20" s="10"/>
      <c r="L20" s="10"/>
      <c r="M20" s="18" t="str">
        <f aca="false">IF(AND($B20&lt;&gt;"",$B20='Estado de cuenta'!$C$4),COUNTIF($B$2:$B20,'Estado de cuenta'!$C$4),"")</f>
        <v/>
      </c>
    </row>
    <row r="21" customFormat="false" ht="15" hidden="false" customHeight="false" outlineLevel="0" collapsed="false">
      <c r="A21" s="17"/>
      <c r="B21" s="10"/>
      <c r="C21" s="10"/>
      <c r="D21" s="10"/>
      <c r="E21" s="10"/>
      <c r="F21" s="12"/>
      <c r="G21" s="13" t="str">
        <f aca="false">IF(OR($B21="",$F21=""),"",IF(OR($C21="Saldo inicial",$C21="Factura",$C21="Nota de débito"),$F21,0))</f>
        <v/>
      </c>
      <c r="H21" s="13" t="str">
        <f aca="false">IF(OR($B21="",$F21=""),"",IF(OR($C21="Cobro",$C21="Nota de crédito"),$F21,0))</f>
        <v/>
      </c>
      <c r="I21" s="16" t="str">
        <f aca="false">IF(OR($A21="",N($G21)=0),"",$A21+IFERROR(INDEX(Clientes!$F$2:$F$81,MATCH($B21,Clientes!$B$2:$B$81,0)),0))</f>
        <v/>
      </c>
      <c r="J21" s="13" t="str">
        <f aca="false">IF($B21="","",SUMIFS($G$2:$G21,$B$2:$B21,$B21)-SUMIFS($H$2:$H21,$B$2:$B21,$B21))</f>
        <v/>
      </c>
      <c r="K21" s="10"/>
      <c r="L21" s="10"/>
      <c r="M21" s="18" t="str">
        <f aca="false">IF(AND($B21&lt;&gt;"",$B21='Estado de cuenta'!$C$4),COUNTIF($B$2:$B21,'Estado de cuenta'!$C$4),"")</f>
        <v/>
      </c>
    </row>
    <row r="22" customFormat="false" ht="15" hidden="false" customHeight="false" outlineLevel="0" collapsed="false">
      <c r="A22" s="17"/>
      <c r="B22" s="10"/>
      <c r="C22" s="10"/>
      <c r="D22" s="10"/>
      <c r="E22" s="10"/>
      <c r="F22" s="12"/>
      <c r="G22" s="13" t="str">
        <f aca="false">IF(OR($B22="",$F22=""),"",IF(OR($C22="Saldo inicial",$C22="Factura",$C22="Nota de débito"),$F22,0))</f>
        <v/>
      </c>
      <c r="H22" s="13" t="str">
        <f aca="false">IF(OR($B22="",$F22=""),"",IF(OR($C22="Cobro",$C22="Nota de crédito"),$F22,0))</f>
        <v/>
      </c>
      <c r="I22" s="16" t="str">
        <f aca="false">IF(OR($A22="",N($G22)=0),"",$A22+IFERROR(INDEX(Clientes!$F$2:$F$81,MATCH($B22,Clientes!$B$2:$B$81,0)),0))</f>
        <v/>
      </c>
      <c r="J22" s="13" t="str">
        <f aca="false">IF($B22="","",SUMIFS($G$2:$G22,$B$2:$B22,$B22)-SUMIFS($H$2:$H22,$B$2:$B22,$B22))</f>
        <v/>
      </c>
      <c r="K22" s="10"/>
      <c r="L22" s="10"/>
      <c r="M22" s="18" t="str">
        <f aca="false">IF(AND($B22&lt;&gt;"",$B22='Estado de cuenta'!$C$4),COUNTIF($B$2:$B22,'Estado de cuenta'!$C$4),"")</f>
        <v/>
      </c>
    </row>
    <row r="23" customFormat="false" ht="15" hidden="false" customHeight="false" outlineLevel="0" collapsed="false">
      <c r="A23" s="17"/>
      <c r="B23" s="10"/>
      <c r="C23" s="10"/>
      <c r="D23" s="10"/>
      <c r="E23" s="10"/>
      <c r="F23" s="12"/>
      <c r="G23" s="13" t="str">
        <f aca="false">IF(OR($B23="",$F23=""),"",IF(OR($C23="Saldo inicial",$C23="Factura",$C23="Nota de débito"),$F23,0))</f>
        <v/>
      </c>
      <c r="H23" s="13" t="str">
        <f aca="false">IF(OR($B23="",$F23=""),"",IF(OR($C23="Cobro",$C23="Nota de crédito"),$F23,0))</f>
        <v/>
      </c>
      <c r="I23" s="16" t="str">
        <f aca="false">IF(OR($A23="",N($G23)=0),"",$A23+IFERROR(INDEX(Clientes!$F$2:$F$81,MATCH($B23,Clientes!$B$2:$B$81,0)),0))</f>
        <v/>
      </c>
      <c r="J23" s="13" t="str">
        <f aca="false">IF($B23="","",SUMIFS($G$2:$G23,$B$2:$B23,$B23)-SUMIFS($H$2:$H23,$B$2:$B23,$B23))</f>
        <v/>
      </c>
      <c r="K23" s="10"/>
      <c r="L23" s="10"/>
      <c r="M23" s="18" t="str">
        <f aca="false">IF(AND($B23&lt;&gt;"",$B23='Estado de cuenta'!$C$4),COUNTIF($B$2:$B23,'Estado de cuenta'!$C$4),"")</f>
        <v/>
      </c>
    </row>
    <row r="24" customFormat="false" ht="15" hidden="false" customHeight="false" outlineLevel="0" collapsed="false">
      <c r="A24" s="17"/>
      <c r="B24" s="10"/>
      <c r="C24" s="10"/>
      <c r="D24" s="10"/>
      <c r="E24" s="10"/>
      <c r="F24" s="12"/>
      <c r="G24" s="13" t="str">
        <f aca="false">IF(OR($B24="",$F24=""),"",IF(OR($C24="Saldo inicial",$C24="Factura",$C24="Nota de débito"),$F24,0))</f>
        <v/>
      </c>
      <c r="H24" s="13" t="str">
        <f aca="false">IF(OR($B24="",$F24=""),"",IF(OR($C24="Cobro",$C24="Nota de crédito"),$F24,0))</f>
        <v/>
      </c>
      <c r="I24" s="16" t="str">
        <f aca="false">IF(OR($A24="",N($G24)=0),"",$A24+IFERROR(INDEX(Clientes!$F$2:$F$81,MATCH($B24,Clientes!$B$2:$B$81,0)),0))</f>
        <v/>
      </c>
      <c r="J24" s="13" t="str">
        <f aca="false">IF($B24="","",SUMIFS($G$2:$G24,$B$2:$B24,$B24)-SUMIFS($H$2:$H24,$B$2:$B24,$B24))</f>
        <v/>
      </c>
      <c r="K24" s="10"/>
      <c r="L24" s="10"/>
      <c r="M24" s="18" t="str">
        <f aca="false">IF(AND($B24&lt;&gt;"",$B24='Estado de cuenta'!$C$4),COUNTIF($B$2:$B24,'Estado de cuenta'!$C$4),"")</f>
        <v/>
      </c>
    </row>
    <row r="25" customFormat="false" ht="15" hidden="false" customHeight="false" outlineLevel="0" collapsed="false">
      <c r="A25" s="17"/>
      <c r="B25" s="10"/>
      <c r="C25" s="10"/>
      <c r="D25" s="10"/>
      <c r="E25" s="10"/>
      <c r="F25" s="12"/>
      <c r="G25" s="13" t="str">
        <f aca="false">IF(OR($B25="",$F25=""),"",IF(OR($C25="Saldo inicial",$C25="Factura",$C25="Nota de débito"),$F25,0))</f>
        <v/>
      </c>
      <c r="H25" s="13" t="str">
        <f aca="false">IF(OR($B25="",$F25=""),"",IF(OR($C25="Cobro",$C25="Nota de crédito"),$F25,0))</f>
        <v/>
      </c>
      <c r="I25" s="16" t="str">
        <f aca="false">IF(OR($A25="",N($G25)=0),"",$A25+IFERROR(INDEX(Clientes!$F$2:$F$81,MATCH($B25,Clientes!$B$2:$B$81,0)),0))</f>
        <v/>
      </c>
      <c r="J25" s="13" t="str">
        <f aca="false">IF($B25="","",SUMIFS($G$2:$G25,$B$2:$B25,$B25)-SUMIFS($H$2:$H25,$B$2:$B25,$B25))</f>
        <v/>
      </c>
      <c r="K25" s="10"/>
      <c r="L25" s="10"/>
      <c r="M25" s="18" t="str">
        <f aca="false">IF(AND($B25&lt;&gt;"",$B25='Estado de cuenta'!$C$4),COUNTIF($B$2:$B25,'Estado de cuenta'!$C$4),"")</f>
        <v/>
      </c>
    </row>
    <row r="26" customFormat="false" ht="15" hidden="false" customHeight="false" outlineLevel="0" collapsed="false">
      <c r="A26" s="17"/>
      <c r="B26" s="10"/>
      <c r="C26" s="10"/>
      <c r="D26" s="10"/>
      <c r="E26" s="10"/>
      <c r="F26" s="12"/>
      <c r="G26" s="13" t="str">
        <f aca="false">IF(OR($B26="",$F26=""),"",IF(OR($C26="Saldo inicial",$C26="Factura",$C26="Nota de débito"),$F26,0))</f>
        <v/>
      </c>
      <c r="H26" s="13" t="str">
        <f aca="false">IF(OR($B26="",$F26=""),"",IF(OR($C26="Cobro",$C26="Nota de crédito"),$F26,0))</f>
        <v/>
      </c>
      <c r="I26" s="16" t="str">
        <f aca="false">IF(OR($A26="",N($G26)=0),"",$A26+IFERROR(INDEX(Clientes!$F$2:$F$81,MATCH($B26,Clientes!$B$2:$B$81,0)),0))</f>
        <v/>
      </c>
      <c r="J26" s="13" t="str">
        <f aca="false">IF($B26="","",SUMIFS($G$2:$G26,$B$2:$B26,$B26)-SUMIFS($H$2:$H26,$B$2:$B26,$B26))</f>
        <v/>
      </c>
      <c r="K26" s="10"/>
      <c r="L26" s="10"/>
      <c r="M26" s="18" t="str">
        <f aca="false">IF(AND($B26&lt;&gt;"",$B26='Estado de cuenta'!$C$4),COUNTIF($B$2:$B26,'Estado de cuenta'!$C$4),"")</f>
        <v/>
      </c>
    </row>
    <row r="27" customFormat="false" ht="15" hidden="false" customHeight="false" outlineLevel="0" collapsed="false">
      <c r="A27" s="17"/>
      <c r="B27" s="10"/>
      <c r="C27" s="10"/>
      <c r="D27" s="10"/>
      <c r="E27" s="10"/>
      <c r="F27" s="12"/>
      <c r="G27" s="13" t="str">
        <f aca="false">IF(OR($B27="",$F27=""),"",IF(OR($C27="Saldo inicial",$C27="Factura",$C27="Nota de débito"),$F27,0))</f>
        <v/>
      </c>
      <c r="H27" s="13" t="str">
        <f aca="false">IF(OR($B27="",$F27=""),"",IF(OR($C27="Cobro",$C27="Nota de crédito"),$F27,0))</f>
        <v/>
      </c>
      <c r="I27" s="16" t="str">
        <f aca="false">IF(OR($A27="",N($G27)=0),"",$A27+IFERROR(INDEX(Clientes!$F$2:$F$81,MATCH($B27,Clientes!$B$2:$B$81,0)),0))</f>
        <v/>
      </c>
      <c r="J27" s="13" t="str">
        <f aca="false">IF($B27="","",SUMIFS($G$2:$G27,$B$2:$B27,$B27)-SUMIFS($H$2:$H27,$B$2:$B27,$B27))</f>
        <v/>
      </c>
      <c r="K27" s="10"/>
      <c r="L27" s="10"/>
      <c r="M27" s="18" t="str">
        <f aca="false">IF(AND($B27&lt;&gt;"",$B27='Estado de cuenta'!$C$4),COUNTIF($B$2:$B27,'Estado de cuenta'!$C$4),"")</f>
        <v/>
      </c>
    </row>
    <row r="28" customFormat="false" ht="15" hidden="false" customHeight="false" outlineLevel="0" collapsed="false">
      <c r="A28" s="17"/>
      <c r="B28" s="10"/>
      <c r="C28" s="10"/>
      <c r="D28" s="10"/>
      <c r="E28" s="10"/>
      <c r="F28" s="12"/>
      <c r="G28" s="13" t="str">
        <f aca="false">IF(OR($B28="",$F28=""),"",IF(OR($C28="Saldo inicial",$C28="Factura",$C28="Nota de débito"),$F28,0))</f>
        <v/>
      </c>
      <c r="H28" s="13" t="str">
        <f aca="false">IF(OR($B28="",$F28=""),"",IF(OR($C28="Cobro",$C28="Nota de crédito"),$F28,0))</f>
        <v/>
      </c>
      <c r="I28" s="16" t="str">
        <f aca="false">IF(OR($A28="",N($G28)=0),"",$A28+IFERROR(INDEX(Clientes!$F$2:$F$81,MATCH($B28,Clientes!$B$2:$B$81,0)),0))</f>
        <v/>
      </c>
      <c r="J28" s="13" t="str">
        <f aca="false">IF($B28="","",SUMIFS($G$2:$G28,$B$2:$B28,$B28)-SUMIFS($H$2:$H28,$B$2:$B28,$B28))</f>
        <v/>
      </c>
      <c r="K28" s="10"/>
      <c r="L28" s="10"/>
      <c r="M28" s="18" t="str">
        <f aca="false">IF(AND($B28&lt;&gt;"",$B28='Estado de cuenta'!$C$4),COUNTIF($B$2:$B28,'Estado de cuenta'!$C$4),"")</f>
        <v/>
      </c>
    </row>
    <row r="29" customFormat="false" ht="15" hidden="false" customHeight="false" outlineLevel="0" collapsed="false">
      <c r="A29" s="17"/>
      <c r="B29" s="10"/>
      <c r="C29" s="10"/>
      <c r="D29" s="10"/>
      <c r="E29" s="10"/>
      <c r="F29" s="12"/>
      <c r="G29" s="13" t="str">
        <f aca="false">IF(OR($B29="",$F29=""),"",IF(OR($C29="Saldo inicial",$C29="Factura",$C29="Nota de débito"),$F29,0))</f>
        <v/>
      </c>
      <c r="H29" s="13" t="str">
        <f aca="false">IF(OR($B29="",$F29=""),"",IF(OR($C29="Cobro",$C29="Nota de crédito"),$F29,0))</f>
        <v/>
      </c>
      <c r="I29" s="16" t="str">
        <f aca="false">IF(OR($A29="",N($G29)=0),"",$A29+IFERROR(INDEX(Clientes!$F$2:$F$81,MATCH($B29,Clientes!$B$2:$B$81,0)),0))</f>
        <v/>
      </c>
      <c r="J29" s="13" t="str">
        <f aca="false">IF($B29="","",SUMIFS($G$2:$G29,$B$2:$B29,$B29)-SUMIFS($H$2:$H29,$B$2:$B29,$B29))</f>
        <v/>
      </c>
      <c r="K29" s="10"/>
      <c r="L29" s="10"/>
      <c r="M29" s="18" t="str">
        <f aca="false">IF(AND($B29&lt;&gt;"",$B29='Estado de cuenta'!$C$4),COUNTIF($B$2:$B29,'Estado de cuenta'!$C$4),"")</f>
        <v/>
      </c>
    </row>
    <row r="30" customFormat="false" ht="15" hidden="false" customHeight="false" outlineLevel="0" collapsed="false">
      <c r="A30" s="17"/>
      <c r="B30" s="10"/>
      <c r="C30" s="10"/>
      <c r="D30" s="10"/>
      <c r="E30" s="10"/>
      <c r="F30" s="12"/>
      <c r="G30" s="13" t="str">
        <f aca="false">IF(OR($B30="",$F30=""),"",IF(OR($C30="Saldo inicial",$C30="Factura",$C30="Nota de débito"),$F30,0))</f>
        <v/>
      </c>
      <c r="H30" s="13" t="str">
        <f aca="false">IF(OR($B30="",$F30=""),"",IF(OR($C30="Cobro",$C30="Nota de crédito"),$F30,0))</f>
        <v/>
      </c>
      <c r="I30" s="16" t="str">
        <f aca="false">IF(OR($A30="",N($G30)=0),"",$A30+IFERROR(INDEX(Clientes!$F$2:$F$81,MATCH($B30,Clientes!$B$2:$B$81,0)),0))</f>
        <v/>
      </c>
      <c r="J30" s="13" t="str">
        <f aca="false">IF($B30="","",SUMIFS($G$2:$G30,$B$2:$B30,$B30)-SUMIFS($H$2:$H30,$B$2:$B30,$B30))</f>
        <v/>
      </c>
      <c r="K30" s="10"/>
      <c r="L30" s="10"/>
      <c r="M30" s="18" t="str">
        <f aca="false">IF(AND($B30&lt;&gt;"",$B30='Estado de cuenta'!$C$4),COUNTIF($B$2:$B30,'Estado de cuenta'!$C$4),"")</f>
        <v/>
      </c>
    </row>
    <row r="31" customFormat="false" ht="15" hidden="false" customHeight="false" outlineLevel="0" collapsed="false">
      <c r="A31" s="17"/>
      <c r="B31" s="10"/>
      <c r="C31" s="10"/>
      <c r="D31" s="10"/>
      <c r="E31" s="10"/>
      <c r="F31" s="12"/>
      <c r="G31" s="13" t="str">
        <f aca="false">IF(OR($B31="",$F31=""),"",IF(OR($C31="Saldo inicial",$C31="Factura",$C31="Nota de débito"),$F31,0))</f>
        <v/>
      </c>
      <c r="H31" s="13" t="str">
        <f aca="false">IF(OR($B31="",$F31=""),"",IF(OR($C31="Cobro",$C31="Nota de crédito"),$F31,0))</f>
        <v/>
      </c>
      <c r="I31" s="16" t="str">
        <f aca="false">IF(OR($A31="",N($G31)=0),"",$A31+IFERROR(INDEX(Clientes!$F$2:$F$81,MATCH($B31,Clientes!$B$2:$B$81,0)),0))</f>
        <v/>
      </c>
      <c r="J31" s="13" t="str">
        <f aca="false">IF($B31="","",SUMIFS($G$2:$G31,$B$2:$B31,$B31)-SUMIFS($H$2:$H31,$B$2:$B31,$B31))</f>
        <v/>
      </c>
      <c r="K31" s="10"/>
      <c r="L31" s="10"/>
      <c r="M31" s="18" t="str">
        <f aca="false">IF(AND($B31&lt;&gt;"",$B31='Estado de cuenta'!$C$4),COUNTIF($B$2:$B31,'Estado de cuenta'!$C$4),"")</f>
        <v/>
      </c>
    </row>
    <row r="32" customFormat="false" ht="15" hidden="false" customHeight="false" outlineLevel="0" collapsed="false">
      <c r="A32" s="17"/>
      <c r="B32" s="10"/>
      <c r="C32" s="10"/>
      <c r="D32" s="10"/>
      <c r="E32" s="10"/>
      <c r="F32" s="12"/>
      <c r="G32" s="13" t="str">
        <f aca="false">IF(OR($B32="",$F32=""),"",IF(OR($C32="Saldo inicial",$C32="Factura",$C32="Nota de débito"),$F32,0))</f>
        <v/>
      </c>
      <c r="H32" s="13" t="str">
        <f aca="false">IF(OR($B32="",$F32=""),"",IF(OR($C32="Cobro",$C32="Nota de crédito"),$F32,0))</f>
        <v/>
      </c>
      <c r="I32" s="16" t="str">
        <f aca="false">IF(OR($A32="",N($G32)=0),"",$A32+IFERROR(INDEX(Clientes!$F$2:$F$81,MATCH($B32,Clientes!$B$2:$B$81,0)),0))</f>
        <v/>
      </c>
      <c r="J32" s="13" t="str">
        <f aca="false">IF($B32="","",SUMIFS($G$2:$G32,$B$2:$B32,$B32)-SUMIFS($H$2:$H32,$B$2:$B32,$B32))</f>
        <v/>
      </c>
      <c r="K32" s="10"/>
      <c r="L32" s="10"/>
      <c r="M32" s="18" t="str">
        <f aca="false">IF(AND($B32&lt;&gt;"",$B32='Estado de cuenta'!$C$4),COUNTIF($B$2:$B32,'Estado de cuenta'!$C$4),"")</f>
        <v/>
      </c>
    </row>
    <row r="33" customFormat="false" ht="15" hidden="false" customHeight="false" outlineLevel="0" collapsed="false">
      <c r="A33" s="17"/>
      <c r="B33" s="10"/>
      <c r="C33" s="10"/>
      <c r="D33" s="10"/>
      <c r="E33" s="10"/>
      <c r="F33" s="12"/>
      <c r="G33" s="13" t="str">
        <f aca="false">IF(OR($B33="",$F33=""),"",IF(OR($C33="Saldo inicial",$C33="Factura",$C33="Nota de débito"),$F33,0))</f>
        <v/>
      </c>
      <c r="H33" s="13" t="str">
        <f aca="false">IF(OR($B33="",$F33=""),"",IF(OR($C33="Cobro",$C33="Nota de crédito"),$F33,0))</f>
        <v/>
      </c>
      <c r="I33" s="16" t="str">
        <f aca="false">IF(OR($A33="",N($G33)=0),"",$A33+IFERROR(INDEX(Clientes!$F$2:$F$81,MATCH($B33,Clientes!$B$2:$B$81,0)),0))</f>
        <v/>
      </c>
      <c r="J33" s="13" t="str">
        <f aca="false">IF($B33="","",SUMIFS($G$2:$G33,$B$2:$B33,$B33)-SUMIFS($H$2:$H33,$B$2:$B33,$B33))</f>
        <v/>
      </c>
      <c r="K33" s="10"/>
      <c r="L33" s="10"/>
      <c r="M33" s="18" t="str">
        <f aca="false">IF(AND($B33&lt;&gt;"",$B33='Estado de cuenta'!$C$4),COUNTIF($B$2:$B33,'Estado de cuenta'!$C$4),"")</f>
        <v/>
      </c>
    </row>
    <row r="34" customFormat="false" ht="15" hidden="false" customHeight="false" outlineLevel="0" collapsed="false">
      <c r="A34" s="17"/>
      <c r="B34" s="10"/>
      <c r="C34" s="10"/>
      <c r="D34" s="10"/>
      <c r="E34" s="10"/>
      <c r="F34" s="12"/>
      <c r="G34" s="13" t="str">
        <f aca="false">IF(OR($B34="",$F34=""),"",IF(OR($C34="Saldo inicial",$C34="Factura",$C34="Nota de débito"),$F34,0))</f>
        <v/>
      </c>
      <c r="H34" s="13" t="str">
        <f aca="false">IF(OR($B34="",$F34=""),"",IF(OR($C34="Cobro",$C34="Nota de crédito"),$F34,0))</f>
        <v/>
      </c>
      <c r="I34" s="16" t="str">
        <f aca="false">IF(OR($A34="",N($G34)=0),"",$A34+IFERROR(INDEX(Clientes!$F$2:$F$81,MATCH($B34,Clientes!$B$2:$B$81,0)),0))</f>
        <v/>
      </c>
      <c r="J34" s="13" t="str">
        <f aca="false">IF($B34="","",SUMIFS($G$2:$G34,$B$2:$B34,$B34)-SUMIFS($H$2:$H34,$B$2:$B34,$B34))</f>
        <v/>
      </c>
      <c r="K34" s="10"/>
      <c r="L34" s="10"/>
      <c r="M34" s="18" t="str">
        <f aca="false">IF(AND($B34&lt;&gt;"",$B34='Estado de cuenta'!$C$4),COUNTIF($B$2:$B34,'Estado de cuenta'!$C$4),"")</f>
        <v/>
      </c>
    </row>
    <row r="35" customFormat="false" ht="15" hidden="false" customHeight="false" outlineLevel="0" collapsed="false">
      <c r="A35" s="17"/>
      <c r="B35" s="10"/>
      <c r="C35" s="10"/>
      <c r="D35" s="10"/>
      <c r="E35" s="10"/>
      <c r="F35" s="12"/>
      <c r="G35" s="13" t="str">
        <f aca="false">IF(OR($B35="",$F35=""),"",IF(OR($C35="Saldo inicial",$C35="Factura",$C35="Nota de débito"),$F35,0))</f>
        <v/>
      </c>
      <c r="H35" s="13" t="str">
        <f aca="false">IF(OR($B35="",$F35=""),"",IF(OR($C35="Cobro",$C35="Nota de crédito"),$F35,0))</f>
        <v/>
      </c>
      <c r="I35" s="16" t="str">
        <f aca="false">IF(OR($A35="",N($G35)=0),"",$A35+IFERROR(INDEX(Clientes!$F$2:$F$81,MATCH($B35,Clientes!$B$2:$B$81,0)),0))</f>
        <v/>
      </c>
      <c r="J35" s="13" t="str">
        <f aca="false">IF($B35="","",SUMIFS($G$2:$G35,$B$2:$B35,$B35)-SUMIFS($H$2:$H35,$B$2:$B35,$B35))</f>
        <v/>
      </c>
      <c r="K35" s="10"/>
      <c r="L35" s="10"/>
      <c r="M35" s="18" t="str">
        <f aca="false">IF(AND($B35&lt;&gt;"",$B35='Estado de cuenta'!$C$4),COUNTIF($B$2:$B35,'Estado de cuenta'!$C$4),"")</f>
        <v/>
      </c>
    </row>
    <row r="36" customFormat="false" ht="15" hidden="false" customHeight="false" outlineLevel="0" collapsed="false">
      <c r="A36" s="17"/>
      <c r="B36" s="10"/>
      <c r="C36" s="10"/>
      <c r="D36" s="10"/>
      <c r="E36" s="10"/>
      <c r="F36" s="12"/>
      <c r="G36" s="13" t="str">
        <f aca="false">IF(OR($B36="",$F36=""),"",IF(OR($C36="Saldo inicial",$C36="Factura",$C36="Nota de débito"),$F36,0))</f>
        <v/>
      </c>
      <c r="H36" s="13" t="str">
        <f aca="false">IF(OR($B36="",$F36=""),"",IF(OR($C36="Cobro",$C36="Nota de crédito"),$F36,0))</f>
        <v/>
      </c>
      <c r="I36" s="16" t="str">
        <f aca="false">IF(OR($A36="",N($G36)=0),"",$A36+IFERROR(INDEX(Clientes!$F$2:$F$81,MATCH($B36,Clientes!$B$2:$B$81,0)),0))</f>
        <v/>
      </c>
      <c r="J36" s="13" t="str">
        <f aca="false">IF($B36="","",SUMIFS($G$2:$G36,$B$2:$B36,$B36)-SUMIFS($H$2:$H36,$B$2:$B36,$B36))</f>
        <v/>
      </c>
      <c r="K36" s="10"/>
      <c r="L36" s="10"/>
      <c r="M36" s="18" t="str">
        <f aca="false">IF(AND($B36&lt;&gt;"",$B36='Estado de cuenta'!$C$4),COUNTIF($B$2:$B36,'Estado de cuenta'!$C$4),"")</f>
        <v/>
      </c>
    </row>
    <row r="37" customFormat="false" ht="15" hidden="false" customHeight="false" outlineLevel="0" collapsed="false">
      <c r="A37" s="17"/>
      <c r="B37" s="10"/>
      <c r="C37" s="10"/>
      <c r="D37" s="10"/>
      <c r="E37" s="10"/>
      <c r="F37" s="12"/>
      <c r="G37" s="13" t="str">
        <f aca="false">IF(OR($B37="",$F37=""),"",IF(OR($C37="Saldo inicial",$C37="Factura",$C37="Nota de débito"),$F37,0))</f>
        <v/>
      </c>
      <c r="H37" s="13" t="str">
        <f aca="false">IF(OR($B37="",$F37=""),"",IF(OR($C37="Cobro",$C37="Nota de crédito"),$F37,0))</f>
        <v/>
      </c>
      <c r="I37" s="16" t="str">
        <f aca="false">IF(OR($A37="",N($G37)=0),"",$A37+IFERROR(INDEX(Clientes!$F$2:$F$81,MATCH($B37,Clientes!$B$2:$B$81,0)),0))</f>
        <v/>
      </c>
      <c r="J37" s="13" t="str">
        <f aca="false">IF($B37="","",SUMIFS($G$2:$G37,$B$2:$B37,$B37)-SUMIFS($H$2:$H37,$B$2:$B37,$B37))</f>
        <v/>
      </c>
      <c r="K37" s="10"/>
      <c r="L37" s="10"/>
      <c r="M37" s="18" t="str">
        <f aca="false">IF(AND($B37&lt;&gt;"",$B37='Estado de cuenta'!$C$4),COUNTIF($B$2:$B37,'Estado de cuenta'!$C$4),"")</f>
        <v/>
      </c>
    </row>
    <row r="38" customFormat="false" ht="15" hidden="false" customHeight="false" outlineLevel="0" collapsed="false">
      <c r="A38" s="17"/>
      <c r="B38" s="10"/>
      <c r="C38" s="10"/>
      <c r="D38" s="10"/>
      <c r="E38" s="10"/>
      <c r="F38" s="12"/>
      <c r="G38" s="13" t="str">
        <f aca="false">IF(OR($B38="",$F38=""),"",IF(OR($C38="Saldo inicial",$C38="Factura",$C38="Nota de débito"),$F38,0))</f>
        <v/>
      </c>
      <c r="H38" s="13" t="str">
        <f aca="false">IF(OR($B38="",$F38=""),"",IF(OR($C38="Cobro",$C38="Nota de crédito"),$F38,0))</f>
        <v/>
      </c>
      <c r="I38" s="16" t="str">
        <f aca="false">IF(OR($A38="",N($G38)=0),"",$A38+IFERROR(INDEX(Clientes!$F$2:$F$81,MATCH($B38,Clientes!$B$2:$B$81,0)),0))</f>
        <v/>
      </c>
      <c r="J38" s="13" t="str">
        <f aca="false">IF($B38="","",SUMIFS($G$2:$G38,$B$2:$B38,$B38)-SUMIFS($H$2:$H38,$B$2:$B38,$B38))</f>
        <v/>
      </c>
      <c r="K38" s="10"/>
      <c r="L38" s="10"/>
      <c r="M38" s="18" t="str">
        <f aca="false">IF(AND($B38&lt;&gt;"",$B38='Estado de cuenta'!$C$4),COUNTIF($B$2:$B38,'Estado de cuenta'!$C$4),"")</f>
        <v/>
      </c>
    </row>
    <row r="39" customFormat="false" ht="15" hidden="false" customHeight="false" outlineLevel="0" collapsed="false">
      <c r="A39" s="17"/>
      <c r="B39" s="10"/>
      <c r="C39" s="10"/>
      <c r="D39" s="10"/>
      <c r="E39" s="10"/>
      <c r="F39" s="12"/>
      <c r="G39" s="13" t="str">
        <f aca="false">IF(OR($B39="",$F39=""),"",IF(OR($C39="Saldo inicial",$C39="Factura",$C39="Nota de débito"),$F39,0))</f>
        <v/>
      </c>
      <c r="H39" s="13" t="str">
        <f aca="false">IF(OR($B39="",$F39=""),"",IF(OR($C39="Cobro",$C39="Nota de crédito"),$F39,0))</f>
        <v/>
      </c>
      <c r="I39" s="16" t="str">
        <f aca="false">IF(OR($A39="",N($G39)=0),"",$A39+IFERROR(INDEX(Clientes!$F$2:$F$81,MATCH($B39,Clientes!$B$2:$B$81,0)),0))</f>
        <v/>
      </c>
      <c r="J39" s="13" t="str">
        <f aca="false">IF($B39="","",SUMIFS($G$2:$G39,$B$2:$B39,$B39)-SUMIFS($H$2:$H39,$B$2:$B39,$B39))</f>
        <v/>
      </c>
      <c r="K39" s="10"/>
      <c r="L39" s="10"/>
      <c r="M39" s="18" t="str">
        <f aca="false">IF(AND($B39&lt;&gt;"",$B39='Estado de cuenta'!$C$4),COUNTIF($B$2:$B39,'Estado de cuenta'!$C$4),"")</f>
        <v/>
      </c>
    </row>
    <row r="40" customFormat="false" ht="15" hidden="false" customHeight="false" outlineLevel="0" collapsed="false">
      <c r="A40" s="17"/>
      <c r="B40" s="10"/>
      <c r="C40" s="10"/>
      <c r="D40" s="10"/>
      <c r="E40" s="10"/>
      <c r="F40" s="12"/>
      <c r="G40" s="13" t="str">
        <f aca="false">IF(OR($B40="",$F40=""),"",IF(OR($C40="Saldo inicial",$C40="Factura",$C40="Nota de débito"),$F40,0))</f>
        <v/>
      </c>
      <c r="H40" s="13" t="str">
        <f aca="false">IF(OR($B40="",$F40=""),"",IF(OR($C40="Cobro",$C40="Nota de crédito"),$F40,0))</f>
        <v/>
      </c>
      <c r="I40" s="16" t="str">
        <f aca="false">IF(OR($A40="",N($G40)=0),"",$A40+IFERROR(INDEX(Clientes!$F$2:$F$81,MATCH($B40,Clientes!$B$2:$B$81,0)),0))</f>
        <v/>
      </c>
      <c r="J40" s="13" t="str">
        <f aca="false">IF($B40="","",SUMIFS($G$2:$G40,$B$2:$B40,$B40)-SUMIFS($H$2:$H40,$B$2:$B40,$B40))</f>
        <v/>
      </c>
      <c r="K40" s="10"/>
      <c r="L40" s="10"/>
      <c r="M40" s="18" t="str">
        <f aca="false">IF(AND($B40&lt;&gt;"",$B40='Estado de cuenta'!$C$4),COUNTIF($B$2:$B40,'Estado de cuenta'!$C$4),"")</f>
        <v/>
      </c>
    </row>
    <row r="41" customFormat="false" ht="15" hidden="false" customHeight="false" outlineLevel="0" collapsed="false">
      <c r="A41" s="17"/>
      <c r="B41" s="10"/>
      <c r="C41" s="10"/>
      <c r="D41" s="10"/>
      <c r="E41" s="10"/>
      <c r="F41" s="12"/>
      <c r="G41" s="13" t="str">
        <f aca="false">IF(OR($B41="",$F41=""),"",IF(OR($C41="Saldo inicial",$C41="Factura",$C41="Nota de débito"),$F41,0))</f>
        <v/>
      </c>
      <c r="H41" s="13" t="str">
        <f aca="false">IF(OR($B41="",$F41=""),"",IF(OR($C41="Cobro",$C41="Nota de crédito"),$F41,0))</f>
        <v/>
      </c>
      <c r="I41" s="16" t="str">
        <f aca="false">IF(OR($A41="",N($G41)=0),"",$A41+IFERROR(INDEX(Clientes!$F$2:$F$81,MATCH($B41,Clientes!$B$2:$B$81,0)),0))</f>
        <v/>
      </c>
      <c r="J41" s="13" t="str">
        <f aca="false">IF($B41="","",SUMIFS($G$2:$G41,$B$2:$B41,$B41)-SUMIFS($H$2:$H41,$B$2:$B41,$B41))</f>
        <v/>
      </c>
      <c r="K41" s="10"/>
      <c r="L41" s="10"/>
      <c r="M41" s="18" t="str">
        <f aca="false">IF(AND($B41&lt;&gt;"",$B41='Estado de cuenta'!$C$4),COUNTIF($B$2:$B41,'Estado de cuenta'!$C$4),"")</f>
        <v/>
      </c>
    </row>
    <row r="42" customFormat="false" ht="15" hidden="false" customHeight="false" outlineLevel="0" collapsed="false">
      <c r="A42" s="17"/>
      <c r="B42" s="10"/>
      <c r="C42" s="10"/>
      <c r="D42" s="10"/>
      <c r="E42" s="10"/>
      <c r="F42" s="12"/>
      <c r="G42" s="13" t="str">
        <f aca="false">IF(OR($B42="",$F42=""),"",IF(OR($C42="Saldo inicial",$C42="Factura",$C42="Nota de débito"),$F42,0))</f>
        <v/>
      </c>
      <c r="H42" s="13" t="str">
        <f aca="false">IF(OR($B42="",$F42=""),"",IF(OR($C42="Cobro",$C42="Nota de crédito"),$F42,0))</f>
        <v/>
      </c>
      <c r="I42" s="16" t="str">
        <f aca="false">IF(OR($A42="",N($G42)=0),"",$A42+IFERROR(INDEX(Clientes!$F$2:$F$81,MATCH($B42,Clientes!$B$2:$B$81,0)),0))</f>
        <v/>
      </c>
      <c r="J42" s="13" t="str">
        <f aca="false">IF($B42="","",SUMIFS($G$2:$G42,$B$2:$B42,$B42)-SUMIFS($H$2:$H42,$B$2:$B42,$B42))</f>
        <v/>
      </c>
      <c r="K42" s="10"/>
      <c r="L42" s="10"/>
      <c r="M42" s="18" t="str">
        <f aca="false">IF(AND($B42&lt;&gt;"",$B42='Estado de cuenta'!$C$4),COUNTIF($B$2:$B42,'Estado de cuenta'!$C$4),"")</f>
        <v/>
      </c>
    </row>
    <row r="43" customFormat="false" ht="15" hidden="false" customHeight="false" outlineLevel="0" collapsed="false">
      <c r="A43" s="17"/>
      <c r="B43" s="10"/>
      <c r="C43" s="10"/>
      <c r="D43" s="10"/>
      <c r="E43" s="10"/>
      <c r="F43" s="12"/>
      <c r="G43" s="13" t="str">
        <f aca="false">IF(OR($B43="",$F43=""),"",IF(OR($C43="Saldo inicial",$C43="Factura",$C43="Nota de débito"),$F43,0))</f>
        <v/>
      </c>
      <c r="H43" s="13" t="str">
        <f aca="false">IF(OR($B43="",$F43=""),"",IF(OR($C43="Cobro",$C43="Nota de crédito"),$F43,0))</f>
        <v/>
      </c>
      <c r="I43" s="16" t="str">
        <f aca="false">IF(OR($A43="",N($G43)=0),"",$A43+IFERROR(INDEX(Clientes!$F$2:$F$81,MATCH($B43,Clientes!$B$2:$B$81,0)),0))</f>
        <v/>
      </c>
      <c r="J43" s="13" t="str">
        <f aca="false">IF($B43="","",SUMIFS($G$2:$G43,$B$2:$B43,$B43)-SUMIFS($H$2:$H43,$B$2:$B43,$B43))</f>
        <v/>
      </c>
      <c r="K43" s="10"/>
      <c r="L43" s="10"/>
      <c r="M43" s="18" t="str">
        <f aca="false">IF(AND($B43&lt;&gt;"",$B43='Estado de cuenta'!$C$4),COUNTIF($B$2:$B43,'Estado de cuenta'!$C$4),"")</f>
        <v/>
      </c>
    </row>
    <row r="44" customFormat="false" ht="15" hidden="false" customHeight="false" outlineLevel="0" collapsed="false">
      <c r="A44" s="17"/>
      <c r="B44" s="10"/>
      <c r="C44" s="10"/>
      <c r="D44" s="10"/>
      <c r="E44" s="10"/>
      <c r="F44" s="12"/>
      <c r="G44" s="13" t="str">
        <f aca="false">IF(OR($B44="",$F44=""),"",IF(OR($C44="Saldo inicial",$C44="Factura",$C44="Nota de débito"),$F44,0))</f>
        <v/>
      </c>
      <c r="H44" s="13" t="str">
        <f aca="false">IF(OR($B44="",$F44=""),"",IF(OR($C44="Cobro",$C44="Nota de crédito"),$F44,0))</f>
        <v/>
      </c>
      <c r="I44" s="16" t="str">
        <f aca="false">IF(OR($A44="",N($G44)=0),"",$A44+IFERROR(INDEX(Clientes!$F$2:$F$81,MATCH($B44,Clientes!$B$2:$B$81,0)),0))</f>
        <v/>
      </c>
      <c r="J44" s="13" t="str">
        <f aca="false">IF($B44="","",SUMIFS($G$2:$G44,$B$2:$B44,$B44)-SUMIFS($H$2:$H44,$B$2:$B44,$B44))</f>
        <v/>
      </c>
      <c r="K44" s="10"/>
      <c r="L44" s="10"/>
      <c r="M44" s="18" t="str">
        <f aca="false">IF(AND($B44&lt;&gt;"",$B44='Estado de cuenta'!$C$4),COUNTIF($B$2:$B44,'Estado de cuenta'!$C$4),"")</f>
        <v/>
      </c>
    </row>
    <row r="45" customFormat="false" ht="15" hidden="false" customHeight="false" outlineLevel="0" collapsed="false">
      <c r="A45" s="17"/>
      <c r="B45" s="10"/>
      <c r="C45" s="10"/>
      <c r="D45" s="10"/>
      <c r="E45" s="10"/>
      <c r="F45" s="12"/>
      <c r="G45" s="13" t="str">
        <f aca="false">IF(OR($B45="",$F45=""),"",IF(OR($C45="Saldo inicial",$C45="Factura",$C45="Nota de débito"),$F45,0))</f>
        <v/>
      </c>
      <c r="H45" s="13" t="str">
        <f aca="false">IF(OR($B45="",$F45=""),"",IF(OR($C45="Cobro",$C45="Nota de crédito"),$F45,0))</f>
        <v/>
      </c>
      <c r="I45" s="16" t="str">
        <f aca="false">IF(OR($A45="",N($G45)=0),"",$A45+IFERROR(INDEX(Clientes!$F$2:$F$81,MATCH($B45,Clientes!$B$2:$B$81,0)),0))</f>
        <v/>
      </c>
      <c r="J45" s="13" t="str">
        <f aca="false">IF($B45="","",SUMIFS($G$2:$G45,$B$2:$B45,$B45)-SUMIFS($H$2:$H45,$B$2:$B45,$B45))</f>
        <v/>
      </c>
      <c r="K45" s="10"/>
      <c r="L45" s="10"/>
      <c r="M45" s="18" t="str">
        <f aca="false">IF(AND($B45&lt;&gt;"",$B45='Estado de cuenta'!$C$4),COUNTIF($B$2:$B45,'Estado de cuenta'!$C$4),"")</f>
        <v/>
      </c>
    </row>
    <row r="46" customFormat="false" ht="15" hidden="false" customHeight="false" outlineLevel="0" collapsed="false">
      <c r="A46" s="17"/>
      <c r="B46" s="10"/>
      <c r="C46" s="10"/>
      <c r="D46" s="10"/>
      <c r="E46" s="10"/>
      <c r="F46" s="12"/>
      <c r="G46" s="13" t="str">
        <f aca="false">IF(OR($B46="",$F46=""),"",IF(OR($C46="Saldo inicial",$C46="Factura",$C46="Nota de débito"),$F46,0))</f>
        <v/>
      </c>
      <c r="H46" s="13" t="str">
        <f aca="false">IF(OR($B46="",$F46=""),"",IF(OR($C46="Cobro",$C46="Nota de crédito"),$F46,0))</f>
        <v/>
      </c>
      <c r="I46" s="16" t="str">
        <f aca="false">IF(OR($A46="",N($G46)=0),"",$A46+IFERROR(INDEX(Clientes!$F$2:$F$81,MATCH($B46,Clientes!$B$2:$B$81,0)),0))</f>
        <v/>
      </c>
      <c r="J46" s="13" t="str">
        <f aca="false">IF($B46="","",SUMIFS($G$2:$G46,$B$2:$B46,$B46)-SUMIFS($H$2:$H46,$B$2:$B46,$B46))</f>
        <v/>
      </c>
      <c r="K46" s="10"/>
      <c r="L46" s="10"/>
      <c r="M46" s="18" t="str">
        <f aca="false">IF(AND($B46&lt;&gt;"",$B46='Estado de cuenta'!$C$4),COUNTIF($B$2:$B46,'Estado de cuenta'!$C$4),"")</f>
        <v/>
      </c>
    </row>
    <row r="47" customFormat="false" ht="15" hidden="false" customHeight="false" outlineLevel="0" collapsed="false">
      <c r="A47" s="17"/>
      <c r="B47" s="10"/>
      <c r="C47" s="10"/>
      <c r="D47" s="10"/>
      <c r="E47" s="10"/>
      <c r="F47" s="12"/>
      <c r="G47" s="13" t="str">
        <f aca="false">IF(OR($B47="",$F47=""),"",IF(OR($C47="Saldo inicial",$C47="Factura",$C47="Nota de débito"),$F47,0))</f>
        <v/>
      </c>
      <c r="H47" s="13" t="str">
        <f aca="false">IF(OR($B47="",$F47=""),"",IF(OR($C47="Cobro",$C47="Nota de crédito"),$F47,0))</f>
        <v/>
      </c>
      <c r="I47" s="16" t="str">
        <f aca="false">IF(OR($A47="",N($G47)=0),"",$A47+IFERROR(INDEX(Clientes!$F$2:$F$81,MATCH($B47,Clientes!$B$2:$B$81,0)),0))</f>
        <v/>
      </c>
      <c r="J47" s="13" t="str">
        <f aca="false">IF($B47="","",SUMIFS($G$2:$G47,$B$2:$B47,$B47)-SUMIFS($H$2:$H47,$B$2:$B47,$B47))</f>
        <v/>
      </c>
      <c r="K47" s="10"/>
      <c r="L47" s="10"/>
      <c r="M47" s="18" t="str">
        <f aca="false">IF(AND($B47&lt;&gt;"",$B47='Estado de cuenta'!$C$4),COUNTIF($B$2:$B47,'Estado de cuenta'!$C$4),"")</f>
        <v/>
      </c>
    </row>
    <row r="48" customFormat="false" ht="15" hidden="false" customHeight="false" outlineLevel="0" collapsed="false">
      <c r="A48" s="17"/>
      <c r="B48" s="10"/>
      <c r="C48" s="10"/>
      <c r="D48" s="10"/>
      <c r="E48" s="10"/>
      <c r="F48" s="12"/>
      <c r="G48" s="13" t="str">
        <f aca="false">IF(OR($B48="",$F48=""),"",IF(OR($C48="Saldo inicial",$C48="Factura",$C48="Nota de débito"),$F48,0))</f>
        <v/>
      </c>
      <c r="H48" s="13" t="str">
        <f aca="false">IF(OR($B48="",$F48=""),"",IF(OR($C48="Cobro",$C48="Nota de crédito"),$F48,0))</f>
        <v/>
      </c>
      <c r="I48" s="16" t="str">
        <f aca="false">IF(OR($A48="",N($G48)=0),"",$A48+IFERROR(INDEX(Clientes!$F$2:$F$81,MATCH($B48,Clientes!$B$2:$B$81,0)),0))</f>
        <v/>
      </c>
      <c r="J48" s="13" t="str">
        <f aca="false">IF($B48="","",SUMIFS($G$2:$G48,$B$2:$B48,$B48)-SUMIFS($H$2:$H48,$B$2:$B48,$B48))</f>
        <v/>
      </c>
      <c r="K48" s="10"/>
      <c r="L48" s="10"/>
      <c r="M48" s="18" t="str">
        <f aca="false">IF(AND($B48&lt;&gt;"",$B48='Estado de cuenta'!$C$4),COUNTIF($B$2:$B48,'Estado de cuenta'!$C$4),"")</f>
        <v/>
      </c>
    </row>
    <row r="49" customFormat="false" ht="15" hidden="false" customHeight="false" outlineLevel="0" collapsed="false">
      <c r="A49" s="17"/>
      <c r="B49" s="10"/>
      <c r="C49" s="10"/>
      <c r="D49" s="10"/>
      <c r="E49" s="10"/>
      <c r="F49" s="12"/>
      <c r="G49" s="13" t="str">
        <f aca="false">IF(OR($B49="",$F49=""),"",IF(OR($C49="Saldo inicial",$C49="Factura",$C49="Nota de débito"),$F49,0))</f>
        <v/>
      </c>
      <c r="H49" s="13" t="str">
        <f aca="false">IF(OR($B49="",$F49=""),"",IF(OR($C49="Cobro",$C49="Nota de crédito"),$F49,0))</f>
        <v/>
      </c>
      <c r="I49" s="16" t="str">
        <f aca="false">IF(OR($A49="",N($G49)=0),"",$A49+IFERROR(INDEX(Clientes!$F$2:$F$81,MATCH($B49,Clientes!$B$2:$B$81,0)),0))</f>
        <v/>
      </c>
      <c r="J49" s="13" t="str">
        <f aca="false">IF($B49="","",SUMIFS($G$2:$G49,$B$2:$B49,$B49)-SUMIFS($H$2:$H49,$B$2:$B49,$B49))</f>
        <v/>
      </c>
      <c r="K49" s="10"/>
      <c r="L49" s="10"/>
      <c r="M49" s="18" t="str">
        <f aca="false">IF(AND($B49&lt;&gt;"",$B49='Estado de cuenta'!$C$4),COUNTIF($B$2:$B49,'Estado de cuenta'!$C$4),"")</f>
        <v/>
      </c>
    </row>
    <row r="50" customFormat="false" ht="15" hidden="false" customHeight="false" outlineLevel="0" collapsed="false">
      <c r="A50" s="17"/>
      <c r="B50" s="10"/>
      <c r="C50" s="10"/>
      <c r="D50" s="10"/>
      <c r="E50" s="10"/>
      <c r="F50" s="12"/>
      <c r="G50" s="13" t="str">
        <f aca="false">IF(OR($B50="",$F50=""),"",IF(OR($C50="Saldo inicial",$C50="Factura",$C50="Nota de débito"),$F50,0))</f>
        <v/>
      </c>
      <c r="H50" s="13" t="str">
        <f aca="false">IF(OR($B50="",$F50=""),"",IF(OR($C50="Cobro",$C50="Nota de crédito"),$F50,0))</f>
        <v/>
      </c>
      <c r="I50" s="16" t="str">
        <f aca="false">IF(OR($A50="",N($G50)=0),"",$A50+IFERROR(INDEX(Clientes!$F$2:$F$81,MATCH($B50,Clientes!$B$2:$B$81,0)),0))</f>
        <v/>
      </c>
      <c r="J50" s="13" t="str">
        <f aca="false">IF($B50="","",SUMIFS($G$2:$G50,$B$2:$B50,$B50)-SUMIFS($H$2:$H50,$B$2:$B50,$B50))</f>
        <v/>
      </c>
      <c r="K50" s="10"/>
      <c r="L50" s="10"/>
      <c r="M50" s="18" t="str">
        <f aca="false">IF(AND($B50&lt;&gt;"",$B50='Estado de cuenta'!$C$4),COUNTIF($B$2:$B50,'Estado de cuenta'!$C$4),"")</f>
        <v/>
      </c>
    </row>
    <row r="51" customFormat="false" ht="15" hidden="false" customHeight="false" outlineLevel="0" collapsed="false">
      <c r="A51" s="17"/>
      <c r="B51" s="10"/>
      <c r="C51" s="10"/>
      <c r="D51" s="10"/>
      <c r="E51" s="10"/>
      <c r="F51" s="12"/>
      <c r="G51" s="13" t="str">
        <f aca="false">IF(OR($B51="",$F51=""),"",IF(OR($C51="Saldo inicial",$C51="Factura",$C51="Nota de débito"),$F51,0))</f>
        <v/>
      </c>
      <c r="H51" s="13" t="str">
        <f aca="false">IF(OR($B51="",$F51=""),"",IF(OR($C51="Cobro",$C51="Nota de crédito"),$F51,0))</f>
        <v/>
      </c>
      <c r="I51" s="16" t="str">
        <f aca="false">IF(OR($A51="",N($G51)=0),"",$A51+IFERROR(INDEX(Clientes!$F$2:$F$81,MATCH($B51,Clientes!$B$2:$B$81,0)),0))</f>
        <v/>
      </c>
      <c r="J51" s="13" t="str">
        <f aca="false">IF($B51="","",SUMIFS($G$2:$G51,$B$2:$B51,$B51)-SUMIFS($H$2:$H51,$B$2:$B51,$B51))</f>
        <v/>
      </c>
      <c r="K51" s="10"/>
      <c r="L51" s="10"/>
      <c r="M51" s="18" t="str">
        <f aca="false">IF(AND($B51&lt;&gt;"",$B51='Estado de cuenta'!$C$4),COUNTIF($B$2:$B51,'Estado de cuenta'!$C$4),"")</f>
        <v/>
      </c>
    </row>
    <row r="52" customFormat="false" ht="15" hidden="false" customHeight="false" outlineLevel="0" collapsed="false">
      <c r="A52" s="17"/>
      <c r="B52" s="10"/>
      <c r="C52" s="10"/>
      <c r="D52" s="10"/>
      <c r="E52" s="10"/>
      <c r="F52" s="12"/>
      <c r="G52" s="13" t="str">
        <f aca="false">IF(OR($B52="",$F52=""),"",IF(OR($C52="Saldo inicial",$C52="Factura",$C52="Nota de débito"),$F52,0))</f>
        <v/>
      </c>
      <c r="H52" s="13" t="str">
        <f aca="false">IF(OR($B52="",$F52=""),"",IF(OR($C52="Cobro",$C52="Nota de crédito"),$F52,0))</f>
        <v/>
      </c>
      <c r="I52" s="16" t="str">
        <f aca="false">IF(OR($A52="",N($G52)=0),"",$A52+IFERROR(INDEX(Clientes!$F$2:$F$81,MATCH($B52,Clientes!$B$2:$B$81,0)),0))</f>
        <v/>
      </c>
      <c r="J52" s="13" t="str">
        <f aca="false">IF($B52="","",SUMIFS($G$2:$G52,$B$2:$B52,$B52)-SUMIFS($H$2:$H52,$B$2:$B52,$B52))</f>
        <v/>
      </c>
      <c r="K52" s="10"/>
      <c r="L52" s="10"/>
      <c r="M52" s="18" t="str">
        <f aca="false">IF(AND($B52&lt;&gt;"",$B52='Estado de cuenta'!$C$4),COUNTIF($B$2:$B52,'Estado de cuenta'!$C$4),"")</f>
        <v/>
      </c>
    </row>
    <row r="53" customFormat="false" ht="15" hidden="false" customHeight="false" outlineLevel="0" collapsed="false">
      <c r="A53" s="17"/>
      <c r="B53" s="10"/>
      <c r="C53" s="10"/>
      <c r="D53" s="10"/>
      <c r="E53" s="10"/>
      <c r="F53" s="12"/>
      <c r="G53" s="13" t="str">
        <f aca="false">IF(OR($B53="",$F53=""),"",IF(OR($C53="Saldo inicial",$C53="Factura",$C53="Nota de débito"),$F53,0))</f>
        <v/>
      </c>
      <c r="H53" s="13" t="str">
        <f aca="false">IF(OR($B53="",$F53=""),"",IF(OR($C53="Cobro",$C53="Nota de crédito"),$F53,0))</f>
        <v/>
      </c>
      <c r="I53" s="16" t="str">
        <f aca="false">IF(OR($A53="",N($G53)=0),"",$A53+IFERROR(INDEX(Clientes!$F$2:$F$81,MATCH($B53,Clientes!$B$2:$B$81,0)),0))</f>
        <v/>
      </c>
      <c r="J53" s="13" t="str">
        <f aca="false">IF($B53="","",SUMIFS($G$2:$G53,$B$2:$B53,$B53)-SUMIFS($H$2:$H53,$B$2:$B53,$B53))</f>
        <v/>
      </c>
      <c r="K53" s="10"/>
      <c r="L53" s="10"/>
      <c r="M53" s="18" t="str">
        <f aca="false">IF(AND($B53&lt;&gt;"",$B53='Estado de cuenta'!$C$4),COUNTIF($B$2:$B53,'Estado de cuenta'!$C$4),"")</f>
        <v/>
      </c>
    </row>
    <row r="54" customFormat="false" ht="15" hidden="false" customHeight="false" outlineLevel="0" collapsed="false">
      <c r="A54" s="17"/>
      <c r="B54" s="10"/>
      <c r="C54" s="10"/>
      <c r="D54" s="10"/>
      <c r="E54" s="10"/>
      <c r="F54" s="12"/>
      <c r="G54" s="13" t="str">
        <f aca="false">IF(OR($B54="",$F54=""),"",IF(OR($C54="Saldo inicial",$C54="Factura",$C54="Nota de débito"),$F54,0))</f>
        <v/>
      </c>
      <c r="H54" s="13" t="str">
        <f aca="false">IF(OR($B54="",$F54=""),"",IF(OR($C54="Cobro",$C54="Nota de crédito"),$F54,0))</f>
        <v/>
      </c>
      <c r="I54" s="16" t="str">
        <f aca="false">IF(OR($A54="",N($G54)=0),"",$A54+IFERROR(INDEX(Clientes!$F$2:$F$81,MATCH($B54,Clientes!$B$2:$B$81,0)),0))</f>
        <v/>
      </c>
      <c r="J54" s="13" t="str">
        <f aca="false">IF($B54="","",SUMIFS($G$2:$G54,$B$2:$B54,$B54)-SUMIFS($H$2:$H54,$B$2:$B54,$B54))</f>
        <v/>
      </c>
      <c r="K54" s="10"/>
      <c r="L54" s="10"/>
      <c r="M54" s="18" t="str">
        <f aca="false">IF(AND($B54&lt;&gt;"",$B54='Estado de cuenta'!$C$4),COUNTIF($B$2:$B54,'Estado de cuenta'!$C$4),"")</f>
        <v/>
      </c>
    </row>
    <row r="55" customFormat="false" ht="15" hidden="false" customHeight="false" outlineLevel="0" collapsed="false">
      <c r="A55" s="17"/>
      <c r="B55" s="10"/>
      <c r="C55" s="10"/>
      <c r="D55" s="10"/>
      <c r="E55" s="10"/>
      <c r="F55" s="12"/>
      <c r="G55" s="13" t="str">
        <f aca="false">IF(OR($B55="",$F55=""),"",IF(OR($C55="Saldo inicial",$C55="Factura",$C55="Nota de débito"),$F55,0))</f>
        <v/>
      </c>
      <c r="H55" s="13" t="str">
        <f aca="false">IF(OR($B55="",$F55=""),"",IF(OR($C55="Cobro",$C55="Nota de crédito"),$F55,0))</f>
        <v/>
      </c>
      <c r="I55" s="16" t="str">
        <f aca="false">IF(OR($A55="",N($G55)=0),"",$A55+IFERROR(INDEX(Clientes!$F$2:$F$81,MATCH($B55,Clientes!$B$2:$B$81,0)),0))</f>
        <v/>
      </c>
      <c r="J55" s="13" t="str">
        <f aca="false">IF($B55="","",SUMIFS($G$2:$G55,$B$2:$B55,$B55)-SUMIFS($H$2:$H55,$B$2:$B55,$B55))</f>
        <v/>
      </c>
      <c r="K55" s="10"/>
      <c r="L55" s="10"/>
      <c r="M55" s="18" t="str">
        <f aca="false">IF(AND($B55&lt;&gt;"",$B55='Estado de cuenta'!$C$4),COUNTIF($B$2:$B55,'Estado de cuenta'!$C$4),"")</f>
        <v/>
      </c>
    </row>
    <row r="56" customFormat="false" ht="15" hidden="false" customHeight="false" outlineLevel="0" collapsed="false">
      <c r="A56" s="17"/>
      <c r="B56" s="10"/>
      <c r="C56" s="10"/>
      <c r="D56" s="10"/>
      <c r="E56" s="10"/>
      <c r="F56" s="12"/>
      <c r="G56" s="13" t="str">
        <f aca="false">IF(OR($B56="",$F56=""),"",IF(OR($C56="Saldo inicial",$C56="Factura",$C56="Nota de débito"),$F56,0))</f>
        <v/>
      </c>
      <c r="H56" s="13" t="str">
        <f aca="false">IF(OR($B56="",$F56=""),"",IF(OR($C56="Cobro",$C56="Nota de crédito"),$F56,0))</f>
        <v/>
      </c>
      <c r="I56" s="16" t="str">
        <f aca="false">IF(OR($A56="",N($G56)=0),"",$A56+IFERROR(INDEX(Clientes!$F$2:$F$81,MATCH($B56,Clientes!$B$2:$B$81,0)),0))</f>
        <v/>
      </c>
      <c r="J56" s="13" t="str">
        <f aca="false">IF($B56="","",SUMIFS($G$2:$G56,$B$2:$B56,$B56)-SUMIFS($H$2:$H56,$B$2:$B56,$B56))</f>
        <v/>
      </c>
      <c r="K56" s="10"/>
      <c r="L56" s="10"/>
      <c r="M56" s="18" t="str">
        <f aca="false">IF(AND($B56&lt;&gt;"",$B56='Estado de cuenta'!$C$4),COUNTIF($B$2:$B56,'Estado de cuenta'!$C$4),"")</f>
        <v/>
      </c>
    </row>
    <row r="57" customFormat="false" ht="15" hidden="false" customHeight="false" outlineLevel="0" collapsed="false">
      <c r="A57" s="17"/>
      <c r="B57" s="10"/>
      <c r="C57" s="10"/>
      <c r="D57" s="10"/>
      <c r="E57" s="10"/>
      <c r="F57" s="12"/>
      <c r="G57" s="13" t="str">
        <f aca="false">IF(OR($B57="",$F57=""),"",IF(OR($C57="Saldo inicial",$C57="Factura",$C57="Nota de débito"),$F57,0))</f>
        <v/>
      </c>
      <c r="H57" s="13" t="str">
        <f aca="false">IF(OR($B57="",$F57=""),"",IF(OR($C57="Cobro",$C57="Nota de crédito"),$F57,0))</f>
        <v/>
      </c>
      <c r="I57" s="16" t="str">
        <f aca="false">IF(OR($A57="",N($G57)=0),"",$A57+IFERROR(INDEX(Clientes!$F$2:$F$81,MATCH($B57,Clientes!$B$2:$B$81,0)),0))</f>
        <v/>
      </c>
      <c r="J57" s="13" t="str">
        <f aca="false">IF($B57="","",SUMIFS($G$2:$G57,$B$2:$B57,$B57)-SUMIFS($H$2:$H57,$B$2:$B57,$B57))</f>
        <v/>
      </c>
      <c r="K57" s="10"/>
      <c r="L57" s="10"/>
      <c r="M57" s="18" t="str">
        <f aca="false">IF(AND($B57&lt;&gt;"",$B57='Estado de cuenta'!$C$4),COUNTIF($B$2:$B57,'Estado de cuenta'!$C$4),"")</f>
        <v/>
      </c>
    </row>
    <row r="58" customFormat="false" ht="15" hidden="false" customHeight="false" outlineLevel="0" collapsed="false">
      <c r="A58" s="17"/>
      <c r="B58" s="10"/>
      <c r="C58" s="10"/>
      <c r="D58" s="10"/>
      <c r="E58" s="10"/>
      <c r="F58" s="12"/>
      <c r="G58" s="13" t="str">
        <f aca="false">IF(OR($B58="",$F58=""),"",IF(OR($C58="Saldo inicial",$C58="Factura",$C58="Nota de débito"),$F58,0))</f>
        <v/>
      </c>
      <c r="H58" s="13" t="str">
        <f aca="false">IF(OR($B58="",$F58=""),"",IF(OR($C58="Cobro",$C58="Nota de crédito"),$F58,0))</f>
        <v/>
      </c>
      <c r="I58" s="16" t="str">
        <f aca="false">IF(OR($A58="",N($G58)=0),"",$A58+IFERROR(INDEX(Clientes!$F$2:$F$81,MATCH($B58,Clientes!$B$2:$B$81,0)),0))</f>
        <v/>
      </c>
      <c r="J58" s="13" t="str">
        <f aca="false">IF($B58="","",SUMIFS($G$2:$G58,$B$2:$B58,$B58)-SUMIFS($H$2:$H58,$B$2:$B58,$B58))</f>
        <v/>
      </c>
      <c r="K58" s="10"/>
      <c r="L58" s="10"/>
      <c r="M58" s="18" t="str">
        <f aca="false">IF(AND($B58&lt;&gt;"",$B58='Estado de cuenta'!$C$4),COUNTIF($B$2:$B58,'Estado de cuenta'!$C$4),"")</f>
        <v/>
      </c>
    </row>
    <row r="59" customFormat="false" ht="15" hidden="false" customHeight="false" outlineLevel="0" collapsed="false">
      <c r="A59" s="17"/>
      <c r="B59" s="10"/>
      <c r="C59" s="10"/>
      <c r="D59" s="10"/>
      <c r="E59" s="10"/>
      <c r="F59" s="12"/>
      <c r="G59" s="13" t="str">
        <f aca="false">IF(OR($B59="",$F59=""),"",IF(OR($C59="Saldo inicial",$C59="Factura",$C59="Nota de débito"),$F59,0))</f>
        <v/>
      </c>
      <c r="H59" s="13" t="str">
        <f aca="false">IF(OR($B59="",$F59=""),"",IF(OR($C59="Cobro",$C59="Nota de crédito"),$F59,0))</f>
        <v/>
      </c>
      <c r="I59" s="16" t="str">
        <f aca="false">IF(OR($A59="",N($G59)=0),"",$A59+IFERROR(INDEX(Clientes!$F$2:$F$81,MATCH($B59,Clientes!$B$2:$B$81,0)),0))</f>
        <v/>
      </c>
      <c r="J59" s="13" t="str">
        <f aca="false">IF($B59="","",SUMIFS($G$2:$G59,$B$2:$B59,$B59)-SUMIFS($H$2:$H59,$B$2:$B59,$B59))</f>
        <v/>
      </c>
      <c r="K59" s="10"/>
      <c r="L59" s="10"/>
      <c r="M59" s="18" t="str">
        <f aca="false">IF(AND($B59&lt;&gt;"",$B59='Estado de cuenta'!$C$4),COUNTIF($B$2:$B59,'Estado de cuenta'!$C$4),"")</f>
        <v/>
      </c>
    </row>
    <row r="60" customFormat="false" ht="15" hidden="false" customHeight="false" outlineLevel="0" collapsed="false">
      <c r="A60" s="17"/>
      <c r="B60" s="10"/>
      <c r="C60" s="10"/>
      <c r="D60" s="10"/>
      <c r="E60" s="10"/>
      <c r="F60" s="12"/>
      <c r="G60" s="13" t="str">
        <f aca="false">IF(OR($B60="",$F60=""),"",IF(OR($C60="Saldo inicial",$C60="Factura",$C60="Nota de débito"),$F60,0))</f>
        <v/>
      </c>
      <c r="H60" s="13" t="str">
        <f aca="false">IF(OR($B60="",$F60=""),"",IF(OR($C60="Cobro",$C60="Nota de crédito"),$F60,0))</f>
        <v/>
      </c>
      <c r="I60" s="16" t="str">
        <f aca="false">IF(OR($A60="",N($G60)=0),"",$A60+IFERROR(INDEX(Clientes!$F$2:$F$81,MATCH($B60,Clientes!$B$2:$B$81,0)),0))</f>
        <v/>
      </c>
      <c r="J60" s="13" t="str">
        <f aca="false">IF($B60="","",SUMIFS($G$2:$G60,$B$2:$B60,$B60)-SUMIFS($H$2:$H60,$B$2:$B60,$B60))</f>
        <v/>
      </c>
      <c r="K60" s="10"/>
      <c r="L60" s="10"/>
      <c r="M60" s="18" t="str">
        <f aca="false">IF(AND($B60&lt;&gt;"",$B60='Estado de cuenta'!$C$4),COUNTIF($B$2:$B60,'Estado de cuenta'!$C$4),"")</f>
        <v/>
      </c>
    </row>
    <row r="61" customFormat="false" ht="15" hidden="false" customHeight="false" outlineLevel="0" collapsed="false">
      <c r="A61" s="17"/>
      <c r="B61" s="10"/>
      <c r="C61" s="10"/>
      <c r="D61" s="10"/>
      <c r="E61" s="10"/>
      <c r="F61" s="12"/>
      <c r="G61" s="13" t="str">
        <f aca="false">IF(OR($B61="",$F61=""),"",IF(OR($C61="Saldo inicial",$C61="Factura",$C61="Nota de débito"),$F61,0))</f>
        <v/>
      </c>
      <c r="H61" s="13" t="str">
        <f aca="false">IF(OR($B61="",$F61=""),"",IF(OR($C61="Cobro",$C61="Nota de crédito"),$F61,0))</f>
        <v/>
      </c>
      <c r="I61" s="16" t="str">
        <f aca="false">IF(OR($A61="",N($G61)=0),"",$A61+IFERROR(INDEX(Clientes!$F$2:$F$81,MATCH($B61,Clientes!$B$2:$B$81,0)),0))</f>
        <v/>
      </c>
      <c r="J61" s="13" t="str">
        <f aca="false">IF($B61="","",SUMIFS($G$2:$G61,$B$2:$B61,$B61)-SUMIFS($H$2:$H61,$B$2:$B61,$B61))</f>
        <v/>
      </c>
      <c r="K61" s="10"/>
      <c r="L61" s="10"/>
      <c r="M61" s="18" t="str">
        <f aca="false">IF(AND($B61&lt;&gt;"",$B61='Estado de cuenta'!$C$4),COUNTIF($B$2:$B61,'Estado de cuenta'!$C$4),"")</f>
        <v/>
      </c>
    </row>
    <row r="62" customFormat="false" ht="15" hidden="false" customHeight="false" outlineLevel="0" collapsed="false">
      <c r="A62" s="17"/>
      <c r="B62" s="10"/>
      <c r="C62" s="10"/>
      <c r="D62" s="10"/>
      <c r="E62" s="10"/>
      <c r="F62" s="12"/>
      <c r="G62" s="13" t="str">
        <f aca="false">IF(OR($B62="",$F62=""),"",IF(OR($C62="Saldo inicial",$C62="Factura",$C62="Nota de débito"),$F62,0))</f>
        <v/>
      </c>
      <c r="H62" s="13" t="str">
        <f aca="false">IF(OR($B62="",$F62=""),"",IF(OR($C62="Cobro",$C62="Nota de crédito"),$F62,0))</f>
        <v/>
      </c>
      <c r="I62" s="16" t="str">
        <f aca="false">IF(OR($A62="",N($G62)=0),"",$A62+IFERROR(INDEX(Clientes!$F$2:$F$81,MATCH($B62,Clientes!$B$2:$B$81,0)),0))</f>
        <v/>
      </c>
      <c r="J62" s="13" t="str">
        <f aca="false">IF($B62="","",SUMIFS($G$2:$G62,$B$2:$B62,$B62)-SUMIFS($H$2:$H62,$B$2:$B62,$B62))</f>
        <v/>
      </c>
      <c r="K62" s="10"/>
      <c r="L62" s="10"/>
      <c r="M62" s="18" t="str">
        <f aca="false">IF(AND($B62&lt;&gt;"",$B62='Estado de cuenta'!$C$4),COUNTIF($B$2:$B62,'Estado de cuenta'!$C$4),"")</f>
        <v/>
      </c>
    </row>
    <row r="63" customFormat="false" ht="15" hidden="false" customHeight="false" outlineLevel="0" collapsed="false">
      <c r="A63" s="17"/>
      <c r="B63" s="10"/>
      <c r="C63" s="10"/>
      <c r="D63" s="10"/>
      <c r="E63" s="10"/>
      <c r="F63" s="12"/>
      <c r="G63" s="13" t="str">
        <f aca="false">IF(OR($B63="",$F63=""),"",IF(OR($C63="Saldo inicial",$C63="Factura",$C63="Nota de débito"),$F63,0))</f>
        <v/>
      </c>
      <c r="H63" s="13" t="str">
        <f aca="false">IF(OR($B63="",$F63=""),"",IF(OR($C63="Cobro",$C63="Nota de crédito"),$F63,0))</f>
        <v/>
      </c>
      <c r="I63" s="16" t="str">
        <f aca="false">IF(OR($A63="",N($G63)=0),"",$A63+IFERROR(INDEX(Clientes!$F$2:$F$81,MATCH($B63,Clientes!$B$2:$B$81,0)),0))</f>
        <v/>
      </c>
      <c r="J63" s="13" t="str">
        <f aca="false">IF($B63="","",SUMIFS($G$2:$G63,$B$2:$B63,$B63)-SUMIFS($H$2:$H63,$B$2:$B63,$B63))</f>
        <v/>
      </c>
      <c r="K63" s="10"/>
      <c r="L63" s="10"/>
      <c r="M63" s="18" t="str">
        <f aca="false">IF(AND($B63&lt;&gt;"",$B63='Estado de cuenta'!$C$4),COUNTIF($B$2:$B63,'Estado de cuenta'!$C$4),"")</f>
        <v/>
      </c>
    </row>
    <row r="64" customFormat="false" ht="15" hidden="false" customHeight="false" outlineLevel="0" collapsed="false">
      <c r="A64" s="17"/>
      <c r="B64" s="10"/>
      <c r="C64" s="10"/>
      <c r="D64" s="10"/>
      <c r="E64" s="10"/>
      <c r="F64" s="12"/>
      <c r="G64" s="13" t="str">
        <f aca="false">IF(OR($B64="",$F64=""),"",IF(OR($C64="Saldo inicial",$C64="Factura",$C64="Nota de débito"),$F64,0))</f>
        <v/>
      </c>
      <c r="H64" s="13" t="str">
        <f aca="false">IF(OR($B64="",$F64=""),"",IF(OR($C64="Cobro",$C64="Nota de crédito"),$F64,0))</f>
        <v/>
      </c>
      <c r="I64" s="16" t="str">
        <f aca="false">IF(OR($A64="",N($G64)=0),"",$A64+IFERROR(INDEX(Clientes!$F$2:$F$81,MATCH($B64,Clientes!$B$2:$B$81,0)),0))</f>
        <v/>
      </c>
      <c r="J64" s="13" t="str">
        <f aca="false">IF($B64="","",SUMIFS($G$2:$G64,$B$2:$B64,$B64)-SUMIFS($H$2:$H64,$B$2:$B64,$B64))</f>
        <v/>
      </c>
      <c r="K64" s="10"/>
      <c r="L64" s="10"/>
      <c r="M64" s="18" t="str">
        <f aca="false">IF(AND($B64&lt;&gt;"",$B64='Estado de cuenta'!$C$4),COUNTIF($B$2:$B64,'Estado de cuenta'!$C$4),"")</f>
        <v/>
      </c>
    </row>
    <row r="65" customFormat="false" ht="15" hidden="false" customHeight="false" outlineLevel="0" collapsed="false">
      <c r="A65" s="17"/>
      <c r="B65" s="10"/>
      <c r="C65" s="10"/>
      <c r="D65" s="10"/>
      <c r="E65" s="10"/>
      <c r="F65" s="12"/>
      <c r="G65" s="13" t="str">
        <f aca="false">IF(OR($B65="",$F65=""),"",IF(OR($C65="Saldo inicial",$C65="Factura",$C65="Nota de débito"),$F65,0))</f>
        <v/>
      </c>
      <c r="H65" s="13" t="str">
        <f aca="false">IF(OR($B65="",$F65=""),"",IF(OR($C65="Cobro",$C65="Nota de crédito"),$F65,0))</f>
        <v/>
      </c>
      <c r="I65" s="16" t="str">
        <f aca="false">IF(OR($A65="",N($G65)=0),"",$A65+IFERROR(INDEX(Clientes!$F$2:$F$81,MATCH($B65,Clientes!$B$2:$B$81,0)),0))</f>
        <v/>
      </c>
      <c r="J65" s="13" t="str">
        <f aca="false">IF($B65="","",SUMIFS($G$2:$G65,$B$2:$B65,$B65)-SUMIFS($H$2:$H65,$B$2:$B65,$B65))</f>
        <v/>
      </c>
      <c r="K65" s="10"/>
      <c r="L65" s="10"/>
      <c r="M65" s="18" t="str">
        <f aca="false">IF(AND($B65&lt;&gt;"",$B65='Estado de cuenta'!$C$4),COUNTIF($B$2:$B65,'Estado de cuenta'!$C$4),"")</f>
        <v/>
      </c>
    </row>
    <row r="66" customFormat="false" ht="15" hidden="false" customHeight="false" outlineLevel="0" collapsed="false">
      <c r="A66" s="17"/>
      <c r="B66" s="10"/>
      <c r="C66" s="10"/>
      <c r="D66" s="10"/>
      <c r="E66" s="10"/>
      <c r="F66" s="12"/>
      <c r="G66" s="13" t="str">
        <f aca="false">IF(OR($B66="",$F66=""),"",IF(OR($C66="Saldo inicial",$C66="Factura",$C66="Nota de débito"),$F66,0))</f>
        <v/>
      </c>
      <c r="H66" s="13" t="str">
        <f aca="false">IF(OR($B66="",$F66=""),"",IF(OR($C66="Cobro",$C66="Nota de crédito"),$F66,0))</f>
        <v/>
      </c>
      <c r="I66" s="16" t="str">
        <f aca="false">IF(OR($A66="",N($G66)=0),"",$A66+IFERROR(INDEX(Clientes!$F$2:$F$81,MATCH($B66,Clientes!$B$2:$B$81,0)),0))</f>
        <v/>
      </c>
      <c r="J66" s="13" t="str">
        <f aca="false">IF($B66="","",SUMIFS($G$2:$G66,$B$2:$B66,$B66)-SUMIFS($H$2:$H66,$B$2:$B66,$B66))</f>
        <v/>
      </c>
      <c r="K66" s="10"/>
      <c r="L66" s="10"/>
      <c r="M66" s="18" t="str">
        <f aca="false">IF(AND($B66&lt;&gt;"",$B66='Estado de cuenta'!$C$4),COUNTIF($B$2:$B66,'Estado de cuenta'!$C$4),"")</f>
        <v/>
      </c>
    </row>
    <row r="67" customFormat="false" ht="15" hidden="false" customHeight="false" outlineLevel="0" collapsed="false">
      <c r="A67" s="17"/>
      <c r="B67" s="10"/>
      <c r="C67" s="10"/>
      <c r="D67" s="10"/>
      <c r="E67" s="10"/>
      <c r="F67" s="12"/>
      <c r="G67" s="13" t="str">
        <f aca="false">IF(OR($B67="",$F67=""),"",IF(OR($C67="Saldo inicial",$C67="Factura",$C67="Nota de débito"),$F67,0))</f>
        <v/>
      </c>
      <c r="H67" s="13" t="str">
        <f aca="false">IF(OR($B67="",$F67=""),"",IF(OR($C67="Cobro",$C67="Nota de crédito"),$F67,0))</f>
        <v/>
      </c>
      <c r="I67" s="16" t="str">
        <f aca="false">IF(OR($A67="",N($G67)=0),"",$A67+IFERROR(INDEX(Clientes!$F$2:$F$81,MATCH($B67,Clientes!$B$2:$B$81,0)),0))</f>
        <v/>
      </c>
      <c r="J67" s="13" t="str">
        <f aca="false">IF($B67="","",SUMIFS($G$2:$G67,$B$2:$B67,$B67)-SUMIFS($H$2:$H67,$B$2:$B67,$B67))</f>
        <v/>
      </c>
      <c r="K67" s="10"/>
      <c r="L67" s="10"/>
      <c r="M67" s="18" t="str">
        <f aca="false">IF(AND($B67&lt;&gt;"",$B67='Estado de cuenta'!$C$4),COUNTIF($B$2:$B67,'Estado de cuenta'!$C$4),"")</f>
        <v/>
      </c>
    </row>
    <row r="68" customFormat="false" ht="15" hidden="false" customHeight="false" outlineLevel="0" collapsed="false">
      <c r="A68" s="17"/>
      <c r="B68" s="10"/>
      <c r="C68" s="10"/>
      <c r="D68" s="10"/>
      <c r="E68" s="10"/>
      <c r="F68" s="12"/>
      <c r="G68" s="13" t="str">
        <f aca="false">IF(OR($B68="",$F68=""),"",IF(OR($C68="Saldo inicial",$C68="Factura",$C68="Nota de débito"),$F68,0))</f>
        <v/>
      </c>
      <c r="H68" s="13" t="str">
        <f aca="false">IF(OR($B68="",$F68=""),"",IF(OR($C68="Cobro",$C68="Nota de crédito"),$F68,0))</f>
        <v/>
      </c>
      <c r="I68" s="16" t="str">
        <f aca="false">IF(OR($A68="",N($G68)=0),"",$A68+IFERROR(INDEX(Clientes!$F$2:$F$81,MATCH($B68,Clientes!$B$2:$B$81,0)),0))</f>
        <v/>
      </c>
      <c r="J68" s="13" t="str">
        <f aca="false">IF($B68="","",SUMIFS($G$2:$G68,$B$2:$B68,$B68)-SUMIFS($H$2:$H68,$B$2:$B68,$B68))</f>
        <v/>
      </c>
      <c r="K68" s="10"/>
      <c r="L68" s="10"/>
      <c r="M68" s="18" t="str">
        <f aca="false">IF(AND($B68&lt;&gt;"",$B68='Estado de cuenta'!$C$4),COUNTIF($B$2:$B68,'Estado de cuenta'!$C$4),"")</f>
        <v/>
      </c>
    </row>
    <row r="69" customFormat="false" ht="15" hidden="false" customHeight="false" outlineLevel="0" collapsed="false">
      <c r="A69" s="17"/>
      <c r="B69" s="10"/>
      <c r="C69" s="10"/>
      <c r="D69" s="10"/>
      <c r="E69" s="10"/>
      <c r="F69" s="12"/>
      <c r="G69" s="13" t="str">
        <f aca="false">IF(OR($B69="",$F69=""),"",IF(OR($C69="Saldo inicial",$C69="Factura",$C69="Nota de débito"),$F69,0))</f>
        <v/>
      </c>
      <c r="H69" s="13" t="str">
        <f aca="false">IF(OR($B69="",$F69=""),"",IF(OR($C69="Cobro",$C69="Nota de crédito"),$F69,0))</f>
        <v/>
      </c>
      <c r="I69" s="16" t="str">
        <f aca="false">IF(OR($A69="",N($G69)=0),"",$A69+IFERROR(INDEX(Clientes!$F$2:$F$81,MATCH($B69,Clientes!$B$2:$B$81,0)),0))</f>
        <v/>
      </c>
      <c r="J69" s="13" t="str">
        <f aca="false">IF($B69="","",SUMIFS($G$2:$G69,$B$2:$B69,$B69)-SUMIFS($H$2:$H69,$B$2:$B69,$B69))</f>
        <v/>
      </c>
      <c r="K69" s="10"/>
      <c r="L69" s="10"/>
      <c r="M69" s="18" t="str">
        <f aca="false">IF(AND($B69&lt;&gt;"",$B69='Estado de cuenta'!$C$4),COUNTIF($B$2:$B69,'Estado de cuenta'!$C$4),"")</f>
        <v/>
      </c>
    </row>
    <row r="70" customFormat="false" ht="15" hidden="false" customHeight="false" outlineLevel="0" collapsed="false">
      <c r="A70" s="17"/>
      <c r="B70" s="10"/>
      <c r="C70" s="10"/>
      <c r="D70" s="10"/>
      <c r="E70" s="10"/>
      <c r="F70" s="12"/>
      <c r="G70" s="13" t="str">
        <f aca="false">IF(OR($B70="",$F70=""),"",IF(OR($C70="Saldo inicial",$C70="Factura",$C70="Nota de débito"),$F70,0))</f>
        <v/>
      </c>
      <c r="H70" s="13" t="str">
        <f aca="false">IF(OR($B70="",$F70=""),"",IF(OR($C70="Cobro",$C70="Nota de crédito"),$F70,0))</f>
        <v/>
      </c>
      <c r="I70" s="16" t="str">
        <f aca="false">IF(OR($A70="",N($G70)=0),"",$A70+IFERROR(INDEX(Clientes!$F$2:$F$81,MATCH($B70,Clientes!$B$2:$B$81,0)),0))</f>
        <v/>
      </c>
      <c r="J70" s="13" t="str">
        <f aca="false">IF($B70="","",SUMIFS($G$2:$G70,$B$2:$B70,$B70)-SUMIFS($H$2:$H70,$B$2:$B70,$B70))</f>
        <v/>
      </c>
      <c r="K70" s="10"/>
      <c r="L70" s="10"/>
      <c r="M70" s="18" t="str">
        <f aca="false">IF(AND($B70&lt;&gt;"",$B70='Estado de cuenta'!$C$4),COUNTIF($B$2:$B70,'Estado de cuenta'!$C$4),"")</f>
        <v/>
      </c>
    </row>
    <row r="71" customFormat="false" ht="15" hidden="false" customHeight="false" outlineLevel="0" collapsed="false">
      <c r="A71" s="17"/>
      <c r="B71" s="10"/>
      <c r="C71" s="10"/>
      <c r="D71" s="10"/>
      <c r="E71" s="10"/>
      <c r="F71" s="12"/>
      <c r="G71" s="13" t="str">
        <f aca="false">IF(OR($B71="",$F71=""),"",IF(OR($C71="Saldo inicial",$C71="Factura",$C71="Nota de débito"),$F71,0))</f>
        <v/>
      </c>
      <c r="H71" s="13" t="str">
        <f aca="false">IF(OR($B71="",$F71=""),"",IF(OR($C71="Cobro",$C71="Nota de crédito"),$F71,0))</f>
        <v/>
      </c>
      <c r="I71" s="16" t="str">
        <f aca="false">IF(OR($A71="",N($G71)=0),"",$A71+IFERROR(INDEX(Clientes!$F$2:$F$81,MATCH($B71,Clientes!$B$2:$B$81,0)),0))</f>
        <v/>
      </c>
      <c r="J71" s="13" t="str">
        <f aca="false">IF($B71="","",SUMIFS($G$2:$G71,$B$2:$B71,$B71)-SUMIFS($H$2:$H71,$B$2:$B71,$B71))</f>
        <v/>
      </c>
      <c r="K71" s="10"/>
      <c r="L71" s="10"/>
      <c r="M71" s="18" t="str">
        <f aca="false">IF(AND($B71&lt;&gt;"",$B71='Estado de cuenta'!$C$4),COUNTIF($B$2:$B71,'Estado de cuenta'!$C$4),"")</f>
        <v/>
      </c>
    </row>
    <row r="72" customFormat="false" ht="15" hidden="false" customHeight="false" outlineLevel="0" collapsed="false">
      <c r="A72" s="17"/>
      <c r="B72" s="10"/>
      <c r="C72" s="10"/>
      <c r="D72" s="10"/>
      <c r="E72" s="10"/>
      <c r="F72" s="12"/>
      <c r="G72" s="13" t="str">
        <f aca="false">IF(OR($B72="",$F72=""),"",IF(OR($C72="Saldo inicial",$C72="Factura",$C72="Nota de débito"),$F72,0))</f>
        <v/>
      </c>
      <c r="H72" s="13" t="str">
        <f aca="false">IF(OR($B72="",$F72=""),"",IF(OR($C72="Cobro",$C72="Nota de crédito"),$F72,0))</f>
        <v/>
      </c>
      <c r="I72" s="16" t="str">
        <f aca="false">IF(OR($A72="",N($G72)=0),"",$A72+IFERROR(INDEX(Clientes!$F$2:$F$81,MATCH($B72,Clientes!$B$2:$B$81,0)),0))</f>
        <v/>
      </c>
      <c r="J72" s="13" t="str">
        <f aca="false">IF($B72="","",SUMIFS($G$2:$G72,$B$2:$B72,$B72)-SUMIFS($H$2:$H72,$B$2:$B72,$B72))</f>
        <v/>
      </c>
      <c r="K72" s="10"/>
      <c r="L72" s="10"/>
      <c r="M72" s="18" t="str">
        <f aca="false">IF(AND($B72&lt;&gt;"",$B72='Estado de cuenta'!$C$4),COUNTIF($B$2:$B72,'Estado de cuenta'!$C$4),"")</f>
        <v/>
      </c>
    </row>
    <row r="73" customFormat="false" ht="15" hidden="false" customHeight="false" outlineLevel="0" collapsed="false">
      <c r="A73" s="17"/>
      <c r="B73" s="10"/>
      <c r="C73" s="10"/>
      <c r="D73" s="10"/>
      <c r="E73" s="10"/>
      <c r="F73" s="12"/>
      <c r="G73" s="13" t="str">
        <f aca="false">IF(OR($B73="",$F73=""),"",IF(OR($C73="Saldo inicial",$C73="Factura",$C73="Nota de débito"),$F73,0))</f>
        <v/>
      </c>
      <c r="H73" s="13" t="str">
        <f aca="false">IF(OR($B73="",$F73=""),"",IF(OR($C73="Cobro",$C73="Nota de crédito"),$F73,0))</f>
        <v/>
      </c>
      <c r="I73" s="16" t="str">
        <f aca="false">IF(OR($A73="",N($G73)=0),"",$A73+IFERROR(INDEX(Clientes!$F$2:$F$81,MATCH($B73,Clientes!$B$2:$B$81,0)),0))</f>
        <v/>
      </c>
      <c r="J73" s="13" t="str">
        <f aca="false">IF($B73="","",SUMIFS($G$2:$G73,$B$2:$B73,$B73)-SUMIFS($H$2:$H73,$B$2:$B73,$B73))</f>
        <v/>
      </c>
      <c r="K73" s="10"/>
      <c r="L73" s="10"/>
      <c r="M73" s="18" t="str">
        <f aca="false">IF(AND($B73&lt;&gt;"",$B73='Estado de cuenta'!$C$4),COUNTIF($B$2:$B73,'Estado de cuenta'!$C$4),"")</f>
        <v/>
      </c>
    </row>
    <row r="74" customFormat="false" ht="15" hidden="false" customHeight="false" outlineLevel="0" collapsed="false">
      <c r="A74" s="17"/>
      <c r="B74" s="10"/>
      <c r="C74" s="10"/>
      <c r="D74" s="10"/>
      <c r="E74" s="10"/>
      <c r="F74" s="12"/>
      <c r="G74" s="13" t="str">
        <f aca="false">IF(OR($B74="",$F74=""),"",IF(OR($C74="Saldo inicial",$C74="Factura",$C74="Nota de débito"),$F74,0))</f>
        <v/>
      </c>
      <c r="H74" s="13" t="str">
        <f aca="false">IF(OR($B74="",$F74=""),"",IF(OR($C74="Cobro",$C74="Nota de crédito"),$F74,0))</f>
        <v/>
      </c>
      <c r="I74" s="16" t="str">
        <f aca="false">IF(OR($A74="",N($G74)=0),"",$A74+IFERROR(INDEX(Clientes!$F$2:$F$81,MATCH($B74,Clientes!$B$2:$B$81,0)),0))</f>
        <v/>
      </c>
      <c r="J74" s="13" t="str">
        <f aca="false">IF($B74="","",SUMIFS($G$2:$G74,$B$2:$B74,$B74)-SUMIFS($H$2:$H74,$B$2:$B74,$B74))</f>
        <v/>
      </c>
      <c r="K74" s="10"/>
      <c r="L74" s="10"/>
      <c r="M74" s="18" t="str">
        <f aca="false">IF(AND($B74&lt;&gt;"",$B74='Estado de cuenta'!$C$4),COUNTIF($B$2:$B74,'Estado de cuenta'!$C$4),"")</f>
        <v/>
      </c>
    </row>
    <row r="75" customFormat="false" ht="15" hidden="false" customHeight="false" outlineLevel="0" collapsed="false">
      <c r="A75" s="17"/>
      <c r="B75" s="10"/>
      <c r="C75" s="10"/>
      <c r="D75" s="10"/>
      <c r="E75" s="10"/>
      <c r="F75" s="12"/>
      <c r="G75" s="13" t="str">
        <f aca="false">IF(OR($B75="",$F75=""),"",IF(OR($C75="Saldo inicial",$C75="Factura",$C75="Nota de débito"),$F75,0))</f>
        <v/>
      </c>
      <c r="H75" s="13" t="str">
        <f aca="false">IF(OR($B75="",$F75=""),"",IF(OR($C75="Cobro",$C75="Nota de crédito"),$F75,0))</f>
        <v/>
      </c>
      <c r="I75" s="16" t="str">
        <f aca="false">IF(OR($A75="",N($G75)=0),"",$A75+IFERROR(INDEX(Clientes!$F$2:$F$81,MATCH($B75,Clientes!$B$2:$B$81,0)),0))</f>
        <v/>
      </c>
      <c r="J75" s="13" t="str">
        <f aca="false">IF($B75="","",SUMIFS($G$2:$G75,$B$2:$B75,$B75)-SUMIFS($H$2:$H75,$B$2:$B75,$B75))</f>
        <v/>
      </c>
      <c r="K75" s="10"/>
      <c r="L75" s="10"/>
      <c r="M75" s="18" t="str">
        <f aca="false">IF(AND($B75&lt;&gt;"",$B75='Estado de cuenta'!$C$4),COUNTIF($B$2:$B75,'Estado de cuenta'!$C$4),"")</f>
        <v/>
      </c>
    </row>
    <row r="76" customFormat="false" ht="15" hidden="false" customHeight="false" outlineLevel="0" collapsed="false">
      <c r="A76" s="17"/>
      <c r="B76" s="10"/>
      <c r="C76" s="10"/>
      <c r="D76" s="10"/>
      <c r="E76" s="10"/>
      <c r="F76" s="12"/>
      <c r="G76" s="13" t="str">
        <f aca="false">IF(OR($B76="",$F76=""),"",IF(OR($C76="Saldo inicial",$C76="Factura",$C76="Nota de débito"),$F76,0))</f>
        <v/>
      </c>
      <c r="H76" s="13" t="str">
        <f aca="false">IF(OR($B76="",$F76=""),"",IF(OR($C76="Cobro",$C76="Nota de crédito"),$F76,0))</f>
        <v/>
      </c>
      <c r="I76" s="16" t="str">
        <f aca="false">IF(OR($A76="",N($G76)=0),"",$A76+IFERROR(INDEX(Clientes!$F$2:$F$81,MATCH($B76,Clientes!$B$2:$B$81,0)),0))</f>
        <v/>
      </c>
      <c r="J76" s="13" t="str">
        <f aca="false">IF($B76="","",SUMIFS($G$2:$G76,$B$2:$B76,$B76)-SUMIFS($H$2:$H76,$B$2:$B76,$B76))</f>
        <v/>
      </c>
      <c r="K76" s="10"/>
      <c r="L76" s="10"/>
      <c r="M76" s="18" t="str">
        <f aca="false">IF(AND($B76&lt;&gt;"",$B76='Estado de cuenta'!$C$4),COUNTIF($B$2:$B76,'Estado de cuenta'!$C$4),"")</f>
        <v/>
      </c>
    </row>
    <row r="77" customFormat="false" ht="15" hidden="false" customHeight="false" outlineLevel="0" collapsed="false">
      <c r="A77" s="17"/>
      <c r="B77" s="10"/>
      <c r="C77" s="10"/>
      <c r="D77" s="10"/>
      <c r="E77" s="10"/>
      <c r="F77" s="12"/>
      <c r="G77" s="13" t="str">
        <f aca="false">IF(OR($B77="",$F77=""),"",IF(OR($C77="Saldo inicial",$C77="Factura",$C77="Nota de débito"),$F77,0))</f>
        <v/>
      </c>
      <c r="H77" s="13" t="str">
        <f aca="false">IF(OR($B77="",$F77=""),"",IF(OR($C77="Cobro",$C77="Nota de crédito"),$F77,0))</f>
        <v/>
      </c>
      <c r="I77" s="16" t="str">
        <f aca="false">IF(OR($A77="",N($G77)=0),"",$A77+IFERROR(INDEX(Clientes!$F$2:$F$81,MATCH($B77,Clientes!$B$2:$B$81,0)),0))</f>
        <v/>
      </c>
      <c r="J77" s="13" t="str">
        <f aca="false">IF($B77="","",SUMIFS($G$2:$G77,$B$2:$B77,$B77)-SUMIFS($H$2:$H77,$B$2:$B77,$B77))</f>
        <v/>
      </c>
      <c r="K77" s="10"/>
      <c r="L77" s="10"/>
      <c r="M77" s="18" t="str">
        <f aca="false">IF(AND($B77&lt;&gt;"",$B77='Estado de cuenta'!$C$4),COUNTIF($B$2:$B77,'Estado de cuenta'!$C$4),"")</f>
        <v/>
      </c>
    </row>
    <row r="78" customFormat="false" ht="15" hidden="false" customHeight="false" outlineLevel="0" collapsed="false">
      <c r="A78" s="17"/>
      <c r="B78" s="10"/>
      <c r="C78" s="10"/>
      <c r="D78" s="10"/>
      <c r="E78" s="10"/>
      <c r="F78" s="12"/>
      <c r="G78" s="13" t="str">
        <f aca="false">IF(OR($B78="",$F78=""),"",IF(OR($C78="Saldo inicial",$C78="Factura",$C78="Nota de débito"),$F78,0))</f>
        <v/>
      </c>
      <c r="H78" s="13" t="str">
        <f aca="false">IF(OR($B78="",$F78=""),"",IF(OR($C78="Cobro",$C78="Nota de crédito"),$F78,0))</f>
        <v/>
      </c>
      <c r="I78" s="16" t="str">
        <f aca="false">IF(OR($A78="",N($G78)=0),"",$A78+IFERROR(INDEX(Clientes!$F$2:$F$81,MATCH($B78,Clientes!$B$2:$B$81,0)),0))</f>
        <v/>
      </c>
      <c r="J78" s="13" t="str">
        <f aca="false">IF($B78="","",SUMIFS($G$2:$G78,$B$2:$B78,$B78)-SUMIFS($H$2:$H78,$B$2:$B78,$B78))</f>
        <v/>
      </c>
      <c r="K78" s="10"/>
      <c r="L78" s="10"/>
      <c r="M78" s="18" t="str">
        <f aca="false">IF(AND($B78&lt;&gt;"",$B78='Estado de cuenta'!$C$4),COUNTIF($B$2:$B78,'Estado de cuenta'!$C$4),"")</f>
        <v/>
      </c>
    </row>
    <row r="79" customFormat="false" ht="15" hidden="false" customHeight="false" outlineLevel="0" collapsed="false">
      <c r="A79" s="17"/>
      <c r="B79" s="10"/>
      <c r="C79" s="10"/>
      <c r="D79" s="10"/>
      <c r="E79" s="10"/>
      <c r="F79" s="12"/>
      <c r="G79" s="13" t="str">
        <f aca="false">IF(OR($B79="",$F79=""),"",IF(OR($C79="Saldo inicial",$C79="Factura",$C79="Nota de débito"),$F79,0))</f>
        <v/>
      </c>
      <c r="H79" s="13" t="str">
        <f aca="false">IF(OR($B79="",$F79=""),"",IF(OR($C79="Cobro",$C79="Nota de crédito"),$F79,0))</f>
        <v/>
      </c>
      <c r="I79" s="16" t="str">
        <f aca="false">IF(OR($A79="",N($G79)=0),"",$A79+IFERROR(INDEX(Clientes!$F$2:$F$81,MATCH($B79,Clientes!$B$2:$B$81,0)),0))</f>
        <v/>
      </c>
      <c r="J79" s="13" t="str">
        <f aca="false">IF($B79="","",SUMIFS($G$2:$G79,$B$2:$B79,$B79)-SUMIFS($H$2:$H79,$B$2:$B79,$B79))</f>
        <v/>
      </c>
      <c r="K79" s="10"/>
      <c r="L79" s="10"/>
      <c r="M79" s="18" t="str">
        <f aca="false">IF(AND($B79&lt;&gt;"",$B79='Estado de cuenta'!$C$4),COUNTIF($B$2:$B79,'Estado de cuenta'!$C$4),"")</f>
        <v/>
      </c>
    </row>
    <row r="80" customFormat="false" ht="15" hidden="false" customHeight="false" outlineLevel="0" collapsed="false">
      <c r="A80" s="17"/>
      <c r="B80" s="10"/>
      <c r="C80" s="10"/>
      <c r="D80" s="10"/>
      <c r="E80" s="10"/>
      <c r="F80" s="12"/>
      <c r="G80" s="13" t="str">
        <f aca="false">IF(OR($B80="",$F80=""),"",IF(OR($C80="Saldo inicial",$C80="Factura",$C80="Nota de débito"),$F80,0))</f>
        <v/>
      </c>
      <c r="H80" s="13" t="str">
        <f aca="false">IF(OR($B80="",$F80=""),"",IF(OR($C80="Cobro",$C80="Nota de crédito"),$F80,0))</f>
        <v/>
      </c>
      <c r="I80" s="16" t="str">
        <f aca="false">IF(OR($A80="",N($G80)=0),"",$A80+IFERROR(INDEX(Clientes!$F$2:$F$81,MATCH($B80,Clientes!$B$2:$B$81,0)),0))</f>
        <v/>
      </c>
      <c r="J80" s="13" t="str">
        <f aca="false">IF($B80="","",SUMIFS($G$2:$G80,$B$2:$B80,$B80)-SUMIFS($H$2:$H80,$B$2:$B80,$B80))</f>
        <v/>
      </c>
      <c r="K80" s="10"/>
      <c r="L80" s="10"/>
      <c r="M80" s="18" t="str">
        <f aca="false">IF(AND($B80&lt;&gt;"",$B80='Estado de cuenta'!$C$4),COUNTIF($B$2:$B80,'Estado de cuenta'!$C$4),"")</f>
        <v/>
      </c>
    </row>
    <row r="81" customFormat="false" ht="15" hidden="false" customHeight="false" outlineLevel="0" collapsed="false">
      <c r="A81" s="17"/>
      <c r="B81" s="10"/>
      <c r="C81" s="10"/>
      <c r="D81" s="10"/>
      <c r="E81" s="10"/>
      <c r="F81" s="12"/>
      <c r="G81" s="13" t="str">
        <f aca="false">IF(OR($B81="",$F81=""),"",IF(OR($C81="Saldo inicial",$C81="Factura",$C81="Nota de débito"),$F81,0))</f>
        <v/>
      </c>
      <c r="H81" s="13" t="str">
        <f aca="false">IF(OR($B81="",$F81=""),"",IF(OR($C81="Cobro",$C81="Nota de crédito"),$F81,0))</f>
        <v/>
      </c>
      <c r="I81" s="16" t="str">
        <f aca="false">IF(OR($A81="",N($G81)=0),"",$A81+IFERROR(INDEX(Clientes!$F$2:$F$81,MATCH($B81,Clientes!$B$2:$B$81,0)),0))</f>
        <v/>
      </c>
      <c r="J81" s="13" t="str">
        <f aca="false">IF($B81="","",SUMIFS($G$2:$G81,$B$2:$B81,$B81)-SUMIFS($H$2:$H81,$B$2:$B81,$B81))</f>
        <v/>
      </c>
      <c r="K81" s="10"/>
      <c r="L81" s="10"/>
      <c r="M81" s="18" t="str">
        <f aca="false">IF(AND($B81&lt;&gt;"",$B81='Estado de cuenta'!$C$4),COUNTIF($B$2:$B81,'Estado de cuenta'!$C$4),"")</f>
        <v/>
      </c>
    </row>
    <row r="82" customFormat="false" ht="15" hidden="false" customHeight="false" outlineLevel="0" collapsed="false">
      <c r="A82" s="17"/>
      <c r="B82" s="10"/>
      <c r="C82" s="10"/>
      <c r="D82" s="10"/>
      <c r="E82" s="10"/>
      <c r="F82" s="12"/>
      <c r="G82" s="13" t="str">
        <f aca="false">IF(OR($B82="",$F82=""),"",IF(OR($C82="Saldo inicial",$C82="Factura",$C82="Nota de débito"),$F82,0))</f>
        <v/>
      </c>
      <c r="H82" s="13" t="str">
        <f aca="false">IF(OR($B82="",$F82=""),"",IF(OR($C82="Cobro",$C82="Nota de crédito"),$F82,0))</f>
        <v/>
      </c>
      <c r="I82" s="16" t="str">
        <f aca="false">IF(OR($A82="",N($G82)=0),"",$A82+IFERROR(INDEX(Clientes!$F$2:$F$81,MATCH($B82,Clientes!$B$2:$B$81,0)),0))</f>
        <v/>
      </c>
      <c r="J82" s="13" t="str">
        <f aca="false">IF($B82="","",SUMIFS($G$2:$G82,$B$2:$B82,$B82)-SUMIFS($H$2:$H82,$B$2:$B82,$B82))</f>
        <v/>
      </c>
      <c r="K82" s="10"/>
      <c r="L82" s="10"/>
      <c r="M82" s="18" t="str">
        <f aca="false">IF(AND($B82&lt;&gt;"",$B82='Estado de cuenta'!$C$4),COUNTIF($B$2:$B82,'Estado de cuenta'!$C$4),"")</f>
        <v/>
      </c>
    </row>
    <row r="83" customFormat="false" ht="15" hidden="false" customHeight="false" outlineLevel="0" collapsed="false">
      <c r="A83" s="17"/>
      <c r="B83" s="10"/>
      <c r="C83" s="10"/>
      <c r="D83" s="10"/>
      <c r="E83" s="10"/>
      <c r="F83" s="12"/>
      <c r="G83" s="13" t="str">
        <f aca="false">IF(OR($B83="",$F83=""),"",IF(OR($C83="Saldo inicial",$C83="Factura",$C83="Nota de débito"),$F83,0))</f>
        <v/>
      </c>
      <c r="H83" s="13" t="str">
        <f aca="false">IF(OR($B83="",$F83=""),"",IF(OR($C83="Cobro",$C83="Nota de crédito"),$F83,0))</f>
        <v/>
      </c>
      <c r="I83" s="16" t="str">
        <f aca="false">IF(OR($A83="",N($G83)=0),"",$A83+IFERROR(INDEX(Clientes!$F$2:$F$81,MATCH($B83,Clientes!$B$2:$B$81,0)),0))</f>
        <v/>
      </c>
      <c r="J83" s="13" t="str">
        <f aca="false">IF($B83="","",SUMIFS($G$2:$G83,$B$2:$B83,$B83)-SUMIFS($H$2:$H83,$B$2:$B83,$B83))</f>
        <v/>
      </c>
      <c r="K83" s="10"/>
      <c r="L83" s="10"/>
      <c r="M83" s="18" t="str">
        <f aca="false">IF(AND($B83&lt;&gt;"",$B83='Estado de cuenta'!$C$4),COUNTIF($B$2:$B83,'Estado de cuenta'!$C$4),"")</f>
        <v/>
      </c>
    </row>
    <row r="84" customFormat="false" ht="15" hidden="false" customHeight="false" outlineLevel="0" collapsed="false">
      <c r="A84" s="17"/>
      <c r="B84" s="10"/>
      <c r="C84" s="10"/>
      <c r="D84" s="10"/>
      <c r="E84" s="10"/>
      <c r="F84" s="12"/>
      <c r="G84" s="13" t="str">
        <f aca="false">IF(OR($B84="",$F84=""),"",IF(OR($C84="Saldo inicial",$C84="Factura",$C84="Nota de débito"),$F84,0))</f>
        <v/>
      </c>
      <c r="H84" s="13" t="str">
        <f aca="false">IF(OR($B84="",$F84=""),"",IF(OR($C84="Cobro",$C84="Nota de crédito"),$F84,0))</f>
        <v/>
      </c>
      <c r="I84" s="16" t="str">
        <f aca="false">IF(OR($A84="",N($G84)=0),"",$A84+IFERROR(INDEX(Clientes!$F$2:$F$81,MATCH($B84,Clientes!$B$2:$B$81,0)),0))</f>
        <v/>
      </c>
      <c r="J84" s="13" t="str">
        <f aca="false">IF($B84="","",SUMIFS($G$2:$G84,$B$2:$B84,$B84)-SUMIFS($H$2:$H84,$B$2:$B84,$B84))</f>
        <v/>
      </c>
      <c r="K84" s="10"/>
      <c r="L84" s="10"/>
      <c r="M84" s="18" t="str">
        <f aca="false">IF(AND($B84&lt;&gt;"",$B84='Estado de cuenta'!$C$4),COUNTIF($B$2:$B84,'Estado de cuenta'!$C$4),"")</f>
        <v/>
      </c>
    </row>
    <row r="85" customFormat="false" ht="15" hidden="false" customHeight="false" outlineLevel="0" collapsed="false">
      <c r="A85" s="17"/>
      <c r="B85" s="10"/>
      <c r="C85" s="10"/>
      <c r="D85" s="10"/>
      <c r="E85" s="10"/>
      <c r="F85" s="12"/>
      <c r="G85" s="13" t="str">
        <f aca="false">IF(OR($B85="",$F85=""),"",IF(OR($C85="Saldo inicial",$C85="Factura",$C85="Nota de débito"),$F85,0))</f>
        <v/>
      </c>
      <c r="H85" s="13" t="str">
        <f aca="false">IF(OR($B85="",$F85=""),"",IF(OR($C85="Cobro",$C85="Nota de crédito"),$F85,0))</f>
        <v/>
      </c>
      <c r="I85" s="16" t="str">
        <f aca="false">IF(OR($A85="",N($G85)=0),"",$A85+IFERROR(INDEX(Clientes!$F$2:$F$81,MATCH($B85,Clientes!$B$2:$B$81,0)),0))</f>
        <v/>
      </c>
      <c r="J85" s="13" t="str">
        <f aca="false">IF($B85="","",SUMIFS($G$2:$G85,$B$2:$B85,$B85)-SUMIFS($H$2:$H85,$B$2:$B85,$B85))</f>
        <v/>
      </c>
      <c r="K85" s="10"/>
      <c r="L85" s="10"/>
      <c r="M85" s="18" t="str">
        <f aca="false">IF(AND($B85&lt;&gt;"",$B85='Estado de cuenta'!$C$4),COUNTIF($B$2:$B85,'Estado de cuenta'!$C$4),"")</f>
        <v/>
      </c>
    </row>
    <row r="86" customFormat="false" ht="15" hidden="false" customHeight="false" outlineLevel="0" collapsed="false">
      <c r="A86" s="17"/>
      <c r="B86" s="10"/>
      <c r="C86" s="10"/>
      <c r="D86" s="10"/>
      <c r="E86" s="10"/>
      <c r="F86" s="12"/>
      <c r="G86" s="13" t="str">
        <f aca="false">IF(OR($B86="",$F86=""),"",IF(OR($C86="Saldo inicial",$C86="Factura",$C86="Nota de débito"),$F86,0))</f>
        <v/>
      </c>
      <c r="H86" s="13" t="str">
        <f aca="false">IF(OR($B86="",$F86=""),"",IF(OR($C86="Cobro",$C86="Nota de crédito"),$F86,0))</f>
        <v/>
      </c>
      <c r="I86" s="16" t="str">
        <f aca="false">IF(OR($A86="",N($G86)=0),"",$A86+IFERROR(INDEX(Clientes!$F$2:$F$81,MATCH($B86,Clientes!$B$2:$B$81,0)),0))</f>
        <v/>
      </c>
      <c r="J86" s="13" t="str">
        <f aca="false">IF($B86="","",SUMIFS($G$2:$G86,$B$2:$B86,$B86)-SUMIFS($H$2:$H86,$B$2:$B86,$B86))</f>
        <v/>
      </c>
      <c r="K86" s="10"/>
      <c r="L86" s="10"/>
      <c r="M86" s="18" t="str">
        <f aca="false">IF(AND($B86&lt;&gt;"",$B86='Estado de cuenta'!$C$4),COUNTIF($B$2:$B86,'Estado de cuenta'!$C$4),"")</f>
        <v/>
      </c>
    </row>
    <row r="87" customFormat="false" ht="15" hidden="false" customHeight="false" outlineLevel="0" collapsed="false">
      <c r="A87" s="17"/>
      <c r="B87" s="10"/>
      <c r="C87" s="10"/>
      <c r="D87" s="10"/>
      <c r="E87" s="10"/>
      <c r="F87" s="12"/>
      <c r="G87" s="13" t="str">
        <f aca="false">IF(OR($B87="",$F87=""),"",IF(OR($C87="Saldo inicial",$C87="Factura",$C87="Nota de débito"),$F87,0))</f>
        <v/>
      </c>
      <c r="H87" s="13" t="str">
        <f aca="false">IF(OR($B87="",$F87=""),"",IF(OR($C87="Cobro",$C87="Nota de crédito"),$F87,0))</f>
        <v/>
      </c>
      <c r="I87" s="16" t="str">
        <f aca="false">IF(OR($A87="",N($G87)=0),"",$A87+IFERROR(INDEX(Clientes!$F$2:$F$81,MATCH($B87,Clientes!$B$2:$B$81,0)),0))</f>
        <v/>
      </c>
      <c r="J87" s="13" t="str">
        <f aca="false">IF($B87="","",SUMIFS($G$2:$G87,$B$2:$B87,$B87)-SUMIFS($H$2:$H87,$B$2:$B87,$B87))</f>
        <v/>
      </c>
      <c r="K87" s="10"/>
      <c r="L87" s="10"/>
      <c r="M87" s="18" t="str">
        <f aca="false">IF(AND($B87&lt;&gt;"",$B87='Estado de cuenta'!$C$4),COUNTIF($B$2:$B87,'Estado de cuenta'!$C$4),"")</f>
        <v/>
      </c>
    </row>
    <row r="88" customFormat="false" ht="15" hidden="false" customHeight="false" outlineLevel="0" collapsed="false">
      <c r="A88" s="17"/>
      <c r="B88" s="10"/>
      <c r="C88" s="10"/>
      <c r="D88" s="10"/>
      <c r="E88" s="10"/>
      <c r="F88" s="12"/>
      <c r="G88" s="13" t="str">
        <f aca="false">IF(OR($B88="",$F88=""),"",IF(OR($C88="Saldo inicial",$C88="Factura",$C88="Nota de débito"),$F88,0))</f>
        <v/>
      </c>
      <c r="H88" s="13" t="str">
        <f aca="false">IF(OR($B88="",$F88=""),"",IF(OR($C88="Cobro",$C88="Nota de crédito"),$F88,0))</f>
        <v/>
      </c>
      <c r="I88" s="16" t="str">
        <f aca="false">IF(OR($A88="",N($G88)=0),"",$A88+IFERROR(INDEX(Clientes!$F$2:$F$81,MATCH($B88,Clientes!$B$2:$B$81,0)),0))</f>
        <v/>
      </c>
      <c r="J88" s="13" t="str">
        <f aca="false">IF($B88="","",SUMIFS($G$2:$G88,$B$2:$B88,$B88)-SUMIFS($H$2:$H88,$B$2:$B88,$B88))</f>
        <v/>
      </c>
      <c r="K88" s="10"/>
      <c r="L88" s="10"/>
      <c r="M88" s="18" t="str">
        <f aca="false">IF(AND($B88&lt;&gt;"",$B88='Estado de cuenta'!$C$4),COUNTIF($B$2:$B88,'Estado de cuenta'!$C$4),"")</f>
        <v/>
      </c>
    </row>
    <row r="89" customFormat="false" ht="15" hidden="false" customHeight="false" outlineLevel="0" collapsed="false">
      <c r="A89" s="17"/>
      <c r="B89" s="10"/>
      <c r="C89" s="10"/>
      <c r="D89" s="10"/>
      <c r="E89" s="10"/>
      <c r="F89" s="12"/>
      <c r="G89" s="13" t="str">
        <f aca="false">IF(OR($B89="",$F89=""),"",IF(OR($C89="Saldo inicial",$C89="Factura",$C89="Nota de débito"),$F89,0))</f>
        <v/>
      </c>
      <c r="H89" s="13" t="str">
        <f aca="false">IF(OR($B89="",$F89=""),"",IF(OR($C89="Cobro",$C89="Nota de crédito"),$F89,0))</f>
        <v/>
      </c>
      <c r="I89" s="16" t="str">
        <f aca="false">IF(OR($A89="",N($G89)=0),"",$A89+IFERROR(INDEX(Clientes!$F$2:$F$81,MATCH($B89,Clientes!$B$2:$B$81,0)),0))</f>
        <v/>
      </c>
      <c r="J89" s="13" t="str">
        <f aca="false">IF($B89="","",SUMIFS($G$2:$G89,$B$2:$B89,$B89)-SUMIFS($H$2:$H89,$B$2:$B89,$B89))</f>
        <v/>
      </c>
      <c r="K89" s="10"/>
      <c r="L89" s="10"/>
      <c r="M89" s="18" t="str">
        <f aca="false">IF(AND($B89&lt;&gt;"",$B89='Estado de cuenta'!$C$4),COUNTIF($B$2:$B89,'Estado de cuenta'!$C$4),"")</f>
        <v/>
      </c>
    </row>
    <row r="90" customFormat="false" ht="15" hidden="false" customHeight="false" outlineLevel="0" collapsed="false">
      <c r="A90" s="17"/>
      <c r="B90" s="10"/>
      <c r="C90" s="10"/>
      <c r="D90" s="10"/>
      <c r="E90" s="10"/>
      <c r="F90" s="12"/>
      <c r="G90" s="13" t="str">
        <f aca="false">IF(OR($B90="",$F90=""),"",IF(OR($C90="Saldo inicial",$C90="Factura",$C90="Nota de débito"),$F90,0))</f>
        <v/>
      </c>
      <c r="H90" s="13" t="str">
        <f aca="false">IF(OR($B90="",$F90=""),"",IF(OR($C90="Cobro",$C90="Nota de crédito"),$F90,0))</f>
        <v/>
      </c>
      <c r="I90" s="16" t="str">
        <f aca="false">IF(OR($A90="",N($G90)=0),"",$A90+IFERROR(INDEX(Clientes!$F$2:$F$81,MATCH($B90,Clientes!$B$2:$B$81,0)),0))</f>
        <v/>
      </c>
      <c r="J90" s="13" t="str">
        <f aca="false">IF($B90="","",SUMIFS($G$2:$G90,$B$2:$B90,$B90)-SUMIFS($H$2:$H90,$B$2:$B90,$B90))</f>
        <v/>
      </c>
      <c r="K90" s="10"/>
      <c r="L90" s="10"/>
      <c r="M90" s="18" t="str">
        <f aca="false">IF(AND($B90&lt;&gt;"",$B90='Estado de cuenta'!$C$4),COUNTIF($B$2:$B90,'Estado de cuenta'!$C$4),"")</f>
        <v/>
      </c>
    </row>
    <row r="91" customFormat="false" ht="15" hidden="false" customHeight="false" outlineLevel="0" collapsed="false">
      <c r="A91" s="17"/>
      <c r="B91" s="10"/>
      <c r="C91" s="10"/>
      <c r="D91" s="10"/>
      <c r="E91" s="10"/>
      <c r="F91" s="12"/>
      <c r="G91" s="13" t="str">
        <f aca="false">IF(OR($B91="",$F91=""),"",IF(OR($C91="Saldo inicial",$C91="Factura",$C91="Nota de débito"),$F91,0))</f>
        <v/>
      </c>
      <c r="H91" s="13" t="str">
        <f aca="false">IF(OR($B91="",$F91=""),"",IF(OR($C91="Cobro",$C91="Nota de crédito"),$F91,0))</f>
        <v/>
      </c>
      <c r="I91" s="16" t="str">
        <f aca="false">IF(OR($A91="",N($G91)=0),"",$A91+IFERROR(INDEX(Clientes!$F$2:$F$81,MATCH($B91,Clientes!$B$2:$B$81,0)),0))</f>
        <v/>
      </c>
      <c r="J91" s="13" t="str">
        <f aca="false">IF($B91="","",SUMIFS($G$2:$G91,$B$2:$B91,$B91)-SUMIFS($H$2:$H91,$B$2:$B91,$B91))</f>
        <v/>
      </c>
      <c r="K91" s="10"/>
      <c r="L91" s="10"/>
      <c r="M91" s="18" t="str">
        <f aca="false">IF(AND($B91&lt;&gt;"",$B91='Estado de cuenta'!$C$4),COUNTIF($B$2:$B91,'Estado de cuenta'!$C$4),"")</f>
        <v/>
      </c>
    </row>
    <row r="92" customFormat="false" ht="15" hidden="false" customHeight="false" outlineLevel="0" collapsed="false">
      <c r="A92" s="17"/>
      <c r="B92" s="10"/>
      <c r="C92" s="10"/>
      <c r="D92" s="10"/>
      <c r="E92" s="10"/>
      <c r="F92" s="12"/>
      <c r="G92" s="13" t="str">
        <f aca="false">IF(OR($B92="",$F92=""),"",IF(OR($C92="Saldo inicial",$C92="Factura",$C92="Nota de débito"),$F92,0))</f>
        <v/>
      </c>
      <c r="H92" s="13" t="str">
        <f aca="false">IF(OR($B92="",$F92=""),"",IF(OR($C92="Cobro",$C92="Nota de crédito"),$F92,0))</f>
        <v/>
      </c>
      <c r="I92" s="16" t="str">
        <f aca="false">IF(OR($A92="",N($G92)=0),"",$A92+IFERROR(INDEX(Clientes!$F$2:$F$81,MATCH($B92,Clientes!$B$2:$B$81,0)),0))</f>
        <v/>
      </c>
      <c r="J92" s="13" t="str">
        <f aca="false">IF($B92="","",SUMIFS($G$2:$G92,$B$2:$B92,$B92)-SUMIFS($H$2:$H92,$B$2:$B92,$B92))</f>
        <v/>
      </c>
      <c r="K92" s="10"/>
      <c r="L92" s="10"/>
      <c r="M92" s="18" t="str">
        <f aca="false">IF(AND($B92&lt;&gt;"",$B92='Estado de cuenta'!$C$4),COUNTIF($B$2:$B92,'Estado de cuenta'!$C$4),"")</f>
        <v/>
      </c>
    </row>
    <row r="93" customFormat="false" ht="15" hidden="false" customHeight="false" outlineLevel="0" collapsed="false">
      <c r="A93" s="17"/>
      <c r="B93" s="10"/>
      <c r="C93" s="10"/>
      <c r="D93" s="10"/>
      <c r="E93" s="10"/>
      <c r="F93" s="12"/>
      <c r="G93" s="13" t="str">
        <f aca="false">IF(OR($B93="",$F93=""),"",IF(OR($C93="Saldo inicial",$C93="Factura",$C93="Nota de débito"),$F93,0))</f>
        <v/>
      </c>
      <c r="H93" s="13" t="str">
        <f aca="false">IF(OR($B93="",$F93=""),"",IF(OR($C93="Cobro",$C93="Nota de crédito"),$F93,0))</f>
        <v/>
      </c>
      <c r="I93" s="16" t="str">
        <f aca="false">IF(OR($A93="",N($G93)=0),"",$A93+IFERROR(INDEX(Clientes!$F$2:$F$81,MATCH($B93,Clientes!$B$2:$B$81,0)),0))</f>
        <v/>
      </c>
      <c r="J93" s="13" t="str">
        <f aca="false">IF($B93="","",SUMIFS($G$2:$G93,$B$2:$B93,$B93)-SUMIFS($H$2:$H93,$B$2:$B93,$B93))</f>
        <v/>
      </c>
      <c r="K93" s="10"/>
      <c r="L93" s="10"/>
      <c r="M93" s="18" t="str">
        <f aca="false">IF(AND($B93&lt;&gt;"",$B93='Estado de cuenta'!$C$4),COUNTIF($B$2:$B93,'Estado de cuenta'!$C$4),"")</f>
        <v/>
      </c>
    </row>
    <row r="94" customFormat="false" ht="15" hidden="false" customHeight="false" outlineLevel="0" collapsed="false">
      <c r="A94" s="17"/>
      <c r="B94" s="10"/>
      <c r="C94" s="10"/>
      <c r="D94" s="10"/>
      <c r="E94" s="10"/>
      <c r="F94" s="12"/>
      <c r="G94" s="13" t="str">
        <f aca="false">IF(OR($B94="",$F94=""),"",IF(OR($C94="Saldo inicial",$C94="Factura",$C94="Nota de débito"),$F94,0))</f>
        <v/>
      </c>
      <c r="H94" s="13" t="str">
        <f aca="false">IF(OR($B94="",$F94=""),"",IF(OR($C94="Cobro",$C94="Nota de crédito"),$F94,0))</f>
        <v/>
      </c>
      <c r="I94" s="16" t="str">
        <f aca="false">IF(OR($A94="",N($G94)=0),"",$A94+IFERROR(INDEX(Clientes!$F$2:$F$81,MATCH($B94,Clientes!$B$2:$B$81,0)),0))</f>
        <v/>
      </c>
      <c r="J94" s="13" t="str">
        <f aca="false">IF($B94="","",SUMIFS($G$2:$G94,$B$2:$B94,$B94)-SUMIFS($H$2:$H94,$B$2:$B94,$B94))</f>
        <v/>
      </c>
      <c r="K94" s="10"/>
      <c r="L94" s="10"/>
      <c r="M94" s="18" t="str">
        <f aca="false">IF(AND($B94&lt;&gt;"",$B94='Estado de cuenta'!$C$4),COUNTIF($B$2:$B94,'Estado de cuenta'!$C$4),"")</f>
        <v/>
      </c>
    </row>
    <row r="95" customFormat="false" ht="15" hidden="false" customHeight="false" outlineLevel="0" collapsed="false">
      <c r="A95" s="17"/>
      <c r="B95" s="10"/>
      <c r="C95" s="10"/>
      <c r="D95" s="10"/>
      <c r="E95" s="10"/>
      <c r="F95" s="12"/>
      <c r="G95" s="13" t="str">
        <f aca="false">IF(OR($B95="",$F95=""),"",IF(OR($C95="Saldo inicial",$C95="Factura",$C95="Nota de débito"),$F95,0))</f>
        <v/>
      </c>
      <c r="H95" s="13" t="str">
        <f aca="false">IF(OR($B95="",$F95=""),"",IF(OR($C95="Cobro",$C95="Nota de crédito"),$F95,0))</f>
        <v/>
      </c>
      <c r="I95" s="16" t="str">
        <f aca="false">IF(OR($A95="",N($G95)=0),"",$A95+IFERROR(INDEX(Clientes!$F$2:$F$81,MATCH($B95,Clientes!$B$2:$B$81,0)),0))</f>
        <v/>
      </c>
      <c r="J95" s="13" t="str">
        <f aca="false">IF($B95="","",SUMIFS($G$2:$G95,$B$2:$B95,$B95)-SUMIFS($H$2:$H95,$B$2:$B95,$B95))</f>
        <v/>
      </c>
      <c r="K95" s="10"/>
      <c r="L95" s="10"/>
      <c r="M95" s="18" t="str">
        <f aca="false">IF(AND($B95&lt;&gt;"",$B95='Estado de cuenta'!$C$4),COUNTIF($B$2:$B95,'Estado de cuenta'!$C$4),"")</f>
        <v/>
      </c>
    </row>
    <row r="96" customFormat="false" ht="15" hidden="false" customHeight="false" outlineLevel="0" collapsed="false">
      <c r="A96" s="17"/>
      <c r="B96" s="10"/>
      <c r="C96" s="10"/>
      <c r="D96" s="10"/>
      <c r="E96" s="10"/>
      <c r="F96" s="12"/>
      <c r="G96" s="13" t="str">
        <f aca="false">IF(OR($B96="",$F96=""),"",IF(OR($C96="Saldo inicial",$C96="Factura",$C96="Nota de débito"),$F96,0))</f>
        <v/>
      </c>
      <c r="H96" s="13" t="str">
        <f aca="false">IF(OR($B96="",$F96=""),"",IF(OR($C96="Cobro",$C96="Nota de crédito"),$F96,0))</f>
        <v/>
      </c>
      <c r="I96" s="16" t="str">
        <f aca="false">IF(OR($A96="",N($G96)=0),"",$A96+IFERROR(INDEX(Clientes!$F$2:$F$81,MATCH($B96,Clientes!$B$2:$B$81,0)),0))</f>
        <v/>
      </c>
      <c r="J96" s="13" t="str">
        <f aca="false">IF($B96="","",SUMIFS($G$2:$G96,$B$2:$B96,$B96)-SUMIFS($H$2:$H96,$B$2:$B96,$B96))</f>
        <v/>
      </c>
      <c r="K96" s="10"/>
      <c r="L96" s="10"/>
      <c r="M96" s="18" t="str">
        <f aca="false">IF(AND($B96&lt;&gt;"",$B96='Estado de cuenta'!$C$4),COUNTIF($B$2:$B96,'Estado de cuenta'!$C$4),"")</f>
        <v/>
      </c>
    </row>
    <row r="97" customFormat="false" ht="15" hidden="false" customHeight="false" outlineLevel="0" collapsed="false">
      <c r="A97" s="17"/>
      <c r="B97" s="10"/>
      <c r="C97" s="10"/>
      <c r="D97" s="10"/>
      <c r="E97" s="10"/>
      <c r="F97" s="12"/>
      <c r="G97" s="13" t="str">
        <f aca="false">IF(OR($B97="",$F97=""),"",IF(OR($C97="Saldo inicial",$C97="Factura",$C97="Nota de débito"),$F97,0))</f>
        <v/>
      </c>
      <c r="H97" s="13" t="str">
        <f aca="false">IF(OR($B97="",$F97=""),"",IF(OR($C97="Cobro",$C97="Nota de crédito"),$F97,0))</f>
        <v/>
      </c>
      <c r="I97" s="16" t="str">
        <f aca="false">IF(OR($A97="",N($G97)=0),"",$A97+IFERROR(INDEX(Clientes!$F$2:$F$81,MATCH($B97,Clientes!$B$2:$B$81,0)),0))</f>
        <v/>
      </c>
      <c r="J97" s="13" t="str">
        <f aca="false">IF($B97="","",SUMIFS($G$2:$G97,$B$2:$B97,$B97)-SUMIFS($H$2:$H97,$B$2:$B97,$B97))</f>
        <v/>
      </c>
      <c r="K97" s="10"/>
      <c r="L97" s="10"/>
      <c r="M97" s="18" t="str">
        <f aca="false">IF(AND($B97&lt;&gt;"",$B97='Estado de cuenta'!$C$4),COUNTIF($B$2:$B97,'Estado de cuenta'!$C$4),"")</f>
        <v/>
      </c>
    </row>
    <row r="98" customFormat="false" ht="15" hidden="false" customHeight="false" outlineLevel="0" collapsed="false">
      <c r="A98" s="17"/>
      <c r="B98" s="10"/>
      <c r="C98" s="10"/>
      <c r="D98" s="10"/>
      <c r="E98" s="10"/>
      <c r="F98" s="12"/>
      <c r="G98" s="13" t="str">
        <f aca="false">IF(OR($B98="",$F98=""),"",IF(OR($C98="Saldo inicial",$C98="Factura",$C98="Nota de débito"),$F98,0))</f>
        <v/>
      </c>
      <c r="H98" s="13" t="str">
        <f aca="false">IF(OR($B98="",$F98=""),"",IF(OR($C98="Cobro",$C98="Nota de crédito"),$F98,0))</f>
        <v/>
      </c>
      <c r="I98" s="16" t="str">
        <f aca="false">IF(OR($A98="",N($G98)=0),"",$A98+IFERROR(INDEX(Clientes!$F$2:$F$81,MATCH($B98,Clientes!$B$2:$B$81,0)),0))</f>
        <v/>
      </c>
      <c r="J98" s="13" t="str">
        <f aca="false">IF($B98="","",SUMIFS($G$2:$G98,$B$2:$B98,$B98)-SUMIFS($H$2:$H98,$B$2:$B98,$B98))</f>
        <v/>
      </c>
      <c r="K98" s="10"/>
      <c r="L98" s="10"/>
      <c r="M98" s="18" t="str">
        <f aca="false">IF(AND($B98&lt;&gt;"",$B98='Estado de cuenta'!$C$4),COUNTIF($B$2:$B98,'Estado de cuenta'!$C$4),"")</f>
        <v/>
      </c>
    </row>
    <row r="99" customFormat="false" ht="15" hidden="false" customHeight="false" outlineLevel="0" collapsed="false">
      <c r="A99" s="17"/>
      <c r="B99" s="10"/>
      <c r="C99" s="10"/>
      <c r="D99" s="10"/>
      <c r="E99" s="10"/>
      <c r="F99" s="12"/>
      <c r="G99" s="13" t="str">
        <f aca="false">IF(OR($B99="",$F99=""),"",IF(OR($C99="Saldo inicial",$C99="Factura",$C99="Nota de débito"),$F99,0))</f>
        <v/>
      </c>
      <c r="H99" s="13" t="str">
        <f aca="false">IF(OR($B99="",$F99=""),"",IF(OR($C99="Cobro",$C99="Nota de crédito"),$F99,0))</f>
        <v/>
      </c>
      <c r="I99" s="16" t="str">
        <f aca="false">IF(OR($A99="",N($G99)=0),"",$A99+IFERROR(INDEX(Clientes!$F$2:$F$81,MATCH($B99,Clientes!$B$2:$B$81,0)),0))</f>
        <v/>
      </c>
      <c r="J99" s="13" t="str">
        <f aca="false">IF($B99="","",SUMIFS($G$2:$G99,$B$2:$B99,$B99)-SUMIFS($H$2:$H99,$B$2:$B99,$B99))</f>
        <v/>
      </c>
      <c r="K99" s="10"/>
      <c r="L99" s="10"/>
      <c r="M99" s="18" t="str">
        <f aca="false">IF(AND($B99&lt;&gt;"",$B99='Estado de cuenta'!$C$4),COUNTIF($B$2:$B99,'Estado de cuenta'!$C$4),"")</f>
        <v/>
      </c>
    </row>
    <row r="100" customFormat="false" ht="15" hidden="false" customHeight="false" outlineLevel="0" collapsed="false">
      <c r="A100" s="17"/>
      <c r="B100" s="10"/>
      <c r="C100" s="10"/>
      <c r="D100" s="10"/>
      <c r="E100" s="10"/>
      <c r="F100" s="12"/>
      <c r="G100" s="13" t="str">
        <f aca="false">IF(OR($B100="",$F100=""),"",IF(OR($C100="Saldo inicial",$C100="Factura",$C100="Nota de débito"),$F100,0))</f>
        <v/>
      </c>
      <c r="H100" s="13" t="str">
        <f aca="false">IF(OR($B100="",$F100=""),"",IF(OR($C100="Cobro",$C100="Nota de crédito"),$F100,0))</f>
        <v/>
      </c>
      <c r="I100" s="16" t="str">
        <f aca="false">IF(OR($A100="",N($G100)=0),"",$A100+IFERROR(INDEX(Clientes!$F$2:$F$81,MATCH($B100,Clientes!$B$2:$B$81,0)),0))</f>
        <v/>
      </c>
      <c r="J100" s="13" t="str">
        <f aca="false">IF($B100="","",SUMIFS($G$2:$G100,$B$2:$B100,$B100)-SUMIFS($H$2:$H100,$B$2:$B100,$B100))</f>
        <v/>
      </c>
      <c r="K100" s="10"/>
      <c r="L100" s="10"/>
      <c r="M100" s="18" t="str">
        <f aca="false">IF(AND($B100&lt;&gt;"",$B100='Estado de cuenta'!$C$4),COUNTIF($B$2:$B100,'Estado de cuenta'!$C$4),"")</f>
        <v/>
      </c>
    </row>
    <row r="101" customFormat="false" ht="15" hidden="false" customHeight="false" outlineLevel="0" collapsed="false">
      <c r="A101" s="17"/>
      <c r="B101" s="10"/>
      <c r="C101" s="10"/>
      <c r="D101" s="10"/>
      <c r="E101" s="10"/>
      <c r="F101" s="12"/>
      <c r="G101" s="13" t="str">
        <f aca="false">IF(OR($B101="",$F101=""),"",IF(OR($C101="Saldo inicial",$C101="Factura",$C101="Nota de débito"),$F101,0))</f>
        <v/>
      </c>
      <c r="H101" s="13" t="str">
        <f aca="false">IF(OR($B101="",$F101=""),"",IF(OR($C101="Cobro",$C101="Nota de crédito"),$F101,0))</f>
        <v/>
      </c>
      <c r="I101" s="16" t="str">
        <f aca="false">IF(OR($A101="",N($G101)=0),"",$A101+IFERROR(INDEX(Clientes!$F$2:$F$81,MATCH($B101,Clientes!$B$2:$B$81,0)),0))</f>
        <v/>
      </c>
      <c r="J101" s="13" t="str">
        <f aca="false">IF($B101="","",SUMIFS($G$2:$G101,$B$2:$B101,$B101)-SUMIFS($H$2:$H101,$B$2:$B101,$B101))</f>
        <v/>
      </c>
      <c r="K101" s="10"/>
      <c r="L101" s="10"/>
      <c r="M101" s="18" t="str">
        <f aca="false">IF(AND($B101&lt;&gt;"",$B101='Estado de cuenta'!$C$4),COUNTIF($B$2:$B101,'Estado de cuenta'!$C$4),"")</f>
        <v/>
      </c>
    </row>
    <row r="102" customFormat="false" ht="15" hidden="false" customHeight="false" outlineLevel="0" collapsed="false">
      <c r="A102" s="17"/>
      <c r="B102" s="10"/>
      <c r="C102" s="10"/>
      <c r="D102" s="10"/>
      <c r="E102" s="10"/>
      <c r="F102" s="12"/>
      <c r="G102" s="13" t="str">
        <f aca="false">IF(OR($B102="",$F102=""),"",IF(OR($C102="Saldo inicial",$C102="Factura",$C102="Nota de débito"),$F102,0))</f>
        <v/>
      </c>
      <c r="H102" s="13" t="str">
        <f aca="false">IF(OR($B102="",$F102=""),"",IF(OR($C102="Cobro",$C102="Nota de crédito"),$F102,0))</f>
        <v/>
      </c>
      <c r="I102" s="16" t="str">
        <f aca="false">IF(OR($A102="",N($G102)=0),"",$A102+IFERROR(INDEX(Clientes!$F$2:$F$81,MATCH($B102,Clientes!$B$2:$B$81,0)),0))</f>
        <v/>
      </c>
      <c r="J102" s="13" t="str">
        <f aca="false">IF($B102="","",SUMIFS($G$2:$G102,$B$2:$B102,$B102)-SUMIFS($H$2:$H102,$B$2:$B102,$B102))</f>
        <v/>
      </c>
      <c r="K102" s="10"/>
      <c r="L102" s="10"/>
      <c r="M102" s="18" t="str">
        <f aca="false">IF(AND($B102&lt;&gt;"",$B102='Estado de cuenta'!$C$4),COUNTIF($B$2:$B102,'Estado de cuenta'!$C$4),"")</f>
        <v/>
      </c>
    </row>
    <row r="103" customFormat="false" ht="15" hidden="false" customHeight="false" outlineLevel="0" collapsed="false">
      <c r="A103" s="17"/>
      <c r="B103" s="10"/>
      <c r="C103" s="10"/>
      <c r="D103" s="10"/>
      <c r="E103" s="10"/>
      <c r="F103" s="12"/>
      <c r="G103" s="13" t="str">
        <f aca="false">IF(OR($B103="",$F103=""),"",IF(OR($C103="Saldo inicial",$C103="Factura",$C103="Nota de débito"),$F103,0))</f>
        <v/>
      </c>
      <c r="H103" s="13" t="str">
        <f aca="false">IF(OR($B103="",$F103=""),"",IF(OR($C103="Cobro",$C103="Nota de crédito"),$F103,0))</f>
        <v/>
      </c>
      <c r="I103" s="16" t="str">
        <f aca="false">IF(OR($A103="",N($G103)=0),"",$A103+IFERROR(INDEX(Clientes!$F$2:$F$81,MATCH($B103,Clientes!$B$2:$B$81,0)),0))</f>
        <v/>
      </c>
      <c r="J103" s="13" t="str">
        <f aca="false">IF($B103="","",SUMIFS($G$2:$G103,$B$2:$B103,$B103)-SUMIFS($H$2:$H103,$B$2:$B103,$B103))</f>
        <v/>
      </c>
      <c r="K103" s="10"/>
      <c r="L103" s="10"/>
      <c r="M103" s="18" t="str">
        <f aca="false">IF(AND($B103&lt;&gt;"",$B103='Estado de cuenta'!$C$4),COUNTIF($B$2:$B103,'Estado de cuenta'!$C$4),"")</f>
        <v/>
      </c>
    </row>
    <row r="104" customFormat="false" ht="15" hidden="false" customHeight="false" outlineLevel="0" collapsed="false">
      <c r="A104" s="17"/>
      <c r="B104" s="10"/>
      <c r="C104" s="10"/>
      <c r="D104" s="10"/>
      <c r="E104" s="10"/>
      <c r="F104" s="12"/>
      <c r="G104" s="13" t="str">
        <f aca="false">IF(OR($B104="",$F104=""),"",IF(OR($C104="Saldo inicial",$C104="Factura",$C104="Nota de débito"),$F104,0))</f>
        <v/>
      </c>
      <c r="H104" s="13" t="str">
        <f aca="false">IF(OR($B104="",$F104=""),"",IF(OR($C104="Cobro",$C104="Nota de crédito"),$F104,0))</f>
        <v/>
      </c>
      <c r="I104" s="16" t="str">
        <f aca="false">IF(OR($A104="",N($G104)=0),"",$A104+IFERROR(INDEX(Clientes!$F$2:$F$81,MATCH($B104,Clientes!$B$2:$B$81,0)),0))</f>
        <v/>
      </c>
      <c r="J104" s="13" t="str">
        <f aca="false">IF($B104="","",SUMIFS($G$2:$G104,$B$2:$B104,$B104)-SUMIFS($H$2:$H104,$B$2:$B104,$B104))</f>
        <v/>
      </c>
      <c r="K104" s="10"/>
      <c r="L104" s="10"/>
      <c r="M104" s="18" t="str">
        <f aca="false">IF(AND($B104&lt;&gt;"",$B104='Estado de cuenta'!$C$4),COUNTIF($B$2:$B104,'Estado de cuenta'!$C$4),"")</f>
        <v/>
      </c>
    </row>
    <row r="105" customFormat="false" ht="15" hidden="false" customHeight="false" outlineLevel="0" collapsed="false">
      <c r="A105" s="17"/>
      <c r="B105" s="10"/>
      <c r="C105" s="10"/>
      <c r="D105" s="10"/>
      <c r="E105" s="10"/>
      <c r="F105" s="12"/>
      <c r="G105" s="13" t="str">
        <f aca="false">IF(OR($B105="",$F105=""),"",IF(OR($C105="Saldo inicial",$C105="Factura",$C105="Nota de débito"),$F105,0))</f>
        <v/>
      </c>
      <c r="H105" s="13" t="str">
        <f aca="false">IF(OR($B105="",$F105=""),"",IF(OR($C105="Cobro",$C105="Nota de crédito"),$F105,0))</f>
        <v/>
      </c>
      <c r="I105" s="16" t="str">
        <f aca="false">IF(OR($A105="",N($G105)=0),"",$A105+IFERROR(INDEX(Clientes!$F$2:$F$81,MATCH($B105,Clientes!$B$2:$B$81,0)),0))</f>
        <v/>
      </c>
      <c r="J105" s="13" t="str">
        <f aca="false">IF($B105="","",SUMIFS($G$2:$G105,$B$2:$B105,$B105)-SUMIFS($H$2:$H105,$B$2:$B105,$B105))</f>
        <v/>
      </c>
      <c r="K105" s="10"/>
      <c r="L105" s="10"/>
      <c r="M105" s="18" t="str">
        <f aca="false">IF(AND($B105&lt;&gt;"",$B105='Estado de cuenta'!$C$4),COUNTIF($B$2:$B105,'Estado de cuenta'!$C$4),"")</f>
        <v/>
      </c>
    </row>
    <row r="106" customFormat="false" ht="15" hidden="false" customHeight="false" outlineLevel="0" collapsed="false">
      <c r="A106" s="17"/>
      <c r="B106" s="10"/>
      <c r="C106" s="10"/>
      <c r="D106" s="10"/>
      <c r="E106" s="10"/>
      <c r="F106" s="12"/>
      <c r="G106" s="13" t="str">
        <f aca="false">IF(OR($B106="",$F106=""),"",IF(OR($C106="Saldo inicial",$C106="Factura",$C106="Nota de débito"),$F106,0))</f>
        <v/>
      </c>
      <c r="H106" s="13" t="str">
        <f aca="false">IF(OR($B106="",$F106=""),"",IF(OR($C106="Cobro",$C106="Nota de crédito"),$F106,0))</f>
        <v/>
      </c>
      <c r="I106" s="16" t="str">
        <f aca="false">IF(OR($A106="",N($G106)=0),"",$A106+IFERROR(INDEX(Clientes!$F$2:$F$81,MATCH($B106,Clientes!$B$2:$B$81,0)),0))</f>
        <v/>
      </c>
      <c r="J106" s="13" t="str">
        <f aca="false">IF($B106="","",SUMIFS($G$2:$G106,$B$2:$B106,$B106)-SUMIFS($H$2:$H106,$B$2:$B106,$B106))</f>
        <v/>
      </c>
      <c r="K106" s="10"/>
      <c r="L106" s="10"/>
      <c r="M106" s="18" t="str">
        <f aca="false">IF(AND($B106&lt;&gt;"",$B106='Estado de cuenta'!$C$4),COUNTIF($B$2:$B106,'Estado de cuenta'!$C$4),"")</f>
        <v/>
      </c>
    </row>
    <row r="107" customFormat="false" ht="15" hidden="false" customHeight="false" outlineLevel="0" collapsed="false">
      <c r="A107" s="17"/>
      <c r="B107" s="10"/>
      <c r="C107" s="10"/>
      <c r="D107" s="10"/>
      <c r="E107" s="10"/>
      <c r="F107" s="12"/>
      <c r="G107" s="13" t="str">
        <f aca="false">IF(OR($B107="",$F107=""),"",IF(OR($C107="Saldo inicial",$C107="Factura",$C107="Nota de débito"),$F107,0))</f>
        <v/>
      </c>
      <c r="H107" s="13" t="str">
        <f aca="false">IF(OR($B107="",$F107=""),"",IF(OR($C107="Cobro",$C107="Nota de crédito"),$F107,0))</f>
        <v/>
      </c>
      <c r="I107" s="16" t="str">
        <f aca="false">IF(OR($A107="",N($G107)=0),"",$A107+IFERROR(INDEX(Clientes!$F$2:$F$81,MATCH($B107,Clientes!$B$2:$B$81,0)),0))</f>
        <v/>
      </c>
      <c r="J107" s="13" t="str">
        <f aca="false">IF($B107="","",SUMIFS($G$2:$G107,$B$2:$B107,$B107)-SUMIFS($H$2:$H107,$B$2:$B107,$B107))</f>
        <v/>
      </c>
      <c r="K107" s="10"/>
      <c r="L107" s="10"/>
      <c r="M107" s="18" t="str">
        <f aca="false">IF(AND($B107&lt;&gt;"",$B107='Estado de cuenta'!$C$4),COUNTIF($B$2:$B107,'Estado de cuenta'!$C$4),"")</f>
        <v/>
      </c>
    </row>
    <row r="108" customFormat="false" ht="15" hidden="false" customHeight="false" outlineLevel="0" collapsed="false">
      <c r="A108" s="17"/>
      <c r="B108" s="10"/>
      <c r="C108" s="10"/>
      <c r="D108" s="10"/>
      <c r="E108" s="10"/>
      <c r="F108" s="12"/>
      <c r="G108" s="13" t="str">
        <f aca="false">IF(OR($B108="",$F108=""),"",IF(OR($C108="Saldo inicial",$C108="Factura",$C108="Nota de débito"),$F108,0))</f>
        <v/>
      </c>
      <c r="H108" s="13" t="str">
        <f aca="false">IF(OR($B108="",$F108=""),"",IF(OR($C108="Cobro",$C108="Nota de crédito"),$F108,0))</f>
        <v/>
      </c>
      <c r="I108" s="16" t="str">
        <f aca="false">IF(OR($A108="",N($G108)=0),"",$A108+IFERROR(INDEX(Clientes!$F$2:$F$81,MATCH($B108,Clientes!$B$2:$B$81,0)),0))</f>
        <v/>
      </c>
      <c r="J108" s="13" t="str">
        <f aca="false">IF($B108="","",SUMIFS($G$2:$G108,$B$2:$B108,$B108)-SUMIFS($H$2:$H108,$B$2:$B108,$B108))</f>
        <v/>
      </c>
      <c r="K108" s="10"/>
      <c r="L108" s="10"/>
      <c r="M108" s="18" t="str">
        <f aca="false">IF(AND($B108&lt;&gt;"",$B108='Estado de cuenta'!$C$4),COUNTIF($B$2:$B108,'Estado de cuenta'!$C$4),"")</f>
        <v/>
      </c>
    </row>
    <row r="109" customFormat="false" ht="15" hidden="false" customHeight="false" outlineLevel="0" collapsed="false">
      <c r="A109" s="17"/>
      <c r="B109" s="10"/>
      <c r="C109" s="10"/>
      <c r="D109" s="10"/>
      <c r="E109" s="10"/>
      <c r="F109" s="12"/>
      <c r="G109" s="13" t="str">
        <f aca="false">IF(OR($B109="",$F109=""),"",IF(OR($C109="Saldo inicial",$C109="Factura",$C109="Nota de débito"),$F109,0))</f>
        <v/>
      </c>
      <c r="H109" s="13" t="str">
        <f aca="false">IF(OR($B109="",$F109=""),"",IF(OR($C109="Cobro",$C109="Nota de crédito"),$F109,0))</f>
        <v/>
      </c>
      <c r="I109" s="16" t="str">
        <f aca="false">IF(OR($A109="",N($G109)=0),"",$A109+IFERROR(INDEX(Clientes!$F$2:$F$81,MATCH($B109,Clientes!$B$2:$B$81,0)),0))</f>
        <v/>
      </c>
      <c r="J109" s="13" t="str">
        <f aca="false">IF($B109="","",SUMIFS($G$2:$G109,$B$2:$B109,$B109)-SUMIFS($H$2:$H109,$B$2:$B109,$B109))</f>
        <v/>
      </c>
      <c r="K109" s="10"/>
      <c r="L109" s="10"/>
      <c r="M109" s="18" t="str">
        <f aca="false">IF(AND($B109&lt;&gt;"",$B109='Estado de cuenta'!$C$4),COUNTIF($B$2:$B109,'Estado de cuenta'!$C$4),"")</f>
        <v/>
      </c>
    </row>
    <row r="110" customFormat="false" ht="15" hidden="false" customHeight="false" outlineLevel="0" collapsed="false">
      <c r="A110" s="17"/>
      <c r="B110" s="10"/>
      <c r="C110" s="10"/>
      <c r="D110" s="10"/>
      <c r="E110" s="10"/>
      <c r="F110" s="12"/>
      <c r="G110" s="13" t="str">
        <f aca="false">IF(OR($B110="",$F110=""),"",IF(OR($C110="Saldo inicial",$C110="Factura",$C110="Nota de débito"),$F110,0))</f>
        <v/>
      </c>
      <c r="H110" s="13" t="str">
        <f aca="false">IF(OR($B110="",$F110=""),"",IF(OR($C110="Cobro",$C110="Nota de crédito"),$F110,0))</f>
        <v/>
      </c>
      <c r="I110" s="16" t="str">
        <f aca="false">IF(OR($A110="",N($G110)=0),"",$A110+IFERROR(INDEX(Clientes!$F$2:$F$81,MATCH($B110,Clientes!$B$2:$B$81,0)),0))</f>
        <v/>
      </c>
      <c r="J110" s="13" t="str">
        <f aca="false">IF($B110="","",SUMIFS($G$2:$G110,$B$2:$B110,$B110)-SUMIFS($H$2:$H110,$B$2:$B110,$B110))</f>
        <v/>
      </c>
      <c r="K110" s="10"/>
      <c r="L110" s="10"/>
      <c r="M110" s="18" t="str">
        <f aca="false">IF(AND($B110&lt;&gt;"",$B110='Estado de cuenta'!$C$4),COUNTIF($B$2:$B110,'Estado de cuenta'!$C$4),"")</f>
        <v/>
      </c>
    </row>
    <row r="111" customFormat="false" ht="15" hidden="false" customHeight="false" outlineLevel="0" collapsed="false">
      <c r="A111" s="17"/>
      <c r="B111" s="10"/>
      <c r="C111" s="10"/>
      <c r="D111" s="10"/>
      <c r="E111" s="10"/>
      <c r="F111" s="12"/>
      <c r="G111" s="13" t="str">
        <f aca="false">IF(OR($B111="",$F111=""),"",IF(OR($C111="Saldo inicial",$C111="Factura",$C111="Nota de débito"),$F111,0))</f>
        <v/>
      </c>
      <c r="H111" s="13" t="str">
        <f aca="false">IF(OR($B111="",$F111=""),"",IF(OR($C111="Cobro",$C111="Nota de crédito"),$F111,0))</f>
        <v/>
      </c>
      <c r="I111" s="16" t="str">
        <f aca="false">IF(OR($A111="",N($G111)=0),"",$A111+IFERROR(INDEX(Clientes!$F$2:$F$81,MATCH($B111,Clientes!$B$2:$B$81,0)),0))</f>
        <v/>
      </c>
      <c r="J111" s="13" t="str">
        <f aca="false">IF($B111="","",SUMIFS($G$2:$G111,$B$2:$B111,$B111)-SUMIFS($H$2:$H111,$B$2:$B111,$B111))</f>
        <v/>
      </c>
      <c r="K111" s="10"/>
      <c r="L111" s="10"/>
      <c r="M111" s="18" t="str">
        <f aca="false">IF(AND($B111&lt;&gt;"",$B111='Estado de cuenta'!$C$4),COUNTIF($B$2:$B111,'Estado de cuenta'!$C$4),"")</f>
        <v/>
      </c>
    </row>
    <row r="112" customFormat="false" ht="15" hidden="false" customHeight="false" outlineLevel="0" collapsed="false">
      <c r="A112" s="17"/>
      <c r="B112" s="10"/>
      <c r="C112" s="10"/>
      <c r="D112" s="10"/>
      <c r="E112" s="10"/>
      <c r="F112" s="12"/>
      <c r="G112" s="13" t="str">
        <f aca="false">IF(OR($B112="",$F112=""),"",IF(OR($C112="Saldo inicial",$C112="Factura",$C112="Nota de débito"),$F112,0))</f>
        <v/>
      </c>
      <c r="H112" s="13" t="str">
        <f aca="false">IF(OR($B112="",$F112=""),"",IF(OR($C112="Cobro",$C112="Nota de crédito"),$F112,0))</f>
        <v/>
      </c>
      <c r="I112" s="16" t="str">
        <f aca="false">IF(OR($A112="",N($G112)=0),"",$A112+IFERROR(INDEX(Clientes!$F$2:$F$81,MATCH($B112,Clientes!$B$2:$B$81,0)),0))</f>
        <v/>
      </c>
      <c r="J112" s="13" t="str">
        <f aca="false">IF($B112="","",SUMIFS($G$2:$G112,$B$2:$B112,$B112)-SUMIFS($H$2:$H112,$B$2:$B112,$B112))</f>
        <v/>
      </c>
      <c r="K112" s="10"/>
      <c r="L112" s="10"/>
      <c r="M112" s="18" t="str">
        <f aca="false">IF(AND($B112&lt;&gt;"",$B112='Estado de cuenta'!$C$4),COUNTIF($B$2:$B112,'Estado de cuenta'!$C$4),"")</f>
        <v/>
      </c>
    </row>
    <row r="113" customFormat="false" ht="15" hidden="false" customHeight="false" outlineLevel="0" collapsed="false">
      <c r="A113" s="17"/>
      <c r="B113" s="10"/>
      <c r="C113" s="10"/>
      <c r="D113" s="10"/>
      <c r="E113" s="10"/>
      <c r="F113" s="12"/>
      <c r="G113" s="13" t="str">
        <f aca="false">IF(OR($B113="",$F113=""),"",IF(OR($C113="Saldo inicial",$C113="Factura",$C113="Nota de débito"),$F113,0))</f>
        <v/>
      </c>
      <c r="H113" s="13" t="str">
        <f aca="false">IF(OR($B113="",$F113=""),"",IF(OR($C113="Cobro",$C113="Nota de crédito"),$F113,0))</f>
        <v/>
      </c>
      <c r="I113" s="16" t="str">
        <f aca="false">IF(OR($A113="",N($G113)=0),"",$A113+IFERROR(INDEX(Clientes!$F$2:$F$81,MATCH($B113,Clientes!$B$2:$B$81,0)),0))</f>
        <v/>
      </c>
      <c r="J113" s="13" t="str">
        <f aca="false">IF($B113="","",SUMIFS($G$2:$G113,$B$2:$B113,$B113)-SUMIFS($H$2:$H113,$B$2:$B113,$B113))</f>
        <v/>
      </c>
      <c r="K113" s="10"/>
      <c r="L113" s="10"/>
      <c r="M113" s="18" t="str">
        <f aca="false">IF(AND($B113&lt;&gt;"",$B113='Estado de cuenta'!$C$4),COUNTIF($B$2:$B113,'Estado de cuenta'!$C$4),"")</f>
        <v/>
      </c>
    </row>
    <row r="114" customFormat="false" ht="15" hidden="false" customHeight="false" outlineLevel="0" collapsed="false">
      <c r="A114" s="17"/>
      <c r="B114" s="10"/>
      <c r="C114" s="10"/>
      <c r="D114" s="10"/>
      <c r="E114" s="10"/>
      <c r="F114" s="12"/>
      <c r="G114" s="13" t="str">
        <f aca="false">IF(OR($B114="",$F114=""),"",IF(OR($C114="Saldo inicial",$C114="Factura",$C114="Nota de débito"),$F114,0))</f>
        <v/>
      </c>
      <c r="H114" s="13" t="str">
        <f aca="false">IF(OR($B114="",$F114=""),"",IF(OR($C114="Cobro",$C114="Nota de crédito"),$F114,0))</f>
        <v/>
      </c>
      <c r="I114" s="16" t="str">
        <f aca="false">IF(OR($A114="",N($G114)=0),"",$A114+IFERROR(INDEX(Clientes!$F$2:$F$81,MATCH($B114,Clientes!$B$2:$B$81,0)),0))</f>
        <v/>
      </c>
      <c r="J114" s="13" t="str">
        <f aca="false">IF($B114="","",SUMIFS($G$2:$G114,$B$2:$B114,$B114)-SUMIFS($H$2:$H114,$B$2:$B114,$B114))</f>
        <v/>
      </c>
      <c r="K114" s="10"/>
      <c r="L114" s="10"/>
      <c r="M114" s="18" t="str">
        <f aca="false">IF(AND($B114&lt;&gt;"",$B114='Estado de cuenta'!$C$4),COUNTIF($B$2:$B114,'Estado de cuenta'!$C$4),"")</f>
        <v/>
      </c>
    </row>
    <row r="115" customFormat="false" ht="15" hidden="false" customHeight="false" outlineLevel="0" collapsed="false">
      <c r="A115" s="17"/>
      <c r="B115" s="10"/>
      <c r="C115" s="10"/>
      <c r="D115" s="10"/>
      <c r="E115" s="10"/>
      <c r="F115" s="12"/>
      <c r="G115" s="13" t="str">
        <f aca="false">IF(OR($B115="",$F115=""),"",IF(OR($C115="Saldo inicial",$C115="Factura",$C115="Nota de débito"),$F115,0))</f>
        <v/>
      </c>
      <c r="H115" s="13" t="str">
        <f aca="false">IF(OR($B115="",$F115=""),"",IF(OR($C115="Cobro",$C115="Nota de crédito"),$F115,0))</f>
        <v/>
      </c>
      <c r="I115" s="16" t="str">
        <f aca="false">IF(OR($A115="",N($G115)=0),"",$A115+IFERROR(INDEX(Clientes!$F$2:$F$81,MATCH($B115,Clientes!$B$2:$B$81,0)),0))</f>
        <v/>
      </c>
      <c r="J115" s="13" t="str">
        <f aca="false">IF($B115="","",SUMIFS($G$2:$G115,$B$2:$B115,$B115)-SUMIFS($H$2:$H115,$B$2:$B115,$B115))</f>
        <v/>
      </c>
      <c r="K115" s="10"/>
      <c r="L115" s="10"/>
      <c r="M115" s="18" t="str">
        <f aca="false">IF(AND($B115&lt;&gt;"",$B115='Estado de cuenta'!$C$4),COUNTIF($B$2:$B115,'Estado de cuenta'!$C$4),"")</f>
        <v/>
      </c>
    </row>
    <row r="116" customFormat="false" ht="15" hidden="false" customHeight="false" outlineLevel="0" collapsed="false">
      <c r="A116" s="17"/>
      <c r="B116" s="10"/>
      <c r="C116" s="10"/>
      <c r="D116" s="10"/>
      <c r="E116" s="10"/>
      <c r="F116" s="12"/>
      <c r="G116" s="13" t="str">
        <f aca="false">IF(OR($B116="",$F116=""),"",IF(OR($C116="Saldo inicial",$C116="Factura",$C116="Nota de débito"),$F116,0))</f>
        <v/>
      </c>
      <c r="H116" s="13" t="str">
        <f aca="false">IF(OR($B116="",$F116=""),"",IF(OR($C116="Cobro",$C116="Nota de crédito"),$F116,0))</f>
        <v/>
      </c>
      <c r="I116" s="16" t="str">
        <f aca="false">IF(OR($A116="",N($G116)=0),"",$A116+IFERROR(INDEX(Clientes!$F$2:$F$81,MATCH($B116,Clientes!$B$2:$B$81,0)),0))</f>
        <v/>
      </c>
      <c r="J116" s="13" t="str">
        <f aca="false">IF($B116="","",SUMIFS($G$2:$G116,$B$2:$B116,$B116)-SUMIFS($H$2:$H116,$B$2:$B116,$B116))</f>
        <v/>
      </c>
      <c r="K116" s="10"/>
      <c r="L116" s="10"/>
      <c r="M116" s="18" t="str">
        <f aca="false">IF(AND($B116&lt;&gt;"",$B116='Estado de cuenta'!$C$4),COUNTIF($B$2:$B116,'Estado de cuenta'!$C$4),"")</f>
        <v/>
      </c>
    </row>
    <row r="117" customFormat="false" ht="15" hidden="false" customHeight="false" outlineLevel="0" collapsed="false">
      <c r="A117" s="17"/>
      <c r="B117" s="10"/>
      <c r="C117" s="10"/>
      <c r="D117" s="10"/>
      <c r="E117" s="10"/>
      <c r="F117" s="12"/>
      <c r="G117" s="13" t="str">
        <f aca="false">IF(OR($B117="",$F117=""),"",IF(OR($C117="Saldo inicial",$C117="Factura",$C117="Nota de débito"),$F117,0))</f>
        <v/>
      </c>
      <c r="H117" s="13" t="str">
        <f aca="false">IF(OR($B117="",$F117=""),"",IF(OR($C117="Cobro",$C117="Nota de crédito"),$F117,0))</f>
        <v/>
      </c>
      <c r="I117" s="16" t="str">
        <f aca="false">IF(OR($A117="",N($G117)=0),"",$A117+IFERROR(INDEX(Clientes!$F$2:$F$81,MATCH($B117,Clientes!$B$2:$B$81,0)),0))</f>
        <v/>
      </c>
      <c r="J117" s="13" t="str">
        <f aca="false">IF($B117="","",SUMIFS($G$2:$G117,$B$2:$B117,$B117)-SUMIFS($H$2:$H117,$B$2:$B117,$B117))</f>
        <v/>
      </c>
      <c r="K117" s="10"/>
      <c r="L117" s="10"/>
      <c r="M117" s="18" t="str">
        <f aca="false">IF(AND($B117&lt;&gt;"",$B117='Estado de cuenta'!$C$4),COUNTIF($B$2:$B117,'Estado de cuenta'!$C$4),"")</f>
        <v/>
      </c>
    </row>
    <row r="118" customFormat="false" ht="15" hidden="false" customHeight="false" outlineLevel="0" collapsed="false">
      <c r="A118" s="17"/>
      <c r="B118" s="10"/>
      <c r="C118" s="10"/>
      <c r="D118" s="10"/>
      <c r="E118" s="10"/>
      <c r="F118" s="12"/>
      <c r="G118" s="13" t="str">
        <f aca="false">IF(OR($B118="",$F118=""),"",IF(OR($C118="Saldo inicial",$C118="Factura",$C118="Nota de débito"),$F118,0))</f>
        <v/>
      </c>
      <c r="H118" s="13" t="str">
        <f aca="false">IF(OR($B118="",$F118=""),"",IF(OR($C118="Cobro",$C118="Nota de crédito"),$F118,0))</f>
        <v/>
      </c>
      <c r="I118" s="16" t="str">
        <f aca="false">IF(OR($A118="",N($G118)=0),"",$A118+IFERROR(INDEX(Clientes!$F$2:$F$81,MATCH($B118,Clientes!$B$2:$B$81,0)),0))</f>
        <v/>
      </c>
      <c r="J118" s="13" t="str">
        <f aca="false">IF($B118="","",SUMIFS($G$2:$G118,$B$2:$B118,$B118)-SUMIFS($H$2:$H118,$B$2:$B118,$B118))</f>
        <v/>
      </c>
      <c r="K118" s="10"/>
      <c r="L118" s="10"/>
      <c r="M118" s="18" t="str">
        <f aca="false">IF(AND($B118&lt;&gt;"",$B118='Estado de cuenta'!$C$4),COUNTIF($B$2:$B118,'Estado de cuenta'!$C$4),"")</f>
        <v/>
      </c>
    </row>
    <row r="119" customFormat="false" ht="15" hidden="false" customHeight="false" outlineLevel="0" collapsed="false">
      <c r="A119" s="17"/>
      <c r="B119" s="10"/>
      <c r="C119" s="10"/>
      <c r="D119" s="10"/>
      <c r="E119" s="10"/>
      <c r="F119" s="12"/>
      <c r="G119" s="13" t="str">
        <f aca="false">IF(OR($B119="",$F119=""),"",IF(OR($C119="Saldo inicial",$C119="Factura",$C119="Nota de débito"),$F119,0))</f>
        <v/>
      </c>
      <c r="H119" s="13" t="str">
        <f aca="false">IF(OR($B119="",$F119=""),"",IF(OR($C119="Cobro",$C119="Nota de crédito"),$F119,0))</f>
        <v/>
      </c>
      <c r="I119" s="16" t="str">
        <f aca="false">IF(OR($A119="",N($G119)=0),"",$A119+IFERROR(INDEX(Clientes!$F$2:$F$81,MATCH($B119,Clientes!$B$2:$B$81,0)),0))</f>
        <v/>
      </c>
      <c r="J119" s="13" t="str">
        <f aca="false">IF($B119="","",SUMIFS($G$2:$G119,$B$2:$B119,$B119)-SUMIFS($H$2:$H119,$B$2:$B119,$B119))</f>
        <v/>
      </c>
      <c r="K119" s="10"/>
      <c r="L119" s="10"/>
      <c r="M119" s="18" t="str">
        <f aca="false">IF(AND($B119&lt;&gt;"",$B119='Estado de cuenta'!$C$4),COUNTIF($B$2:$B119,'Estado de cuenta'!$C$4),"")</f>
        <v/>
      </c>
    </row>
    <row r="120" customFormat="false" ht="15" hidden="false" customHeight="false" outlineLevel="0" collapsed="false">
      <c r="A120" s="17"/>
      <c r="B120" s="10"/>
      <c r="C120" s="10"/>
      <c r="D120" s="10"/>
      <c r="E120" s="10"/>
      <c r="F120" s="12"/>
      <c r="G120" s="13" t="str">
        <f aca="false">IF(OR($B120="",$F120=""),"",IF(OR($C120="Saldo inicial",$C120="Factura",$C120="Nota de débito"),$F120,0))</f>
        <v/>
      </c>
      <c r="H120" s="13" t="str">
        <f aca="false">IF(OR($B120="",$F120=""),"",IF(OR($C120="Cobro",$C120="Nota de crédito"),$F120,0))</f>
        <v/>
      </c>
      <c r="I120" s="16" t="str">
        <f aca="false">IF(OR($A120="",N($G120)=0),"",$A120+IFERROR(INDEX(Clientes!$F$2:$F$81,MATCH($B120,Clientes!$B$2:$B$81,0)),0))</f>
        <v/>
      </c>
      <c r="J120" s="13" t="str">
        <f aca="false">IF($B120="","",SUMIFS($G$2:$G120,$B$2:$B120,$B120)-SUMIFS($H$2:$H120,$B$2:$B120,$B120))</f>
        <v/>
      </c>
      <c r="K120" s="10"/>
      <c r="L120" s="10"/>
      <c r="M120" s="18" t="str">
        <f aca="false">IF(AND($B120&lt;&gt;"",$B120='Estado de cuenta'!$C$4),COUNTIF($B$2:$B120,'Estado de cuenta'!$C$4),"")</f>
        <v/>
      </c>
    </row>
    <row r="121" customFormat="false" ht="15" hidden="false" customHeight="false" outlineLevel="0" collapsed="false">
      <c r="A121" s="17"/>
      <c r="B121" s="10"/>
      <c r="C121" s="10"/>
      <c r="D121" s="10"/>
      <c r="E121" s="10"/>
      <c r="F121" s="12"/>
      <c r="G121" s="13" t="str">
        <f aca="false">IF(OR($B121="",$F121=""),"",IF(OR($C121="Saldo inicial",$C121="Factura",$C121="Nota de débito"),$F121,0))</f>
        <v/>
      </c>
      <c r="H121" s="13" t="str">
        <f aca="false">IF(OR($B121="",$F121=""),"",IF(OR($C121="Cobro",$C121="Nota de crédito"),$F121,0))</f>
        <v/>
      </c>
      <c r="I121" s="16" t="str">
        <f aca="false">IF(OR($A121="",N($G121)=0),"",$A121+IFERROR(INDEX(Clientes!$F$2:$F$81,MATCH($B121,Clientes!$B$2:$B$81,0)),0))</f>
        <v/>
      </c>
      <c r="J121" s="13" t="str">
        <f aca="false">IF($B121="","",SUMIFS($G$2:$G121,$B$2:$B121,$B121)-SUMIFS($H$2:$H121,$B$2:$B121,$B121))</f>
        <v/>
      </c>
      <c r="K121" s="10"/>
      <c r="L121" s="10"/>
      <c r="M121" s="18" t="str">
        <f aca="false">IF(AND($B121&lt;&gt;"",$B121='Estado de cuenta'!$C$4),COUNTIF($B$2:$B121,'Estado de cuenta'!$C$4),"")</f>
        <v/>
      </c>
    </row>
    <row r="122" customFormat="false" ht="15" hidden="false" customHeight="false" outlineLevel="0" collapsed="false">
      <c r="A122" s="17"/>
      <c r="B122" s="10"/>
      <c r="C122" s="10"/>
      <c r="D122" s="10"/>
      <c r="E122" s="10"/>
      <c r="F122" s="12"/>
      <c r="G122" s="13" t="str">
        <f aca="false">IF(OR($B122="",$F122=""),"",IF(OR($C122="Saldo inicial",$C122="Factura",$C122="Nota de débito"),$F122,0))</f>
        <v/>
      </c>
      <c r="H122" s="13" t="str">
        <f aca="false">IF(OR($B122="",$F122=""),"",IF(OR($C122="Cobro",$C122="Nota de crédito"),$F122,0))</f>
        <v/>
      </c>
      <c r="I122" s="16" t="str">
        <f aca="false">IF(OR($A122="",N($G122)=0),"",$A122+IFERROR(INDEX(Clientes!$F$2:$F$81,MATCH($B122,Clientes!$B$2:$B$81,0)),0))</f>
        <v/>
      </c>
      <c r="J122" s="13" t="str">
        <f aca="false">IF($B122="","",SUMIFS($G$2:$G122,$B$2:$B122,$B122)-SUMIFS($H$2:$H122,$B$2:$B122,$B122))</f>
        <v/>
      </c>
      <c r="K122" s="10"/>
      <c r="L122" s="10"/>
      <c r="M122" s="18" t="str">
        <f aca="false">IF(AND($B122&lt;&gt;"",$B122='Estado de cuenta'!$C$4),COUNTIF($B$2:$B122,'Estado de cuenta'!$C$4),"")</f>
        <v/>
      </c>
    </row>
    <row r="123" customFormat="false" ht="15" hidden="false" customHeight="false" outlineLevel="0" collapsed="false">
      <c r="A123" s="17"/>
      <c r="B123" s="10"/>
      <c r="C123" s="10"/>
      <c r="D123" s="10"/>
      <c r="E123" s="10"/>
      <c r="F123" s="12"/>
      <c r="G123" s="13" t="str">
        <f aca="false">IF(OR($B123="",$F123=""),"",IF(OR($C123="Saldo inicial",$C123="Factura",$C123="Nota de débito"),$F123,0))</f>
        <v/>
      </c>
      <c r="H123" s="13" t="str">
        <f aca="false">IF(OR($B123="",$F123=""),"",IF(OR($C123="Cobro",$C123="Nota de crédito"),$F123,0))</f>
        <v/>
      </c>
      <c r="I123" s="16" t="str">
        <f aca="false">IF(OR($A123="",N($G123)=0),"",$A123+IFERROR(INDEX(Clientes!$F$2:$F$81,MATCH($B123,Clientes!$B$2:$B$81,0)),0))</f>
        <v/>
      </c>
      <c r="J123" s="13" t="str">
        <f aca="false">IF($B123="","",SUMIFS($G$2:$G123,$B$2:$B123,$B123)-SUMIFS($H$2:$H123,$B$2:$B123,$B123))</f>
        <v/>
      </c>
      <c r="K123" s="10"/>
      <c r="L123" s="10"/>
      <c r="M123" s="18" t="str">
        <f aca="false">IF(AND($B123&lt;&gt;"",$B123='Estado de cuenta'!$C$4),COUNTIF($B$2:$B123,'Estado de cuenta'!$C$4),"")</f>
        <v/>
      </c>
    </row>
    <row r="124" customFormat="false" ht="15" hidden="false" customHeight="false" outlineLevel="0" collapsed="false">
      <c r="A124" s="17"/>
      <c r="B124" s="10"/>
      <c r="C124" s="10"/>
      <c r="D124" s="10"/>
      <c r="E124" s="10"/>
      <c r="F124" s="12"/>
      <c r="G124" s="13" t="str">
        <f aca="false">IF(OR($B124="",$F124=""),"",IF(OR($C124="Saldo inicial",$C124="Factura",$C124="Nota de débito"),$F124,0))</f>
        <v/>
      </c>
      <c r="H124" s="13" t="str">
        <f aca="false">IF(OR($B124="",$F124=""),"",IF(OR($C124="Cobro",$C124="Nota de crédito"),$F124,0))</f>
        <v/>
      </c>
      <c r="I124" s="16" t="str">
        <f aca="false">IF(OR($A124="",N($G124)=0),"",$A124+IFERROR(INDEX(Clientes!$F$2:$F$81,MATCH($B124,Clientes!$B$2:$B$81,0)),0))</f>
        <v/>
      </c>
      <c r="J124" s="13" t="str">
        <f aca="false">IF($B124="","",SUMIFS($G$2:$G124,$B$2:$B124,$B124)-SUMIFS($H$2:$H124,$B$2:$B124,$B124))</f>
        <v/>
      </c>
      <c r="K124" s="10"/>
      <c r="L124" s="10"/>
      <c r="M124" s="18" t="str">
        <f aca="false">IF(AND($B124&lt;&gt;"",$B124='Estado de cuenta'!$C$4),COUNTIF($B$2:$B124,'Estado de cuenta'!$C$4),"")</f>
        <v/>
      </c>
    </row>
    <row r="125" customFormat="false" ht="15" hidden="false" customHeight="false" outlineLevel="0" collapsed="false">
      <c r="A125" s="17"/>
      <c r="B125" s="10"/>
      <c r="C125" s="10"/>
      <c r="D125" s="10"/>
      <c r="E125" s="10"/>
      <c r="F125" s="12"/>
      <c r="G125" s="13" t="str">
        <f aca="false">IF(OR($B125="",$F125=""),"",IF(OR($C125="Saldo inicial",$C125="Factura",$C125="Nota de débito"),$F125,0))</f>
        <v/>
      </c>
      <c r="H125" s="13" t="str">
        <f aca="false">IF(OR($B125="",$F125=""),"",IF(OR($C125="Cobro",$C125="Nota de crédito"),$F125,0))</f>
        <v/>
      </c>
      <c r="I125" s="16" t="str">
        <f aca="false">IF(OR($A125="",N($G125)=0),"",$A125+IFERROR(INDEX(Clientes!$F$2:$F$81,MATCH($B125,Clientes!$B$2:$B$81,0)),0))</f>
        <v/>
      </c>
      <c r="J125" s="13" t="str">
        <f aca="false">IF($B125="","",SUMIFS($G$2:$G125,$B$2:$B125,$B125)-SUMIFS($H$2:$H125,$B$2:$B125,$B125))</f>
        <v/>
      </c>
      <c r="K125" s="10"/>
      <c r="L125" s="10"/>
      <c r="M125" s="18" t="str">
        <f aca="false">IF(AND($B125&lt;&gt;"",$B125='Estado de cuenta'!$C$4),COUNTIF($B$2:$B125,'Estado de cuenta'!$C$4),"")</f>
        <v/>
      </c>
    </row>
    <row r="126" customFormat="false" ht="15" hidden="false" customHeight="false" outlineLevel="0" collapsed="false">
      <c r="A126" s="17"/>
      <c r="B126" s="10"/>
      <c r="C126" s="10"/>
      <c r="D126" s="10"/>
      <c r="E126" s="10"/>
      <c r="F126" s="12"/>
      <c r="G126" s="13" t="str">
        <f aca="false">IF(OR($B126="",$F126=""),"",IF(OR($C126="Saldo inicial",$C126="Factura",$C126="Nota de débito"),$F126,0))</f>
        <v/>
      </c>
      <c r="H126" s="13" t="str">
        <f aca="false">IF(OR($B126="",$F126=""),"",IF(OR($C126="Cobro",$C126="Nota de crédito"),$F126,0))</f>
        <v/>
      </c>
      <c r="I126" s="16" t="str">
        <f aca="false">IF(OR($A126="",N($G126)=0),"",$A126+IFERROR(INDEX(Clientes!$F$2:$F$81,MATCH($B126,Clientes!$B$2:$B$81,0)),0))</f>
        <v/>
      </c>
      <c r="J126" s="13" t="str">
        <f aca="false">IF($B126="","",SUMIFS($G$2:$G126,$B$2:$B126,$B126)-SUMIFS($H$2:$H126,$B$2:$B126,$B126))</f>
        <v/>
      </c>
      <c r="K126" s="10"/>
      <c r="L126" s="10"/>
      <c r="M126" s="18" t="str">
        <f aca="false">IF(AND($B126&lt;&gt;"",$B126='Estado de cuenta'!$C$4),COUNTIF($B$2:$B126,'Estado de cuenta'!$C$4),"")</f>
        <v/>
      </c>
    </row>
    <row r="127" customFormat="false" ht="15" hidden="false" customHeight="false" outlineLevel="0" collapsed="false">
      <c r="A127" s="17"/>
      <c r="B127" s="10"/>
      <c r="C127" s="10"/>
      <c r="D127" s="10"/>
      <c r="E127" s="10"/>
      <c r="F127" s="12"/>
      <c r="G127" s="13" t="str">
        <f aca="false">IF(OR($B127="",$F127=""),"",IF(OR($C127="Saldo inicial",$C127="Factura",$C127="Nota de débito"),$F127,0))</f>
        <v/>
      </c>
      <c r="H127" s="13" t="str">
        <f aca="false">IF(OR($B127="",$F127=""),"",IF(OR($C127="Cobro",$C127="Nota de crédito"),$F127,0))</f>
        <v/>
      </c>
      <c r="I127" s="16" t="str">
        <f aca="false">IF(OR($A127="",N($G127)=0),"",$A127+IFERROR(INDEX(Clientes!$F$2:$F$81,MATCH($B127,Clientes!$B$2:$B$81,0)),0))</f>
        <v/>
      </c>
      <c r="J127" s="13" t="str">
        <f aca="false">IF($B127="","",SUMIFS($G$2:$G127,$B$2:$B127,$B127)-SUMIFS($H$2:$H127,$B$2:$B127,$B127))</f>
        <v/>
      </c>
      <c r="K127" s="10"/>
      <c r="L127" s="10"/>
      <c r="M127" s="18" t="str">
        <f aca="false">IF(AND($B127&lt;&gt;"",$B127='Estado de cuenta'!$C$4),COUNTIF($B$2:$B127,'Estado de cuenta'!$C$4),"")</f>
        <v/>
      </c>
    </row>
    <row r="128" customFormat="false" ht="15" hidden="false" customHeight="false" outlineLevel="0" collapsed="false">
      <c r="A128" s="17"/>
      <c r="B128" s="10"/>
      <c r="C128" s="10"/>
      <c r="D128" s="10"/>
      <c r="E128" s="10"/>
      <c r="F128" s="12"/>
      <c r="G128" s="13" t="str">
        <f aca="false">IF(OR($B128="",$F128=""),"",IF(OR($C128="Saldo inicial",$C128="Factura",$C128="Nota de débito"),$F128,0))</f>
        <v/>
      </c>
      <c r="H128" s="13" t="str">
        <f aca="false">IF(OR($B128="",$F128=""),"",IF(OR($C128="Cobro",$C128="Nota de crédito"),$F128,0))</f>
        <v/>
      </c>
      <c r="I128" s="16" t="str">
        <f aca="false">IF(OR($A128="",N($G128)=0),"",$A128+IFERROR(INDEX(Clientes!$F$2:$F$81,MATCH($B128,Clientes!$B$2:$B$81,0)),0))</f>
        <v/>
      </c>
      <c r="J128" s="13" t="str">
        <f aca="false">IF($B128="","",SUMIFS($G$2:$G128,$B$2:$B128,$B128)-SUMIFS($H$2:$H128,$B$2:$B128,$B128))</f>
        <v/>
      </c>
      <c r="K128" s="10"/>
      <c r="L128" s="10"/>
      <c r="M128" s="18" t="str">
        <f aca="false">IF(AND($B128&lt;&gt;"",$B128='Estado de cuenta'!$C$4),COUNTIF($B$2:$B128,'Estado de cuenta'!$C$4),"")</f>
        <v/>
      </c>
    </row>
    <row r="129" customFormat="false" ht="15" hidden="false" customHeight="false" outlineLevel="0" collapsed="false">
      <c r="A129" s="17"/>
      <c r="B129" s="10"/>
      <c r="C129" s="10"/>
      <c r="D129" s="10"/>
      <c r="E129" s="10"/>
      <c r="F129" s="12"/>
      <c r="G129" s="13" t="str">
        <f aca="false">IF(OR($B129="",$F129=""),"",IF(OR($C129="Saldo inicial",$C129="Factura",$C129="Nota de débito"),$F129,0))</f>
        <v/>
      </c>
      <c r="H129" s="13" t="str">
        <f aca="false">IF(OR($B129="",$F129=""),"",IF(OR($C129="Cobro",$C129="Nota de crédito"),$F129,0))</f>
        <v/>
      </c>
      <c r="I129" s="16" t="str">
        <f aca="false">IF(OR($A129="",N($G129)=0),"",$A129+IFERROR(INDEX(Clientes!$F$2:$F$81,MATCH($B129,Clientes!$B$2:$B$81,0)),0))</f>
        <v/>
      </c>
      <c r="J129" s="13" t="str">
        <f aca="false">IF($B129="","",SUMIFS($G$2:$G129,$B$2:$B129,$B129)-SUMIFS($H$2:$H129,$B$2:$B129,$B129))</f>
        <v/>
      </c>
      <c r="K129" s="10"/>
      <c r="L129" s="10"/>
      <c r="M129" s="18" t="str">
        <f aca="false">IF(AND($B129&lt;&gt;"",$B129='Estado de cuenta'!$C$4),COUNTIF($B$2:$B129,'Estado de cuenta'!$C$4),"")</f>
        <v/>
      </c>
    </row>
    <row r="130" customFormat="false" ht="15" hidden="false" customHeight="false" outlineLevel="0" collapsed="false">
      <c r="A130" s="17"/>
      <c r="B130" s="10"/>
      <c r="C130" s="10"/>
      <c r="D130" s="10"/>
      <c r="E130" s="10"/>
      <c r="F130" s="12"/>
      <c r="G130" s="13" t="str">
        <f aca="false">IF(OR($B130="",$F130=""),"",IF(OR($C130="Saldo inicial",$C130="Factura",$C130="Nota de débito"),$F130,0))</f>
        <v/>
      </c>
      <c r="H130" s="13" t="str">
        <f aca="false">IF(OR($B130="",$F130=""),"",IF(OR($C130="Cobro",$C130="Nota de crédito"),$F130,0))</f>
        <v/>
      </c>
      <c r="I130" s="16" t="str">
        <f aca="false">IF(OR($A130="",N($G130)=0),"",$A130+IFERROR(INDEX(Clientes!$F$2:$F$81,MATCH($B130,Clientes!$B$2:$B$81,0)),0))</f>
        <v/>
      </c>
      <c r="J130" s="13" t="str">
        <f aca="false">IF($B130="","",SUMIFS($G$2:$G130,$B$2:$B130,$B130)-SUMIFS($H$2:$H130,$B$2:$B130,$B130))</f>
        <v/>
      </c>
      <c r="K130" s="10"/>
      <c r="L130" s="10"/>
      <c r="M130" s="18" t="str">
        <f aca="false">IF(AND($B130&lt;&gt;"",$B130='Estado de cuenta'!$C$4),COUNTIF($B$2:$B130,'Estado de cuenta'!$C$4),"")</f>
        <v/>
      </c>
    </row>
    <row r="131" customFormat="false" ht="15" hidden="false" customHeight="false" outlineLevel="0" collapsed="false">
      <c r="A131" s="17"/>
      <c r="B131" s="10"/>
      <c r="C131" s="10"/>
      <c r="D131" s="10"/>
      <c r="E131" s="10"/>
      <c r="F131" s="12"/>
      <c r="G131" s="13" t="str">
        <f aca="false">IF(OR($B131="",$F131=""),"",IF(OR($C131="Saldo inicial",$C131="Factura",$C131="Nota de débito"),$F131,0))</f>
        <v/>
      </c>
      <c r="H131" s="13" t="str">
        <f aca="false">IF(OR($B131="",$F131=""),"",IF(OR($C131="Cobro",$C131="Nota de crédito"),$F131,0))</f>
        <v/>
      </c>
      <c r="I131" s="16" t="str">
        <f aca="false">IF(OR($A131="",N($G131)=0),"",$A131+IFERROR(INDEX(Clientes!$F$2:$F$81,MATCH($B131,Clientes!$B$2:$B$81,0)),0))</f>
        <v/>
      </c>
      <c r="J131" s="13" t="str">
        <f aca="false">IF($B131="","",SUMIFS($G$2:$G131,$B$2:$B131,$B131)-SUMIFS($H$2:$H131,$B$2:$B131,$B131))</f>
        <v/>
      </c>
      <c r="K131" s="10"/>
      <c r="L131" s="10"/>
      <c r="M131" s="18" t="str">
        <f aca="false">IF(AND($B131&lt;&gt;"",$B131='Estado de cuenta'!$C$4),COUNTIF($B$2:$B131,'Estado de cuenta'!$C$4),"")</f>
        <v/>
      </c>
    </row>
    <row r="132" customFormat="false" ht="15" hidden="false" customHeight="false" outlineLevel="0" collapsed="false">
      <c r="A132" s="17"/>
      <c r="B132" s="10"/>
      <c r="C132" s="10"/>
      <c r="D132" s="10"/>
      <c r="E132" s="10"/>
      <c r="F132" s="12"/>
      <c r="G132" s="13" t="str">
        <f aca="false">IF(OR($B132="",$F132=""),"",IF(OR($C132="Saldo inicial",$C132="Factura",$C132="Nota de débito"),$F132,0))</f>
        <v/>
      </c>
      <c r="H132" s="13" t="str">
        <f aca="false">IF(OR($B132="",$F132=""),"",IF(OR($C132="Cobro",$C132="Nota de crédito"),$F132,0))</f>
        <v/>
      </c>
      <c r="I132" s="16" t="str">
        <f aca="false">IF(OR($A132="",N($G132)=0),"",$A132+IFERROR(INDEX(Clientes!$F$2:$F$81,MATCH($B132,Clientes!$B$2:$B$81,0)),0))</f>
        <v/>
      </c>
      <c r="J132" s="13" t="str">
        <f aca="false">IF($B132="","",SUMIFS($G$2:$G132,$B$2:$B132,$B132)-SUMIFS($H$2:$H132,$B$2:$B132,$B132))</f>
        <v/>
      </c>
      <c r="K132" s="10"/>
      <c r="L132" s="10"/>
      <c r="M132" s="18" t="str">
        <f aca="false">IF(AND($B132&lt;&gt;"",$B132='Estado de cuenta'!$C$4),COUNTIF($B$2:$B132,'Estado de cuenta'!$C$4),"")</f>
        <v/>
      </c>
    </row>
    <row r="133" customFormat="false" ht="15" hidden="false" customHeight="false" outlineLevel="0" collapsed="false">
      <c r="A133" s="17"/>
      <c r="B133" s="10"/>
      <c r="C133" s="10"/>
      <c r="D133" s="10"/>
      <c r="E133" s="10"/>
      <c r="F133" s="12"/>
      <c r="G133" s="13" t="str">
        <f aca="false">IF(OR($B133="",$F133=""),"",IF(OR($C133="Saldo inicial",$C133="Factura",$C133="Nota de débito"),$F133,0))</f>
        <v/>
      </c>
      <c r="H133" s="13" t="str">
        <f aca="false">IF(OR($B133="",$F133=""),"",IF(OR($C133="Cobro",$C133="Nota de crédito"),$F133,0))</f>
        <v/>
      </c>
      <c r="I133" s="16" t="str">
        <f aca="false">IF(OR($A133="",N($G133)=0),"",$A133+IFERROR(INDEX(Clientes!$F$2:$F$81,MATCH($B133,Clientes!$B$2:$B$81,0)),0))</f>
        <v/>
      </c>
      <c r="J133" s="13" t="str">
        <f aca="false">IF($B133="","",SUMIFS($G$2:$G133,$B$2:$B133,$B133)-SUMIFS($H$2:$H133,$B$2:$B133,$B133))</f>
        <v/>
      </c>
      <c r="K133" s="10"/>
      <c r="L133" s="10"/>
      <c r="M133" s="18" t="str">
        <f aca="false">IF(AND($B133&lt;&gt;"",$B133='Estado de cuenta'!$C$4),COUNTIF($B$2:$B133,'Estado de cuenta'!$C$4),"")</f>
        <v/>
      </c>
    </row>
    <row r="134" customFormat="false" ht="15" hidden="false" customHeight="false" outlineLevel="0" collapsed="false">
      <c r="A134" s="17"/>
      <c r="B134" s="10"/>
      <c r="C134" s="10"/>
      <c r="D134" s="10"/>
      <c r="E134" s="10"/>
      <c r="F134" s="12"/>
      <c r="G134" s="13" t="str">
        <f aca="false">IF(OR($B134="",$F134=""),"",IF(OR($C134="Saldo inicial",$C134="Factura",$C134="Nota de débito"),$F134,0))</f>
        <v/>
      </c>
      <c r="H134" s="13" t="str">
        <f aca="false">IF(OR($B134="",$F134=""),"",IF(OR($C134="Cobro",$C134="Nota de crédito"),$F134,0))</f>
        <v/>
      </c>
      <c r="I134" s="16" t="str">
        <f aca="false">IF(OR($A134="",N($G134)=0),"",$A134+IFERROR(INDEX(Clientes!$F$2:$F$81,MATCH($B134,Clientes!$B$2:$B$81,0)),0))</f>
        <v/>
      </c>
      <c r="J134" s="13" t="str">
        <f aca="false">IF($B134="","",SUMIFS($G$2:$G134,$B$2:$B134,$B134)-SUMIFS($H$2:$H134,$B$2:$B134,$B134))</f>
        <v/>
      </c>
      <c r="K134" s="10"/>
      <c r="L134" s="10"/>
      <c r="M134" s="18" t="str">
        <f aca="false">IF(AND($B134&lt;&gt;"",$B134='Estado de cuenta'!$C$4),COUNTIF($B$2:$B134,'Estado de cuenta'!$C$4),"")</f>
        <v/>
      </c>
    </row>
    <row r="135" customFormat="false" ht="15" hidden="false" customHeight="false" outlineLevel="0" collapsed="false">
      <c r="A135" s="17"/>
      <c r="B135" s="10"/>
      <c r="C135" s="10"/>
      <c r="D135" s="10"/>
      <c r="E135" s="10"/>
      <c r="F135" s="12"/>
      <c r="G135" s="13" t="str">
        <f aca="false">IF(OR($B135="",$F135=""),"",IF(OR($C135="Saldo inicial",$C135="Factura",$C135="Nota de débito"),$F135,0))</f>
        <v/>
      </c>
      <c r="H135" s="13" t="str">
        <f aca="false">IF(OR($B135="",$F135=""),"",IF(OR($C135="Cobro",$C135="Nota de crédito"),$F135,0))</f>
        <v/>
      </c>
      <c r="I135" s="16" t="str">
        <f aca="false">IF(OR($A135="",N($G135)=0),"",$A135+IFERROR(INDEX(Clientes!$F$2:$F$81,MATCH($B135,Clientes!$B$2:$B$81,0)),0))</f>
        <v/>
      </c>
      <c r="J135" s="13" t="str">
        <f aca="false">IF($B135="","",SUMIFS($G$2:$G135,$B$2:$B135,$B135)-SUMIFS($H$2:$H135,$B$2:$B135,$B135))</f>
        <v/>
      </c>
      <c r="K135" s="10"/>
      <c r="L135" s="10"/>
      <c r="M135" s="18" t="str">
        <f aca="false">IF(AND($B135&lt;&gt;"",$B135='Estado de cuenta'!$C$4),COUNTIF($B$2:$B135,'Estado de cuenta'!$C$4),"")</f>
        <v/>
      </c>
    </row>
    <row r="136" customFormat="false" ht="15" hidden="false" customHeight="false" outlineLevel="0" collapsed="false">
      <c r="A136" s="17"/>
      <c r="B136" s="10"/>
      <c r="C136" s="10"/>
      <c r="D136" s="10"/>
      <c r="E136" s="10"/>
      <c r="F136" s="12"/>
      <c r="G136" s="13" t="str">
        <f aca="false">IF(OR($B136="",$F136=""),"",IF(OR($C136="Saldo inicial",$C136="Factura",$C136="Nota de débito"),$F136,0))</f>
        <v/>
      </c>
      <c r="H136" s="13" t="str">
        <f aca="false">IF(OR($B136="",$F136=""),"",IF(OR($C136="Cobro",$C136="Nota de crédito"),$F136,0))</f>
        <v/>
      </c>
      <c r="I136" s="16" t="str">
        <f aca="false">IF(OR($A136="",N($G136)=0),"",$A136+IFERROR(INDEX(Clientes!$F$2:$F$81,MATCH($B136,Clientes!$B$2:$B$81,0)),0))</f>
        <v/>
      </c>
      <c r="J136" s="13" t="str">
        <f aca="false">IF($B136="","",SUMIFS($G$2:$G136,$B$2:$B136,$B136)-SUMIFS($H$2:$H136,$B$2:$B136,$B136))</f>
        <v/>
      </c>
      <c r="K136" s="10"/>
      <c r="L136" s="10"/>
      <c r="M136" s="18" t="str">
        <f aca="false">IF(AND($B136&lt;&gt;"",$B136='Estado de cuenta'!$C$4),COUNTIF($B$2:$B136,'Estado de cuenta'!$C$4),"")</f>
        <v/>
      </c>
    </row>
    <row r="137" customFormat="false" ht="15" hidden="false" customHeight="false" outlineLevel="0" collapsed="false">
      <c r="A137" s="17"/>
      <c r="B137" s="10"/>
      <c r="C137" s="10"/>
      <c r="D137" s="10"/>
      <c r="E137" s="10"/>
      <c r="F137" s="12"/>
      <c r="G137" s="13" t="str">
        <f aca="false">IF(OR($B137="",$F137=""),"",IF(OR($C137="Saldo inicial",$C137="Factura",$C137="Nota de débito"),$F137,0))</f>
        <v/>
      </c>
      <c r="H137" s="13" t="str">
        <f aca="false">IF(OR($B137="",$F137=""),"",IF(OR($C137="Cobro",$C137="Nota de crédito"),$F137,0))</f>
        <v/>
      </c>
      <c r="I137" s="16" t="str">
        <f aca="false">IF(OR($A137="",N($G137)=0),"",$A137+IFERROR(INDEX(Clientes!$F$2:$F$81,MATCH($B137,Clientes!$B$2:$B$81,0)),0))</f>
        <v/>
      </c>
      <c r="J137" s="13" t="str">
        <f aca="false">IF($B137="","",SUMIFS($G$2:$G137,$B$2:$B137,$B137)-SUMIFS($H$2:$H137,$B$2:$B137,$B137))</f>
        <v/>
      </c>
      <c r="K137" s="10"/>
      <c r="L137" s="10"/>
      <c r="M137" s="18" t="str">
        <f aca="false">IF(AND($B137&lt;&gt;"",$B137='Estado de cuenta'!$C$4),COUNTIF($B$2:$B137,'Estado de cuenta'!$C$4),"")</f>
        <v/>
      </c>
    </row>
    <row r="138" customFormat="false" ht="15" hidden="false" customHeight="false" outlineLevel="0" collapsed="false">
      <c r="A138" s="17"/>
      <c r="B138" s="10"/>
      <c r="C138" s="10"/>
      <c r="D138" s="10"/>
      <c r="E138" s="10"/>
      <c r="F138" s="12"/>
      <c r="G138" s="13" t="str">
        <f aca="false">IF(OR($B138="",$F138=""),"",IF(OR($C138="Saldo inicial",$C138="Factura",$C138="Nota de débito"),$F138,0))</f>
        <v/>
      </c>
      <c r="H138" s="13" t="str">
        <f aca="false">IF(OR($B138="",$F138=""),"",IF(OR($C138="Cobro",$C138="Nota de crédito"),$F138,0))</f>
        <v/>
      </c>
      <c r="I138" s="16" t="str">
        <f aca="false">IF(OR($A138="",N($G138)=0),"",$A138+IFERROR(INDEX(Clientes!$F$2:$F$81,MATCH($B138,Clientes!$B$2:$B$81,0)),0))</f>
        <v/>
      </c>
      <c r="J138" s="13" t="str">
        <f aca="false">IF($B138="","",SUMIFS($G$2:$G138,$B$2:$B138,$B138)-SUMIFS($H$2:$H138,$B$2:$B138,$B138))</f>
        <v/>
      </c>
      <c r="K138" s="10"/>
      <c r="L138" s="10"/>
      <c r="M138" s="18" t="str">
        <f aca="false">IF(AND($B138&lt;&gt;"",$B138='Estado de cuenta'!$C$4),COUNTIF($B$2:$B138,'Estado de cuenta'!$C$4),"")</f>
        <v/>
      </c>
    </row>
    <row r="139" customFormat="false" ht="15" hidden="false" customHeight="false" outlineLevel="0" collapsed="false">
      <c r="A139" s="17"/>
      <c r="B139" s="10"/>
      <c r="C139" s="10"/>
      <c r="D139" s="10"/>
      <c r="E139" s="10"/>
      <c r="F139" s="12"/>
      <c r="G139" s="13" t="str">
        <f aca="false">IF(OR($B139="",$F139=""),"",IF(OR($C139="Saldo inicial",$C139="Factura",$C139="Nota de débito"),$F139,0))</f>
        <v/>
      </c>
      <c r="H139" s="13" t="str">
        <f aca="false">IF(OR($B139="",$F139=""),"",IF(OR($C139="Cobro",$C139="Nota de crédito"),$F139,0))</f>
        <v/>
      </c>
      <c r="I139" s="16" t="str">
        <f aca="false">IF(OR($A139="",N($G139)=0),"",$A139+IFERROR(INDEX(Clientes!$F$2:$F$81,MATCH($B139,Clientes!$B$2:$B$81,0)),0))</f>
        <v/>
      </c>
      <c r="J139" s="13" t="str">
        <f aca="false">IF($B139="","",SUMIFS($G$2:$G139,$B$2:$B139,$B139)-SUMIFS($H$2:$H139,$B$2:$B139,$B139))</f>
        <v/>
      </c>
      <c r="K139" s="10"/>
      <c r="L139" s="10"/>
      <c r="M139" s="18" t="str">
        <f aca="false">IF(AND($B139&lt;&gt;"",$B139='Estado de cuenta'!$C$4),COUNTIF($B$2:$B139,'Estado de cuenta'!$C$4),"")</f>
        <v/>
      </c>
    </row>
    <row r="140" customFormat="false" ht="15" hidden="false" customHeight="false" outlineLevel="0" collapsed="false">
      <c r="A140" s="17"/>
      <c r="B140" s="10"/>
      <c r="C140" s="10"/>
      <c r="D140" s="10"/>
      <c r="E140" s="10"/>
      <c r="F140" s="12"/>
      <c r="G140" s="13" t="str">
        <f aca="false">IF(OR($B140="",$F140=""),"",IF(OR($C140="Saldo inicial",$C140="Factura",$C140="Nota de débito"),$F140,0))</f>
        <v/>
      </c>
      <c r="H140" s="13" t="str">
        <f aca="false">IF(OR($B140="",$F140=""),"",IF(OR($C140="Cobro",$C140="Nota de crédito"),$F140,0))</f>
        <v/>
      </c>
      <c r="I140" s="16" t="str">
        <f aca="false">IF(OR($A140="",N($G140)=0),"",$A140+IFERROR(INDEX(Clientes!$F$2:$F$81,MATCH($B140,Clientes!$B$2:$B$81,0)),0))</f>
        <v/>
      </c>
      <c r="J140" s="13" t="str">
        <f aca="false">IF($B140="","",SUMIFS($G$2:$G140,$B$2:$B140,$B140)-SUMIFS($H$2:$H140,$B$2:$B140,$B140))</f>
        <v/>
      </c>
      <c r="K140" s="10"/>
      <c r="L140" s="10"/>
      <c r="M140" s="18" t="str">
        <f aca="false">IF(AND($B140&lt;&gt;"",$B140='Estado de cuenta'!$C$4),COUNTIF($B$2:$B140,'Estado de cuenta'!$C$4),"")</f>
        <v/>
      </c>
    </row>
    <row r="141" customFormat="false" ht="15" hidden="false" customHeight="false" outlineLevel="0" collapsed="false">
      <c r="A141" s="17"/>
      <c r="B141" s="10"/>
      <c r="C141" s="10"/>
      <c r="D141" s="10"/>
      <c r="E141" s="10"/>
      <c r="F141" s="12"/>
      <c r="G141" s="13" t="str">
        <f aca="false">IF(OR($B141="",$F141=""),"",IF(OR($C141="Saldo inicial",$C141="Factura",$C141="Nota de débito"),$F141,0))</f>
        <v/>
      </c>
      <c r="H141" s="13" t="str">
        <f aca="false">IF(OR($B141="",$F141=""),"",IF(OR($C141="Cobro",$C141="Nota de crédito"),$F141,0))</f>
        <v/>
      </c>
      <c r="I141" s="16" t="str">
        <f aca="false">IF(OR($A141="",N($G141)=0),"",$A141+IFERROR(INDEX(Clientes!$F$2:$F$81,MATCH($B141,Clientes!$B$2:$B$81,0)),0))</f>
        <v/>
      </c>
      <c r="J141" s="13" t="str">
        <f aca="false">IF($B141="","",SUMIFS($G$2:$G141,$B$2:$B141,$B141)-SUMIFS($H$2:$H141,$B$2:$B141,$B141))</f>
        <v/>
      </c>
      <c r="K141" s="10"/>
      <c r="L141" s="10"/>
      <c r="M141" s="18" t="str">
        <f aca="false">IF(AND($B141&lt;&gt;"",$B141='Estado de cuenta'!$C$4),COUNTIF($B$2:$B141,'Estado de cuenta'!$C$4),"")</f>
        <v/>
      </c>
    </row>
    <row r="142" customFormat="false" ht="15" hidden="false" customHeight="false" outlineLevel="0" collapsed="false">
      <c r="A142" s="17"/>
      <c r="B142" s="10"/>
      <c r="C142" s="10"/>
      <c r="D142" s="10"/>
      <c r="E142" s="10"/>
      <c r="F142" s="12"/>
      <c r="G142" s="13" t="str">
        <f aca="false">IF(OR($B142="",$F142=""),"",IF(OR($C142="Saldo inicial",$C142="Factura",$C142="Nota de débito"),$F142,0))</f>
        <v/>
      </c>
      <c r="H142" s="13" t="str">
        <f aca="false">IF(OR($B142="",$F142=""),"",IF(OR($C142="Cobro",$C142="Nota de crédito"),$F142,0))</f>
        <v/>
      </c>
      <c r="I142" s="16" t="str">
        <f aca="false">IF(OR($A142="",N($G142)=0),"",$A142+IFERROR(INDEX(Clientes!$F$2:$F$81,MATCH($B142,Clientes!$B$2:$B$81,0)),0))</f>
        <v/>
      </c>
      <c r="J142" s="13" t="str">
        <f aca="false">IF($B142="","",SUMIFS($G$2:$G142,$B$2:$B142,$B142)-SUMIFS($H$2:$H142,$B$2:$B142,$B142))</f>
        <v/>
      </c>
      <c r="K142" s="10"/>
      <c r="L142" s="10"/>
      <c r="M142" s="18" t="str">
        <f aca="false">IF(AND($B142&lt;&gt;"",$B142='Estado de cuenta'!$C$4),COUNTIF($B$2:$B142,'Estado de cuenta'!$C$4),"")</f>
        <v/>
      </c>
    </row>
    <row r="143" customFormat="false" ht="15" hidden="false" customHeight="false" outlineLevel="0" collapsed="false">
      <c r="A143" s="17"/>
      <c r="B143" s="10"/>
      <c r="C143" s="10"/>
      <c r="D143" s="10"/>
      <c r="E143" s="10"/>
      <c r="F143" s="12"/>
      <c r="G143" s="13" t="str">
        <f aca="false">IF(OR($B143="",$F143=""),"",IF(OR($C143="Saldo inicial",$C143="Factura",$C143="Nota de débito"),$F143,0))</f>
        <v/>
      </c>
      <c r="H143" s="13" t="str">
        <f aca="false">IF(OR($B143="",$F143=""),"",IF(OR($C143="Cobro",$C143="Nota de crédito"),$F143,0))</f>
        <v/>
      </c>
      <c r="I143" s="16" t="str">
        <f aca="false">IF(OR($A143="",N($G143)=0),"",$A143+IFERROR(INDEX(Clientes!$F$2:$F$81,MATCH($B143,Clientes!$B$2:$B$81,0)),0))</f>
        <v/>
      </c>
      <c r="J143" s="13" t="str">
        <f aca="false">IF($B143="","",SUMIFS($G$2:$G143,$B$2:$B143,$B143)-SUMIFS($H$2:$H143,$B$2:$B143,$B143))</f>
        <v/>
      </c>
      <c r="K143" s="10"/>
      <c r="L143" s="10"/>
      <c r="M143" s="18" t="str">
        <f aca="false">IF(AND($B143&lt;&gt;"",$B143='Estado de cuenta'!$C$4),COUNTIF($B$2:$B143,'Estado de cuenta'!$C$4),"")</f>
        <v/>
      </c>
    </row>
    <row r="144" customFormat="false" ht="15" hidden="false" customHeight="false" outlineLevel="0" collapsed="false">
      <c r="A144" s="17"/>
      <c r="B144" s="10"/>
      <c r="C144" s="10"/>
      <c r="D144" s="10"/>
      <c r="E144" s="10"/>
      <c r="F144" s="12"/>
      <c r="G144" s="13" t="str">
        <f aca="false">IF(OR($B144="",$F144=""),"",IF(OR($C144="Saldo inicial",$C144="Factura",$C144="Nota de débito"),$F144,0))</f>
        <v/>
      </c>
      <c r="H144" s="13" t="str">
        <f aca="false">IF(OR($B144="",$F144=""),"",IF(OR($C144="Cobro",$C144="Nota de crédito"),$F144,0))</f>
        <v/>
      </c>
      <c r="I144" s="16" t="str">
        <f aca="false">IF(OR($A144="",N($G144)=0),"",$A144+IFERROR(INDEX(Clientes!$F$2:$F$81,MATCH($B144,Clientes!$B$2:$B$81,0)),0))</f>
        <v/>
      </c>
      <c r="J144" s="13" t="str">
        <f aca="false">IF($B144="","",SUMIFS($G$2:$G144,$B$2:$B144,$B144)-SUMIFS($H$2:$H144,$B$2:$B144,$B144))</f>
        <v/>
      </c>
      <c r="K144" s="10"/>
      <c r="L144" s="10"/>
      <c r="M144" s="18" t="str">
        <f aca="false">IF(AND($B144&lt;&gt;"",$B144='Estado de cuenta'!$C$4),COUNTIF($B$2:$B144,'Estado de cuenta'!$C$4),"")</f>
        <v/>
      </c>
    </row>
    <row r="145" customFormat="false" ht="15" hidden="false" customHeight="false" outlineLevel="0" collapsed="false">
      <c r="A145" s="17"/>
      <c r="B145" s="10"/>
      <c r="C145" s="10"/>
      <c r="D145" s="10"/>
      <c r="E145" s="10"/>
      <c r="F145" s="12"/>
      <c r="G145" s="13" t="str">
        <f aca="false">IF(OR($B145="",$F145=""),"",IF(OR($C145="Saldo inicial",$C145="Factura",$C145="Nota de débito"),$F145,0))</f>
        <v/>
      </c>
      <c r="H145" s="13" t="str">
        <f aca="false">IF(OR($B145="",$F145=""),"",IF(OR($C145="Cobro",$C145="Nota de crédito"),$F145,0))</f>
        <v/>
      </c>
      <c r="I145" s="16" t="str">
        <f aca="false">IF(OR($A145="",N($G145)=0),"",$A145+IFERROR(INDEX(Clientes!$F$2:$F$81,MATCH($B145,Clientes!$B$2:$B$81,0)),0))</f>
        <v/>
      </c>
      <c r="J145" s="13" t="str">
        <f aca="false">IF($B145="","",SUMIFS($G$2:$G145,$B$2:$B145,$B145)-SUMIFS($H$2:$H145,$B$2:$B145,$B145))</f>
        <v/>
      </c>
      <c r="K145" s="10"/>
      <c r="L145" s="10"/>
      <c r="M145" s="18" t="str">
        <f aca="false">IF(AND($B145&lt;&gt;"",$B145='Estado de cuenta'!$C$4),COUNTIF($B$2:$B145,'Estado de cuenta'!$C$4),"")</f>
        <v/>
      </c>
    </row>
    <row r="146" customFormat="false" ht="15" hidden="false" customHeight="false" outlineLevel="0" collapsed="false">
      <c r="A146" s="17"/>
      <c r="B146" s="10"/>
      <c r="C146" s="10"/>
      <c r="D146" s="10"/>
      <c r="E146" s="10"/>
      <c r="F146" s="12"/>
      <c r="G146" s="13" t="str">
        <f aca="false">IF(OR($B146="",$F146=""),"",IF(OR($C146="Saldo inicial",$C146="Factura",$C146="Nota de débito"),$F146,0))</f>
        <v/>
      </c>
      <c r="H146" s="13" t="str">
        <f aca="false">IF(OR($B146="",$F146=""),"",IF(OR($C146="Cobro",$C146="Nota de crédito"),$F146,0))</f>
        <v/>
      </c>
      <c r="I146" s="16" t="str">
        <f aca="false">IF(OR($A146="",N($G146)=0),"",$A146+IFERROR(INDEX(Clientes!$F$2:$F$81,MATCH($B146,Clientes!$B$2:$B$81,0)),0))</f>
        <v/>
      </c>
      <c r="J146" s="13" t="str">
        <f aca="false">IF($B146="","",SUMIFS($G$2:$G146,$B$2:$B146,$B146)-SUMIFS($H$2:$H146,$B$2:$B146,$B146))</f>
        <v/>
      </c>
      <c r="K146" s="10"/>
      <c r="L146" s="10"/>
      <c r="M146" s="18" t="str">
        <f aca="false">IF(AND($B146&lt;&gt;"",$B146='Estado de cuenta'!$C$4),COUNTIF($B$2:$B146,'Estado de cuenta'!$C$4),"")</f>
        <v/>
      </c>
    </row>
    <row r="147" customFormat="false" ht="15" hidden="false" customHeight="false" outlineLevel="0" collapsed="false">
      <c r="A147" s="17"/>
      <c r="B147" s="10"/>
      <c r="C147" s="10"/>
      <c r="D147" s="10"/>
      <c r="E147" s="10"/>
      <c r="F147" s="12"/>
      <c r="G147" s="13" t="str">
        <f aca="false">IF(OR($B147="",$F147=""),"",IF(OR($C147="Saldo inicial",$C147="Factura",$C147="Nota de débito"),$F147,0))</f>
        <v/>
      </c>
      <c r="H147" s="13" t="str">
        <f aca="false">IF(OR($B147="",$F147=""),"",IF(OR($C147="Cobro",$C147="Nota de crédito"),$F147,0))</f>
        <v/>
      </c>
      <c r="I147" s="16" t="str">
        <f aca="false">IF(OR($A147="",N($G147)=0),"",$A147+IFERROR(INDEX(Clientes!$F$2:$F$81,MATCH($B147,Clientes!$B$2:$B$81,0)),0))</f>
        <v/>
      </c>
      <c r="J147" s="13" t="str">
        <f aca="false">IF($B147="","",SUMIFS($G$2:$G147,$B$2:$B147,$B147)-SUMIFS($H$2:$H147,$B$2:$B147,$B147))</f>
        <v/>
      </c>
      <c r="K147" s="10"/>
      <c r="L147" s="10"/>
      <c r="M147" s="18" t="str">
        <f aca="false">IF(AND($B147&lt;&gt;"",$B147='Estado de cuenta'!$C$4),COUNTIF($B$2:$B147,'Estado de cuenta'!$C$4),"")</f>
        <v/>
      </c>
    </row>
    <row r="148" customFormat="false" ht="15" hidden="false" customHeight="false" outlineLevel="0" collapsed="false">
      <c r="A148" s="17"/>
      <c r="B148" s="10"/>
      <c r="C148" s="10"/>
      <c r="D148" s="10"/>
      <c r="E148" s="10"/>
      <c r="F148" s="12"/>
      <c r="G148" s="13" t="str">
        <f aca="false">IF(OR($B148="",$F148=""),"",IF(OR($C148="Saldo inicial",$C148="Factura",$C148="Nota de débito"),$F148,0))</f>
        <v/>
      </c>
      <c r="H148" s="13" t="str">
        <f aca="false">IF(OR($B148="",$F148=""),"",IF(OR($C148="Cobro",$C148="Nota de crédito"),$F148,0))</f>
        <v/>
      </c>
      <c r="I148" s="16" t="str">
        <f aca="false">IF(OR($A148="",N($G148)=0),"",$A148+IFERROR(INDEX(Clientes!$F$2:$F$81,MATCH($B148,Clientes!$B$2:$B$81,0)),0))</f>
        <v/>
      </c>
      <c r="J148" s="13" t="str">
        <f aca="false">IF($B148="","",SUMIFS($G$2:$G148,$B$2:$B148,$B148)-SUMIFS($H$2:$H148,$B$2:$B148,$B148))</f>
        <v/>
      </c>
      <c r="K148" s="10"/>
      <c r="L148" s="10"/>
      <c r="M148" s="18" t="str">
        <f aca="false">IF(AND($B148&lt;&gt;"",$B148='Estado de cuenta'!$C$4),COUNTIF($B$2:$B148,'Estado de cuenta'!$C$4),"")</f>
        <v/>
      </c>
    </row>
    <row r="149" customFormat="false" ht="15" hidden="false" customHeight="false" outlineLevel="0" collapsed="false">
      <c r="A149" s="17"/>
      <c r="B149" s="10"/>
      <c r="C149" s="10"/>
      <c r="D149" s="10"/>
      <c r="E149" s="10"/>
      <c r="F149" s="12"/>
      <c r="G149" s="13" t="str">
        <f aca="false">IF(OR($B149="",$F149=""),"",IF(OR($C149="Saldo inicial",$C149="Factura",$C149="Nota de débito"),$F149,0))</f>
        <v/>
      </c>
      <c r="H149" s="13" t="str">
        <f aca="false">IF(OR($B149="",$F149=""),"",IF(OR($C149="Cobro",$C149="Nota de crédito"),$F149,0))</f>
        <v/>
      </c>
      <c r="I149" s="16" t="str">
        <f aca="false">IF(OR($A149="",N($G149)=0),"",$A149+IFERROR(INDEX(Clientes!$F$2:$F$81,MATCH($B149,Clientes!$B$2:$B$81,0)),0))</f>
        <v/>
      </c>
      <c r="J149" s="13" t="str">
        <f aca="false">IF($B149="","",SUMIFS($G$2:$G149,$B$2:$B149,$B149)-SUMIFS($H$2:$H149,$B$2:$B149,$B149))</f>
        <v/>
      </c>
      <c r="K149" s="10"/>
      <c r="L149" s="10"/>
      <c r="M149" s="18" t="str">
        <f aca="false">IF(AND($B149&lt;&gt;"",$B149='Estado de cuenta'!$C$4),COUNTIF($B$2:$B149,'Estado de cuenta'!$C$4),"")</f>
        <v/>
      </c>
    </row>
    <row r="150" customFormat="false" ht="15" hidden="false" customHeight="false" outlineLevel="0" collapsed="false">
      <c r="A150" s="17"/>
      <c r="B150" s="10"/>
      <c r="C150" s="10"/>
      <c r="D150" s="10"/>
      <c r="E150" s="10"/>
      <c r="F150" s="12"/>
      <c r="G150" s="13" t="str">
        <f aca="false">IF(OR($B150="",$F150=""),"",IF(OR($C150="Saldo inicial",$C150="Factura",$C150="Nota de débito"),$F150,0))</f>
        <v/>
      </c>
      <c r="H150" s="13" t="str">
        <f aca="false">IF(OR($B150="",$F150=""),"",IF(OR($C150="Cobro",$C150="Nota de crédito"),$F150,0))</f>
        <v/>
      </c>
      <c r="I150" s="16" t="str">
        <f aca="false">IF(OR($A150="",N($G150)=0),"",$A150+IFERROR(INDEX(Clientes!$F$2:$F$81,MATCH($B150,Clientes!$B$2:$B$81,0)),0))</f>
        <v/>
      </c>
      <c r="J150" s="13" t="str">
        <f aca="false">IF($B150="","",SUMIFS($G$2:$G150,$B$2:$B150,$B150)-SUMIFS($H$2:$H150,$B$2:$B150,$B150))</f>
        <v/>
      </c>
      <c r="K150" s="10"/>
      <c r="L150" s="10"/>
      <c r="M150" s="18" t="str">
        <f aca="false">IF(AND($B150&lt;&gt;"",$B150='Estado de cuenta'!$C$4),COUNTIF($B$2:$B150,'Estado de cuenta'!$C$4),"")</f>
        <v/>
      </c>
    </row>
    <row r="151" customFormat="false" ht="15" hidden="false" customHeight="false" outlineLevel="0" collapsed="false">
      <c r="A151" s="17"/>
      <c r="B151" s="10"/>
      <c r="C151" s="10"/>
      <c r="D151" s="10"/>
      <c r="E151" s="10"/>
      <c r="F151" s="12"/>
      <c r="G151" s="13" t="str">
        <f aca="false">IF(OR($B151="",$F151=""),"",IF(OR($C151="Saldo inicial",$C151="Factura",$C151="Nota de débito"),$F151,0))</f>
        <v/>
      </c>
      <c r="H151" s="13" t="str">
        <f aca="false">IF(OR($B151="",$F151=""),"",IF(OR($C151="Cobro",$C151="Nota de crédito"),$F151,0))</f>
        <v/>
      </c>
      <c r="I151" s="16" t="str">
        <f aca="false">IF(OR($A151="",N($G151)=0),"",$A151+IFERROR(INDEX(Clientes!$F$2:$F$81,MATCH($B151,Clientes!$B$2:$B$81,0)),0))</f>
        <v/>
      </c>
      <c r="J151" s="13" t="str">
        <f aca="false">IF($B151="","",SUMIFS($G$2:$G151,$B$2:$B151,$B151)-SUMIFS($H$2:$H151,$B$2:$B151,$B151))</f>
        <v/>
      </c>
      <c r="K151" s="10"/>
      <c r="L151" s="10"/>
      <c r="M151" s="18" t="str">
        <f aca="false">IF(AND($B151&lt;&gt;"",$B151='Estado de cuenta'!$C$4),COUNTIF($B$2:$B151,'Estado de cuenta'!$C$4),"")</f>
        <v/>
      </c>
    </row>
    <row r="152" customFormat="false" ht="15" hidden="false" customHeight="false" outlineLevel="0" collapsed="false">
      <c r="A152" s="17"/>
      <c r="B152" s="10"/>
      <c r="C152" s="10"/>
      <c r="D152" s="10"/>
      <c r="E152" s="10"/>
      <c r="F152" s="12"/>
      <c r="G152" s="13" t="str">
        <f aca="false">IF(OR($B152="",$F152=""),"",IF(OR($C152="Saldo inicial",$C152="Factura",$C152="Nota de débito"),$F152,0))</f>
        <v/>
      </c>
      <c r="H152" s="13" t="str">
        <f aca="false">IF(OR($B152="",$F152=""),"",IF(OR($C152="Cobro",$C152="Nota de crédito"),$F152,0))</f>
        <v/>
      </c>
      <c r="I152" s="16" t="str">
        <f aca="false">IF(OR($A152="",N($G152)=0),"",$A152+IFERROR(INDEX(Clientes!$F$2:$F$81,MATCH($B152,Clientes!$B$2:$B$81,0)),0))</f>
        <v/>
      </c>
      <c r="J152" s="13" t="str">
        <f aca="false">IF($B152="","",SUMIFS($G$2:$G152,$B$2:$B152,$B152)-SUMIFS($H$2:$H152,$B$2:$B152,$B152))</f>
        <v/>
      </c>
      <c r="K152" s="10"/>
      <c r="L152" s="10"/>
      <c r="M152" s="18" t="str">
        <f aca="false">IF(AND($B152&lt;&gt;"",$B152='Estado de cuenta'!$C$4),COUNTIF($B$2:$B152,'Estado de cuenta'!$C$4),"")</f>
        <v/>
      </c>
    </row>
    <row r="153" customFormat="false" ht="15" hidden="false" customHeight="false" outlineLevel="0" collapsed="false">
      <c r="A153" s="17"/>
      <c r="B153" s="10"/>
      <c r="C153" s="10"/>
      <c r="D153" s="10"/>
      <c r="E153" s="10"/>
      <c r="F153" s="12"/>
      <c r="G153" s="13" t="str">
        <f aca="false">IF(OR($B153="",$F153=""),"",IF(OR($C153="Saldo inicial",$C153="Factura",$C153="Nota de débito"),$F153,0))</f>
        <v/>
      </c>
      <c r="H153" s="13" t="str">
        <f aca="false">IF(OR($B153="",$F153=""),"",IF(OR($C153="Cobro",$C153="Nota de crédito"),$F153,0))</f>
        <v/>
      </c>
      <c r="I153" s="16" t="str">
        <f aca="false">IF(OR($A153="",N($G153)=0),"",$A153+IFERROR(INDEX(Clientes!$F$2:$F$81,MATCH($B153,Clientes!$B$2:$B$81,0)),0))</f>
        <v/>
      </c>
      <c r="J153" s="13" t="str">
        <f aca="false">IF($B153="","",SUMIFS($G$2:$G153,$B$2:$B153,$B153)-SUMIFS($H$2:$H153,$B$2:$B153,$B153))</f>
        <v/>
      </c>
      <c r="K153" s="10"/>
      <c r="L153" s="10"/>
      <c r="M153" s="18" t="str">
        <f aca="false">IF(AND($B153&lt;&gt;"",$B153='Estado de cuenta'!$C$4),COUNTIF($B$2:$B153,'Estado de cuenta'!$C$4),"")</f>
        <v/>
      </c>
    </row>
    <row r="154" customFormat="false" ht="15" hidden="false" customHeight="false" outlineLevel="0" collapsed="false">
      <c r="A154" s="17"/>
      <c r="B154" s="10"/>
      <c r="C154" s="10"/>
      <c r="D154" s="10"/>
      <c r="E154" s="10"/>
      <c r="F154" s="12"/>
      <c r="G154" s="13" t="str">
        <f aca="false">IF(OR($B154="",$F154=""),"",IF(OR($C154="Saldo inicial",$C154="Factura",$C154="Nota de débito"),$F154,0))</f>
        <v/>
      </c>
      <c r="H154" s="13" t="str">
        <f aca="false">IF(OR($B154="",$F154=""),"",IF(OR($C154="Cobro",$C154="Nota de crédito"),$F154,0))</f>
        <v/>
      </c>
      <c r="I154" s="16" t="str">
        <f aca="false">IF(OR($A154="",N($G154)=0),"",$A154+IFERROR(INDEX(Clientes!$F$2:$F$81,MATCH($B154,Clientes!$B$2:$B$81,0)),0))</f>
        <v/>
      </c>
      <c r="J154" s="13" t="str">
        <f aca="false">IF($B154="","",SUMIFS($G$2:$G154,$B$2:$B154,$B154)-SUMIFS($H$2:$H154,$B$2:$B154,$B154))</f>
        <v/>
      </c>
      <c r="K154" s="10"/>
      <c r="L154" s="10"/>
      <c r="M154" s="18" t="str">
        <f aca="false">IF(AND($B154&lt;&gt;"",$B154='Estado de cuenta'!$C$4),COUNTIF($B$2:$B154,'Estado de cuenta'!$C$4),"")</f>
        <v/>
      </c>
    </row>
    <row r="155" customFormat="false" ht="15" hidden="false" customHeight="false" outlineLevel="0" collapsed="false">
      <c r="A155" s="17"/>
      <c r="B155" s="10"/>
      <c r="C155" s="10"/>
      <c r="D155" s="10"/>
      <c r="E155" s="10"/>
      <c r="F155" s="12"/>
      <c r="G155" s="13" t="str">
        <f aca="false">IF(OR($B155="",$F155=""),"",IF(OR($C155="Saldo inicial",$C155="Factura",$C155="Nota de débito"),$F155,0))</f>
        <v/>
      </c>
      <c r="H155" s="13" t="str">
        <f aca="false">IF(OR($B155="",$F155=""),"",IF(OR($C155="Cobro",$C155="Nota de crédito"),$F155,0))</f>
        <v/>
      </c>
      <c r="I155" s="16" t="str">
        <f aca="false">IF(OR($A155="",N($G155)=0),"",$A155+IFERROR(INDEX(Clientes!$F$2:$F$81,MATCH($B155,Clientes!$B$2:$B$81,0)),0))</f>
        <v/>
      </c>
      <c r="J155" s="13" t="str">
        <f aca="false">IF($B155="","",SUMIFS($G$2:$G155,$B$2:$B155,$B155)-SUMIFS($H$2:$H155,$B$2:$B155,$B155))</f>
        <v/>
      </c>
      <c r="K155" s="10"/>
      <c r="L155" s="10"/>
      <c r="M155" s="18" t="str">
        <f aca="false">IF(AND($B155&lt;&gt;"",$B155='Estado de cuenta'!$C$4),COUNTIF($B$2:$B155,'Estado de cuenta'!$C$4),"")</f>
        <v/>
      </c>
    </row>
    <row r="156" customFormat="false" ht="15" hidden="false" customHeight="false" outlineLevel="0" collapsed="false">
      <c r="A156" s="17"/>
      <c r="B156" s="10"/>
      <c r="C156" s="10"/>
      <c r="D156" s="10"/>
      <c r="E156" s="10"/>
      <c r="F156" s="12"/>
      <c r="G156" s="13" t="str">
        <f aca="false">IF(OR($B156="",$F156=""),"",IF(OR($C156="Saldo inicial",$C156="Factura",$C156="Nota de débito"),$F156,0))</f>
        <v/>
      </c>
      <c r="H156" s="13" t="str">
        <f aca="false">IF(OR($B156="",$F156=""),"",IF(OR($C156="Cobro",$C156="Nota de crédito"),$F156,0))</f>
        <v/>
      </c>
      <c r="I156" s="16" t="str">
        <f aca="false">IF(OR($A156="",N($G156)=0),"",$A156+IFERROR(INDEX(Clientes!$F$2:$F$81,MATCH($B156,Clientes!$B$2:$B$81,0)),0))</f>
        <v/>
      </c>
      <c r="J156" s="13" t="str">
        <f aca="false">IF($B156="","",SUMIFS($G$2:$G156,$B$2:$B156,$B156)-SUMIFS($H$2:$H156,$B$2:$B156,$B156))</f>
        <v/>
      </c>
      <c r="K156" s="10"/>
      <c r="L156" s="10"/>
      <c r="M156" s="18" t="str">
        <f aca="false">IF(AND($B156&lt;&gt;"",$B156='Estado de cuenta'!$C$4),COUNTIF($B$2:$B156,'Estado de cuenta'!$C$4),"")</f>
        <v/>
      </c>
    </row>
    <row r="157" customFormat="false" ht="15" hidden="false" customHeight="false" outlineLevel="0" collapsed="false">
      <c r="A157" s="17"/>
      <c r="B157" s="10"/>
      <c r="C157" s="10"/>
      <c r="D157" s="10"/>
      <c r="E157" s="10"/>
      <c r="F157" s="12"/>
      <c r="G157" s="13" t="str">
        <f aca="false">IF(OR($B157="",$F157=""),"",IF(OR($C157="Saldo inicial",$C157="Factura",$C157="Nota de débito"),$F157,0))</f>
        <v/>
      </c>
      <c r="H157" s="13" t="str">
        <f aca="false">IF(OR($B157="",$F157=""),"",IF(OR($C157="Cobro",$C157="Nota de crédito"),$F157,0))</f>
        <v/>
      </c>
      <c r="I157" s="16" t="str">
        <f aca="false">IF(OR($A157="",N($G157)=0),"",$A157+IFERROR(INDEX(Clientes!$F$2:$F$81,MATCH($B157,Clientes!$B$2:$B$81,0)),0))</f>
        <v/>
      </c>
      <c r="J157" s="13" t="str">
        <f aca="false">IF($B157="","",SUMIFS($G$2:$G157,$B$2:$B157,$B157)-SUMIFS($H$2:$H157,$B$2:$B157,$B157))</f>
        <v/>
      </c>
      <c r="K157" s="10"/>
      <c r="L157" s="10"/>
      <c r="M157" s="18" t="str">
        <f aca="false">IF(AND($B157&lt;&gt;"",$B157='Estado de cuenta'!$C$4),COUNTIF($B$2:$B157,'Estado de cuenta'!$C$4),"")</f>
        <v/>
      </c>
    </row>
    <row r="158" customFormat="false" ht="15" hidden="false" customHeight="false" outlineLevel="0" collapsed="false">
      <c r="A158" s="17"/>
      <c r="B158" s="10"/>
      <c r="C158" s="10"/>
      <c r="D158" s="10"/>
      <c r="E158" s="10"/>
      <c r="F158" s="12"/>
      <c r="G158" s="13" t="str">
        <f aca="false">IF(OR($B158="",$F158=""),"",IF(OR($C158="Saldo inicial",$C158="Factura",$C158="Nota de débito"),$F158,0))</f>
        <v/>
      </c>
      <c r="H158" s="13" t="str">
        <f aca="false">IF(OR($B158="",$F158=""),"",IF(OR($C158="Cobro",$C158="Nota de crédito"),$F158,0))</f>
        <v/>
      </c>
      <c r="I158" s="16" t="str">
        <f aca="false">IF(OR($A158="",N($G158)=0),"",$A158+IFERROR(INDEX(Clientes!$F$2:$F$81,MATCH($B158,Clientes!$B$2:$B$81,0)),0))</f>
        <v/>
      </c>
      <c r="J158" s="13" t="str">
        <f aca="false">IF($B158="","",SUMIFS($G$2:$G158,$B$2:$B158,$B158)-SUMIFS($H$2:$H158,$B$2:$B158,$B158))</f>
        <v/>
      </c>
      <c r="K158" s="10"/>
      <c r="L158" s="10"/>
      <c r="M158" s="18" t="str">
        <f aca="false">IF(AND($B158&lt;&gt;"",$B158='Estado de cuenta'!$C$4),COUNTIF($B$2:$B158,'Estado de cuenta'!$C$4),"")</f>
        <v/>
      </c>
    </row>
    <row r="159" customFormat="false" ht="15" hidden="false" customHeight="false" outlineLevel="0" collapsed="false">
      <c r="A159" s="17"/>
      <c r="B159" s="10"/>
      <c r="C159" s="10"/>
      <c r="D159" s="10"/>
      <c r="E159" s="10"/>
      <c r="F159" s="12"/>
      <c r="G159" s="13" t="str">
        <f aca="false">IF(OR($B159="",$F159=""),"",IF(OR($C159="Saldo inicial",$C159="Factura",$C159="Nota de débito"),$F159,0))</f>
        <v/>
      </c>
      <c r="H159" s="13" t="str">
        <f aca="false">IF(OR($B159="",$F159=""),"",IF(OR($C159="Cobro",$C159="Nota de crédito"),$F159,0))</f>
        <v/>
      </c>
      <c r="I159" s="16" t="str">
        <f aca="false">IF(OR($A159="",N($G159)=0),"",$A159+IFERROR(INDEX(Clientes!$F$2:$F$81,MATCH($B159,Clientes!$B$2:$B$81,0)),0))</f>
        <v/>
      </c>
      <c r="J159" s="13" t="str">
        <f aca="false">IF($B159="","",SUMIFS($G$2:$G159,$B$2:$B159,$B159)-SUMIFS($H$2:$H159,$B$2:$B159,$B159))</f>
        <v/>
      </c>
      <c r="K159" s="10"/>
      <c r="L159" s="10"/>
      <c r="M159" s="18" t="str">
        <f aca="false">IF(AND($B159&lt;&gt;"",$B159='Estado de cuenta'!$C$4),COUNTIF($B$2:$B159,'Estado de cuenta'!$C$4),"")</f>
        <v/>
      </c>
    </row>
    <row r="160" customFormat="false" ht="15" hidden="false" customHeight="false" outlineLevel="0" collapsed="false">
      <c r="A160" s="17"/>
      <c r="B160" s="10"/>
      <c r="C160" s="10"/>
      <c r="D160" s="10"/>
      <c r="E160" s="10"/>
      <c r="F160" s="12"/>
      <c r="G160" s="13" t="str">
        <f aca="false">IF(OR($B160="",$F160=""),"",IF(OR($C160="Saldo inicial",$C160="Factura",$C160="Nota de débito"),$F160,0))</f>
        <v/>
      </c>
      <c r="H160" s="13" t="str">
        <f aca="false">IF(OR($B160="",$F160=""),"",IF(OR($C160="Cobro",$C160="Nota de crédito"),$F160,0))</f>
        <v/>
      </c>
      <c r="I160" s="16" t="str">
        <f aca="false">IF(OR($A160="",N($G160)=0),"",$A160+IFERROR(INDEX(Clientes!$F$2:$F$81,MATCH($B160,Clientes!$B$2:$B$81,0)),0))</f>
        <v/>
      </c>
      <c r="J160" s="13" t="str">
        <f aca="false">IF($B160="","",SUMIFS($G$2:$G160,$B$2:$B160,$B160)-SUMIFS($H$2:$H160,$B$2:$B160,$B160))</f>
        <v/>
      </c>
      <c r="K160" s="10"/>
      <c r="L160" s="10"/>
      <c r="M160" s="18" t="str">
        <f aca="false">IF(AND($B160&lt;&gt;"",$B160='Estado de cuenta'!$C$4),COUNTIF($B$2:$B160,'Estado de cuenta'!$C$4),"")</f>
        <v/>
      </c>
    </row>
    <row r="161" customFormat="false" ht="15" hidden="false" customHeight="false" outlineLevel="0" collapsed="false">
      <c r="A161" s="17"/>
      <c r="B161" s="10"/>
      <c r="C161" s="10"/>
      <c r="D161" s="10"/>
      <c r="E161" s="10"/>
      <c r="F161" s="12"/>
      <c r="G161" s="13" t="str">
        <f aca="false">IF(OR($B161="",$F161=""),"",IF(OR($C161="Saldo inicial",$C161="Factura",$C161="Nota de débito"),$F161,0))</f>
        <v/>
      </c>
      <c r="H161" s="13" t="str">
        <f aca="false">IF(OR($B161="",$F161=""),"",IF(OR($C161="Cobro",$C161="Nota de crédito"),$F161,0))</f>
        <v/>
      </c>
      <c r="I161" s="16" t="str">
        <f aca="false">IF(OR($A161="",N($G161)=0),"",$A161+IFERROR(INDEX(Clientes!$F$2:$F$81,MATCH($B161,Clientes!$B$2:$B$81,0)),0))</f>
        <v/>
      </c>
      <c r="J161" s="13" t="str">
        <f aca="false">IF($B161="","",SUMIFS($G$2:$G161,$B$2:$B161,$B161)-SUMIFS($H$2:$H161,$B$2:$B161,$B161))</f>
        <v/>
      </c>
      <c r="K161" s="10"/>
      <c r="L161" s="10"/>
      <c r="M161" s="18" t="str">
        <f aca="false">IF(AND($B161&lt;&gt;"",$B161='Estado de cuenta'!$C$4),COUNTIF($B$2:$B161,'Estado de cuenta'!$C$4),"")</f>
        <v/>
      </c>
    </row>
    <row r="162" customFormat="false" ht="15" hidden="false" customHeight="false" outlineLevel="0" collapsed="false">
      <c r="A162" s="17"/>
      <c r="B162" s="10"/>
      <c r="C162" s="10"/>
      <c r="D162" s="10"/>
      <c r="E162" s="10"/>
      <c r="F162" s="12"/>
      <c r="G162" s="13" t="str">
        <f aca="false">IF(OR($B162="",$F162=""),"",IF(OR($C162="Saldo inicial",$C162="Factura",$C162="Nota de débito"),$F162,0))</f>
        <v/>
      </c>
      <c r="H162" s="13" t="str">
        <f aca="false">IF(OR($B162="",$F162=""),"",IF(OR($C162="Cobro",$C162="Nota de crédito"),$F162,0))</f>
        <v/>
      </c>
      <c r="I162" s="16" t="str">
        <f aca="false">IF(OR($A162="",N($G162)=0),"",$A162+IFERROR(INDEX(Clientes!$F$2:$F$81,MATCH($B162,Clientes!$B$2:$B$81,0)),0))</f>
        <v/>
      </c>
      <c r="J162" s="13" t="str">
        <f aca="false">IF($B162="","",SUMIFS($G$2:$G162,$B$2:$B162,$B162)-SUMIFS($H$2:$H162,$B$2:$B162,$B162))</f>
        <v/>
      </c>
      <c r="K162" s="10"/>
      <c r="L162" s="10"/>
      <c r="M162" s="18" t="str">
        <f aca="false">IF(AND($B162&lt;&gt;"",$B162='Estado de cuenta'!$C$4),COUNTIF($B$2:$B162,'Estado de cuenta'!$C$4),"")</f>
        <v/>
      </c>
    </row>
    <row r="163" customFormat="false" ht="15" hidden="false" customHeight="false" outlineLevel="0" collapsed="false">
      <c r="A163" s="17"/>
      <c r="B163" s="10"/>
      <c r="C163" s="10"/>
      <c r="D163" s="10"/>
      <c r="E163" s="10"/>
      <c r="F163" s="12"/>
      <c r="G163" s="13" t="str">
        <f aca="false">IF(OR($B163="",$F163=""),"",IF(OR($C163="Saldo inicial",$C163="Factura",$C163="Nota de débito"),$F163,0))</f>
        <v/>
      </c>
      <c r="H163" s="13" t="str">
        <f aca="false">IF(OR($B163="",$F163=""),"",IF(OR($C163="Cobro",$C163="Nota de crédito"),$F163,0))</f>
        <v/>
      </c>
      <c r="I163" s="16" t="str">
        <f aca="false">IF(OR($A163="",N($G163)=0),"",$A163+IFERROR(INDEX(Clientes!$F$2:$F$81,MATCH($B163,Clientes!$B$2:$B$81,0)),0))</f>
        <v/>
      </c>
      <c r="J163" s="13" t="str">
        <f aca="false">IF($B163="","",SUMIFS($G$2:$G163,$B$2:$B163,$B163)-SUMIFS($H$2:$H163,$B$2:$B163,$B163))</f>
        <v/>
      </c>
      <c r="K163" s="10"/>
      <c r="L163" s="10"/>
      <c r="M163" s="18" t="str">
        <f aca="false">IF(AND($B163&lt;&gt;"",$B163='Estado de cuenta'!$C$4),COUNTIF($B$2:$B163,'Estado de cuenta'!$C$4),"")</f>
        <v/>
      </c>
    </row>
    <row r="164" customFormat="false" ht="15" hidden="false" customHeight="false" outlineLevel="0" collapsed="false">
      <c r="A164" s="17"/>
      <c r="B164" s="10"/>
      <c r="C164" s="10"/>
      <c r="D164" s="10"/>
      <c r="E164" s="10"/>
      <c r="F164" s="12"/>
      <c r="G164" s="13" t="str">
        <f aca="false">IF(OR($B164="",$F164=""),"",IF(OR($C164="Saldo inicial",$C164="Factura",$C164="Nota de débito"),$F164,0))</f>
        <v/>
      </c>
      <c r="H164" s="13" t="str">
        <f aca="false">IF(OR($B164="",$F164=""),"",IF(OR($C164="Cobro",$C164="Nota de crédito"),$F164,0))</f>
        <v/>
      </c>
      <c r="I164" s="16" t="str">
        <f aca="false">IF(OR($A164="",N($G164)=0),"",$A164+IFERROR(INDEX(Clientes!$F$2:$F$81,MATCH($B164,Clientes!$B$2:$B$81,0)),0))</f>
        <v/>
      </c>
      <c r="J164" s="13" t="str">
        <f aca="false">IF($B164="","",SUMIFS($G$2:$G164,$B$2:$B164,$B164)-SUMIFS($H$2:$H164,$B$2:$B164,$B164))</f>
        <v/>
      </c>
      <c r="K164" s="10"/>
      <c r="L164" s="10"/>
      <c r="M164" s="18" t="str">
        <f aca="false">IF(AND($B164&lt;&gt;"",$B164='Estado de cuenta'!$C$4),COUNTIF($B$2:$B164,'Estado de cuenta'!$C$4),"")</f>
        <v/>
      </c>
    </row>
    <row r="165" customFormat="false" ht="15" hidden="false" customHeight="false" outlineLevel="0" collapsed="false">
      <c r="A165" s="17"/>
      <c r="B165" s="10"/>
      <c r="C165" s="10"/>
      <c r="D165" s="10"/>
      <c r="E165" s="10"/>
      <c r="F165" s="12"/>
      <c r="G165" s="13" t="str">
        <f aca="false">IF(OR($B165="",$F165=""),"",IF(OR($C165="Saldo inicial",$C165="Factura",$C165="Nota de débito"),$F165,0))</f>
        <v/>
      </c>
      <c r="H165" s="13" t="str">
        <f aca="false">IF(OR($B165="",$F165=""),"",IF(OR($C165="Cobro",$C165="Nota de crédito"),$F165,0))</f>
        <v/>
      </c>
      <c r="I165" s="16" t="str">
        <f aca="false">IF(OR($A165="",N($G165)=0),"",$A165+IFERROR(INDEX(Clientes!$F$2:$F$81,MATCH($B165,Clientes!$B$2:$B$81,0)),0))</f>
        <v/>
      </c>
      <c r="J165" s="13" t="str">
        <f aca="false">IF($B165="","",SUMIFS($G$2:$G165,$B$2:$B165,$B165)-SUMIFS($H$2:$H165,$B$2:$B165,$B165))</f>
        <v/>
      </c>
      <c r="K165" s="10"/>
      <c r="L165" s="10"/>
      <c r="M165" s="18" t="str">
        <f aca="false">IF(AND($B165&lt;&gt;"",$B165='Estado de cuenta'!$C$4),COUNTIF($B$2:$B165,'Estado de cuenta'!$C$4),"")</f>
        <v/>
      </c>
    </row>
    <row r="166" customFormat="false" ht="15" hidden="false" customHeight="false" outlineLevel="0" collapsed="false">
      <c r="A166" s="17"/>
      <c r="B166" s="10"/>
      <c r="C166" s="10"/>
      <c r="D166" s="10"/>
      <c r="E166" s="10"/>
      <c r="F166" s="12"/>
      <c r="G166" s="13" t="str">
        <f aca="false">IF(OR($B166="",$F166=""),"",IF(OR($C166="Saldo inicial",$C166="Factura",$C166="Nota de débito"),$F166,0))</f>
        <v/>
      </c>
      <c r="H166" s="13" t="str">
        <f aca="false">IF(OR($B166="",$F166=""),"",IF(OR($C166="Cobro",$C166="Nota de crédito"),$F166,0))</f>
        <v/>
      </c>
      <c r="I166" s="16" t="str">
        <f aca="false">IF(OR($A166="",N($G166)=0),"",$A166+IFERROR(INDEX(Clientes!$F$2:$F$81,MATCH($B166,Clientes!$B$2:$B$81,0)),0))</f>
        <v/>
      </c>
      <c r="J166" s="13" t="str">
        <f aca="false">IF($B166="","",SUMIFS($G$2:$G166,$B$2:$B166,$B166)-SUMIFS($H$2:$H166,$B$2:$B166,$B166))</f>
        <v/>
      </c>
      <c r="K166" s="10"/>
      <c r="L166" s="10"/>
      <c r="M166" s="18" t="str">
        <f aca="false">IF(AND($B166&lt;&gt;"",$B166='Estado de cuenta'!$C$4),COUNTIF($B$2:$B166,'Estado de cuenta'!$C$4),"")</f>
        <v/>
      </c>
    </row>
    <row r="167" customFormat="false" ht="15" hidden="false" customHeight="false" outlineLevel="0" collapsed="false">
      <c r="A167" s="17"/>
      <c r="B167" s="10"/>
      <c r="C167" s="10"/>
      <c r="D167" s="10"/>
      <c r="E167" s="10"/>
      <c r="F167" s="12"/>
      <c r="G167" s="13" t="str">
        <f aca="false">IF(OR($B167="",$F167=""),"",IF(OR($C167="Saldo inicial",$C167="Factura",$C167="Nota de débito"),$F167,0))</f>
        <v/>
      </c>
      <c r="H167" s="13" t="str">
        <f aca="false">IF(OR($B167="",$F167=""),"",IF(OR($C167="Cobro",$C167="Nota de crédito"),$F167,0))</f>
        <v/>
      </c>
      <c r="I167" s="16" t="str">
        <f aca="false">IF(OR($A167="",N($G167)=0),"",$A167+IFERROR(INDEX(Clientes!$F$2:$F$81,MATCH($B167,Clientes!$B$2:$B$81,0)),0))</f>
        <v/>
      </c>
      <c r="J167" s="13" t="str">
        <f aca="false">IF($B167="","",SUMIFS($G$2:$G167,$B$2:$B167,$B167)-SUMIFS($H$2:$H167,$B$2:$B167,$B167))</f>
        <v/>
      </c>
      <c r="K167" s="10"/>
      <c r="L167" s="10"/>
      <c r="M167" s="18" t="str">
        <f aca="false">IF(AND($B167&lt;&gt;"",$B167='Estado de cuenta'!$C$4),COUNTIF($B$2:$B167,'Estado de cuenta'!$C$4),"")</f>
        <v/>
      </c>
    </row>
    <row r="168" customFormat="false" ht="15" hidden="false" customHeight="false" outlineLevel="0" collapsed="false">
      <c r="A168" s="17"/>
      <c r="B168" s="10"/>
      <c r="C168" s="10"/>
      <c r="D168" s="10"/>
      <c r="E168" s="10"/>
      <c r="F168" s="12"/>
      <c r="G168" s="13" t="str">
        <f aca="false">IF(OR($B168="",$F168=""),"",IF(OR($C168="Saldo inicial",$C168="Factura",$C168="Nota de débito"),$F168,0))</f>
        <v/>
      </c>
      <c r="H168" s="13" t="str">
        <f aca="false">IF(OR($B168="",$F168=""),"",IF(OR($C168="Cobro",$C168="Nota de crédito"),$F168,0))</f>
        <v/>
      </c>
      <c r="I168" s="16" t="str">
        <f aca="false">IF(OR($A168="",N($G168)=0),"",$A168+IFERROR(INDEX(Clientes!$F$2:$F$81,MATCH($B168,Clientes!$B$2:$B$81,0)),0))</f>
        <v/>
      </c>
      <c r="J168" s="13" t="str">
        <f aca="false">IF($B168="","",SUMIFS($G$2:$G168,$B$2:$B168,$B168)-SUMIFS($H$2:$H168,$B$2:$B168,$B168))</f>
        <v/>
      </c>
      <c r="K168" s="10"/>
      <c r="L168" s="10"/>
      <c r="M168" s="18" t="str">
        <f aca="false">IF(AND($B168&lt;&gt;"",$B168='Estado de cuenta'!$C$4),COUNTIF($B$2:$B168,'Estado de cuenta'!$C$4),"")</f>
        <v/>
      </c>
    </row>
    <row r="169" customFormat="false" ht="15" hidden="false" customHeight="false" outlineLevel="0" collapsed="false">
      <c r="A169" s="17"/>
      <c r="B169" s="10"/>
      <c r="C169" s="10"/>
      <c r="D169" s="10"/>
      <c r="E169" s="10"/>
      <c r="F169" s="12"/>
      <c r="G169" s="13" t="str">
        <f aca="false">IF(OR($B169="",$F169=""),"",IF(OR($C169="Saldo inicial",$C169="Factura",$C169="Nota de débito"),$F169,0))</f>
        <v/>
      </c>
      <c r="H169" s="13" t="str">
        <f aca="false">IF(OR($B169="",$F169=""),"",IF(OR($C169="Cobro",$C169="Nota de crédito"),$F169,0))</f>
        <v/>
      </c>
      <c r="I169" s="16" t="str">
        <f aca="false">IF(OR($A169="",N($G169)=0),"",$A169+IFERROR(INDEX(Clientes!$F$2:$F$81,MATCH($B169,Clientes!$B$2:$B$81,0)),0))</f>
        <v/>
      </c>
      <c r="J169" s="13" t="str">
        <f aca="false">IF($B169="","",SUMIFS($G$2:$G169,$B$2:$B169,$B169)-SUMIFS($H$2:$H169,$B$2:$B169,$B169))</f>
        <v/>
      </c>
      <c r="K169" s="10"/>
      <c r="L169" s="10"/>
      <c r="M169" s="18" t="str">
        <f aca="false">IF(AND($B169&lt;&gt;"",$B169='Estado de cuenta'!$C$4),COUNTIF($B$2:$B169,'Estado de cuenta'!$C$4),"")</f>
        <v/>
      </c>
    </row>
    <row r="170" customFormat="false" ht="15" hidden="false" customHeight="false" outlineLevel="0" collapsed="false">
      <c r="A170" s="17"/>
      <c r="B170" s="10"/>
      <c r="C170" s="10"/>
      <c r="D170" s="10"/>
      <c r="E170" s="10"/>
      <c r="F170" s="12"/>
      <c r="G170" s="13" t="str">
        <f aca="false">IF(OR($B170="",$F170=""),"",IF(OR($C170="Saldo inicial",$C170="Factura",$C170="Nota de débito"),$F170,0))</f>
        <v/>
      </c>
      <c r="H170" s="13" t="str">
        <f aca="false">IF(OR($B170="",$F170=""),"",IF(OR($C170="Cobro",$C170="Nota de crédito"),$F170,0))</f>
        <v/>
      </c>
      <c r="I170" s="16" t="str">
        <f aca="false">IF(OR($A170="",N($G170)=0),"",$A170+IFERROR(INDEX(Clientes!$F$2:$F$81,MATCH($B170,Clientes!$B$2:$B$81,0)),0))</f>
        <v/>
      </c>
      <c r="J170" s="13" t="str">
        <f aca="false">IF($B170="","",SUMIFS($G$2:$G170,$B$2:$B170,$B170)-SUMIFS($H$2:$H170,$B$2:$B170,$B170))</f>
        <v/>
      </c>
      <c r="K170" s="10"/>
      <c r="L170" s="10"/>
      <c r="M170" s="18" t="str">
        <f aca="false">IF(AND($B170&lt;&gt;"",$B170='Estado de cuenta'!$C$4),COUNTIF($B$2:$B170,'Estado de cuenta'!$C$4),"")</f>
        <v/>
      </c>
    </row>
    <row r="171" customFormat="false" ht="15" hidden="false" customHeight="false" outlineLevel="0" collapsed="false">
      <c r="A171" s="17"/>
      <c r="B171" s="10"/>
      <c r="C171" s="10"/>
      <c r="D171" s="10"/>
      <c r="E171" s="10"/>
      <c r="F171" s="12"/>
      <c r="G171" s="13" t="str">
        <f aca="false">IF(OR($B171="",$F171=""),"",IF(OR($C171="Saldo inicial",$C171="Factura",$C171="Nota de débito"),$F171,0))</f>
        <v/>
      </c>
      <c r="H171" s="13" t="str">
        <f aca="false">IF(OR($B171="",$F171=""),"",IF(OR($C171="Cobro",$C171="Nota de crédito"),$F171,0))</f>
        <v/>
      </c>
      <c r="I171" s="16" t="str">
        <f aca="false">IF(OR($A171="",N($G171)=0),"",$A171+IFERROR(INDEX(Clientes!$F$2:$F$81,MATCH($B171,Clientes!$B$2:$B$81,0)),0))</f>
        <v/>
      </c>
      <c r="J171" s="13" t="str">
        <f aca="false">IF($B171="","",SUMIFS($G$2:$G171,$B$2:$B171,$B171)-SUMIFS($H$2:$H171,$B$2:$B171,$B171))</f>
        <v/>
      </c>
      <c r="K171" s="10"/>
      <c r="L171" s="10"/>
      <c r="M171" s="18" t="str">
        <f aca="false">IF(AND($B171&lt;&gt;"",$B171='Estado de cuenta'!$C$4),COUNTIF($B$2:$B171,'Estado de cuenta'!$C$4),"")</f>
        <v/>
      </c>
    </row>
    <row r="172" customFormat="false" ht="15" hidden="false" customHeight="false" outlineLevel="0" collapsed="false">
      <c r="A172" s="17"/>
      <c r="B172" s="10"/>
      <c r="C172" s="10"/>
      <c r="D172" s="10"/>
      <c r="E172" s="10"/>
      <c r="F172" s="12"/>
      <c r="G172" s="13" t="str">
        <f aca="false">IF(OR($B172="",$F172=""),"",IF(OR($C172="Saldo inicial",$C172="Factura",$C172="Nota de débito"),$F172,0))</f>
        <v/>
      </c>
      <c r="H172" s="13" t="str">
        <f aca="false">IF(OR($B172="",$F172=""),"",IF(OR($C172="Cobro",$C172="Nota de crédito"),$F172,0))</f>
        <v/>
      </c>
      <c r="I172" s="16" t="str">
        <f aca="false">IF(OR($A172="",N($G172)=0),"",$A172+IFERROR(INDEX(Clientes!$F$2:$F$81,MATCH($B172,Clientes!$B$2:$B$81,0)),0))</f>
        <v/>
      </c>
      <c r="J172" s="13" t="str">
        <f aca="false">IF($B172="","",SUMIFS($G$2:$G172,$B$2:$B172,$B172)-SUMIFS($H$2:$H172,$B$2:$B172,$B172))</f>
        <v/>
      </c>
      <c r="K172" s="10"/>
      <c r="L172" s="10"/>
      <c r="M172" s="18" t="str">
        <f aca="false">IF(AND($B172&lt;&gt;"",$B172='Estado de cuenta'!$C$4),COUNTIF($B$2:$B172,'Estado de cuenta'!$C$4),"")</f>
        <v/>
      </c>
    </row>
    <row r="173" customFormat="false" ht="15" hidden="false" customHeight="false" outlineLevel="0" collapsed="false">
      <c r="A173" s="17"/>
      <c r="B173" s="10"/>
      <c r="C173" s="10"/>
      <c r="D173" s="10"/>
      <c r="E173" s="10"/>
      <c r="F173" s="12"/>
      <c r="G173" s="13" t="str">
        <f aca="false">IF(OR($B173="",$F173=""),"",IF(OR($C173="Saldo inicial",$C173="Factura",$C173="Nota de débito"),$F173,0))</f>
        <v/>
      </c>
      <c r="H173" s="13" t="str">
        <f aca="false">IF(OR($B173="",$F173=""),"",IF(OR($C173="Cobro",$C173="Nota de crédito"),$F173,0))</f>
        <v/>
      </c>
      <c r="I173" s="16" t="str">
        <f aca="false">IF(OR($A173="",N($G173)=0),"",$A173+IFERROR(INDEX(Clientes!$F$2:$F$81,MATCH($B173,Clientes!$B$2:$B$81,0)),0))</f>
        <v/>
      </c>
      <c r="J173" s="13" t="str">
        <f aca="false">IF($B173="","",SUMIFS($G$2:$G173,$B$2:$B173,$B173)-SUMIFS($H$2:$H173,$B$2:$B173,$B173))</f>
        <v/>
      </c>
      <c r="K173" s="10"/>
      <c r="L173" s="10"/>
      <c r="M173" s="18" t="str">
        <f aca="false">IF(AND($B173&lt;&gt;"",$B173='Estado de cuenta'!$C$4),COUNTIF($B$2:$B173,'Estado de cuenta'!$C$4),"")</f>
        <v/>
      </c>
    </row>
    <row r="174" customFormat="false" ht="15" hidden="false" customHeight="false" outlineLevel="0" collapsed="false">
      <c r="A174" s="17"/>
      <c r="B174" s="10"/>
      <c r="C174" s="10"/>
      <c r="D174" s="10"/>
      <c r="E174" s="10"/>
      <c r="F174" s="12"/>
      <c r="G174" s="13" t="str">
        <f aca="false">IF(OR($B174="",$F174=""),"",IF(OR($C174="Saldo inicial",$C174="Factura",$C174="Nota de débito"),$F174,0))</f>
        <v/>
      </c>
      <c r="H174" s="13" t="str">
        <f aca="false">IF(OR($B174="",$F174=""),"",IF(OR($C174="Cobro",$C174="Nota de crédito"),$F174,0))</f>
        <v/>
      </c>
      <c r="I174" s="16" t="str">
        <f aca="false">IF(OR($A174="",N($G174)=0),"",$A174+IFERROR(INDEX(Clientes!$F$2:$F$81,MATCH($B174,Clientes!$B$2:$B$81,0)),0))</f>
        <v/>
      </c>
      <c r="J174" s="13" t="str">
        <f aca="false">IF($B174="","",SUMIFS($G$2:$G174,$B$2:$B174,$B174)-SUMIFS($H$2:$H174,$B$2:$B174,$B174))</f>
        <v/>
      </c>
      <c r="K174" s="10"/>
      <c r="L174" s="10"/>
      <c r="M174" s="18" t="str">
        <f aca="false">IF(AND($B174&lt;&gt;"",$B174='Estado de cuenta'!$C$4),COUNTIF($B$2:$B174,'Estado de cuenta'!$C$4),"")</f>
        <v/>
      </c>
    </row>
    <row r="175" customFormat="false" ht="15" hidden="false" customHeight="false" outlineLevel="0" collapsed="false">
      <c r="A175" s="17"/>
      <c r="B175" s="10"/>
      <c r="C175" s="10"/>
      <c r="D175" s="10"/>
      <c r="E175" s="10"/>
      <c r="F175" s="12"/>
      <c r="G175" s="13" t="str">
        <f aca="false">IF(OR($B175="",$F175=""),"",IF(OR($C175="Saldo inicial",$C175="Factura",$C175="Nota de débito"),$F175,0))</f>
        <v/>
      </c>
      <c r="H175" s="13" t="str">
        <f aca="false">IF(OR($B175="",$F175=""),"",IF(OR($C175="Cobro",$C175="Nota de crédito"),$F175,0))</f>
        <v/>
      </c>
      <c r="I175" s="16" t="str">
        <f aca="false">IF(OR($A175="",N($G175)=0),"",$A175+IFERROR(INDEX(Clientes!$F$2:$F$81,MATCH($B175,Clientes!$B$2:$B$81,0)),0))</f>
        <v/>
      </c>
      <c r="J175" s="13" t="str">
        <f aca="false">IF($B175="","",SUMIFS($G$2:$G175,$B$2:$B175,$B175)-SUMIFS($H$2:$H175,$B$2:$B175,$B175))</f>
        <v/>
      </c>
      <c r="K175" s="10"/>
      <c r="L175" s="10"/>
      <c r="M175" s="18" t="str">
        <f aca="false">IF(AND($B175&lt;&gt;"",$B175='Estado de cuenta'!$C$4),COUNTIF($B$2:$B175,'Estado de cuenta'!$C$4),"")</f>
        <v/>
      </c>
    </row>
    <row r="176" customFormat="false" ht="15" hidden="false" customHeight="false" outlineLevel="0" collapsed="false">
      <c r="A176" s="17"/>
      <c r="B176" s="10"/>
      <c r="C176" s="10"/>
      <c r="D176" s="10"/>
      <c r="E176" s="10"/>
      <c r="F176" s="12"/>
      <c r="G176" s="13" t="str">
        <f aca="false">IF(OR($B176="",$F176=""),"",IF(OR($C176="Saldo inicial",$C176="Factura",$C176="Nota de débito"),$F176,0))</f>
        <v/>
      </c>
      <c r="H176" s="13" t="str">
        <f aca="false">IF(OR($B176="",$F176=""),"",IF(OR($C176="Cobro",$C176="Nota de crédito"),$F176,0))</f>
        <v/>
      </c>
      <c r="I176" s="16" t="str">
        <f aca="false">IF(OR($A176="",N($G176)=0),"",$A176+IFERROR(INDEX(Clientes!$F$2:$F$81,MATCH($B176,Clientes!$B$2:$B$81,0)),0))</f>
        <v/>
      </c>
      <c r="J176" s="13" t="str">
        <f aca="false">IF($B176="","",SUMIFS($G$2:$G176,$B$2:$B176,$B176)-SUMIFS($H$2:$H176,$B$2:$B176,$B176))</f>
        <v/>
      </c>
      <c r="K176" s="10"/>
      <c r="L176" s="10"/>
      <c r="M176" s="18" t="str">
        <f aca="false">IF(AND($B176&lt;&gt;"",$B176='Estado de cuenta'!$C$4),COUNTIF($B$2:$B176,'Estado de cuenta'!$C$4),"")</f>
        <v/>
      </c>
    </row>
    <row r="177" customFormat="false" ht="15" hidden="false" customHeight="false" outlineLevel="0" collapsed="false">
      <c r="A177" s="17"/>
      <c r="B177" s="10"/>
      <c r="C177" s="10"/>
      <c r="D177" s="10"/>
      <c r="E177" s="10"/>
      <c r="F177" s="12"/>
      <c r="G177" s="13" t="str">
        <f aca="false">IF(OR($B177="",$F177=""),"",IF(OR($C177="Saldo inicial",$C177="Factura",$C177="Nota de débito"),$F177,0))</f>
        <v/>
      </c>
      <c r="H177" s="13" t="str">
        <f aca="false">IF(OR($B177="",$F177=""),"",IF(OR($C177="Cobro",$C177="Nota de crédito"),$F177,0))</f>
        <v/>
      </c>
      <c r="I177" s="16" t="str">
        <f aca="false">IF(OR($A177="",N($G177)=0),"",$A177+IFERROR(INDEX(Clientes!$F$2:$F$81,MATCH($B177,Clientes!$B$2:$B$81,0)),0))</f>
        <v/>
      </c>
      <c r="J177" s="13" t="str">
        <f aca="false">IF($B177="","",SUMIFS($G$2:$G177,$B$2:$B177,$B177)-SUMIFS($H$2:$H177,$B$2:$B177,$B177))</f>
        <v/>
      </c>
      <c r="K177" s="10"/>
      <c r="L177" s="10"/>
      <c r="M177" s="18" t="str">
        <f aca="false">IF(AND($B177&lt;&gt;"",$B177='Estado de cuenta'!$C$4),COUNTIF($B$2:$B177,'Estado de cuenta'!$C$4),"")</f>
        <v/>
      </c>
    </row>
    <row r="178" customFormat="false" ht="15" hidden="false" customHeight="false" outlineLevel="0" collapsed="false">
      <c r="A178" s="17"/>
      <c r="B178" s="10"/>
      <c r="C178" s="10"/>
      <c r="D178" s="10"/>
      <c r="E178" s="10"/>
      <c r="F178" s="12"/>
      <c r="G178" s="13" t="str">
        <f aca="false">IF(OR($B178="",$F178=""),"",IF(OR($C178="Saldo inicial",$C178="Factura",$C178="Nota de débito"),$F178,0))</f>
        <v/>
      </c>
      <c r="H178" s="13" t="str">
        <f aca="false">IF(OR($B178="",$F178=""),"",IF(OR($C178="Cobro",$C178="Nota de crédito"),$F178,0))</f>
        <v/>
      </c>
      <c r="I178" s="16" t="str">
        <f aca="false">IF(OR($A178="",N($G178)=0),"",$A178+IFERROR(INDEX(Clientes!$F$2:$F$81,MATCH($B178,Clientes!$B$2:$B$81,0)),0))</f>
        <v/>
      </c>
      <c r="J178" s="13" t="str">
        <f aca="false">IF($B178="","",SUMIFS($G$2:$G178,$B$2:$B178,$B178)-SUMIFS($H$2:$H178,$B$2:$B178,$B178))</f>
        <v/>
      </c>
      <c r="K178" s="10"/>
      <c r="L178" s="10"/>
      <c r="M178" s="18" t="str">
        <f aca="false">IF(AND($B178&lt;&gt;"",$B178='Estado de cuenta'!$C$4),COUNTIF($B$2:$B178,'Estado de cuenta'!$C$4),"")</f>
        <v/>
      </c>
    </row>
    <row r="179" customFormat="false" ht="15" hidden="false" customHeight="false" outlineLevel="0" collapsed="false">
      <c r="A179" s="17"/>
      <c r="B179" s="10"/>
      <c r="C179" s="10"/>
      <c r="D179" s="10"/>
      <c r="E179" s="10"/>
      <c r="F179" s="12"/>
      <c r="G179" s="13" t="str">
        <f aca="false">IF(OR($B179="",$F179=""),"",IF(OR($C179="Saldo inicial",$C179="Factura",$C179="Nota de débito"),$F179,0))</f>
        <v/>
      </c>
      <c r="H179" s="13" t="str">
        <f aca="false">IF(OR($B179="",$F179=""),"",IF(OR($C179="Cobro",$C179="Nota de crédito"),$F179,0))</f>
        <v/>
      </c>
      <c r="I179" s="16" t="str">
        <f aca="false">IF(OR($A179="",N($G179)=0),"",$A179+IFERROR(INDEX(Clientes!$F$2:$F$81,MATCH($B179,Clientes!$B$2:$B$81,0)),0))</f>
        <v/>
      </c>
      <c r="J179" s="13" t="str">
        <f aca="false">IF($B179="","",SUMIFS($G$2:$G179,$B$2:$B179,$B179)-SUMIFS($H$2:$H179,$B$2:$B179,$B179))</f>
        <v/>
      </c>
      <c r="K179" s="10"/>
      <c r="L179" s="10"/>
      <c r="M179" s="18" t="str">
        <f aca="false">IF(AND($B179&lt;&gt;"",$B179='Estado de cuenta'!$C$4),COUNTIF($B$2:$B179,'Estado de cuenta'!$C$4),"")</f>
        <v/>
      </c>
    </row>
    <row r="180" customFormat="false" ht="15" hidden="false" customHeight="false" outlineLevel="0" collapsed="false">
      <c r="A180" s="17"/>
      <c r="B180" s="10"/>
      <c r="C180" s="10"/>
      <c r="D180" s="10"/>
      <c r="E180" s="10"/>
      <c r="F180" s="12"/>
      <c r="G180" s="13" t="str">
        <f aca="false">IF(OR($B180="",$F180=""),"",IF(OR($C180="Saldo inicial",$C180="Factura",$C180="Nota de débito"),$F180,0))</f>
        <v/>
      </c>
      <c r="H180" s="13" t="str">
        <f aca="false">IF(OR($B180="",$F180=""),"",IF(OR($C180="Cobro",$C180="Nota de crédito"),$F180,0))</f>
        <v/>
      </c>
      <c r="I180" s="16" t="str">
        <f aca="false">IF(OR($A180="",N($G180)=0),"",$A180+IFERROR(INDEX(Clientes!$F$2:$F$81,MATCH($B180,Clientes!$B$2:$B$81,0)),0))</f>
        <v/>
      </c>
      <c r="J180" s="13" t="str">
        <f aca="false">IF($B180="","",SUMIFS($G$2:$G180,$B$2:$B180,$B180)-SUMIFS($H$2:$H180,$B$2:$B180,$B180))</f>
        <v/>
      </c>
      <c r="K180" s="10"/>
      <c r="L180" s="10"/>
      <c r="M180" s="18" t="str">
        <f aca="false">IF(AND($B180&lt;&gt;"",$B180='Estado de cuenta'!$C$4),COUNTIF($B$2:$B180,'Estado de cuenta'!$C$4),"")</f>
        <v/>
      </c>
    </row>
    <row r="181" customFormat="false" ht="15" hidden="false" customHeight="false" outlineLevel="0" collapsed="false">
      <c r="A181" s="17"/>
      <c r="B181" s="10"/>
      <c r="C181" s="10"/>
      <c r="D181" s="10"/>
      <c r="E181" s="10"/>
      <c r="F181" s="12"/>
      <c r="G181" s="13" t="str">
        <f aca="false">IF(OR($B181="",$F181=""),"",IF(OR($C181="Saldo inicial",$C181="Factura",$C181="Nota de débito"),$F181,0))</f>
        <v/>
      </c>
      <c r="H181" s="13" t="str">
        <f aca="false">IF(OR($B181="",$F181=""),"",IF(OR($C181="Cobro",$C181="Nota de crédito"),$F181,0))</f>
        <v/>
      </c>
      <c r="I181" s="16" t="str">
        <f aca="false">IF(OR($A181="",N($G181)=0),"",$A181+IFERROR(INDEX(Clientes!$F$2:$F$81,MATCH($B181,Clientes!$B$2:$B$81,0)),0))</f>
        <v/>
      </c>
      <c r="J181" s="13" t="str">
        <f aca="false">IF($B181="","",SUMIFS($G$2:$G181,$B$2:$B181,$B181)-SUMIFS($H$2:$H181,$B$2:$B181,$B181))</f>
        <v/>
      </c>
      <c r="K181" s="10"/>
      <c r="L181" s="10"/>
      <c r="M181" s="18" t="str">
        <f aca="false">IF(AND($B181&lt;&gt;"",$B181='Estado de cuenta'!$C$4),COUNTIF($B$2:$B181,'Estado de cuenta'!$C$4),"")</f>
        <v/>
      </c>
    </row>
    <row r="182" customFormat="false" ht="15" hidden="false" customHeight="false" outlineLevel="0" collapsed="false">
      <c r="A182" s="17"/>
      <c r="B182" s="10"/>
      <c r="C182" s="10"/>
      <c r="D182" s="10"/>
      <c r="E182" s="10"/>
      <c r="F182" s="12"/>
      <c r="G182" s="13" t="str">
        <f aca="false">IF(OR($B182="",$F182=""),"",IF(OR($C182="Saldo inicial",$C182="Factura",$C182="Nota de débito"),$F182,0))</f>
        <v/>
      </c>
      <c r="H182" s="13" t="str">
        <f aca="false">IF(OR($B182="",$F182=""),"",IF(OR($C182="Cobro",$C182="Nota de crédito"),$F182,0))</f>
        <v/>
      </c>
      <c r="I182" s="16" t="str">
        <f aca="false">IF(OR($A182="",N($G182)=0),"",$A182+IFERROR(INDEX(Clientes!$F$2:$F$81,MATCH($B182,Clientes!$B$2:$B$81,0)),0))</f>
        <v/>
      </c>
      <c r="J182" s="13" t="str">
        <f aca="false">IF($B182="","",SUMIFS($G$2:$G182,$B$2:$B182,$B182)-SUMIFS($H$2:$H182,$B$2:$B182,$B182))</f>
        <v/>
      </c>
      <c r="K182" s="10"/>
      <c r="L182" s="10"/>
      <c r="M182" s="18" t="str">
        <f aca="false">IF(AND($B182&lt;&gt;"",$B182='Estado de cuenta'!$C$4),COUNTIF($B$2:$B182,'Estado de cuenta'!$C$4),"")</f>
        <v/>
      </c>
    </row>
    <row r="183" customFormat="false" ht="15" hidden="false" customHeight="false" outlineLevel="0" collapsed="false">
      <c r="A183" s="17"/>
      <c r="B183" s="10"/>
      <c r="C183" s="10"/>
      <c r="D183" s="10"/>
      <c r="E183" s="10"/>
      <c r="F183" s="12"/>
      <c r="G183" s="13" t="str">
        <f aca="false">IF(OR($B183="",$F183=""),"",IF(OR($C183="Saldo inicial",$C183="Factura",$C183="Nota de débito"),$F183,0))</f>
        <v/>
      </c>
      <c r="H183" s="13" t="str">
        <f aca="false">IF(OR($B183="",$F183=""),"",IF(OR($C183="Cobro",$C183="Nota de crédito"),$F183,0))</f>
        <v/>
      </c>
      <c r="I183" s="16" t="str">
        <f aca="false">IF(OR($A183="",N($G183)=0),"",$A183+IFERROR(INDEX(Clientes!$F$2:$F$81,MATCH($B183,Clientes!$B$2:$B$81,0)),0))</f>
        <v/>
      </c>
      <c r="J183" s="13" t="str">
        <f aca="false">IF($B183="","",SUMIFS($G$2:$G183,$B$2:$B183,$B183)-SUMIFS($H$2:$H183,$B$2:$B183,$B183))</f>
        <v/>
      </c>
      <c r="K183" s="10"/>
      <c r="L183" s="10"/>
      <c r="M183" s="18" t="str">
        <f aca="false">IF(AND($B183&lt;&gt;"",$B183='Estado de cuenta'!$C$4),COUNTIF($B$2:$B183,'Estado de cuenta'!$C$4),"")</f>
        <v/>
      </c>
    </row>
    <row r="184" customFormat="false" ht="15" hidden="false" customHeight="false" outlineLevel="0" collapsed="false">
      <c r="A184" s="17"/>
      <c r="B184" s="10"/>
      <c r="C184" s="10"/>
      <c r="D184" s="10"/>
      <c r="E184" s="10"/>
      <c r="F184" s="12"/>
      <c r="G184" s="13" t="str">
        <f aca="false">IF(OR($B184="",$F184=""),"",IF(OR($C184="Saldo inicial",$C184="Factura",$C184="Nota de débito"),$F184,0))</f>
        <v/>
      </c>
      <c r="H184" s="13" t="str">
        <f aca="false">IF(OR($B184="",$F184=""),"",IF(OR($C184="Cobro",$C184="Nota de crédito"),$F184,0))</f>
        <v/>
      </c>
      <c r="I184" s="16" t="str">
        <f aca="false">IF(OR($A184="",N($G184)=0),"",$A184+IFERROR(INDEX(Clientes!$F$2:$F$81,MATCH($B184,Clientes!$B$2:$B$81,0)),0))</f>
        <v/>
      </c>
      <c r="J184" s="13" t="str">
        <f aca="false">IF($B184="","",SUMIFS($G$2:$G184,$B$2:$B184,$B184)-SUMIFS($H$2:$H184,$B$2:$B184,$B184))</f>
        <v/>
      </c>
      <c r="K184" s="10"/>
      <c r="L184" s="10"/>
      <c r="M184" s="18" t="str">
        <f aca="false">IF(AND($B184&lt;&gt;"",$B184='Estado de cuenta'!$C$4),COUNTIF($B$2:$B184,'Estado de cuenta'!$C$4),"")</f>
        <v/>
      </c>
    </row>
    <row r="185" customFormat="false" ht="15" hidden="false" customHeight="false" outlineLevel="0" collapsed="false">
      <c r="A185" s="17"/>
      <c r="B185" s="10"/>
      <c r="C185" s="10"/>
      <c r="D185" s="10"/>
      <c r="E185" s="10"/>
      <c r="F185" s="12"/>
      <c r="G185" s="13" t="str">
        <f aca="false">IF(OR($B185="",$F185=""),"",IF(OR($C185="Saldo inicial",$C185="Factura",$C185="Nota de débito"),$F185,0))</f>
        <v/>
      </c>
      <c r="H185" s="13" t="str">
        <f aca="false">IF(OR($B185="",$F185=""),"",IF(OR($C185="Cobro",$C185="Nota de crédito"),$F185,0))</f>
        <v/>
      </c>
      <c r="I185" s="16" t="str">
        <f aca="false">IF(OR($A185="",N($G185)=0),"",$A185+IFERROR(INDEX(Clientes!$F$2:$F$81,MATCH($B185,Clientes!$B$2:$B$81,0)),0))</f>
        <v/>
      </c>
      <c r="J185" s="13" t="str">
        <f aca="false">IF($B185="","",SUMIFS($G$2:$G185,$B$2:$B185,$B185)-SUMIFS($H$2:$H185,$B$2:$B185,$B185))</f>
        <v/>
      </c>
      <c r="K185" s="10"/>
      <c r="L185" s="10"/>
      <c r="M185" s="18" t="str">
        <f aca="false">IF(AND($B185&lt;&gt;"",$B185='Estado de cuenta'!$C$4),COUNTIF($B$2:$B185,'Estado de cuenta'!$C$4),"")</f>
        <v/>
      </c>
    </row>
    <row r="186" customFormat="false" ht="15" hidden="false" customHeight="false" outlineLevel="0" collapsed="false">
      <c r="A186" s="17"/>
      <c r="B186" s="10"/>
      <c r="C186" s="10"/>
      <c r="D186" s="10"/>
      <c r="E186" s="10"/>
      <c r="F186" s="12"/>
      <c r="G186" s="13" t="str">
        <f aca="false">IF(OR($B186="",$F186=""),"",IF(OR($C186="Saldo inicial",$C186="Factura",$C186="Nota de débito"),$F186,0))</f>
        <v/>
      </c>
      <c r="H186" s="13" t="str">
        <f aca="false">IF(OR($B186="",$F186=""),"",IF(OR($C186="Cobro",$C186="Nota de crédito"),$F186,0))</f>
        <v/>
      </c>
      <c r="I186" s="16" t="str">
        <f aca="false">IF(OR($A186="",N($G186)=0),"",$A186+IFERROR(INDEX(Clientes!$F$2:$F$81,MATCH($B186,Clientes!$B$2:$B$81,0)),0))</f>
        <v/>
      </c>
      <c r="J186" s="13" t="str">
        <f aca="false">IF($B186="","",SUMIFS($G$2:$G186,$B$2:$B186,$B186)-SUMIFS($H$2:$H186,$B$2:$B186,$B186))</f>
        <v/>
      </c>
      <c r="K186" s="10"/>
      <c r="L186" s="10"/>
      <c r="M186" s="18" t="str">
        <f aca="false">IF(AND($B186&lt;&gt;"",$B186='Estado de cuenta'!$C$4),COUNTIF($B$2:$B186,'Estado de cuenta'!$C$4),"")</f>
        <v/>
      </c>
    </row>
    <row r="187" customFormat="false" ht="15" hidden="false" customHeight="false" outlineLevel="0" collapsed="false">
      <c r="A187" s="17"/>
      <c r="B187" s="10"/>
      <c r="C187" s="10"/>
      <c r="D187" s="10"/>
      <c r="E187" s="10"/>
      <c r="F187" s="12"/>
      <c r="G187" s="13" t="str">
        <f aca="false">IF(OR($B187="",$F187=""),"",IF(OR($C187="Saldo inicial",$C187="Factura",$C187="Nota de débito"),$F187,0))</f>
        <v/>
      </c>
      <c r="H187" s="13" t="str">
        <f aca="false">IF(OR($B187="",$F187=""),"",IF(OR($C187="Cobro",$C187="Nota de crédito"),$F187,0))</f>
        <v/>
      </c>
      <c r="I187" s="16" t="str">
        <f aca="false">IF(OR($A187="",N($G187)=0),"",$A187+IFERROR(INDEX(Clientes!$F$2:$F$81,MATCH($B187,Clientes!$B$2:$B$81,0)),0))</f>
        <v/>
      </c>
      <c r="J187" s="13" t="str">
        <f aca="false">IF($B187="","",SUMIFS($G$2:$G187,$B$2:$B187,$B187)-SUMIFS($H$2:$H187,$B$2:$B187,$B187))</f>
        <v/>
      </c>
      <c r="K187" s="10"/>
      <c r="L187" s="10"/>
      <c r="M187" s="18" t="str">
        <f aca="false">IF(AND($B187&lt;&gt;"",$B187='Estado de cuenta'!$C$4),COUNTIF($B$2:$B187,'Estado de cuenta'!$C$4),"")</f>
        <v/>
      </c>
    </row>
    <row r="188" customFormat="false" ht="15" hidden="false" customHeight="false" outlineLevel="0" collapsed="false">
      <c r="A188" s="17"/>
      <c r="B188" s="10"/>
      <c r="C188" s="10"/>
      <c r="D188" s="10"/>
      <c r="E188" s="10"/>
      <c r="F188" s="12"/>
      <c r="G188" s="13" t="str">
        <f aca="false">IF(OR($B188="",$F188=""),"",IF(OR($C188="Saldo inicial",$C188="Factura",$C188="Nota de débito"),$F188,0))</f>
        <v/>
      </c>
      <c r="H188" s="13" t="str">
        <f aca="false">IF(OR($B188="",$F188=""),"",IF(OR($C188="Cobro",$C188="Nota de crédito"),$F188,0))</f>
        <v/>
      </c>
      <c r="I188" s="16" t="str">
        <f aca="false">IF(OR($A188="",N($G188)=0),"",$A188+IFERROR(INDEX(Clientes!$F$2:$F$81,MATCH($B188,Clientes!$B$2:$B$81,0)),0))</f>
        <v/>
      </c>
      <c r="J188" s="13" t="str">
        <f aca="false">IF($B188="","",SUMIFS($G$2:$G188,$B$2:$B188,$B188)-SUMIFS($H$2:$H188,$B$2:$B188,$B188))</f>
        <v/>
      </c>
      <c r="K188" s="10"/>
      <c r="L188" s="10"/>
      <c r="M188" s="18" t="str">
        <f aca="false">IF(AND($B188&lt;&gt;"",$B188='Estado de cuenta'!$C$4),COUNTIF($B$2:$B188,'Estado de cuenta'!$C$4),"")</f>
        <v/>
      </c>
    </row>
    <row r="189" customFormat="false" ht="15" hidden="false" customHeight="false" outlineLevel="0" collapsed="false">
      <c r="A189" s="17"/>
      <c r="B189" s="10"/>
      <c r="C189" s="10"/>
      <c r="D189" s="10"/>
      <c r="E189" s="10"/>
      <c r="F189" s="12"/>
      <c r="G189" s="13" t="str">
        <f aca="false">IF(OR($B189="",$F189=""),"",IF(OR($C189="Saldo inicial",$C189="Factura",$C189="Nota de débito"),$F189,0))</f>
        <v/>
      </c>
      <c r="H189" s="13" t="str">
        <f aca="false">IF(OR($B189="",$F189=""),"",IF(OR($C189="Cobro",$C189="Nota de crédito"),$F189,0))</f>
        <v/>
      </c>
      <c r="I189" s="16" t="str">
        <f aca="false">IF(OR($A189="",N($G189)=0),"",$A189+IFERROR(INDEX(Clientes!$F$2:$F$81,MATCH($B189,Clientes!$B$2:$B$81,0)),0))</f>
        <v/>
      </c>
      <c r="J189" s="13" t="str">
        <f aca="false">IF($B189="","",SUMIFS($G$2:$G189,$B$2:$B189,$B189)-SUMIFS($H$2:$H189,$B$2:$B189,$B189))</f>
        <v/>
      </c>
      <c r="K189" s="10"/>
      <c r="L189" s="10"/>
      <c r="M189" s="18" t="str">
        <f aca="false">IF(AND($B189&lt;&gt;"",$B189='Estado de cuenta'!$C$4),COUNTIF($B$2:$B189,'Estado de cuenta'!$C$4),"")</f>
        <v/>
      </c>
    </row>
    <row r="190" customFormat="false" ht="15" hidden="false" customHeight="false" outlineLevel="0" collapsed="false">
      <c r="A190" s="17"/>
      <c r="B190" s="10"/>
      <c r="C190" s="10"/>
      <c r="D190" s="10"/>
      <c r="E190" s="10"/>
      <c r="F190" s="12"/>
      <c r="G190" s="13" t="str">
        <f aca="false">IF(OR($B190="",$F190=""),"",IF(OR($C190="Saldo inicial",$C190="Factura",$C190="Nota de débito"),$F190,0))</f>
        <v/>
      </c>
      <c r="H190" s="13" t="str">
        <f aca="false">IF(OR($B190="",$F190=""),"",IF(OR($C190="Cobro",$C190="Nota de crédito"),$F190,0))</f>
        <v/>
      </c>
      <c r="I190" s="16" t="str">
        <f aca="false">IF(OR($A190="",N($G190)=0),"",$A190+IFERROR(INDEX(Clientes!$F$2:$F$81,MATCH($B190,Clientes!$B$2:$B$81,0)),0))</f>
        <v/>
      </c>
      <c r="J190" s="13" t="str">
        <f aca="false">IF($B190="","",SUMIFS($G$2:$G190,$B$2:$B190,$B190)-SUMIFS($H$2:$H190,$B$2:$B190,$B190))</f>
        <v/>
      </c>
      <c r="K190" s="10"/>
      <c r="L190" s="10"/>
      <c r="M190" s="18" t="str">
        <f aca="false">IF(AND($B190&lt;&gt;"",$B190='Estado de cuenta'!$C$4),COUNTIF($B$2:$B190,'Estado de cuenta'!$C$4),"")</f>
        <v/>
      </c>
    </row>
    <row r="191" customFormat="false" ht="15" hidden="false" customHeight="false" outlineLevel="0" collapsed="false">
      <c r="A191" s="17"/>
      <c r="B191" s="10"/>
      <c r="C191" s="10"/>
      <c r="D191" s="10"/>
      <c r="E191" s="10"/>
      <c r="F191" s="12"/>
      <c r="G191" s="13" t="str">
        <f aca="false">IF(OR($B191="",$F191=""),"",IF(OR($C191="Saldo inicial",$C191="Factura",$C191="Nota de débito"),$F191,0))</f>
        <v/>
      </c>
      <c r="H191" s="13" t="str">
        <f aca="false">IF(OR($B191="",$F191=""),"",IF(OR($C191="Cobro",$C191="Nota de crédito"),$F191,0))</f>
        <v/>
      </c>
      <c r="I191" s="16" t="str">
        <f aca="false">IF(OR($A191="",N($G191)=0),"",$A191+IFERROR(INDEX(Clientes!$F$2:$F$81,MATCH($B191,Clientes!$B$2:$B$81,0)),0))</f>
        <v/>
      </c>
      <c r="J191" s="13" t="str">
        <f aca="false">IF($B191="","",SUMIFS($G$2:$G191,$B$2:$B191,$B191)-SUMIFS($H$2:$H191,$B$2:$B191,$B191))</f>
        <v/>
      </c>
      <c r="K191" s="10"/>
      <c r="L191" s="10"/>
      <c r="M191" s="18" t="str">
        <f aca="false">IF(AND($B191&lt;&gt;"",$B191='Estado de cuenta'!$C$4),COUNTIF($B$2:$B191,'Estado de cuenta'!$C$4),"")</f>
        <v/>
      </c>
    </row>
    <row r="192" customFormat="false" ht="15" hidden="false" customHeight="false" outlineLevel="0" collapsed="false">
      <c r="A192" s="17"/>
      <c r="B192" s="10"/>
      <c r="C192" s="10"/>
      <c r="D192" s="10"/>
      <c r="E192" s="10"/>
      <c r="F192" s="12"/>
      <c r="G192" s="13" t="str">
        <f aca="false">IF(OR($B192="",$F192=""),"",IF(OR($C192="Saldo inicial",$C192="Factura",$C192="Nota de débito"),$F192,0))</f>
        <v/>
      </c>
      <c r="H192" s="13" t="str">
        <f aca="false">IF(OR($B192="",$F192=""),"",IF(OR($C192="Cobro",$C192="Nota de crédito"),$F192,0))</f>
        <v/>
      </c>
      <c r="I192" s="16" t="str">
        <f aca="false">IF(OR($A192="",N($G192)=0),"",$A192+IFERROR(INDEX(Clientes!$F$2:$F$81,MATCH($B192,Clientes!$B$2:$B$81,0)),0))</f>
        <v/>
      </c>
      <c r="J192" s="13" t="str">
        <f aca="false">IF($B192="","",SUMIFS($G$2:$G192,$B$2:$B192,$B192)-SUMIFS($H$2:$H192,$B$2:$B192,$B192))</f>
        <v/>
      </c>
      <c r="K192" s="10"/>
      <c r="L192" s="10"/>
      <c r="M192" s="18" t="str">
        <f aca="false">IF(AND($B192&lt;&gt;"",$B192='Estado de cuenta'!$C$4),COUNTIF($B$2:$B192,'Estado de cuenta'!$C$4),"")</f>
        <v/>
      </c>
    </row>
    <row r="193" customFormat="false" ht="15" hidden="false" customHeight="false" outlineLevel="0" collapsed="false">
      <c r="A193" s="17"/>
      <c r="B193" s="10"/>
      <c r="C193" s="10"/>
      <c r="D193" s="10"/>
      <c r="E193" s="10"/>
      <c r="F193" s="12"/>
      <c r="G193" s="13" t="str">
        <f aca="false">IF(OR($B193="",$F193=""),"",IF(OR($C193="Saldo inicial",$C193="Factura",$C193="Nota de débito"),$F193,0))</f>
        <v/>
      </c>
      <c r="H193" s="13" t="str">
        <f aca="false">IF(OR($B193="",$F193=""),"",IF(OR($C193="Cobro",$C193="Nota de crédito"),$F193,0))</f>
        <v/>
      </c>
      <c r="I193" s="16" t="str">
        <f aca="false">IF(OR($A193="",N($G193)=0),"",$A193+IFERROR(INDEX(Clientes!$F$2:$F$81,MATCH($B193,Clientes!$B$2:$B$81,0)),0))</f>
        <v/>
      </c>
      <c r="J193" s="13" t="str">
        <f aca="false">IF($B193="","",SUMIFS($G$2:$G193,$B$2:$B193,$B193)-SUMIFS($H$2:$H193,$B$2:$B193,$B193))</f>
        <v/>
      </c>
      <c r="K193" s="10"/>
      <c r="L193" s="10"/>
      <c r="M193" s="18" t="str">
        <f aca="false">IF(AND($B193&lt;&gt;"",$B193='Estado de cuenta'!$C$4),COUNTIF($B$2:$B193,'Estado de cuenta'!$C$4),"")</f>
        <v/>
      </c>
    </row>
    <row r="194" customFormat="false" ht="15" hidden="false" customHeight="false" outlineLevel="0" collapsed="false">
      <c r="A194" s="17"/>
      <c r="B194" s="10"/>
      <c r="C194" s="10"/>
      <c r="D194" s="10"/>
      <c r="E194" s="10"/>
      <c r="F194" s="12"/>
      <c r="G194" s="13" t="str">
        <f aca="false">IF(OR($B194="",$F194=""),"",IF(OR($C194="Saldo inicial",$C194="Factura",$C194="Nota de débito"),$F194,0))</f>
        <v/>
      </c>
      <c r="H194" s="13" t="str">
        <f aca="false">IF(OR($B194="",$F194=""),"",IF(OR($C194="Cobro",$C194="Nota de crédito"),$F194,0))</f>
        <v/>
      </c>
      <c r="I194" s="16" t="str">
        <f aca="false">IF(OR($A194="",N($G194)=0),"",$A194+IFERROR(INDEX(Clientes!$F$2:$F$81,MATCH($B194,Clientes!$B$2:$B$81,0)),0))</f>
        <v/>
      </c>
      <c r="J194" s="13" t="str">
        <f aca="false">IF($B194="","",SUMIFS($G$2:$G194,$B$2:$B194,$B194)-SUMIFS($H$2:$H194,$B$2:$B194,$B194))</f>
        <v/>
      </c>
      <c r="K194" s="10"/>
      <c r="L194" s="10"/>
      <c r="M194" s="18" t="str">
        <f aca="false">IF(AND($B194&lt;&gt;"",$B194='Estado de cuenta'!$C$4),COUNTIF($B$2:$B194,'Estado de cuenta'!$C$4),"")</f>
        <v/>
      </c>
    </row>
    <row r="195" customFormat="false" ht="15" hidden="false" customHeight="false" outlineLevel="0" collapsed="false">
      <c r="A195" s="17"/>
      <c r="B195" s="10"/>
      <c r="C195" s="10"/>
      <c r="D195" s="10"/>
      <c r="E195" s="10"/>
      <c r="F195" s="12"/>
      <c r="G195" s="13" t="str">
        <f aca="false">IF(OR($B195="",$F195=""),"",IF(OR($C195="Saldo inicial",$C195="Factura",$C195="Nota de débito"),$F195,0))</f>
        <v/>
      </c>
      <c r="H195" s="13" t="str">
        <f aca="false">IF(OR($B195="",$F195=""),"",IF(OR($C195="Cobro",$C195="Nota de crédito"),$F195,0))</f>
        <v/>
      </c>
      <c r="I195" s="16" t="str">
        <f aca="false">IF(OR($A195="",N($G195)=0),"",$A195+IFERROR(INDEX(Clientes!$F$2:$F$81,MATCH($B195,Clientes!$B$2:$B$81,0)),0))</f>
        <v/>
      </c>
      <c r="J195" s="13" t="str">
        <f aca="false">IF($B195="","",SUMIFS($G$2:$G195,$B$2:$B195,$B195)-SUMIFS($H$2:$H195,$B$2:$B195,$B195))</f>
        <v/>
      </c>
      <c r="K195" s="10"/>
      <c r="L195" s="10"/>
      <c r="M195" s="18" t="str">
        <f aca="false">IF(AND($B195&lt;&gt;"",$B195='Estado de cuenta'!$C$4),COUNTIF($B$2:$B195,'Estado de cuenta'!$C$4),"")</f>
        <v/>
      </c>
    </row>
    <row r="196" customFormat="false" ht="15" hidden="false" customHeight="false" outlineLevel="0" collapsed="false">
      <c r="A196" s="17"/>
      <c r="B196" s="10"/>
      <c r="C196" s="10"/>
      <c r="D196" s="10"/>
      <c r="E196" s="10"/>
      <c r="F196" s="12"/>
      <c r="G196" s="13" t="str">
        <f aca="false">IF(OR($B196="",$F196=""),"",IF(OR($C196="Saldo inicial",$C196="Factura",$C196="Nota de débito"),$F196,0))</f>
        <v/>
      </c>
      <c r="H196" s="13" t="str">
        <f aca="false">IF(OR($B196="",$F196=""),"",IF(OR($C196="Cobro",$C196="Nota de crédito"),$F196,0))</f>
        <v/>
      </c>
      <c r="I196" s="16" t="str">
        <f aca="false">IF(OR($A196="",N($G196)=0),"",$A196+IFERROR(INDEX(Clientes!$F$2:$F$81,MATCH($B196,Clientes!$B$2:$B$81,0)),0))</f>
        <v/>
      </c>
      <c r="J196" s="13" t="str">
        <f aca="false">IF($B196="","",SUMIFS($G$2:$G196,$B$2:$B196,$B196)-SUMIFS($H$2:$H196,$B$2:$B196,$B196))</f>
        <v/>
      </c>
      <c r="K196" s="10"/>
      <c r="L196" s="10"/>
      <c r="M196" s="18" t="str">
        <f aca="false">IF(AND($B196&lt;&gt;"",$B196='Estado de cuenta'!$C$4),COUNTIF($B$2:$B196,'Estado de cuenta'!$C$4),"")</f>
        <v/>
      </c>
    </row>
    <row r="197" customFormat="false" ht="15" hidden="false" customHeight="false" outlineLevel="0" collapsed="false">
      <c r="A197" s="17"/>
      <c r="B197" s="10"/>
      <c r="C197" s="10"/>
      <c r="D197" s="10"/>
      <c r="E197" s="10"/>
      <c r="F197" s="12"/>
      <c r="G197" s="13" t="str">
        <f aca="false">IF(OR($B197="",$F197=""),"",IF(OR($C197="Saldo inicial",$C197="Factura",$C197="Nota de débito"),$F197,0))</f>
        <v/>
      </c>
      <c r="H197" s="13" t="str">
        <f aca="false">IF(OR($B197="",$F197=""),"",IF(OR($C197="Cobro",$C197="Nota de crédito"),$F197,0))</f>
        <v/>
      </c>
      <c r="I197" s="16" t="str">
        <f aca="false">IF(OR($A197="",N($G197)=0),"",$A197+IFERROR(INDEX(Clientes!$F$2:$F$81,MATCH($B197,Clientes!$B$2:$B$81,0)),0))</f>
        <v/>
      </c>
      <c r="J197" s="13" t="str">
        <f aca="false">IF($B197="","",SUMIFS($G$2:$G197,$B$2:$B197,$B197)-SUMIFS($H$2:$H197,$B$2:$B197,$B197))</f>
        <v/>
      </c>
      <c r="K197" s="10"/>
      <c r="L197" s="10"/>
      <c r="M197" s="18" t="str">
        <f aca="false">IF(AND($B197&lt;&gt;"",$B197='Estado de cuenta'!$C$4),COUNTIF($B$2:$B197,'Estado de cuenta'!$C$4),"")</f>
        <v/>
      </c>
    </row>
    <row r="198" customFormat="false" ht="15" hidden="false" customHeight="false" outlineLevel="0" collapsed="false">
      <c r="A198" s="17"/>
      <c r="B198" s="10"/>
      <c r="C198" s="10"/>
      <c r="D198" s="10"/>
      <c r="E198" s="10"/>
      <c r="F198" s="12"/>
      <c r="G198" s="13" t="str">
        <f aca="false">IF(OR($B198="",$F198=""),"",IF(OR($C198="Saldo inicial",$C198="Factura",$C198="Nota de débito"),$F198,0))</f>
        <v/>
      </c>
      <c r="H198" s="13" t="str">
        <f aca="false">IF(OR($B198="",$F198=""),"",IF(OR($C198="Cobro",$C198="Nota de crédito"),$F198,0))</f>
        <v/>
      </c>
      <c r="I198" s="16" t="str">
        <f aca="false">IF(OR($A198="",N($G198)=0),"",$A198+IFERROR(INDEX(Clientes!$F$2:$F$81,MATCH($B198,Clientes!$B$2:$B$81,0)),0))</f>
        <v/>
      </c>
      <c r="J198" s="13" t="str">
        <f aca="false">IF($B198="","",SUMIFS($G$2:$G198,$B$2:$B198,$B198)-SUMIFS($H$2:$H198,$B$2:$B198,$B198))</f>
        <v/>
      </c>
      <c r="K198" s="10"/>
      <c r="L198" s="10"/>
      <c r="M198" s="18" t="str">
        <f aca="false">IF(AND($B198&lt;&gt;"",$B198='Estado de cuenta'!$C$4),COUNTIF($B$2:$B198,'Estado de cuenta'!$C$4),"")</f>
        <v/>
      </c>
    </row>
    <row r="199" customFormat="false" ht="15" hidden="false" customHeight="false" outlineLevel="0" collapsed="false">
      <c r="A199" s="17"/>
      <c r="B199" s="10"/>
      <c r="C199" s="10"/>
      <c r="D199" s="10"/>
      <c r="E199" s="10"/>
      <c r="F199" s="12"/>
      <c r="G199" s="13" t="str">
        <f aca="false">IF(OR($B199="",$F199=""),"",IF(OR($C199="Saldo inicial",$C199="Factura",$C199="Nota de débito"),$F199,0))</f>
        <v/>
      </c>
      <c r="H199" s="13" t="str">
        <f aca="false">IF(OR($B199="",$F199=""),"",IF(OR($C199="Cobro",$C199="Nota de crédito"),$F199,0))</f>
        <v/>
      </c>
      <c r="I199" s="16" t="str">
        <f aca="false">IF(OR($A199="",N($G199)=0),"",$A199+IFERROR(INDEX(Clientes!$F$2:$F$81,MATCH($B199,Clientes!$B$2:$B$81,0)),0))</f>
        <v/>
      </c>
      <c r="J199" s="13" t="str">
        <f aca="false">IF($B199="","",SUMIFS($G$2:$G199,$B$2:$B199,$B199)-SUMIFS($H$2:$H199,$B$2:$B199,$B199))</f>
        <v/>
      </c>
      <c r="K199" s="10"/>
      <c r="L199" s="10"/>
      <c r="M199" s="18" t="str">
        <f aca="false">IF(AND($B199&lt;&gt;"",$B199='Estado de cuenta'!$C$4),COUNTIF($B$2:$B199,'Estado de cuenta'!$C$4),"")</f>
        <v/>
      </c>
    </row>
    <row r="200" customFormat="false" ht="15" hidden="false" customHeight="false" outlineLevel="0" collapsed="false">
      <c r="A200" s="17"/>
      <c r="B200" s="10"/>
      <c r="C200" s="10"/>
      <c r="D200" s="10"/>
      <c r="E200" s="10"/>
      <c r="F200" s="12"/>
      <c r="G200" s="13" t="str">
        <f aca="false">IF(OR($B200="",$F200=""),"",IF(OR($C200="Saldo inicial",$C200="Factura",$C200="Nota de débito"),$F200,0))</f>
        <v/>
      </c>
      <c r="H200" s="13" t="str">
        <f aca="false">IF(OR($B200="",$F200=""),"",IF(OR($C200="Cobro",$C200="Nota de crédito"),$F200,0))</f>
        <v/>
      </c>
      <c r="I200" s="16" t="str">
        <f aca="false">IF(OR($A200="",N($G200)=0),"",$A200+IFERROR(INDEX(Clientes!$F$2:$F$81,MATCH($B200,Clientes!$B$2:$B$81,0)),0))</f>
        <v/>
      </c>
      <c r="J200" s="13" t="str">
        <f aca="false">IF($B200="","",SUMIFS($G$2:$G200,$B$2:$B200,$B200)-SUMIFS($H$2:$H200,$B$2:$B200,$B200))</f>
        <v/>
      </c>
      <c r="K200" s="10"/>
      <c r="L200" s="10"/>
      <c r="M200" s="18" t="str">
        <f aca="false">IF(AND($B200&lt;&gt;"",$B200='Estado de cuenta'!$C$4),COUNTIF($B$2:$B200,'Estado de cuenta'!$C$4),"")</f>
        <v/>
      </c>
    </row>
    <row r="201" customFormat="false" ht="15" hidden="false" customHeight="false" outlineLevel="0" collapsed="false">
      <c r="A201" s="17"/>
      <c r="B201" s="10"/>
      <c r="C201" s="10"/>
      <c r="D201" s="10"/>
      <c r="E201" s="10"/>
      <c r="F201" s="12"/>
      <c r="G201" s="13" t="str">
        <f aca="false">IF(OR($B201="",$F201=""),"",IF(OR($C201="Saldo inicial",$C201="Factura",$C201="Nota de débito"),$F201,0))</f>
        <v/>
      </c>
      <c r="H201" s="13" t="str">
        <f aca="false">IF(OR($B201="",$F201=""),"",IF(OR($C201="Cobro",$C201="Nota de crédito"),$F201,0))</f>
        <v/>
      </c>
      <c r="I201" s="16" t="str">
        <f aca="false">IF(OR($A201="",N($G201)=0),"",$A201+IFERROR(INDEX(Clientes!$F$2:$F$81,MATCH($B201,Clientes!$B$2:$B$81,0)),0))</f>
        <v/>
      </c>
      <c r="J201" s="13" t="str">
        <f aca="false">IF($B201="","",SUMIFS($G$2:$G201,$B$2:$B201,$B201)-SUMIFS($H$2:$H201,$B$2:$B201,$B201))</f>
        <v/>
      </c>
      <c r="K201" s="10"/>
      <c r="L201" s="10"/>
      <c r="M201" s="18" t="str">
        <f aca="false">IF(AND($B201&lt;&gt;"",$B201='Estado de cuenta'!$C$4),COUNTIF($B$2:$B201,'Estado de cuenta'!$C$4),"")</f>
        <v/>
      </c>
    </row>
    <row r="202" customFormat="false" ht="15" hidden="false" customHeight="false" outlineLevel="0" collapsed="false">
      <c r="A202" s="17"/>
      <c r="B202" s="10"/>
      <c r="C202" s="10"/>
      <c r="D202" s="10"/>
      <c r="E202" s="10"/>
      <c r="F202" s="12"/>
      <c r="G202" s="13" t="str">
        <f aca="false">IF(OR($B202="",$F202=""),"",IF(OR($C202="Saldo inicial",$C202="Factura",$C202="Nota de débito"),$F202,0))</f>
        <v/>
      </c>
      <c r="H202" s="13" t="str">
        <f aca="false">IF(OR($B202="",$F202=""),"",IF(OR($C202="Cobro",$C202="Nota de crédito"),$F202,0))</f>
        <v/>
      </c>
      <c r="I202" s="16" t="str">
        <f aca="false">IF(OR($A202="",N($G202)=0),"",$A202+IFERROR(INDEX(Clientes!$F$2:$F$81,MATCH($B202,Clientes!$B$2:$B$81,0)),0))</f>
        <v/>
      </c>
      <c r="J202" s="13" t="str">
        <f aca="false">IF($B202="","",SUMIFS($G$2:$G202,$B$2:$B202,$B202)-SUMIFS($H$2:$H202,$B$2:$B202,$B202))</f>
        <v/>
      </c>
      <c r="K202" s="10"/>
      <c r="L202" s="10"/>
      <c r="M202" s="18" t="str">
        <f aca="false">IF(AND($B202&lt;&gt;"",$B202='Estado de cuenta'!$C$4),COUNTIF($B$2:$B202,'Estado de cuenta'!$C$4),"")</f>
        <v/>
      </c>
    </row>
    <row r="203" customFormat="false" ht="15" hidden="false" customHeight="false" outlineLevel="0" collapsed="false">
      <c r="A203" s="17"/>
      <c r="B203" s="10"/>
      <c r="C203" s="10"/>
      <c r="D203" s="10"/>
      <c r="E203" s="10"/>
      <c r="F203" s="12"/>
      <c r="G203" s="13" t="str">
        <f aca="false">IF(OR($B203="",$F203=""),"",IF(OR($C203="Saldo inicial",$C203="Factura",$C203="Nota de débito"),$F203,0))</f>
        <v/>
      </c>
      <c r="H203" s="13" t="str">
        <f aca="false">IF(OR($B203="",$F203=""),"",IF(OR($C203="Cobro",$C203="Nota de crédito"),$F203,0))</f>
        <v/>
      </c>
      <c r="I203" s="16" t="str">
        <f aca="false">IF(OR($A203="",N($G203)=0),"",$A203+IFERROR(INDEX(Clientes!$F$2:$F$81,MATCH($B203,Clientes!$B$2:$B$81,0)),0))</f>
        <v/>
      </c>
      <c r="J203" s="13" t="str">
        <f aca="false">IF($B203="","",SUMIFS($G$2:$G203,$B$2:$B203,$B203)-SUMIFS($H$2:$H203,$B$2:$B203,$B203))</f>
        <v/>
      </c>
      <c r="K203" s="10"/>
      <c r="L203" s="10"/>
      <c r="M203" s="18" t="str">
        <f aca="false">IF(AND($B203&lt;&gt;"",$B203='Estado de cuenta'!$C$4),COUNTIF($B$2:$B203,'Estado de cuenta'!$C$4),"")</f>
        <v/>
      </c>
    </row>
    <row r="204" customFormat="false" ht="15" hidden="false" customHeight="false" outlineLevel="0" collapsed="false">
      <c r="A204" s="17"/>
      <c r="B204" s="10"/>
      <c r="C204" s="10"/>
      <c r="D204" s="10"/>
      <c r="E204" s="10"/>
      <c r="F204" s="12"/>
      <c r="G204" s="13" t="str">
        <f aca="false">IF(OR($B204="",$F204=""),"",IF(OR($C204="Saldo inicial",$C204="Factura",$C204="Nota de débito"),$F204,0))</f>
        <v/>
      </c>
      <c r="H204" s="13" t="str">
        <f aca="false">IF(OR($B204="",$F204=""),"",IF(OR($C204="Cobro",$C204="Nota de crédito"),$F204,0))</f>
        <v/>
      </c>
      <c r="I204" s="16" t="str">
        <f aca="false">IF(OR($A204="",N($G204)=0),"",$A204+IFERROR(INDEX(Clientes!$F$2:$F$81,MATCH($B204,Clientes!$B$2:$B$81,0)),0))</f>
        <v/>
      </c>
      <c r="J204" s="13" t="str">
        <f aca="false">IF($B204="","",SUMIFS($G$2:$G204,$B$2:$B204,$B204)-SUMIFS($H$2:$H204,$B$2:$B204,$B204))</f>
        <v/>
      </c>
      <c r="K204" s="10"/>
      <c r="L204" s="10"/>
      <c r="M204" s="18" t="str">
        <f aca="false">IF(AND($B204&lt;&gt;"",$B204='Estado de cuenta'!$C$4),COUNTIF($B$2:$B204,'Estado de cuenta'!$C$4),"")</f>
        <v/>
      </c>
    </row>
    <row r="205" customFormat="false" ht="15" hidden="false" customHeight="false" outlineLevel="0" collapsed="false">
      <c r="A205" s="17"/>
      <c r="B205" s="10"/>
      <c r="C205" s="10"/>
      <c r="D205" s="10"/>
      <c r="E205" s="10"/>
      <c r="F205" s="12"/>
      <c r="G205" s="13" t="str">
        <f aca="false">IF(OR($B205="",$F205=""),"",IF(OR($C205="Saldo inicial",$C205="Factura",$C205="Nota de débito"),$F205,0))</f>
        <v/>
      </c>
      <c r="H205" s="13" t="str">
        <f aca="false">IF(OR($B205="",$F205=""),"",IF(OR($C205="Cobro",$C205="Nota de crédito"),$F205,0))</f>
        <v/>
      </c>
      <c r="I205" s="16" t="str">
        <f aca="false">IF(OR($A205="",N($G205)=0),"",$A205+IFERROR(INDEX(Clientes!$F$2:$F$81,MATCH($B205,Clientes!$B$2:$B$81,0)),0))</f>
        <v/>
      </c>
      <c r="J205" s="13" t="str">
        <f aca="false">IF($B205="","",SUMIFS($G$2:$G205,$B$2:$B205,$B205)-SUMIFS($H$2:$H205,$B$2:$B205,$B205))</f>
        <v/>
      </c>
      <c r="K205" s="10"/>
      <c r="L205" s="10"/>
      <c r="M205" s="18" t="str">
        <f aca="false">IF(AND($B205&lt;&gt;"",$B205='Estado de cuenta'!$C$4),COUNTIF($B$2:$B205,'Estado de cuenta'!$C$4),"")</f>
        <v/>
      </c>
    </row>
    <row r="206" customFormat="false" ht="15" hidden="false" customHeight="false" outlineLevel="0" collapsed="false">
      <c r="A206" s="17"/>
      <c r="B206" s="10"/>
      <c r="C206" s="10"/>
      <c r="D206" s="10"/>
      <c r="E206" s="10"/>
      <c r="F206" s="12"/>
      <c r="G206" s="13" t="str">
        <f aca="false">IF(OR($B206="",$F206=""),"",IF(OR($C206="Saldo inicial",$C206="Factura",$C206="Nota de débito"),$F206,0))</f>
        <v/>
      </c>
      <c r="H206" s="13" t="str">
        <f aca="false">IF(OR($B206="",$F206=""),"",IF(OR($C206="Cobro",$C206="Nota de crédito"),$F206,0))</f>
        <v/>
      </c>
      <c r="I206" s="16" t="str">
        <f aca="false">IF(OR($A206="",N($G206)=0),"",$A206+IFERROR(INDEX(Clientes!$F$2:$F$81,MATCH($B206,Clientes!$B$2:$B$81,0)),0))</f>
        <v/>
      </c>
      <c r="J206" s="13" t="str">
        <f aca="false">IF($B206="","",SUMIFS($G$2:$G206,$B$2:$B206,$B206)-SUMIFS($H$2:$H206,$B$2:$B206,$B206))</f>
        <v/>
      </c>
      <c r="K206" s="10"/>
      <c r="L206" s="10"/>
      <c r="M206" s="18" t="str">
        <f aca="false">IF(AND($B206&lt;&gt;"",$B206='Estado de cuenta'!$C$4),COUNTIF($B$2:$B206,'Estado de cuenta'!$C$4),"")</f>
        <v/>
      </c>
    </row>
    <row r="207" customFormat="false" ht="15" hidden="false" customHeight="false" outlineLevel="0" collapsed="false">
      <c r="A207" s="17"/>
      <c r="B207" s="10"/>
      <c r="C207" s="10"/>
      <c r="D207" s="10"/>
      <c r="E207" s="10"/>
      <c r="F207" s="12"/>
      <c r="G207" s="13" t="str">
        <f aca="false">IF(OR($B207="",$F207=""),"",IF(OR($C207="Saldo inicial",$C207="Factura",$C207="Nota de débito"),$F207,0))</f>
        <v/>
      </c>
      <c r="H207" s="13" t="str">
        <f aca="false">IF(OR($B207="",$F207=""),"",IF(OR($C207="Cobro",$C207="Nota de crédito"),$F207,0))</f>
        <v/>
      </c>
      <c r="I207" s="16" t="str">
        <f aca="false">IF(OR($A207="",N($G207)=0),"",$A207+IFERROR(INDEX(Clientes!$F$2:$F$81,MATCH($B207,Clientes!$B$2:$B$81,0)),0))</f>
        <v/>
      </c>
      <c r="J207" s="13" t="str">
        <f aca="false">IF($B207="","",SUMIFS($G$2:$G207,$B$2:$B207,$B207)-SUMIFS($H$2:$H207,$B$2:$B207,$B207))</f>
        <v/>
      </c>
      <c r="K207" s="10"/>
      <c r="L207" s="10"/>
      <c r="M207" s="18" t="str">
        <f aca="false">IF(AND($B207&lt;&gt;"",$B207='Estado de cuenta'!$C$4),COUNTIF($B$2:$B207,'Estado de cuenta'!$C$4),"")</f>
        <v/>
      </c>
    </row>
    <row r="208" customFormat="false" ht="15" hidden="false" customHeight="false" outlineLevel="0" collapsed="false">
      <c r="A208" s="17"/>
      <c r="B208" s="10"/>
      <c r="C208" s="10"/>
      <c r="D208" s="10"/>
      <c r="E208" s="10"/>
      <c r="F208" s="12"/>
      <c r="G208" s="13" t="str">
        <f aca="false">IF(OR($B208="",$F208=""),"",IF(OR($C208="Saldo inicial",$C208="Factura",$C208="Nota de débito"),$F208,0))</f>
        <v/>
      </c>
      <c r="H208" s="13" t="str">
        <f aca="false">IF(OR($B208="",$F208=""),"",IF(OR($C208="Cobro",$C208="Nota de crédito"),$F208,0))</f>
        <v/>
      </c>
      <c r="I208" s="16" t="str">
        <f aca="false">IF(OR($A208="",N($G208)=0),"",$A208+IFERROR(INDEX(Clientes!$F$2:$F$81,MATCH($B208,Clientes!$B$2:$B$81,0)),0))</f>
        <v/>
      </c>
      <c r="J208" s="13" t="str">
        <f aca="false">IF($B208="","",SUMIFS($G$2:$G208,$B$2:$B208,$B208)-SUMIFS($H$2:$H208,$B$2:$B208,$B208))</f>
        <v/>
      </c>
      <c r="K208" s="10"/>
      <c r="L208" s="10"/>
      <c r="M208" s="18" t="str">
        <f aca="false">IF(AND($B208&lt;&gt;"",$B208='Estado de cuenta'!$C$4),COUNTIF($B$2:$B208,'Estado de cuenta'!$C$4),"")</f>
        <v/>
      </c>
    </row>
    <row r="209" customFormat="false" ht="15" hidden="false" customHeight="false" outlineLevel="0" collapsed="false">
      <c r="A209" s="17"/>
      <c r="B209" s="10"/>
      <c r="C209" s="10"/>
      <c r="D209" s="10"/>
      <c r="E209" s="10"/>
      <c r="F209" s="12"/>
      <c r="G209" s="13" t="str">
        <f aca="false">IF(OR($B209="",$F209=""),"",IF(OR($C209="Saldo inicial",$C209="Factura",$C209="Nota de débito"),$F209,0))</f>
        <v/>
      </c>
      <c r="H209" s="13" t="str">
        <f aca="false">IF(OR($B209="",$F209=""),"",IF(OR($C209="Cobro",$C209="Nota de crédito"),$F209,0))</f>
        <v/>
      </c>
      <c r="I209" s="16" t="str">
        <f aca="false">IF(OR($A209="",N($G209)=0),"",$A209+IFERROR(INDEX(Clientes!$F$2:$F$81,MATCH($B209,Clientes!$B$2:$B$81,0)),0))</f>
        <v/>
      </c>
      <c r="J209" s="13" t="str">
        <f aca="false">IF($B209="","",SUMIFS($G$2:$G209,$B$2:$B209,$B209)-SUMIFS($H$2:$H209,$B$2:$B209,$B209))</f>
        <v/>
      </c>
      <c r="K209" s="10"/>
      <c r="L209" s="10"/>
      <c r="M209" s="18" t="str">
        <f aca="false">IF(AND($B209&lt;&gt;"",$B209='Estado de cuenta'!$C$4),COUNTIF($B$2:$B209,'Estado de cuenta'!$C$4),"")</f>
        <v/>
      </c>
    </row>
    <row r="210" customFormat="false" ht="15" hidden="false" customHeight="false" outlineLevel="0" collapsed="false">
      <c r="A210" s="17"/>
      <c r="B210" s="10"/>
      <c r="C210" s="10"/>
      <c r="D210" s="10"/>
      <c r="E210" s="10"/>
      <c r="F210" s="12"/>
      <c r="G210" s="13" t="str">
        <f aca="false">IF(OR($B210="",$F210=""),"",IF(OR($C210="Saldo inicial",$C210="Factura",$C210="Nota de débito"),$F210,0))</f>
        <v/>
      </c>
      <c r="H210" s="13" t="str">
        <f aca="false">IF(OR($B210="",$F210=""),"",IF(OR($C210="Cobro",$C210="Nota de crédito"),$F210,0))</f>
        <v/>
      </c>
      <c r="I210" s="16" t="str">
        <f aca="false">IF(OR($A210="",N($G210)=0),"",$A210+IFERROR(INDEX(Clientes!$F$2:$F$81,MATCH($B210,Clientes!$B$2:$B$81,0)),0))</f>
        <v/>
      </c>
      <c r="J210" s="13" t="str">
        <f aca="false">IF($B210="","",SUMIFS($G$2:$G210,$B$2:$B210,$B210)-SUMIFS($H$2:$H210,$B$2:$B210,$B210))</f>
        <v/>
      </c>
      <c r="K210" s="10"/>
      <c r="L210" s="10"/>
      <c r="M210" s="18" t="str">
        <f aca="false">IF(AND($B210&lt;&gt;"",$B210='Estado de cuenta'!$C$4),COUNTIF($B$2:$B210,'Estado de cuenta'!$C$4),"")</f>
        <v/>
      </c>
    </row>
    <row r="211" customFormat="false" ht="15" hidden="false" customHeight="false" outlineLevel="0" collapsed="false">
      <c r="A211" s="17"/>
      <c r="B211" s="10"/>
      <c r="C211" s="10"/>
      <c r="D211" s="10"/>
      <c r="E211" s="10"/>
      <c r="F211" s="12"/>
      <c r="G211" s="13" t="str">
        <f aca="false">IF(OR($B211="",$F211=""),"",IF(OR($C211="Saldo inicial",$C211="Factura",$C211="Nota de débito"),$F211,0))</f>
        <v/>
      </c>
      <c r="H211" s="13" t="str">
        <f aca="false">IF(OR($B211="",$F211=""),"",IF(OR($C211="Cobro",$C211="Nota de crédito"),$F211,0))</f>
        <v/>
      </c>
      <c r="I211" s="16" t="str">
        <f aca="false">IF(OR($A211="",N($G211)=0),"",$A211+IFERROR(INDEX(Clientes!$F$2:$F$81,MATCH($B211,Clientes!$B$2:$B$81,0)),0))</f>
        <v/>
      </c>
      <c r="J211" s="13" t="str">
        <f aca="false">IF($B211="","",SUMIFS($G$2:$G211,$B$2:$B211,$B211)-SUMIFS($H$2:$H211,$B$2:$B211,$B211))</f>
        <v/>
      </c>
      <c r="K211" s="10"/>
      <c r="L211" s="10"/>
      <c r="M211" s="18" t="str">
        <f aca="false">IF(AND($B211&lt;&gt;"",$B211='Estado de cuenta'!$C$4),COUNTIF($B$2:$B211,'Estado de cuenta'!$C$4),"")</f>
        <v/>
      </c>
    </row>
    <row r="212" customFormat="false" ht="15" hidden="false" customHeight="false" outlineLevel="0" collapsed="false">
      <c r="A212" s="17"/>
      <c r="B212" s="10"/>
      <c r="C212" s="10"/>
      <c r="D212" s="10"/>
      <c r="E212" s="10"/>
      <c r="F212" s="12"/>
      <c r="G212" s="13" t="str">
        <f aca="false">IF(OR($B212="",$F212=""),"",IF(OR($C212="Saldo inicial",$C212="Factura",$C212="Nota de débito"),$F212,0))</f>
        <v/>
      </c>
      <c r="H212" s="13" t="str">
        <f aca="false">IF(OR($B212="",$F212=""),"",IF(OR($C212="Cobro",$C212="Nota de crédito"),$F212,0))</f>
        <v/>
      </c>
      <c r="I212" s="16" t="str">
        <f aca="false">IF(OR($A212="",N($G212)=0),"",$A212+IFERROR(INDEX(Clientes!$F$2:$F$81,MATCH($B212,Clientes!$B$2:$B$81,0)),0))</f>
        <v/>
      </c>
      <c r="J212" s="13" t="str">
        <f aca="false">IF($B212="","",SUMIFS($G$2:$G212,$B$2:$B212,$B212)-SUMIFS($H$2:$H212,$B$2:$B212,$B212))</f>
        <v/>
      </c>
      <c r="K212" s="10"/>
      <c r="L212" s="10"/>
      <c r="M212" s="18" t="str">
        <f aca="false">IF(AND($B212&lt;&gt;"",$B212='Estado de cuenta'!$C$4),COUNTIF($B$2:$B212,'Estado de cuenta'!$C$4),"")</f>
        <v/>
      </c>
    </row>
    <row r="213" customFormat="false" ht="15" hidden="false" customHeight="false" outlineLevel="0" collapsed="false">
      <c r="A213" s="17"/>
      <c r="B213" s="10"/>
      <c r="C213" s="10"/>
      <c r="D213" s="10"/>
      <c r="E213" s="10"/>
      <c r="F213" s="12"/>
      <c r="G213" s="13" t="str">
        <f aca="false">IF(OR($B213="",$F213=""),"",IF(OR($C213="Saldo inicial",$C213="Factura",$C213="Nota de débito"),$F213,0))</f>
        <v/>
      </c>
      <c r="H213" s="13" t="str">
        <f aca="false">IF(OR($B213="",$F213=""),"",IF(OR($C213="Cobro",$C213="Nota de crédito"),$F213,0))</f>
        <v/>
      </c>
      <c r="I213" s="16" t="str">
        <f aca="false">IF(OR($A213="",N($G213)=0),"",$A213+IFERROR(INDEX(Clientes!$F$2:$F$81,MATCH($B213,Clientes!$B$2:$B$81,0)),0))</f>
        <v/>
      </c>
      <c r="J213" s="13" t="str">
        <f aca="false">IF($B213="","",SUMIFS($G$2:$G213,$B$2:$B213,$B213)-SUMIFS($H$2:$H213,$B$2:$B213,$B213))</f>
        <v/>
      </c>
      <c r="K213" s="10"/>
      <c r="L213" s="10"/>
      <c r="M213" s="18" t="str">
        <f aca="false">IF(AND($B213&lt;&gt;"",$B213='Estado de cuenta'!$C$4),COUNTIF($B$2:$B213,'Estado de cuenta'!$C$4),"")</f>
        <v/>
      </c>
    </row>
    <row r="214" customFormat="false" ht="15" hidden="false" customHeight="false" outlineLevel="0" collapsed="false">
      <c r="A214" s="17"/>
      <c r="B214" s="10"/>
      <c r="C214" s="10"/>
      <c r="D214" s="10"/>
      <c r="E214" s="10"/>
      <c r="F214" s="12"/>
      <c r="G214" s="13" t="str">
        <f aca="false">IF(OR($B214="",$F214=""),"",IF(OR($C214="Saldo inicial",$C214="Factura",$C214="Nota de débito"),$F214,0))</f>
        <v/>
      </c>
      <c r="H214" s="13" t="str">
        <f aca="false">IF(OR($B214="",$F214=""),"",IF(OR($C214="Cobro",$C214="Nota de crédito"),$F214,0))</f>
        <v/>
      </c>
      <c r="I214" s="16" t="str">
        <f aca="false">IF(OR($A214="",N($G214)=0),"",$A214+IFERROR(INDEX(Clientes!$F$2:$F$81,MATCH($B214,Clientes!$B$2:$B$81,0)),0))</f>
        <v/>
      </c>
      <c r="J214" s="13" t="str">
        <f aca="false">IF($B214="","",SUMIFS($G$2:$G214,$B$2:$B214,$B214)-SUMIFS($H$2:$H214,$B$2:$B214,$B214))</f>
        <v/>
      </c>
      <c r="K214" s="10"/>
      <c r="L214" s="10"/>
      <c r="M214" s="18" t="str">
        <f aca="false">IF(AND($B214&lt;&gt;"",$B214='Estado de cuenta'!$C$4),COUNTIF($B$2:$B214,'Estado de cuenta'!$C$4),"")</f>
        <v/>
      </c>
    </row>
    <row r="215" customFormat="false" ht="15" hidden="false" customHeight="false" outlineLevel="0" collapsed="false">
      <c r="A215" s="17"/>
      <c r="B215" s="10"/>
      <c r="C215" s="10"/>
      <c r="D215" s="10"/>
      <c r="E215" s="10"/>
      <c r="F215" s="12"/>
      <c r="G215" s="13" t="str">
        <f aca="false">IF(OR($B215="",$F215=""),"",IF(OR($C215="Saldo inicial",$C215="Factura",$C215="Nota de débito"),$F215,0))</f>
        <v/>
      </c>
      <c r="H215" s="13" t="str">
        <f aca="false">IF(OR($B215="",$F215=""),"",IF(OR($C215="Cobro",$C215="Nota de crédito"),$F215,0))</f>
        <v/>
      </c>
      <c r="I215" s="16" t="str">
        <f aca="false">IF(OR($A215="",N($G215)=0),"",$A215+IFERROR(INDEX(Clientes!$F$2:$F$81,MATCH($B215,Clientes!$B$2:$B$81,0)),0))</f>
        <v/>
      </c>
      <c r="J215" s="13" t="str">
        <f aca="false">IF($B215="","",SUMIFS($G$2:$G215,$B$2:$B215,$B215)-SUMIFS($H$2:$H215,$B$2:$B215,$B215))</f>
        <v/>
      </c>
      <c r="K215" s="10"/>
      <c r="L215" s="10"/>
      <c r="M215" s="18" t="str">
        <f aca="false">IF(AND($B215&lt;&gt;"",$B215='Estado de cuenta'!$C$4),COUNTIF($B$2:$B215,'Estado de cuenta'!$C$4),"")</f>
        <v/>
      </c>
    </row>
    <row r="216" customFormat="false" ht="15" hidden="false" customHeight="false" outlineLevel="0" collapsed="false">
      <c r="A216" s="17"/>
      <c r="B216" s="10"/>
      <c r="C216" s="10"/>
      <c r="D216" s="10"/>
      <c r="E216" s="10"/>
      <c r="F216" s="12"/>
      <c r="G216" s="13" t="str">
        <f aca="false">IF(OR($B216="",$F216=""),"",IF(OR($C216="Saldo inicial",$C216="Factura",$C216="Nota de débito"),$F216,0))</f>
        <v/>
      </c>
      <c r="H216" s="13" t="str">
        <f aca="false">IF(OR($B216="",$F216=""),"",IF(OR($C216="Cobro",$C216="Nota de crédito"),$F216,0))</f>
        <v/>
      </c>
      <c r="I216" s="16" t="str">
        <f aca="false">IF(OR($A216="",N($G216)=0),"",$A216+IFERROR(INDEX(Clientes!$F$2:$F$81,MATCH($B216,Clientes!$B$2:$B$81,0)),0))</f>
        <v/>
      </c>
      <c r="J216" s="13" t="str">
        <f aca="false">IF($B216="","",SUMIFS($G$2:$G216,$B$2:$B216,$B216)-SUMIFS($H$2:$H216,$B$2:$B216,$B216))</f>
        <v/>
      </c>
      <c r="K216" s="10"/>
      <c r="L216" s="10"/>
      <c r="M216" s="18" t="str">
        <f aca="false">IF(AND($B216&lt;&gt;"",$B216='Estado de cuenta'!$C$4),COUNTIF($B$2:$B216,'Estado de cuenta'!$C$4),"")</f>
        <v/>
      </c>
    </row>
    <row r="217" customFormat="false" ht="15" hidden="false" customHeight="false" outlineLevel="0" collapsed="false">
      <c r="A217" s="17"/>
      <c r="B217" s="10"/>
      <c r="C217" s="10"/>
      <c r="D217" s="10"/>
      <c r="E217" s="10"/>
      <c r="F217" s="12"/>
      <c r="G217" s="13" t="str">
        <f aca="false">IF(OR($B217="",$F217=""),"",IF(OR($C217="Saldo inicial",$C217="Factura",$C217="Nota de débito"),$F217,0))</f>
        <v/>
      </c>
      <c r="H217" s="13" t="str">
        <f aca="false">IF(OR($B217="",$F217=""),"",IF(OR($C217="Cobro",$C217="Nota de crédito"),$F217,0))</f>
        <v/>
      </c>
      <c r="I217" s="16" t="str">
        <f aca="false">IF(OR($A217="",N($G217)=0),"",$A217+IFERROR(INDEX(Clientes!$F$2:$F$81,MATCH($B217,Clientes!$B$2:$B$81,0)),0))</f>
        <v/>
      </c>
      <c r="J217" s="13" t="str">
        <f aca="false">IF($B217="","",SUMIFS($G$2:$G217,$B$2:$B217,$B217)-SUMIFS($H$2:$H217,$B$2:$B217,$B217))</f>
        <v/>
      </c>
      <c r="K217" s="10"/>
      <c r="L217" s="10"/>
      <c r="M217" s="18" t="str">
        <f aca="false">IF(AND($B217&lt;&gt;"",$B217='Estado de cuenta'!$C$4),COUNTIF($B$2:$B217,'Estado de cuenta'!$C$4),"")</f>
        <v/>
      </c>
    </row>
    <row r="218" customFormat="false" ht="15" hidden="false" customHeight="false" outlineLevel="0" collapsed="false">
      <c r="A218" s="17"/>
      <c r="B218" s="10"/>
      <c r="C218" s="10"/>
      <c r="D218" s="10"/>
      <c r="E218" s="10"/>
      <c r="F218" s="12"/>
      <c r="G218" s="13" t="str">
        <f aca="false">IF(OR($B218="",$F218=""),"",IF(OR($C218="Saldo inicial",$C218="Factura",$C218="Nota de débito"),$F218,0))</f>
        <v/>
      </c>
      <c r="H218" s="13" t="str">
        <f aca="false">IF(OR($B218="",$F218=""),"",IF(OR($C218="Cobro",$C218="Nota de crédito"),$F218,0))</f>
        <v/>
      </c>
      <c r="I218" s="16" t="str">
        <f aca="false">IF(OR($A218="",N($G218)=0),"",$A218+IFERROR(INDEX(Clientes!$F$2:$F$81,MATCH($B218,Clientes!$B$2:$B$81,0)),0))</f>
        <v/>
      </c>
      <c r="J218" s="13" t="str">
        <f aca="false">IF($B218="","",SUMIFS($G$2:$G218,$B$2:$B218,$B218)-SUMIFS($H$2:$H218,$B$2:$B218,$B218))</f>
        <v/>
      </c>
      <c r="K218" s="10"/>
      <c r="L218" s="10"/>
      <c r="M218" s="18" t="str">
        <f aca="false">IF(AND($B218&lt;&gt;"",$B218='Estado de cuenta'!$C$4),COUNTIF($B$2:$B218,'Estado de cuenta'!$C$4),"")</f>
        <v/>
      </c>
    </row>
    <row r="219" customFormat="false" ht="15" hidden="false" customHeight="false" outlineLevel="0" collapsed="false">
      <c r="A219" s="17"/>
      <c r="B219" s="10"/>
      <c r="C219" s="10"/>
      <c r="D219" s="10"/>
      <c r="E219" s="10"/>
      <c r="F219" s="12"/>
      <c r="G219" s="13" t="str">
        <f aca="false">IF(OR($B219="",$F219=""),"",IF(OR($C219="Saldo inicial",$C219="Factura",$C219="Nota de débito"),$F219,0))</f>
        <v/>
      </c>
      <c r="H219" s="13" t="str">
        <f aca="false">IF(OR($B219="",$F219=""),"",IF(OR($C219="Cobro",$C219="Nota de crédito"),$F219,0))</f>
        <v/>
      </c>
      <c r="I219" s="16" t="str">
        <f aca="false">IF(OR($A219="",N($G219)=0),"",$A219+IFERROR(INDEX(Clientes!$F$2:$F$81,MATCH($B219,Clientes!$B$2:$B$81,0)),0))</f>
        <v/>
      </c>
      <c r="J219" s="13" t="str">
        <f aca="false">IF($B219="","",SUMIFS($G$2:$G219,$B$2:$B219,$B219)-SUMIFS($H$2:$H219,$B$2:$B219,$B219))</f>
        <v/>
      </c>
      <c r="K219" s="10"/>
      <c r="L219" s="10"/>
      <c r="M219" s="18" t="str">
        <f aca="false">IF(AND($B219&lt;&gt;"",$B219='Estado de cuenta'!$C$4),COUNTIF($B$2:$B219,'Estado de cuenta'!$C$4),"")</f>
        <v/>
      </c>
    </row>
    <row r="220" customFormat="false" ht="15" hidden="false" customHeight="false" outlineLevel="0" collapsed="false">
      <c r="A220" s="17"/>
      <c r="B220" s="10"/>
      <c r="C220" s="10"/>
      <c r="D220" s="10"/>
      <c r="E220" s="10"/>
      <c r="F220" s="12"/>
      <c r="G220" s="13" t="str">
        <f aca="false">IF(OR($B220="",$F220=""),"",IF(OR($C220="Saldo inicial",$C220="Factura",$C220="Nota de débito"),$F220,0))</f>
        <v/>
      </c>
      <c r="H220" s="13" t="str">
        <f aca="false">IF(OR($B220="",$F220=""),"",IF(OR($C220="Cobro",$C220="Nota de crédito"),$F220,0))</f>
        <v/>
      </c>
      <c r="I220" s="16" t="str">
        <f aca="false">IF(OR($A220="",N($G220)=0),"",$A220+IFERROR(INDEX(Clientes!$F$2:$F$81,MATCH($B220,Clientes!$B$2:$B$81,0)),0))</f>
        <v/>
      </c>
      <c r="J220" s="13" t="str">
        <f aca="false">IF($B220="","",SUMIFS($G$2:$G220,$B$2:$B220,$B220)-SUMIFS($H$2:$H220,$B$2:$B220,$B220))</f>
        <v/>
      </c>
      <c r="K220" s="10"/>
      <c r="L220" s="10"/>
      <c r="M220" s="18" t="str">
        <f aca="false">IF(AND($B220&lt;&gt;"",$B220='Estado de cuenta'!$C$4),COUNTIF($B$2:$B220,'Estado de cuenta'!$C$4),"")</f>
        <v/>
      </c>
    </row>
    <row r="221" customFormat="false" ht="15" hidden="false" customHeight="false" outlineLevel="0" collapsed="false">
      <c r="A221" s="17"/>
      <c r="B221" s="10"/>
      <c r="C221" s="10"/>
      <c r="D221" s="10"/>
      <c r="E221" s="10"/>
      <c r="F221" s="12"/>
      <c r="G221" s="13" t="str">
        <f aca="false">IF(OR($B221="",$F221=""),"",IF(OR($C221="Saldo inicial",$C221="Factura",$C221="Nota de débito"),$F221,0))</f>
        <v/>
      </c>
      <c r="H221" s="13" t="str">
        <f aca="false">IF(OR($B221="",$F221=""),"",IF(OR($C221="Cobro",$C221="Nota de crédito"),$F221,0))</f>
        <v/>
      </c>
      <c r="I221" s="16" t="str">
        <f aca="false">IF(OR($A221="",N($G221)=0),"",$A221+IFERROR(INDEX(Clientes!$F$2:$F$81,MATCH($B221,Clientes!$B$2:$B$81,0)),0))</f>
        <v/>
      </c>
      <c r="J221" s="13" t="str">
        <f aca="false">IF($B221="","",SUMIFS($G$2:$G221,$B$2:$B221,$B221)-SUMIFS($H$2:$H221,$B$2:$B221,$B221))</f>
        <v/>
      </c>
      <c r="K221" s="10"/>
      <c r="L221" s="10"/>
      <c r="M221" s="18" t="str">
        <f aca="false">IF(AND($B221&lt;&gt;"",$B221='Estado de cuenta'!$C$4),COUNTIF($B$2:$B221,'Estado de cuenta'!$C$4),"")</f>
        <v/>
      </c>
    </row>
    <row r="222" customFormat="false" ht="15" hidden="false" customHeight="false" outlineLevel="0" collapsed="false">
      <c r="A222" s="17"/>
      <c r="B222" s="10"/>
      <c r="C222" s="10"/>
      <c r="D222" s="10"/>
      <c r="E222" s="10"/>
      <c r="F222" s="12"/>
      <c r="G222" s="13" t="str">
        <f aca="false">IF(OR($B222="",$F222=""),"",IF(OR($C222="Saldo inicial",$C222="Factura",$C222="Nota de débito"),$F222,0))</f>
        <v/>
      </c>
      <c r="H222" s="13" t="str">
        <f aca="false">IF(OR($B222="",$F222=""),"",IF(OR($C222="Cobro",$C222="Nota de crédito"),$F222,0))</f>
        <v/>
      </c>
      <c r="I222" s="16" t="str">
        <f aca="false">IF(OR($A222="",N($G222)=0),"",$A222+IFERROR(INDEX(Clientes!$F$2:$F$81,MATCH($B222,Clientes!$B$2:$B$81,0)),0))</f>
        <v/>
      </c>
      <c r="J222" s="13" t="str">
        <f aca="false">IF($B222="","",SUMIFS($G$2:$G222,$B$2:$B222,$B222)-SUMIFS($H$2:$H222,$B$2:$B222,$B222))</f>
        <v/>
      </c>
      <c r="K222" s="10"/>
      <c r="L222" s="10"/>
      <c r="M222" s="18" t="str">
        <f aca="false">IF(AND($B222&lt;&gt;"",$B222='Estado de cuenta'!$C$4),COUNTIF($B$2:$B222,'Estado de cuenta'!$C$4),"")</f>
        <v/>
      </c>
    </row>
    <row r="223" customFormat="false" ht="15" hidden="false" customHeight="false" outlineLevel="0" collapsed="false">
      <c r="A223" s="17"/>
      <c r="B223" s="10"/>
      <c r="C223" s="10"/>
      <c r="D223" s="10"/>
      <c r="E223" s="10"/>
      <c r="F223" s="12"/>
      <c r="G223" s="13" t="str">
        <f aca="false">IF(OR($B223="",$F223=""),"",IF(OR($C223="Saldo inicial",$C223="Factura",$C223="Nota de débito"),$F223,0))</f>
        <v/>
      </c>
      <c r="H223" s="13" t="str">
        <f aca="false">IF(OR($B223="",$F223=""),"",IF(OR($C223="Cobro",$C223="Nota de crédito"),$F223,0))</f>
        <v/>
      </c>
      <c r="I223" s="16" t="str">
        <f aca="false">IF(OR($A223="",N($G223)=0),"",$A223+IFERROR(INDEX(Clientes!$F$2:$F$81,MATCH($B223,Clientes!$B$2:$B$81,0)),0))</f>
        <v/>
      </c>
      <c r="J223" s="13" t="str">
        <f aca="false">IF($B223="","",SUMIFS($G$2:$G223,$B$2:$B223,$B223)-SUMIFS($H$2:$H223,$B$2:$B223,$B223))</f>
        <v/>
      </c>
      <c r="K223" s="10"/>
      <c r="L223" s="10"/>
      <c r="M223" s="18" t="str">
        <f aca="false">IF(AND($B223&lt;&gt;"",$B223='Estado de cuenta'!$C$4),COUNTIF($B$2:$B223,'Estado de cuenta'!$C$4),"")</f>
        <v/>
      </c>
    </row>
    <row r="224" customFormat="false" ht="15" hidden="false" customHeight="false" outlineLevel="0" collapsed="false">
      <c r="A224" s="17"/>
      <c r="B224" s="10"/>
      <c r="C224" s="10"/>
      <c r="D224" s="10"/>
      <c r="E224" s="10"/>
      <c r="F224" s="12"/>
      <c r="G224" s="13" t="str">
        <f aca="false">IF(OR($B224="",$F224=""),"",IF(OR($C224="Saldo inicial",$C224="Factura",$C224="Nota de débito"),$F224,0))</f>
        <v/>
      </c>
      <c r="H224" s="13" t="str">
        <f aca="false">IF(OR($B224="",$F224=""),"",IF(OR($C224="Cobro",$C224="Nota de crédito"),$F224,0))</f>
        <v/>
      </c>
      <c r="I224" s="16" t="str">
        <f aca="false">IF(OR($A224="",N($G224)=0),"",$A224+IFERROR(INDEX(Clientes!$F$2:$F$81,MATCH($B224,Clientes!$B$2:$B$81,0)),0))</f>
        <v/>
      </c>
      <c r="J224" s="13" t="str">
        <f aca="false">IF($B224="","",SUMIFS($G$2:$G224,$B$2:$B224,$B224)-SUMIFS($H$2:$H224,$B$2:$B224,$B224))</f>
        <v/>
      </c>
      <c r="K224" s="10"/>
      <c r="L224" s="10"/>
      <c r="M224" s="18" t="str">
        <f aca="false">IF(AND($B224&lt;&gt;"",$B224='Estado de cuenta'!$C$4),COUNTIF($B$2:$B224,'Estado de cuenta'!$C$4),"")</f>
        <v/>
      </c>
    </row>
    <row r="225" customFormat="false" ht="15" hidden="false" customHeight="false" outlineLevel="0" collapsed="false">
      <c r="A225" s="17"/>
      <c r="B225" s="10"/>
      <c r="C225" s="10"/>
      <c r="D225" s="10"/>
      <c r="E225" s="10"/>
      <c r="F225" s="12"/>
      <c r="G225" s="13" t="str">
        <f aca="false">IF(OR($B225="",$F225=""),"",IF(OR($C225="Saldo inicial",$C225="Factura",$C225="Nota de débito"),$F225,0))</f>
        <v/>
      </c>
      <c r="H225" s="13" t="str">
        <f aca="false">IF(OR($B225="",$F225=""),"",IF(OR($C225="Cobro",$C225="Nota de crédito"),$F225,0))</f>
        <v/>
      </c>
      <c r="I225" s="16" t="str">
        <f aca="false">IF(OR($A225="",N($G225)=0),"",$A225+IFERROR(INDEX(Clientes!$F$2:$F$81,MATCH($B225,Clientes!$B$2:$B$81,0)),0))</f>
        <v/>
      </c>
      <c r="J225" s="13" t="str">
        <f aca="false">IF($B225="","",SUMIFS($G$2:$G225,$B$2:$B225,$B225)-SUMIFS($H$2:$H225,$B$2:$B225,$B225))</f>
        <v/>
      </c>
      <c r="K225" s="10"/>
      <c r="L225" s="10"/>
      <c r="M225" s="18" t="str">
        <f aca="false">IF(AND($B225&lt;&gt;"",$B225='Estado de cuenta'!$C$4),COUNTIF($B$2:$B225,'Estado de cuenta'!$C$4),"")</f>
        <v/>
      </c>
    </row>
    <row r="226" customFormat="false" ht="15" hidden="false" customHeight="false" outlineLevel="0" collapsed="false">
      <c r="A226" s="17"/>
      <c r="B226" s="10"/>
      <c r="C226" s="10"/>
      <c r="D226" s="10"/>
      <c r="E226" s="10"/>
      <c r="F226" s="12"/>
      <c r="G226" s="13" t="str">
        <f aca="false">IF(OR($B226="",$F226=""),"",IF(OR($C226="Saldo inicial",$C226="Factura",$C226="Nota de débito"),$F226,0))</f>
        <v/>
      </c>
      <c r="H226" s="13" t="str">
        <f aca="false">IF(OR($B226="",$F226=""),"",IF(OR($C226="Cobro",$C226="Nota de crédito"),$F226,0))</f>
        <v/>
      </c>
      <c r="I226" s="16" t="str">
        <f aca="false">IF(OR($A226="",N($G226)=0),"",$A226+IFERROR(INDEX(Clientes!$F$2:$F$81,MATCH($B226,Clientes!$B$2:$B$81,0)),0))</f>
        <v/>
      </c>
      <c r="J226" s="13" t="str">
        <f aca="false">IF($B226="","",SUMIFS($G$2:$G226,$B$2:$B226,$B226)-SUMIFS($H$2:$H226,$B$2:$B226,$B226))</f>
        <v/>
      </c>
      <c r="K226" s="10"/>
      <c r="L226" s="10"/>
      <c r="M226" s="18" t="str">
        <f aca="false">IF(AND($B226&lt;&gt;"",$B226='Estado de cuenta'!$C$4),COUNTIF($B$2:$B226,'Estado de cuenta'!$C$4),"")</f>
        <v/>
      </c>
    </row>
    <row r="227" customFormat="false" ht="15" hidden="false" customHeight="false" outlineLevel="0" collapsed="false">
      <c r="A227" s="17"/>
      <c r="B227" s="10"/>
      <c r="C227" s="10"/>
      <c r="D227" s="10"/>
      <c r="E227" s="10"/>
      <c r="F227" s="12"/>
      <c r="G227" s="13" t="str">
        <f aca="false">IF(OR($B227="",$F227=""),"",IF(OR($C227="Saldo inicial",$C227="Factura",$C227="Nota de débito"),$F227,0))</f>
        <v/>
      </c>
      <c r="H227" s="13" t="str">
        <f aca="false">IF(OR($B227="",$F227=""),"",IF(OR($C227="Cobro",$C227="Nota de crédito"),$F227,0))</f>
        <v/>
      </c>
      <c r="I227" s="16" t="str">
        <f aca="false">IF(OR($A227="",N($G227)=0),"",$A227+IFERROR(INDEX(Clientes!$F$2:$F$81,MATCH($B227,Clientes!$B$2:$B$81,0)),0))</f>
        <v/>
      </c>
      <c r="J227" s="13" t="str">
        <f aca="false">IF($B227="","",SUMIFS($G$2:$G227,$B$2:$B227,$B227)-SUMIFS($H$2:$H227,$B$2:$B227,$B227))</f>
        <v/>
      </c>
      <c r="K227" s="10"/>
      <c r="L227" s="10"/>
      <c r="M227" s="18" t="str">
        <f aca="false">IF(AND($B227&lt;&gt;"",$B227='Estado de cuenta'!$C$4),COUNTIF($B$2:$B227,'Estado de cuenta'!$C$4),"")</f>
        <v/>
      </c>
    </row>
    <row r="228" customFormat="false" ht="15" hidden="false" customHeight="false" outlineLevel="0" collapsed="false">
      <c r="A228" s="17"/>
      <c r="B228" s="10"/>
      <c r="C228" s="10"/>
      <c r="D228" s="10"/>
      <c r="E228" s="10"/>
      <c r="F228" s="12"/>
      <c r="G228" s="13" t="str">
        <f aca="false">IF(OR($B228="",$F228=""),"",IF(OR($C228="Saldo inicial",$C228="Factura",$C228="Nota de débito"),$F228,0))</f>
        <v/>
      </c>
      <c r="H228" s="13" t="str">
        <f aca="false">IF(OR($B228="",$F228=""),"",IF(OR($C228="Cobro",$C228="Nota de crédito"),$F228,0))</f>
        <v/>
      </c>
      <c r="I228" s="16" t="str">
        <f aca="false">IF(OR($A228="",N($G228)=0),"",$A228+IFERROR(INDEX(Clientes!$F$2:$F$81,MATCH($B228,Clientes!$B$2:$B$81,0)),0))</f>
        <v/>
      </c>
      <c r="J228" s="13" t="str">
        <f aca="false">IF($B228="","",SUMIFS($G$2:$G228,$B$2:$B228,$B228)-SUMIFS($H$2:$H228,$B$2:$B228,$B228))</f>
        <v/>
      </c>
      <c r="K228" s="10"/>
      <c r="L228" s="10"/>
      <c r="M228" s="18" t="str">
        <f aca="false">IF(AND($B228&lt;&gt;"",$B228='Estado de cuenta'!$C$4),COUNTIF($B$2:$B228,'Estado de cuenta'!$C$4),"")</f>
        <v/>
      </c>
    </row>
    <row r="229" customFormat="false" ht="15" hidden="false" customHeight="false" outlineLevel="0" collapsed="false">
      <c r="A229" s="17"/>
      <c r="B229" s="10"/>
      <c r="C229" s="10"/>
      <c r="D229" s="10"/>
      <c r="E229" s="10"/>
      <c r="F229" s="12"/>
      <c r="G229" s="13" t="str">
        <f aca="false">IF(OR($B229="",$F229=""),"",IF(OR($C229="Saldo inicial",$C229="Factura",$C229="Nota de débito"),$F229,0))</f>
        <v/>
      </c>
      <c r="H229" s="13" t="str">
        <f aca="false">IF(OR($B229="",$F229=""),"",IF(OR($C229="Cobro",$C229="Nota de crédito"),$F229,0))</f>
        <v/>
      </c>
      <c r="I229" s="16" t="str">
        <f aca="false">IF(OR($A229="",N($G229)=0),"",$A229+IFERROR(INDEX(Clientes!$F$2:$F$81,MATCH($B229,Clientes!$B$2:$B$81,0)),0))</f>
        <v/>
      </c>
      <c r="J229" s="13" t="str">
        <f aca="false">IF($B229="","",SUMIFS($G$2:$G229,$B$2:$B229,$B229)-SUMIFS($H$2:$H229,$B$2:$B229,$B229))</f>
        <v/>
      </c>
      <c r="K229" s="10"/>
      <c r="L229" s="10"/>
      <c r="M229" s="18" t="str">
        <f aca="false">IF(AND($B229&lt;&gt;"",$B229='Estado de cuenta'!$C$4),COUNTIF($B$2:$B229,'Estado de cuenta'!$C$4),"")</f>
        <v/>
      </c>
    </row>
    <row r="230" customFormat="false" ht="15" hidden="false" customHeight="false" outlineLevel="0" collapsed="false">
      <c r="A230" s="17"/>
      <c r="B230" s="10"/>
      <c r="C230" s="10"/>
      <c r="D230" s="10"/>
      <c r="E230" s="10"/>
      <c r="F230" s="12"/>
      <c r="G230" s="13" t="str">
        <f aca="false">IF(OR($B230="",$F230=""),"",IF(OR($C230="Saldo inicial",$C230="Factura",$C230="Nota de débito"),$F230,0))</f>
        <v/>
      </c>
      <c r="H230" s="13" t="str">
        <f aca="false">IF(OR($B230="",$F230=""),"",IF(OR($C230="Cobro",$C230="Nota de crédito"),$F230,0))</f>
        <v/>
      </c>
      <c r="I230" s="16" t="str">
        <f aca="false">IF(OR($A230="",N($G230)=0),"",$A230+IFERROR(INDEX(Clientes!$F$2:$F$81,MATCH($B230,Clientes!$B$2:$B$81,0)),0))</f>
        <v/>
      </c>
      <c r="J230" s="13" t="str">
        <f aca="false">IF($B230="","",SUMIFS($G$2:$G230,$B$2:$B230,$B230)-SUMIFS($H$2:$H230,$B$2:$B230,$B230))</f>
        <v/>
      </c>
      <c r="K230" s="10"/>
      <c r="L230" s="10"/>
      <c r="M230" s="18" t="str">
        <f aca="false">IF(AND($B230&lt;&gt;"",$B230='Estado de cuenta'!$C$4),COUNTIF($B$2:$B230,'Estado de cuenta'!$C$4),"")</f>
        <v/>
      </c>
    </row>
    <row r="231" customFormat="false" ht="15" hidden="false" customHeight="false" outlineLevel="0" collapsed="false">
      <c r="A231" s="17"/>
      <c r="B231" s="10"/>
      <c r="C231" s="10"/>
      <c r="D231" s="10"/>
      <c r="E231" s="10"/>
      <c r="F231" s="12"/>
      <c r="G231" s="13" t="str">
        <f aca="false">IF(OR($B231="",$F231=""),"",IF(OR($C231="Saldo inicial",$C231="Factura",$C231="Nota de débito"),$F231,0))</f>
        <v/>
      </c>
      <c r="H231" s="13" t="str">
        <f aca="false">IF(OR($B231="",$F231=""),"",IF(OR($C231="Cobro",$C231="Nota de crédito"),$F231,0))</f>
        <v/>
      </c>
      <c r="I231" s="16" t="str">
        <f aca="false">IF(OR($A231="",N($G231)=0),"",$A231+IFERROR(INDEX(Clientes!$F$2:$F$81,MATCH($B231,Clientes!$B$2:$B$81,0)),0))</f>
        <v/>
      </c>
      <c r="J231" s="13" t="str">
        <f aca="false">IF($B231="","",SUMIFS($G$2:$G231,$B$2:$B231,$B231)-SUMIFS($H$2:$H231,$B$2:$B231,$B231))</f>
        <v/>
      </c>
      <c r="K231" s="10"/>
      <c r="L231" s="10"/>
      <c r="M231" s="18" t="str">
        <f aca="false">IF(AND($B231&lt;&gt;"",$B231='Estado de cuenta'!$C$4),COUNTIF($B$2:$B231,'Estado de cuenta'!$C$4),"")</f>
        <v/>
      </c>
    </row>
    <row r="232" customFormat="false" ht="15" hidden="false" customHeight="false" outlineLevel="0" collapsed="false">
      <c r="A232" s="17"/>
      <c r="B232" s="10"/>
      <c r="C232" s="10"/>
      <c r="D232" s="10"/>
      <c r="E232" s="10"/>
      <c r="F232" s="12"/>
      <c r="G232" s="13" t="str">
        <f aca="false">IF(OR($B232="",$F232=""),"",IF(OR($C232="Saldo inicial",$C232="Factura",$C232="Nota de débito"),$F232,0))</f>
        <v/>
      </c>
      <c r="H232" s="13" t="str">
        <f aca="false">IF(OR($B232="",$F232=""),"",IF(OR($C232="Cobro",$C232="Nota de crédito"),$F232,0))</f>
        <v/>
      </c>
      <c r="I232" s="16" t="str">
        <f aca="false">IF(OR($A232="",N($G232)=0),"",$A232+IFERROR(INDEX(Clientes!$F$2:$F$81,MATCH($B232,Clientes!$B$2:$B$81,0)),0))</f>
        <v/>
      </c>
      <c r="J232" s="13" t="str">
        <f aca="false">IF($B232="","",SUMIFS($G$2:$G232,$B$2:$B232,$B232)-SUMIFS($H$2:$H232,$B$2:$B232,$B232))</f>
        <v/>
      </c>
      <c r="K232" s="10"/>
      <c r="L232" s="10"/>
      <c r="M232" s="18" t="str">
        <f aca="false">IF(AND($B232&lt;&gt;"",$B232='Estado de cuenta'!$C$4),COUNTIF($B$2:$B232,'Estado de cuenta'!$C$4),"")</f>
        <v/>
      </c>
    </row>
    <row r="233" customFormat="false" ht="15" hidden="false" customHeight="false" outlineLevel="0" collapsed="false">
      <c r="A233" s="17"/>
      <c r="B233" s="10"/>
      <c r="C233" s="10"/>
      <c r="D233" s="10"/>
      <c r="E233" s="10"/>
      <c r="F233" s="12"/>
      <c r="G233" s="13" t="str">
        <f aca="false">IF(OR($B233="",$F233=""),"",IF(OR($C233="Saldo inicial",$C233="Factura",$C233="Nota de débito"),$F233,0))</f>
        <v/>
      </c>
      <c r="H233" s="13" t="str">
        <f aca="false">IF(OR($B233="",$F233=""),"",IF(OR($C233="Cobro",$C233="Nota de crédito"),$F233,0))</f>
        <v/>
      </c>
      <c r="I233" s="16" t="str">
        <f aca="false">IF(OR($A233="",N($G233)=0),"",$A233+IFERROR(INDEX(Clientes!$F$2:$F$81,MATCH($B233,Clientes!$B$2:$B$81,0)),0))</f>
        <v/>
      </c>
      <c r="J233" s="13" t="str">
        <f aca="false">IF($B233="","",SUMIFS($G$2:$G233,$B$2:$B233,$B233)-SUMIFS($H$2:$H233,$B$2:$B233,$B233))</f>
        <v/>
      </c>
      <c r="K233" s="10"/>
      <c r="L233" s="10"/>
      <c r="M233" s="18" t="str">
        <f aca="false">IF(AND($B233&lt;&gt;"",$B233='Estado de cuenta'!$C$4),COUNTIF($B$2:$B233,'Estado de cuenta'!$C$4),"")</f>
        <v/>
      </c>
    </row>
    <row r="234" customFormat="false" ht="15" hidden="false" customHeight="false" outlineLevel="0" collapsed="false">
      <c r="A234" s="17"/>
      <c r="B234" s="10"/>
      <c r="C234" s="10"/>
      <c r="D234" s="10"/>
      <c r="E234" s="10"/>
      <c r="F234" s="12"/>
      <c r="G234" s="13" t="str">
        <f aca="false">IF(OR($B234="",$F234=""),"",IF(OR($C234="Saldo inicial",$C234="Factura",$C234="Nota de débito"),$F234,0))</f>
        <v/>
      </c>
      <c r="H234" s="13" t="str">
        <f aca="false">IF(OR($B234="",$F234=""),"",IF(OR($C234="Cobro",$C234="Nota de crédito"),$F234,0))</f>
        <v/>
      </c>
      <c r="I234" s="16" t="str">
        <f aca="false">IF(OR($A234="",N($G234)=0),"",$A234+IFERROR(INDEX(Clientes!$F$2:$F$81,MATCH($B234,Clientes!$B$2:$B$81,0)),0))</f>
        <v/>
      </c>
      <c r="J234" s="13" t="str">
        <f aca="false">IF($B234="","",SUMIFS($G$2:$G234,$B$2:$B234,$B234)-SUMIFS($H$2:$H234,$B$2:$B234,$B234))</f>
        <v/>
      </c>
      <c r="K234" s="10"/>
      <c r="L234" s="10"/>
      <c r="M234" s="18" t="str">
        <f aca="false">IF(AND($B234&lt;&gt;"",$B234='Estado de cuenta'!$C$4),COUNTIF($B$2:$B234,'Estado de cuenta'!$C$4),"")</f>
        <v/>
      </c>
    </row>
    <row r="235" customFormat="false" ht="15" hidden="false" customHeight="false" outlineLevel="0" collapsed="false">
      <c r="A235" s="17"/>
      <c r="B235" s="10"/>
      <c r="C235" s="10"/>
      <c r="D235" s="10"/>
      <c r="E235" s="10"/>
      <c r="F235" s="12"/>
      <c r="G235" s="13" t="str">
        <f aca="false">IF(OR($B235="",$F235=""),"",IF(OR($C235="Saldo inicial",$C235="Factura",$C235="Nota de débito"),$F235,0))</f>
        <v/>
      </c>
      <c r="H235" s="13" t="str">
        <f aca="false">IF(OR($B235="",$F235=""),"",IF(OR($C235="Cobro",$C235="Nota de crédito"),$F235,0))</f>
        <v/>
      </c>
      <c r="I235" s="16" t="str">
        <f aca="false">IF(OR($A235="",N($G235)=0),"",$A235+IFERROR(INDEX(Clientes!$F$2:$F$81,MATCH($B235,Clientes!$B$2:$B$81,0)),0))</f>
        <v/>
      </c>
      <c r="J235" s="13" t="str">
        <f aca="false">IF($B235="","",SUMIFS($G$2:$G235,$B$2:$B235,$B235)-SUMIFS($H$2:$H235,$B$2:$B235,$B235))</f>
        <v/>
      </c>
      <c r="K235" s="10"/>
      <c r="L235" s="10"/>
      <c r="M235" s="18" t="str">
        <f aca="false">IF(AND($B235&lt;&gt;"",$B235='Estado de cuenta'!$C$4),COUNTIF($B$2:$B235,'Estado de cuenta'!$C$4),"")</f>
        <v/>
      </c>
    </row>
    <row r="236" customFormat="false" ht="15" hidden="false" customHeight="false" outlineLevel="0" collapsed="false">
      <c r="A236" s="17"/>
      <c r="B236" s="10"/>
      <c r="C236" s="10"/>
      <c r="D236" s="10"/>
      <c r="E236" s="10"/>
      <c r="F236" s="12"/>
      <c r="G236" s="13" t="str">
        <f aca="false">IF(OR($B236="",$F236=""),"",IF(OR($C236="Saldo inicial",$C236="Factura",$C236="Nota de débito"),$F236,0))</f>
        <v/>
      </c>
      <c r="H236" s="13" t="str">
        <f aca="false">IF(OR($B236="",$F236=""),"",IF(OR($C236="Cobro",$C236="Nota de crédito"),$F236,0))</f>
        <v/>
      </c>
      <c r="I236" s="16" t="str">
        <f aca="false">IF(OR($A236="",N($G236)=0),"",$A236+IFERROR(INDEX(Clientes!$F$2:$F$81,MATCH($B236,Clientes!$B$2:$B$81,0)),0))</f>
        <v/>
      </c>
      <c r="J236" s="13" t="str">
        <f aca="false">IF($B236="","",SUMIFS($G$2:$G236,$B$2:$B236,$B236)-SUMIFS($H$2:$H236,$B$2:$B236,$B236))</f>
        <v/>
      </c>
      <c r="K236" s="10"/>
      <c r="L236" s="10"/>
      <c r="M236" s="18" t="str">
        <f aca="false">IF(AND($B236&lt;&gt;"",$B236='Estado de cuenta'!$C$4),COUNTIF($B$2:$B236,'Estado de cuenta'!$C$4),"")</f>
        <v/>
      </c>
    </row>
    <row r="237" customFormat="false" ht="15" hidden="false" customHeight="false" outlineLevel="0" collapsed="false">
      <c r="A237" s="17"/>
      <c r="B237" s="10"/>
      <c r="C237" s="10"/>
      <c r="D237" s="10"/>
      <c r="E237" s="10"/>
      <c r="F237" s="12"/>
      <c r="G237" s="13" t="str">
        <f aca="false">IF(OR($B237="",$F237=""),"",IF(OR($C237="Saldo inicial",$C237="Factura",$C237="Nota de débito"),$F237,0))</f>
        <v/>
      </c>
      <c r="H237" s="13" t="str">
        <f aca="false">IF(OR($B237="",$F237=""),"",IF(OR($C237="Cobro",$C237="Nota de crédito"),$F237,0))</f>
        <v/>
      </c>
      <c r="I237" s="16" t="str">
        <f aca="false">IF(OR($A237="",N($G237)=0),"",$A237+IFERROR(INDEX(Clientes!$F$2:$F$81,MATCH($B237,Clientes!$B$2:$B$81,0)),0))</f>
        <v/>
      </c>
      <c r="J237" s="13" t="str">
        <f aca="false">IF($B237="","",SUMIFS($G$2:$G237,$B$2:$B237,$B237)-SUMIFS($H$2:$H237,$B$2:$B237,$B237))</f>
        <v/>
      </c>
      <c r="K237" s="10"/>
      <c r="L237" s="10"/>
      <c r="M237" s="18" t="str">
        <f aca="false">IF(AND($B237&lt;&gt;"",$B237='Estado de cuenta'!$C$4),COUNTIF($B$2:$B237,'Estado de cuenta'!$C$4),"")</f>
        <v/>
      </c>
    </row>
    <row r="238" customFormat="false" ht="15" hidden="false" customHeight="false" outlineLevel="0" collapsed="false">
      <c r="A238" s="17"/>
      <c r="B238" s="10"/>
      <c r="C238" s="10"/>
      <c r="D238" s="10"/>
      <c r="E238" s="10"/>
      <c r="F238" s="12"/>
      <c r="G238" s="13" t="str">
        <f aca="false">IF(OR($B238="",$F238=""),"",IF(OR($C238="Saldo inicial",$C238="Factura",$C238="Nota de débito"),$F238,0))</f>
        <v/>
      </c>
      <c r="H238" s="13" t="str">
        <f aca="false">IF(OR($B238="",$F238=""),"",IF(OR($C238="Cobro",$C238="Nota de crédito"),$F238,0))</f>
        <v/>
      </c>
      <c r="I238" s="16" t="str">
        <f aca="false">IF(OR($A238="",N($G238)=0),"",$A238+IFERROR(INDEX(Clientes!$F$2:$F$81,MATCH($B238,Clientes!$B$2:$B$81,0)),0))</f>
        <v/>
      </c>
      <c r="J238" s="13" t="str">
        <f aca="false">IF($B238="","",SUMIFS($G$2:$G238,$B$2:$B238,$B238)-SUMIFS($H$2:$H238,$B$2:$B238,$B238))</f>
        <v/>
      </c>
      <c r="K238" s="10"/>
      <c r="L238" s="10"/>
      <c r="M238" s="18" t="str">
        <f aca="false">IF(AND($B238&lt;&gt;"",$B238='Estado de cuenta'!$C$4),COUNTIF($B$2:$B238,'Estado de cuenta'!$C$4),"")</f>
        <v/>
      </c>
    </row>
    <row r="239" customFormat="false" ht="15" hidden="false" customHeight="false" outlineLevel="0" collapsed="false">
      <c r="A239" s="17"/>
      <c r="B239" s="10"/>
      <c r="C239" s="10"/>
      <c r="D239" s="10"/>
      <c r="E239" s="10"/>
      <c r="F239" s="12"/>
      <c r="G239" s="13" t="str">
        <f aca="false">IF(OR($B239="",$F239=""),"",IF(OR($C239="Saldo inicial",$C239="Factura",$C239="Nota de débito"),$F239,0))</f>
        <v/>
      </c>
      <c r="H239" s="13" t="str">
        <f aca="false">IF(OR($B239="",$F239=""),"",IF(OR($C239="Cobro",$C239="Nota de crédito"),$F239,0))</f>
        <v/>
      </c>
      <c r="I239" s="16" t="str">
        <f aca="false">IF(OR($A239="",N($G239)=0),"",$A239+IFERROR(INDEX(Clientes!$F$2:$F$81,MATCH($B239,Clientes!$B$2:$B$81,0)),0))</f>
        <v/>
      </c>
      <c r="J239" s="13" t="str">
        <f aca="false">IF($B239="","",SUMIFS($G$2:$G239,$B$2:$B239,$B239)-SUMIFS($H$2:$H239,$B$2:$B239,$B239))</f>
        <v/>
      </c>
      <c r="K239" s="10"/>
      <c r="L239" s="10"/>
      <c r="M239" s="18" t="str">
        <f aca="false">IF(AND($B239&lt;&gt;"",$B239='Estado de cuenta'!$C$4),COUNTIF($B$2:$B239,'Estado de cuenta'!$C$4),"")</f>
        <v/>
      </c>
    </row>
    <row r="240" customFormat="false" ht="15" hidden="false" customHeight="false" outlineLevel="0" collapsed="false">
      <c r="A240" s="17"/>
      <c r="B240" s="10"/>
      <c r="C240" s="10"/>
      <c r="D240" s="10"/>
      <c r="E240" s="10"/>
      <c r="F240" s="12"/>
      <c r="G240" s="13" t="str">
        <f aca="false">IF(OR($B240="",$F240=""),"",IF(OR($C240="Saldo inicial",$C240="Factura",$C240="Nota de débito"),$F240,0))</f>
        <v/>
      </c>
      <c r="H240" s="13" t="str">
        <f aca="false">IF(OR($B240="",$F240=""),"",IF(OR($C240="Cobro",$C240="Nota de crédito"),$F240,0))</f>
        <v/>
      </c>
      <c r="I240" s="16" t="str">
        <f aca="false">IF(OR($A240="",N($G240)=0),"",$A240+IFERROR(INDEX(Clientes!$F$2:$F$81,MATCH($B240,Clientes!$B$2:$B$81,0)),0))</f>
        <v/>
      </c>
      <c r="J240" s="13" t="str">
        <f aca="false">IF($B240="","",SUMIFS($G$2:$G240,$B$2:$B240,$B240)-SUMIFS($H$2:$H240,$B$2:$B240,$B240))</f>
        <v/>
      </c>
      <c r="K240" s="10"/>
      <c r="L240" s="10"/>
      <c r="M240" s="18" t="str">
        <f aca="false">IF(AND($B240&lt;&gt;"",$B240='Estado de cuenta'!$C$4),COUNTIF($B$2:$B240,'Estado de cuenta'!$C$4),"")</f>
        <v/>
      </c>
    </row>
    <row r="241" customFormat="false" ht="15" hidden="false" customHeight="false" outlineLevel="0" collapsed="false">
      <c r="A241" s="17"/>
      <c r="B241" s="10"/>
      <c r="C241" s="10"/>
      <c r="D241" s="10"/>
      <c r="E241" s="10"/>
      <c r="F241" s="12"/>
      <c r="G241" s="13" t="str">
        <f aca="false">IF(OR($B241="",$F241=""),"",IF(OR($C241="Saldo inicial",$C241="Factura",$C241="Nota de débito"),$F241,0))</f>
        <v/>
      </c>
      <c r="H241" s="13" t="str">
        <f aca="false">IF(OR($B241="",$F241=""),"",IF(OR($C241="Cobro",$C241="Nota de crédito"),$F241,0))</f>
        <v/>
      </c>
      <c r="I241" s="16" t="str">
        <f aca="false">IF(OR($A241="",N($G241)=0),"",$A241+IFERROR(INDEX(Clientes!$F$2:$F$81,MATCH($B241,Clientes!$B$2:$B$81,0)),0))</f>
        <v/>
      </c>
      <c r="J241" s="13" t="str">
        <f aca="false">IF($B241="","",SUMIFS($G$2:$G241,$B$2:$B241,$B241)-SUMIFS($H$2:$H241,$B$2:$B241,$B241))</f>
        <v/>
      </c>
      <c r="K241" s="10"/>
      <c r="L241" s="10"/>
      <c r="M241" s="18" t="str">
        <f aca="false">IF(AND($B241&lt;&gt;"",$B241='Estado de cuenta'!$C$4),COUNTIF($B$2:$B241,'Estado de cuenta'!$C$4),"")</f>
        <v/>
      </c>
    </row>
    <row r="242" customFormat="false" ht="15" hidden="false" customHeight="false" outlineLevel="0" collapsed="false">
      <c r="A242" s="17"/>
      <c r="B242" s="10"/>
      <c r="C242" s="10"/>
      <c r="D242" s="10"/>
      <c r="E242" s="10"/>
      <c r="F242" s="12"/>
      <c r="G242" s="13" t="str">
        <f aca="false">IF(OR($B242="",$F242=""),"",IF(OR($C242="Saldo inicial",$C242="Factura",$C242="Nota de débito"),$F242,0))</f>
        <v/>
      </c>
      <c r="H242" s="13" t="str">
        <f aca="false">IF(OR($B242="",$F242=""),"",IF(OR($C242="Cobro",$C242="Nota de crédito"),$F242,0))</f>
        <v/>
      </c>
      <c r="I242" s="16" t="str">
        <f aca="false">IF(OR($A242="",N($G242)=0),"",$A242+IFERROR(INDEX(Clientes!$F$2:$F$81,MATCH($B242,Clientes!$B$2:$B$81,0)),0))</f>
        <v/>
      </c>
      <c r="J242" s="13" t="str">
        <f aca="false">IF($B242="","",SUMIFS($G$2:$G242,$B$2:$B242,$B242)-SUMIFS($H$2:$H242,$B$2:$B242,$B242))</f>
        <v/>
      </c>
      <c r="K242" s="10"/>
      <c r="L242" s="10"/>
      <c r="M242" s="18" t="str">
        <f aca="false">IF(AND($B242&lt;&gt;"",$B242='Estado de cuenta'!$C$4),COUNTIF($B$2:$B242,'Estado de cuenta'!$C$4),"")</f>
        <v/>
      </c>
    </row>
    <row r="243" customFormat="false" ht="15" hidden="false" customHeight="false" outlineLevel="0" collapsed="false">
      <c r="A243" s="17"/>
      <c r="B243" s="10"/>
      <c r="C243" s="10"/>
      <c r="D243" s="10"/>
      <c r="E243" s="10"/>
      <c r="F243" s="12"/>
      <c r="G243" s="13" t="str">
        <f aca="false">IF(OR($B243="",$F243=""),"",IF(OR($C243="Saldo inicial",$C243="Factura",$C243="Nota de débito"),$F243,0))</f>
        <v/>
      </c>
      <c r="H243" s="13" t="str">
        <f aca="false">IF(OR($B243="",$F243=""),"",IF(OR($C243="Cobro",$C243="Nota de crédito"),$F243,0))</f>
        <v/>
      </c>
      <c r="I243" s="16" t="str">
        <f aca="false">IF(OR($A243="",N($G243)=0),"",$A243+IFERROR(INDEX(Clientes!$F$2:$F$81,MATCH($B243,Clientes!$B$2:$B$81,0)),0))</f>
        <v/>
      </c>
      <c r="J243" s="13" t="str">
        <f aca="false">IF($B243="","",SUMIFS($G$2:$G243,$B$2:$B243,$B243)-SUMIFS($H$2:$H243,$B$2:$B243,$B243))</f>
        <v/>
      </c>
      <c r="K243" s="10"/>
      <c r="L243" s="10"/>
      <c r="M243" s="18" t="str">
        <f aca="false">IF(AND($B243&lt;&gt;"",$B243='Estado de cuenta'!$C$4),COUNTIF($B$2:$B243,'Estado de cuenta'!$C$4),"")</f>
        <v/>
      </c>
    </row>
    <row r="244" customFormat="false" ht="15" hidden="false" customHeight="false" outlineLevel="0" collapsed="false">
      <c r="A244" s="17"/>
      <c r="B244" s="10"/>
      <c r="C244" s="10"/>
      <c r="D244" s="10"/>
      <c r="E244" s="10"/>
      <c r="F244" s="12"/>
      <c r="G244" s="13" t="str">
        <f aca="false">IF(OR($B244="",$F244=""),"",IF(OR($C244="Saldo inicial",$C244="Factura",$C244="Nota de débito"),$F244,0))</f>
        <v/>
      </c>
      <c r="H244" s="13" t="str">
        <f aca="false">IF(OR($B244="",$F244=""),"",IF(OR($C244="Cobro",$C244="Nota de crédito"),$F244,0))</f>
        <v/>
      </c>
      <c r="I244" s="16" t="str">
        <f aca="false">IF(OR($A244="",N($G244)=0),"",$A244+IFERROR(INDEX(Clientes!$F$2:$F$81,MATCH($B244,Clientes!$B$2:$B$81,0)),0))</f>
        <v/>
      </c>
      <c r="J244" s="13" t="str">
        <f aca="false">IF($B244="","",SUMIFS($G$2:$G244,$B$2:$B244,$B244)-SUMIFS($H$2:$H244,$B$2:$B244,$B244))</f>
        <v/>
      </c>
      <c r="K244" s="10"/>
      <c r="L244" s="10"/>
      <c r="M244" s="18" t="str">
        <f aca="false">IF(AND($B244&lt;&gt;"",$B244='Estado de cuenta'!$C$4),COUNTIF($B$2:$B244,'Estado de cuenta'!$C$4),"")</f>
        <v/>
      </c>
    </row>
    <row r="245" customFormat="false" ht="15" hidden="false" customHeight="false" outlineLevel="0" collapsed="false">
      <c r="A245" s="17"/>
      <c r="B245" s="10"/>
      <c r="C245" s="10"/>
      <c r="D245" s="10"/>
      <c r="E245" s="10"/>
      <c r="F245" s="12"/>
      <c r="G245" s="13" t="str">
        <f aca="false">IF(OR($B245="",$F245=""),"",IF(OR($C245="Saldo inicial",$C245="Factura",$C245="Nota de débito"),$F245,0))</f>
        <v/>
      </c>
      <c r="H245" s="13" t="str">
        <f aca="false">IF(OR($B245="",$F245=""),"",IF(OR($C245="Cobro",$C245="Nota de crédito"),$F245,0))</f>
        <v/>
      </c>
      <c r="I245" s="16" t="str">
        <f aca="false">IF(OR($A245="",N($G245)=0),"",$A245+IFERROR(INDEX(Clientes!$F$2:$F$81,MATCH($B245,Clientes!$B$2:$B$81,0)),0))</f>
        <v/>
      </c>
      <c r="J245" s="13" t="str">
        <f aca="false">IF($B245="","",SUMIFS($G$2:$G245,$B$2:$B245,$B245)-SUMIFS($H$2:$H245,$B$2:$B245,$B245))</f>
        <v/>
      </c>
      <c r="K245" s="10"/>
      <c r="L245" s="10"/>
      <c r="M245" s="18" t="str">
        <f aca="false">IF(AND($B245&lt;&gt;"",$B245='Estado de cuenta'!$C$4),COUNTIF($B$2:$B245,'Estado de cuenta'!$C$4),"")</f>
        <v/>
      </c>
    </row>
    <row r="246" customFormat="false" ht="15" hidden="false" customHeight="false" outlineLevel="0" collapsed="false">
      <c r="A246" s="17"/>
      <c r="B246" s="10"/>
      <c r="C246" s="10"/>
      <c r="D246" s="10"/>
      <c r="E246" s="10"/>
      <c r="F246" s="12"/>
      <c r="G246" s="13" t="str">
        <f aca="false">IF(OR($B246="",$F246=""),"",IF(OR($C246="Saldo inicial",$C246="Factura",$C246="Nota de débito"),$F246,0))</f>
        <v/>
      </c>
      <c r="H246" s="13" t="str">
        <f aca="false">IF(OR($B246="",$F246=""),"",IF(OR($C246="Cobro",$C246="Nota de crédito"),$F246,0))</f>
        <v/>
      </c>
      <c r="I246" s="16" t="str">
        <f aca="false">IF(OR($A246="",N($G246)=0),"",$A246+IFERROR(INDEX(Clientes!$F$2:$F$81,MATCH($B246,Clientes!$B$2:$B$81,0)),0))</f>
        <v/>
      </c>
      <c r="J246" s="13" t="str">
        <f aca="false">IF($B246="","",SUMIFS($G$2:$G246,$B$2:$B246,$B246)-SUMIFS($H$2:$H246,$B$2:$B246,$B246))</f>
        <v/>
      </c>
      <c r="K246" s="10"/>
      <c r="L246" s="10"/>
      <c r="M246" s="18" t="str">
        <f aca="false">IF(AND($B246&lt;&gt;"",$B246='Estado de cuenta'!$C$4),COUNTIF($B$2:$B246,'Estado de cuenta'!$C$4),"")</f>
        <v/>
      </c>
    </row>
    <row r="247" customFormat="false" ht="15" hidden="false" customHeight="false" outlineLevel="0" collapsed="false">
      <c r="A247" s="17"/>
      <c r="B247" s="10"/>
      <c r="C247" s="10"/>
      <c r="D247" s="10"/>
      <c r="E247" s="10"/>
      <c r="F247" s="12"/>
      <c r="G247" s="13" t="str">
        <f aca="false">IF(OR($B247="",$F247=""),"",IF(OR($C247="Saldo inicial",$C247="Factura",$C247="Nota de débito"),$F247,0))</f>
        <v/>
      </c>
      <c r="H247" s="13" t="str">
        <f aca="false">IF(OR($B247="",$F247=""),"",IF(OR($C247="Cobro",$C247="Nota de crédito"),$F247,0))</f>
        <v/>
      </c>
      <c r="I247" s="16" t="str">
        <f aca="false">IF(OR($A247="",N($G247)=0),"",$A247+IFERROR(INDEX(Clientes!$F$2:$F$81,MATCH($B247,Clientes!$B$2:$B$81,0)),0))</f>
        <v/>
      </c>
      <c r="J247" s="13" t="str">
        <f aca="false">IF($B247="","",SUMIFS($G$2:$G247,$B$2:$B247,$B247)-SUMIFS($H$2:$H247,$B$2:$B247,$B247))</f>
        <v/>
      </c>
      <c r="K247" s="10"/>
      <c r="L247" s="10"/>
      <c r="M247" s="18" t="str">
        <f aca="false">IF(AND($B247&lt;&gt;"",$B247='Estado de cuenta'!$C$4),COUNTIF($B$2:$B247,'Estado de cuenta'!$C$4),"")</f>
        <v/>
      </c>
    </row>
    <row r="248" customFormat="false" ht="15" hidden="false" customHeight="false" outlineLevel="0" collapsed="false">
      <c r="A248" s="17"/>
      <c r="B248" s="10"/>
      <c r="C248" s="10"/>
      <c r="D248" s="10"/>
      <c r="E248" s="10"/>
      <c r="F248" s="12"/>
      <c r="G248" s="13" t="str">
        <f aca="false">IF(OR($B248="",$F248=""),"",IF(OR($C248="Saldo inicial",$C248="Factura",$C248="Nota de débito"),$F248,0))</f>
        <v/>
      </c>
      <c r="H248" s="13" t="str">
        <f aca="false">IF(OR($B248="",$F248=""),"",IF(OR($C248="Cobro",$C248="Nota de crédito"),$F248,0))</f>
        <v/>
      </c>
      <c r="I248" s="16" t="str">
        <f aca="false">IF(OR($A248="",N($G248)=0),"",$A248+IFERROR(INDEX(Clientes!$F$2:$F$81,MATCH($B248,Clientes!$B$2:$B$81,0)),0))</f>
        <v/>
      </c>
      <c r="J248" s="13" t="str">
        <f aca="false">IF($B248="","",SUMIFS($G$2:$G248,$B$2:$B248,$B248)-SUMIFS($H$2:$H248,$B$2:$B248,$B248))</f>
        <v/>
      </c>
      <c r="K248" s="10"/>
      <c r="L248" s="10"/>
      <c r="M248" s="18" t="str">
        <f aca="false">IF(AND($B248&lt;&gt;"",$B248='Estado de cuenta'!$C$4),COUNTIF($B$2:$B248,'Estado de cuenta'!$C$4),"")</f>
        <v/>
      </c>
    </row>
    <row r="249" customFormat="false" ht="15" hidden="false" customHeight="false" outlineLevel="0" collapsed="false">
      <c r="A249" s="17"/>
      <c r="B249" s="10"/>
      <c r="C249" s="10"/>
      <c r="D249" s="10"/>
      <c r="E249" s="10"/>
      <c r="F249" s="12"/>
      <c r="G249" s="13" t="str">
        <f aca="false">IF(OR($B249="",$F249=""),"",IF(OR($C249="Saldo inicial",$C249="Factura",$C249="Nota de débito"),$F249,0))</f>
        <v/>
      </c>
      <c r="H249" s="13" t="str">
        <f aca="false">IF(OR($B249="",$F249=""),"",IF(OR($C249="Cobro",$C249="Nota de crédito"),$F249,0))</f>
        <v/>
      </c>
      <c r="I249" s="16" t="str">
        <f aca="false">IF(OR($A249="",N($G249)=0),"",$A249+IFERROR(INDEX(Clientes!$F$2:$F$81,MATCH($B249,Clientes!$B$2:$B$81,0)),0))</f>
        <v/>
      </c>
      <c r="J249" s="13" t="str">
        <f aca="false">IF($B249="","",SUMIFS($G$2:$G249,$B$2:$B249,$B249)-SUMIFS($H$2:$H249,$B$2:$B249,$B249))</f>
        <v/>
      </c>
      <c r="K249" s="10"/>
      <c r="L249" s="10"/>
      <c r="M249" s="18" t="str">
        <f aca="false">IF(AND($B249&lt;&gt;"",$B249='Estado de cuenta'!$C$4),COUNTIF($B$2:$B249,'Estado de cuenta'!$C$4),"")</f>
        <v/>
      </c>
    </row>
    <row r="250" customFormat="false" ht="15" hidden="false" customHeight="false" outlineLevel="0" collapsed="false">
      <c r="A250" s="17"/>
      <c r="B250" s="10"/>
      <c r="C250" s="10"/>
      <c r="D250" s="10"/>
      <c r="E250" s="10"/>
      <c r="F250" s="12"/>
      <c r="G250" s="13" t="str">
        <f aca="false">IF(OR($B250="",$F250=""),"",IF(OR($C250="Saldo inicial",$C250="Factura",$C250="Nota de débito"),$F250,0))</f>
        <v/>
      </c>
      <c r="H250" s="13" t="str">
        <f aca="false">IF(OR($B250="",$F250=""),"",IF(OR($C250="Cobro",$C250="Nota de crédito"),$F250,0))</f>
        <v/>
      </c>
      <c r="I250" s="16" t="str">
        <f aca="false">IF(OR($A250="",N($G250)=0),"",$A250+IFERROR(INDEX(Clientes!$F$2:$F$81,MATCH($B250,Clientes!$B$2:$B$81,0)),0))</f>
        <v/>
      </c>
      <c r="J250" s="13" t="str">
        <f aca="false">IF($B250="","",SUMIFS($G$2:$G250,$B$2:$B250,$B250)-SUMIFS($H$2:$H250,$B$2:$B250,$B250))</f>
        <v/>
      </c>
      <c r="K250" s="10"/>
      <c r="L250" s="10"/>
      <c r="M250" s="18" t="str">
        <f aca="false">IF(AND($B250&lt;&gt;"",$B250='Estado de cuenta'!$C$4),COUNTIF($B$2:$B250,'Estado de cuenta'!$C$4),"")</f>
        <v/>
      </c>
    </row>
    <row r="251" customFormat="false" ht="15" hidden="false" customHeight="false" outlineLevel="0" collapsed="false">
      <c r="A251" s="17"/>
      <c r="B251" s="10"/>
      <c r="C251" s="10"/>
      <c r="D251" s="10"/>
      <c r="E251" s="10"/>
      <c r="F251" s="12"/>
      <c r="G251" s="13" t="str">
        <f aca="false">IF(OR($B251="",$F251=""),"",IF(OR($C251="Saldo inicial",$C251="Factura",$C251="Nota de débito"),$F251,0))</f>
        <v/>
      </c>
      <c r="H251" s="13" t="str">
        <f aca="false">IF(OR($B251="",$F251=""),"",IF(OR($C251="Cobro",$C251="Nota de crédito"),$F251,0))</f>
        <v/>
      </c>
      <c r="I251" s="16" t="str">
        <f aca="false">IF(OR($A251="",N($G251)=0),"",$A251+IFERROR(INDEX(Clientes!$F$2:$F$81,MATCH($B251,Clientes!$B$2:$B$81,0)),0))</f>
        <v/>
      </c>
      <c r="J251" s="13" t="str">
        <f aca="false">IF($B251="","",SUMIFS($G$2:$G251,$B$2:$B251,$B251)-SUMIFS($H$2:$H251,$B$2:$B251,$B251))</f>
        <v/>
      </c>
      <c r="K251" s="10"/>
      <c r="L251" s="10"/>
      <c r="M251" s="18" t="str">
        <f aca="false">IF(AND($B251&lt;&gt;"",$B251='Estado de cuenta'!$C$4),COUNTIF($B$2:$B251,'Estado de cuenta'!$C$4),"")</f>
        <v/>
      </c>
    </row>
    <row r="252" customFormat="false" ht="15" hidden="false" customHeight="false" outlineLevel="0" collapsed="false">
      <c r="A252" s="17"/>
      <c r="B252" s="10"/>
      <c r="C252" s="10"/>
      <c r="D252" s="10"/>
      <c r="E252" s="10"/>
      <c r="F252" s="12"/>
      <c r="G252" s="13" t="str">
        <f aca="false">IF(OR($B252="",$F252=""),"",IF(OR($C252="Saldo inicial",$C252="Factura",$C252="Nota de débito"),$F252,0))</f>
        <v/>
      </c>
      <c r="H252" s="13" t="str">
        <f aca="false">IF(OR($B252="",$F252=""),"",IF(OR($C252="Cobro",$C252="Nota de crédito"),$F252,0))</f>
        <v/>
      </c>
      <c r="I252" s="16" t="str">
        <f aca="false">IF(OR($A252="",N($G252)=0),"",$A252+IFERROR(INDEX(Clientes!$F$2:$F$81,MATCH($B252,Clientes!$B$2:$B$81,0)),0))</f>
        <v/>
      </c>
      <c r="J252" s="13" t="str">
        <f aca="false">IF($B252="","",SUMIFS($G$2:$G252,$B$2:$B252,$B252)-SUMIFS($H$2:$H252,$B$2:$B252,$B252))</f>
        <v/>
      </c>
      <c r="K252" s="10"/>
      <c r="L252" s="10"/>
      <c r="M252" s="18" t="str">
        <f aca="false">IF(AND($B252&lt;&gt;"",$B252='Estado de cuenta'!$C$4),COUNTIF($B$2:$B252,'Estado de cuenta'!$C$4),"")</f>
        <v/>
      </c>
    </row>
    <row r="253" customFormat="false" ht="15" hidden="false" customHeight="false" outlineLevel="0" collapsed="false">
      <c r="A253" s="17"/>
      <c r="B253" s="10"/>
      <c r="C253" s="10"/>
      <c r="D253" s="10"/>
      <c r="E253" s="10"/>
      <c r="F253" s="12"/>
      <c r="G253" s="13" t="str">
        <f aca="false">IF(OR($B253="",$F253=""),"",IF(OR($C253="Saldo inicial",$C253="Factura",$C253="Nota de débito"),$F253,0))</f>
        <v/>
      </c>
      <c r="H253" s="13" t="str">
        <f aca="false">IF(OR($B253="",$F253=""),"",IF(OR($C253="Cobro",$C253="Nota de crédito"),$F253,0))</f>
        <v/>
      </c>
      <c r="I253" s="16" t="str">
        <f aca="false">IF(OR($A253="",N($G253)=0),"",$A253+IFERROR(INDEX(Clientes!$F$2:$F$81,MATCH($B253,Clientes!$B$2:$B$81,0)),0))</f>
        <v/>
      </c>
      <c r="J253" s="13" t="str">
        <f aca="false">IF($B253="","",SUMIFS($G$2:$G253,$B$2:$B253,$B253)-SUMIFS($H$2:$H253,$B$2:$B253,$B253))</f>
        <v/>
      </c>
      <c r="K253" s="10"/>
      <c r="L253" s="10"/>
      <c r="M253" s="18" t="str">
        <f aca="false">IF(AND($B253&lt;&gt;"",$B253='Estado de cuenta'!$C$4),COUNTIF($B$2:$B253,'Estado de cuenta'!$C$4),"")</f>
        <v/>
      </c>
    </row>
    <row r="254" customFormat="false" ht="15" hidden="false" customHeight="false" outlineLevel="0" collapsed="false">
      <c r="A254" s="17"/>
      <c r="B254" s="10"/>
      <c r="C254" s="10"/>
      <c r="D254" s="10"/>
      <c r="E254" s="10"/>
      <c r="F254" s="12"/>
      <c r="G254" s="13" t="str">
        <f aca="false">IF(OR($B254="",$F254=""),"",IF(OR($C254="Saldo inicial",$C254="Factura",$C254="Nota de débito"),$F254,0))</f>
        <v/>
      </c>
      <c r="H254" s="13" t="str">
        <f aca="false">IF(OR($B254="",$F254=""),"",IF(OR($C254="Cobro",$C254="Nota de crédito"),$F254,0))</f>
        <v/>
      </c>
      <c r="I254" s="16" t="str">
        <f aca="false">IF(OR($A254="",N($G254)=0),"",$A254+IFERROR(INDEX(Clientes!$F$2:$F$81,MATCH($B254,Clientes!$B$2:$B$81,0)),0))</f>
        <v/>
      </c>
      <c r="J254" s="13" t="str">
        <f aca="false">IF($B254="","",SUMIFS($G$2:$G254,$B$2:$B254,$B254)-SUMIFS($H$2:$H254,$B$2:$B254,$B254))</f>
        <v/>
      </c>
      <c r="K254" s="10"/>
      <c r="L254" s="10"/>
      <c r="M254" s="18" t="str">
        <f aca="false">IF(AND($B254&lt;&gt;"",$B254='Estado de cuenta'!$C$4),COUNTIF($B$2:$B254,'Estado de cuenta'!$C$4),"")</f>
        <v/>
      </c>
    </row>
    <row r="255" customFormat="false" ht="15" hidden="false" customHeight="false" outlineLevel="0" collapsed="false">
      <c r="A255" s="17"/>
      <c r="B255" s="10"/>
      <c r="C255" s="10"/>
      <c r="D255" s="10"/>
      <c r="E255" s="10"/>
      <c r="F255" s="12"/>
      <c r="G255" s="13" t="str">
        <f aca="false">IF(OR($B255="",$F255=""),"",IF(OR($C255="Saldo inicial",$C255="Factura",$C255="Nota de débito"),$F255,0))</f>
        <v/>
      </c>
      <c r="H255" s="13" t="str">
        <f aca="false">IF(OR($B255="",$F255=""),"",IF(OR($C255="Cobro",$C255="Nota de crédito"),$F255,0))</f>
        <v/>
      </c>
      <c r="I255" s="16" t="str">
        <f aca="false">IF(OR($A255="",N($G255)=0),"",$A255+IFERROR(INDEX(Clientes!$F$2:$F$81,MATCH($B255,Clientes!$B$2:$B$81,0)),0))</f>
        <v/>
      </c>
      <c r="J255" s="13" t="str">
        <f aca="false">IF($B255="","",SUMIFS($G$2:$G255,$B$2:$B255,$B255)-SUMIFS($H$2:$H255,$B$2:$B255,$B255))</f>
        <v/>
      </c>
      <c r="K255" s="10"/>
      <c r="L255" s="10"/>
      <c r="M255" s="18" t="str">
        <f aca="false">IF(AND($B255&lt;&gt;"",$B255='Estado de cuenta'!$C$4),COUNTIF($B$2:$B255,'Estado de cuenta'!$C$4),"")</f>
        <v/>
      </c>
    </row>
    <row r="256" customFormat="false" ht="15" hidden="false" customHeight="false" outlineLevel="0" collapsed="false">
      <c r="A256" s="17"/>
      <c r="B256" s="10"/>
      <c r="C256" s="10"/>
      <c r="D256" s="10"/>
      <c r="E256" s="10"/>
      <c r="F256" s="12"/>
      <c r="G256" s="13" t="str">
        <f aca="false">IF(OR($B256="",$F256=""),"",IF(OR($C256="Saldo inicial",$C256="Factura",$C256="Nota de débito"),$F256,0))</f>
        <v/>
      </c>
      <c r="H256" s="13" t="str">
        <f aca="false">IF(OR($B256="",$F256=""),"",IF(OR($C256="Cobro",$C256="Nota de crédito"),$F256,0))</f>
        <v/>
      </c>
      <c r="I256" s="16" t="str">
        <f aca="false">IF(OR($A256="",N($G256)=0),"",$A256+IFERROR(INDEX(Clientes!$F$2:$F$81,MATCH($B256,Clientes!$B$2:$B$81,0)),0))</f>
        <v/>
      </c>
      <c r="J256" s="13" t="str">
        <f aca="false">IF($B256="","",SUMIFS($G$2:$G256,$B$2:$B256,$B256)-SUMIFS($H$2:$H256,$B$2:$B256,$B256))</f>
        <v/>
      </c>
      <c r="K256" s="10"/>
      <c r="L256" s="10"/>
      <c r="M256" s="18" t="str">
        <f aca="false">IF(AND($B256&lt;&gt;"",$B256='Estado de cuenta'!$C$4),COUNTIF($B$2:$B256,'Estado de cuenta'!$C$4),"")</f>
        <v/>
      </c>
    </row>
    <row r="257" customFormat="false" ht="15" hidden="false" customHeight="false" outlineLevel="0" collapsed="false">
      <c r="A257" s="17"/>
      <c r="B257" s="10"/>
      <c r="C257" s="10"/>
      <c r="D257" s="10"/>
      <c r="E257" s="10"/>
      <c r="F257" s="12"/>
      <c r="G257" s="13" t="str">
        <f aca="false">IF(OR($B257="",$F257=""),"",IF(OR($C257="Saldo inicial",$C257="Factura",$C257="Nota de débito"),$F257,0))</f>
        <v/>
      </c>
      <c r="H257" s="13" t="str">
        <f aca="false">IF(OR($B257="",$F257=""),"",IF(OR($C257="Cobro",$C257="Nota de crédito"),$F257,0))</f>
        <v/>
      </c>
      <c r="I257" s="16" t="str">
        <f aca="false">IF(OR($A257="",N($G257)=0),"",$A257+IFERROR(INDEX(Clientes!$F$2:$F$81,MATCH($B257,Clientes!$B$2:$B$81,0)),0))</f>
        <v/>
      </c>
      <c r="J257" s="13" t="str">
        <f aca="false">IF($B257="","",SUMIFS($G$2:$G257,$B$2:$B257,$B257)-SUMIFS($H$2:$H257,$B$2:$B257,$B257))</f>
        <v/>
      </c>
      <c r="K257" s="10"/>
      <c r="L257" s="10"/>
      <c r="M257" s="18" t="str">
        <f aca="false">IF(AND($B257&lt;&gt;"",$B257='Estado de cuenta'!$C$4),COUNTIF($B$2:$B257,'Estado de cuenta'!$C$4),"")</f>
        <v/>
      </c>
    </row>
    <row r="258" customFormat="false" ht="15" hidden="false" customHeight="false" outlineLevel="0" collapsed="false">
      <c r="A258" s="17"/>
      <c r="B258" s="10"/>
      <c r="C258" s="10"/>
      <c r="D258" s="10"/>
      <c r="E258" s="10"/>
      <c r="F258" s="12"/>
      <c r="G258" s="13" t="str">
        <f aca="false">IF(OR($B258="",$F258=""),"",IF(OR($C258="Saldo inicial",$C258="Factura",$C258="Nota de débito"),$F258,0))</f>
        <v/>
      </c>
      <c r="H258" s="13" t="str">
        <f aca="false">IF(OR($B258="",$F258=""),"",IF(OR($C258="Cobro",$C258="Nota de crédito"),$F258,0))</f>
        <v/>
      </c>
      <c r="I258" s="16" t="str">
        <f aca="false">IF(OR($A258="",N($G258)=0),"",$A258+IFERROR(INDEX(Clientes!$F$2:$F$81,MATCH($B258,Clientes!$B$2:$B$81,0)),0))</f>
        <v/>
      </c>
      <c r="J258" s="13" t="str">
        <f aca="false">IF($B258="","",SUMIFS($G$2:$G258,$B$2:$B258,$B258)-SUMIFS($H$2:$H258,$B$2:$B258,$B258))</f>
        <v/>
      </c>
      <c r="K258" s="10"/>
      <c r="L258" s="10"/>
      <c r="M258" s="18" t="str">
        <f aca="false">IF(AND($B258&lt;&gt;"",$B258='Estado de cuenta'!$C$4),COUNTIF($B$2:$B258,'Estado de cuenta'!$C$4),"")</f>
        <v/>
      </c>
    </row>
    <row r="259" customFormat="false" ht="15" hidden="false" customHeight="false" outlineLevel="0" collapsed="false">
      <c r="A259" s="17"/>
      <c r="B259" s="10"/>
      <c r="C259" s="10"/>
      <c r="D259" s="10"/>
      <c r="E259" s="10"/>
      <c r="F259" s="12"/>
      <c r="G259" s="13" t="str">
        <f aca="false">IF(OR($B259="",$F259=""),"",IF(OR($C259="Saldo inicial",$C259="Factura",$C259="Nota de débito"),$F259,0))</f>
        <v/>
      </c>
      <c r="H259" s="13" t="str">
        <f aca="false">IF(OR($B259="",$F259=""),"",IF(OR($C259="Cobro",$C259="Nota de crédito"),$F259,0))</f>
        <v/>
      </c>
      <c r="I259" s="16" t="str">
        <f aca="false">IF(OR($A259="",N($G259)=0),"",$A259+IFERROR(INDEX(Clientes!$F$2:$F$81,MATCH($B259,Clientes!$B$2:$B$81,0)),0))</f>
        <v/>
      </c>
      <c r="J259" s="13" t="str">
        <f aca="false">IF($B259="","",SUMIFS($G$2:$G259,$B$2:$B259,$B259)-SUMIFS($H$2:$H259,$B$2:$B259,$B259))</f>
        <v/>
      </c>
      <c r="K259" s="10"/>
      <c r="L259" s="10"/>
      <c r="M259" s="18" t="str">
        <f aca="false">IF(AND($B259&lt;&gt;"",$B259='Estado de cuenta'!$C$4),COUNTIF($B$2:$B259,'Estado de cuenta'!$C$4),"")</f>
        <v/>
      </c>
    </row>
    <row r="260" customFormat="false" ht="15" hidden="false" customHeight="false" outlineLevel="0" collapsed="false">
      <c r="A260" s="17"/>
      <c r="B260" s="10"/>
      <c r="C260" s="10"/>
      <c r="D260" s="10"/>
      <c r="E260" s="10"/>
      <c r="F260" s="12"/>
      <c r="G260" s="13" t="str">
        <f aca="false">IF(OR($B260="",$F260=""),"",IF(OR($C260="Saldo inicial",$C260="Factura",$C260="Nota de débito"),$F260,0))</f>
        <v/>
      </c>
      <c r="H260" s="13" t="str">
        <f aca="false">IF(OR($B260="",$F260=""),"",IF(OR($C260="Cobro",$C260="Nota de crédito"),$F260,0))</f>
        <v/>
      </c>
      <c r="I260" s="16" t="str">
        <f aca="false">IF(OR($A260="",N($G260)=0),"",$A260+IFERROR(INDEX(Clientes!$F$2:$F$81,MATCH($B260,Clientes!$B$2:$B$81,0)),0))</f>
        <v/>
      </c>
      <c r="J260" s="13" t="str">
        <f aca="false">IF($B260="","",SUMIFS($G$2:$G260,$B$2:$B260,$B260)-SUMIFS($H$2:$H260,$B$2:$B260,$B260))</f>
        <v/>
      </c>
      <c r="K260" s="10"/>
      <c r="L260" s="10"/>
      <c r="M260" s="18" t="str">
        <f aca="false">IF(AND($B260&lt;&gt;"",$B260='Estado de cuenta'!$C$4),COUNTIF($B$2:$B260,'Estado de cuenta'!$C$4),"")</f>
        <v/>
      </c>
    </row>
    <row r="261" customFormat="false" ht="15" hidden="false" customHeight="false" outlineLevel="0" collapsed="false">
      <c r="A261" s="17"/>
      <c r="B261" s="10"/>
      <c r="C261" s="10"/>
      <c r="D261" s="10"/>
      <c r="E261" s="10"/>
      <c r="F261" s="12"/>
      <c r="G261" s="13" t="str">
        <f aca="false">IF(OR($B261="",$F261=""),"",IF(OR($C261="Saldo inicial",$C261="Factura",$C261="Nota de débito"),$F261,0))</f>
        <v/>
      </c>
      <c r="H261" s="13" t="str">
        <f aca="false">IF(OR($B261="",$F261=""),"",IF(OR($C261="Cobro",$C261="Nota de crédito"),$F261,0))</f>
        <v/>
      </c>
      <c r="I261" s="16" t="str">
        <f aca="false">IF(OR($A261="",N($G261)=0),"",$A261+IFERROR(INDEX(Clientes!$F$2:$F$81,MATCH($B261,Clientes!$B$2:$B$81,0)),0))</f>
        <v/>
      </c>
      <c r="J261" s="13" t="str">
        <f aca="false">IF($B261="","",SUMIFS($G$2:$G261,$B$2:$B261,$B261)-SUMIFS($H$2:$H261,$B$2:$B261,$B261))</f>
        <v/>
      </c>
      <c r="K261" s="10"/>
      <c r="L261" s="10"/>
      <c r="M261" s="18" t="str">
        <f aca="false">IF(AND($B261&lt;&gt;"",$B261='Estado de cuenta'!$C$4),COUNTIF($B$2:$B261,'Estado de cuenta'!$C$4),"")</f>
        <v/>
      </c>
    </row>
    <row r="262" customFormat="false" ht="15" hidden="false" customHeight="false" outlineLevel="0" collapsed="false">
      <c r="A262" s="17"/>
      <c r="B262" s="10"/>
      <c r="C262" s="10"/>
      <c r="D262" s="10"/>
      <c r="E262" s="10"/>
      <c r="F262" s="12"/>
      <c r="G262" s="13" t="str">
        <f aca="false">IF(OR($B262="",$F262=""),"",IF(OR($C262="Saldo inicial",$C262="Factura",$C262="Nota de débito"),$F262,0))</f>
        <v/>
      </c>
      <c r="H262" s="13" t="str">
        <f aca="false">IF(OR($B262="",$F262=""),"",IF(OR($C262="Cobro",$C262="Nota de crédito"),$F262,0))</f>
        <v/>
      </c>
      <c r="I262" s="16" t="str">
        <f aca="false">IF(OR($A262="",N($G262)=0),"",$A262+IFERROR(INDEX(Clientes!$F$2:$F$81,MATCH($B262,Clientes!$B$2:$B$81,0)),0))</f>
        <v/>
      </c>
      <c r="J262" s="13" t="str">
        <f aca="false">IF($B262="","",SUMIFS($G$2:$G262,$B$2:$B262,$B262)-SUMIFS($H$2:$H262,$B$2:$B262,$B262))</f>
        <v/>
      </c>
      <c r="K262" s="10"/>
      <c r="L262" s="10"/>
      <c r="M262" s="18" t="str">
        <f aca="false">IF(AND($B262&lt;&gt;"",$B262='Estado de cuenta'!$C$4),COUNTIF($B$2:$B262,'Estado de cuenta'!$C$4),"")</f>
        <v/>
      </c>
    </row>
    <row r="263" customFormat="false" ht="15" hidden="false" customHeight="false" outlineLevel="0" collapsed="false">
      <c r="A263" s="17"/>
      <c r="B263" s="10"/>
      <c r="C263" s="10"/>
      <c r="D263" s="10"/>
      <c r="E263" s="10"/>
      <c r="F263" s="12"/>
      <c r="G263" s="13" t="str">
        <f aca="false">IF(OR($B263="",$F263=""),"",IF(OR($C263="Saldo inicial",$C263="Factura",$C263="Nota de débito"),$F263,0))</f>
        <v/>
      </c>
      <c r="H263" s="13" t="str">
        <f aca="false">IF(OR($B263="",$F263=""),"",IF(OR($C263="Cobro",$C263="Nota de crédito"),$F263,0))</f>
        <v/>
      </c>
      <c r="I263" s="16" t="str">
        <f aca="false">IF(OR($A263="",N($G263)=0),"",$A263+IFERROR(INDEX(Clientes!$F$2:$F$81,MATCH($B263,Clientes!$B$2:$B$81,0)),0))</f>
        <v/>
      </c>
      <c r="J263" s="13" t="str">
        <f aca="false">IF($B263="","",SUMIFS($G$2:$G263,$B$2:$B263,$B263)-SUMIFS($H$2:$H263,$B$2:$B263,$B263))</f>
        <v/>
      </c>
      <c r="K263" s="10"/>
      <c r="L263" s="10"/>
      <c r="M263" s="18" t="str">
        <f aca="false">IF(AND($B263&lt;&gt;"",$B263='Estado de cuenta'!$C$4),COUNTIF($B$2:$B263,'Estado de cuenta'!$C$4),"")</f>
        <v/>
      </c>
    </row>
    <row r="264" customFormat="false" ht="15" hidden="false" customHeight="false" outlineLevel="0" collapsed="false">
      <c r="A264" s="17"/>
      <c r="B264" s="10"/>
      <c r="C264" s="10"/>
      <c r="D264" s="10"/>
      <c r="E264" s="10"/>
      <c r="F264" s="12"/>
      <c r="G264" s="13" t="str">
        <f aca="false">IF(OR($B264="",$F264=""),"",IF(OR($C264="Saldo inicial",$C264="Factura",$C264="Nota de débito"),$F264,0))</f>
        <v/>
      </c>
      <c r="H264" s="13" t="str">
        <f aca="false">IF(OR($B264="",$F264=""),"",IF(OR($C264="Cobro",$C264="Nota de crédito"),$F264,0))</f>
        <v/>
      </c>
      <c r="I264" s="16" t="str">
        <f aca="false">IF(OR($A264="",N($G264)=0),"",$A264+IFERROR(INDEX(Clientes!$F$2:$F$81,MATCH($B264,Clientes!$B$2:$B$81,0)),0))</f>
        <v/>
      </c>
      <c r="J264" s="13" t="str">
        <f aca="false">IF($B264="","",SUMIFS($G$2:$G264,$B$2:$B264,$B264)-SUMIFS($H$2:$H264,$B$2:$B264,$B264))</f>
        <v/>
      </c>
      <c r="K264" s="10"/>
      <c r="L264" s="10"/>
      <c r="M264" s="18" t="str">
        <f aca="false">IF(AND($B264&lt;&gt;"",$B264='Estado de cuenta'!$C$4),COUNTIF($B$2:$B264,'Estado de cuenta'!$C$4),"")</f>
        <v/>
      </c>
    </row>
    <row r="265" customFormat="false" ht="15" hidden="false" customHeight="false" outlineLevel="0" collapsed="false">
      <c r="A265" s="17"/>
      <c r="B265" s="10"/>
      <c r="C265" s="10"/>
      <c r="D265" s="10"/>
      <c r="E265" s="10"/>
      <c r="F265" s="12"/>
      <c r="G265" s="13" t="str">
        <f aca="false">IF(OR($B265="",$F265=""),"",IF(OR($C265="Saldo inicial",$C265="Factura",$C265="Nota de débito"),$F265,0))</f>
        <v/>
      </c>
      <c r="H265" s="13" t="str">
        <f aca="false">IF(OR($B265="",$F265=""),"",IF(OR($C265="Cobro",$C265="Nota de crédito"),$F265,0))</f>
        <v/>
      </c>
      <c r="I265" s="16" t="str">
        <f aca="false">IF(OR($A265="",N($G265)=0),"",$A265+IFERROR(INDEX(Clientes!$F$2:$F$81,MATCH($B265,Clientes!$B$2:$B$81,0)),0))</f>
        <v/>
      </c>
      <c r="J265" s="13" t="str">
        <f aca="false">IF($B265="","",SUMIFS($G$2:$G265,$B$2:$B265,$B265)-SUMIFS($H$2:$H265,$B$2:$B265,$B265))</f>
        <v/>
      </c>
      <c r="K265" s="10"/>
      <c r="L265" s="10"/>
      <c r="M265" s="18" t="str">
        <f aca="false">IF(AND($B265&lt;&gt;"",$B265='Estado de cuenta'!$C$4),COUNTIF($B$2:$B265,'Estado de cuenta'!$C$4),"")</f>
        <v/>
      </c>
    </row>
    <row r="266" customFormat="false" ht="15" hidden="false" customHeight="false" outlineLevel="0" collapsed="false">
      <c r="A266" s="17"/>
      <c r="B266" s="10"/>
      <c r="C266" s="10"/>
      <c r="D266" s="10"/>
      <c r="E266" s="10"/>
      <c r="F266" s="12"/>
      <c r="G266" s="13" t="str">
        <f aca="false">IF(OR($B266="",$F266=""),"",IF(OR($C266="Saldo inicial",$C266="Factura",$C266="Nota de débito"),$F266,0))</f>
        <v/>
      </c>
      <c r="H266" s="13" t="str">
        <f aca="false">IF(OR($B266="",$F266=""),"",IF(OR($C266="Cobro",$C266="Nota de crédito"),$F266,0))</f>
        <v/>
      </c>
      <c r="I266" s="16" t="str">
        <f aca="false">IF(OR($A266="",N($G266)=0),"",$A266+IFERROR(INDEX(Clientes!$F$2:$F$81,MATCH($B266,Clientes!$B$2:$B$81,0)),0))</f>
        <v/>
      </c>
      <c r="J266" s="13" t="str">
        <f aca="false">IF($B266="","",SUMIFS($G$2:$G266,$B$2:$B266,$B266)-SUMIFS($H$2:$H266,$B$2:$B266,$B266))</f>
        <v/>
      </c>
      <c r="K266" s="10"/>
      <c r="L266" s="10"/>
      <c r="M266" s="18" t="str">
        <f aca="false">IF(AND($B266&lt;&gt;"",$B266='Estado de cuenta'!$C$4),COUNTIF($B$2:$B266,'Estado de cuenta'!$C$4),"")</f>
        <v/>
      </c>
    </row>
    <row r="267" customFormat="false" ht="15" hidden="false" customHeight="false" outlineLevel="0" collapsed="false">
      <c r="A267" s="17"/>
      <c r="B267" s="10"/>
      <c r="C267" s="10"/>
      <c r="D267" s="10"/>
      <c r="E267" s="10"/>
      <c r="F267" s="12"/>
      <c r="G267" s="13" t="str">
        <f aca="false">IF(OR($B267="",$F267=""),"",IF(OR($C267="Saldo inicial",$C267="Factura",$C267="Nota de débito"),$F267,0))</f>
        <v/>
      </c>
      <c r="H267" s="13" t="str">
        <f aca="false">IF(OR($B267="",$F267=""),"",IF(OR($C267="Cobro",$C267="Nota de crédito"),$F267,0))</f>
        <v/>
      </c>
      <c r="I267" s="16" t="str">
        <f aca="false">IF(OR($A267="",N($G267)=0),"",$A267+IFERROR(INDEX(Clientes!$F$2:$F$81,MATCH($B267,Clientes!$B$2:$B$81,0)),0))</f>
        <v/>
      </c>
      <c r="J267" s="13" t="str">
        <f aca="false">IF($B267="","",SUMIFS($G$2:$G267,$B$2:$B267,$B267)-SUMIFS($H$2:$H267,$B$2:$B267,$B267))</f>
        <v/>
      </c>
      <c r="K267" s="10"/>
      <c r="L267" s="10"/>
      <c r="M267" s="18" t="str">
        <f aca="false">IF(AND($B267&lt;&gt;"",$B267='Estado de cuenta'!$C$4),COUNTIF($B$2:$B267,'Estado de cuenta'!$C$4),"")</f>
        <v/>
      </c>
    </row>
    <row r="268" customFormat="false" ht="15" hidden="false" customHeight="false" outlineLevel="0" collapsed="false">
      <c r="A268" s="17"/>
      <c r="B268" s="10"/>
      <c r="C268" s="10"/>
      <c r="D268" s="10"/>
      <c r="E268" s="10"/>
      <c r="F268" s="12"/>
      <c r="G268" s="13" t="str">
        <f aca="false">IF(OR($B268="",$F268=""),"",IF(OR($C268="Saldo inicial",$C268="Factura",$C268="Nota de débito"),$F268,0))</f>
        <v/>
      </c>
      <c r="H268" s="13" t="str">
        <f aca="false">IF(OR($B268="",$F268=""),"",IF(OR($C268="Cobro",$C268="Nota de crédito"),$F268,0))</f>
        <v/>
      </c>
      <c r="I268" s="16" t="str">
        <f aca="false">IF(OR($A268="",N($G268)=0),"",$A268+IFERROR(INDEX(Clientes!$F$2:$F$81,MATCH($B268,Clientes!$B$2:$B$81,0)),0))</f>
        <v/>
      </c>
      <c r="J268" s="13" t="str">
        <f aca="false">IF($B268="","",SUMIFS($G$2:$G268,$B$2:$B268,$B268)-SUMIFS($H$2:$H268,$B$2:$B268,$B268))</f>
        <v/>
      </c>
      <c r="K268" s="10"/>
      <c r="L268" s="10"/>
      <c r="M268" s="18" t="str">
        <f aca="false">IF(AND($B268&lt;&gt;"",$B268='Estado de cuenta'!$C$4),COUNTIF($B$2:$B268,'Estado de cuenta'!$C$4),"")</f>
        <v/>
      </c>
    </row>
    <row r="269" customFormat="false" ht="15" hidden="false" customHeight="false" outlineLevel="0" collapsed="false">
      <c r="A269" s="17"/>
      <c r="B269" s="10"/>
      <c r="C269" s="10"/>
      <c r="D269" s="10"/>
      <c r="E269" s="10"/>
      <c r="F269" s="12"/>
      <c r="G269" s="13" t="str">
        <f aca="false">IF(OR($B269="",$F269=""),"",IF(OR($C269="Saldo inicial",$C269="Factura",$C269="Nota de débito"),$F269,0))</f>
        <v/>
      </c>
      <c r="H269" s="13" t="str">
        <f aca="false">IF(OR($B269="",$F269=""),"",IF(OR($C269="Cobro",$C269="Nota de crédito"),$F269,0))</f>
        <v/>
      </c>
      <c r="I269" s="16" t="str">
        <f aca="false">IF(OR($A269="",N($G269)=0),"",$A269+IFERROR(INDEX(Clientes!$F$2:$F$81,MATCH($B269,Clientes!$B$2:$B$81,0)),0))</f>
        <v/>
      </c>
      <c r="J269" s="13" t="str">
        <f aca="false">IF($B269="","",SUMIFS($G$2:$G269,$B$2:$B269,$B269)-SUMIFS($H$2:$H269,$B$2:$B269,$B269))</f>
        <v/>
      </c>
      <c r="K269" s="10"/>
      <c r="L269" s="10"/>
      <c r="M269" s="18" t="str">
        <f aca="false">IF(AND($B269&lt;&gt;"",$B269='Estado de cuenta'!$C$4),COUNTIF($B$2:$B269,'Estado de cuenta'!$C$4),"")</f>
        <v/>
      </c>
    </row>
    <row r="270" customFormat="false" ht="15" hidden="false" customHeight="false" outlineLevel="0" collapsed="false">
      <c r="A270" s="17"/>
      <c r="B270" s="10"/>
      <c r="C270" s="10"/>
      <c r="D270" s="10"/>
      <c r="E270" s="10"/>
      <c r="F270" s="12"/>
      <c r="G270" s="13" t="str">
        <f aca="false">IF(OR($B270="",$F270=""),"",IF(OR($C270="Saldo inicial",$C270="Factura",$C270="Nota de débito"),$F270,0))</f>
        <v/>
      </c>
      <c r="H270" s="13" t="str">
        <f aca="false">IF(OR($B270="",$F270=""),"",IF(OR($C270="Cobro",$C270="Nota de crédito"),$F270,0))</f>
        <v/>
      </c>
      <c r="I270" s="16" t="str">
        <f aca="false">IF(OR($A270="",N($G270)=0),"",$A270+IFERROR(INDEX(Clientes!$F$2:$F$81,MATCH($B270,Clientes!$B$2:$B$81,0)),0))</f>
        <v/>
      </c>
      <c r="J270" s="13" t="str">
        <f aca="false">IF($B270="","",SUMIFS($G$2:$G270,$B$2:$B270,$B270)-SUMIFS($H$2:$H270,$B$2:$B270,$B270))</f>
        <v/>
      </c>
      <c r="K270" s="10"/>
      <c r="L270" s="10"/>
      <c r="M270" s="18" t="str">
        <f aca="false">IF(AND($B270&lt;&gt;"",$B270='Estado de cuenta'!$C$4),COUNTIF($B$2:$B270,'Estado de cuenta'!$C$4),"")</f>
        <v/>
      </c>
    </row>
    <row r="271" customFormat="false" ht="15" hidden="false" customHeight="false" outlineLevel="0" collapsed="false">
      <c r="A271" s="17"/>
      <c r="B271" s="10"/>
      <c r="C271" s="10"/>
      <c r="D271" s="10"/>
      <c r="E271" s="10"/>
      <c r="F271" s="12"/>
      <c r="G271" s="13" t="str">
        <f aca="false">IF(OR($B271="",$F271=""),"",IF(OR($C271="Saldo inicial",$C271="Factura",$C271="Nota de débito"),$F271,0))</f>
        <v/>
      </c>
      <c r="H271" s="13" t="str">
        <f aca="false">IF(OR($B271="",$F271=""),"",IF(OR($C271="Cobro",$C271="Nota de crédito"),$F271,0))</f>
        <v/>
      </c>
      <c r="I271" s="16" t="str">
        <f aca="false">IF(OR($A271="",N($G271)=0),"",$A271+IFERROR(INDEX(Clientes!$F$2:$F$81,MATCH($B271,Clientes!$B$2:$B$81,0)),0))</f>
        <v/>
      </c>
      <c r="J271" s="13" t="str">
        <f aca="false">IF($B271="","",SUMIFS($G$2:$G271,$B$2:$B271,$B271)-SUMIFS($H$2:$H271,$B$2:$B271,$B271))</f>
        <v/>
      </c>
      <c r="K271" s="10"/>
      <c r="L271" s="10"/>
      <c r="M271" s="18" t="str">
        <f aca="false">IF(AND($B271&lt;&gt;"",$B271='Estado de cuenta'!$C$4),COUNTIF($B$2:$B271,'Estado de cuenta'!$C$4),"")</f>
        <v/>
      </c>
    </row>
    <row r="272" customFormat="false" ht="15" hidden="false" customHeight="false" outlineLevel="0" collapsed="false">
      <c r="A272" s="17"/>
      <c r="B272" s="10"/>
      <c r="C272" s="10"/>
      <c r="D272" s="10"/>
      <c r="E272" s="10"/>
      <c r="F272" s="12"/>
      <c r="G272" s="13" t="str">
        <f aca="false">IF(OR($B272="",$F272=""),"",IF(OR($C272="Saldo inicial",$C272="Factura",$C272="Nota de débito"),$F272,0))</f>
        <v/>
      </c>
      <c r="H272" s="13" t="str">
        <f aca="false">IF(OR($B272="",$F272=""),"",IF(OR($C272="Cobro",$C272="Nota de crédito"),$F272,0))</f>
        <v/>
      </c>
      <c r="I272" s="16" t="str">
        <f aca="false">IF(OR($A272="",N($G272)=0),"",$A272+IFERROR(INDEX(Clientes!$F$2:$F$81,MATCH($B272,Clientes!$B$2:$B$81,0)),0))</f>
        <v/>
      </c>
      <c r="J272" s="13" t="str">
        <f aca="false">IF($B272="","",SUMIFS($G$2:$G272,$B$2:$B272,$B272)-SUMIFS($H$2:$H272,$B$2:$B272,$B272))</f>
        <v/>
      </c>
      <c r="K272" s="10"/>
      <c r="L272" s="10"/>
      <c r="M272" s="18" t="str">
        <f aca="false">IF(AND($B272&lt;&gt;"",$B272='Estado de cuenta'!$C$4),COUNTIF($B$2:$B272,'Estado de cuenta'!$C$4),"")</f>
        <v/>
      </c>
    </row>
    <row r="273" customFormat="false" ht="15" hidden="false" customHeight="false" outlineLevel="0" collapsed="false">
      <c r="A273" s="17"/>
      <c r="B273" s="10"/>
      <c r="C273" s="10"/>
      <c r="D273" s="10"/>
      <c r="E273" s="10"/>
      <c r="F273" s="12"/>
      <c r="G273" s="13" t="str">
        <f aca="false">IF(OR($B273="",$F273=""),"",IF(OR($C273="Saldo inicial",$C273="Factura",$C273="Nota de débito"),$F273,0))</f>
        <v/>
      </c>
      <c r="H273" s="13" t="str">
        <f aca="false">IF(OR($B273="",$F273=""),"",IF(OR($C273="Cobro",$C273="Nota de crédito"),$F273,0))</f>
        <v/>
      </c>
      <c r="I273" s="16" t="str">
        <f aca="false">IF(OR($A273="",N($G273)=0),"",$A273+IFERROR(INDEX(Clientes!$F$2:$F$81,MATCH($B273,Clientes!$B$2:$B$81,0)),0))</f>
        <v/>
      </c>
      <c r="J273" s="13" t="str">
        <f aca="false">IF($B273="","",SUMIFS($G$2:$G273,$B$2:$B273,$B273)-SUMIFS($H$2:$H273,$B$2:$B273,$B273))</f>
        <v/>
      </c>
      <c r="K273" s="10"/>
      <c r="L273" s="10"/>
      <c r="M273" s="18" t="str">
        <f aca="false">IF(AND($B273&lt;&gt;"",$B273='Estado de cuenta'!$C$4),COUNTIF($B$2:$B273,'Estado de cuenta'!$C$4),"")</f>
        <v/>
      </c>
    </row>
    <row r="274" customFormat="false" ht="15" hidden="false" customHeight="false" outlineLevel="0" collapsed="false">
      <c r="A274" s="17"/>
      <c r="B274" s="10"/>
      <c r="C274" s="10"/>
      <c r="D274" s="10"/>
      <c r="E274" s="10"/>
      <c r="F274" s="12"/>
      <c r="G274" s="13" t="str">
        <f aca="false">IF(OR($B274="",$F274=""),"",IF(OR($C274="Saldo inicial",$C274="Factura",$C274="Nota de débito"),$F274,0))</f>
        <v/>
      </c>
      <c r="H274" s="13" t="str">
        <f aca="false">IF(OR($B274="",$F274=""),"",IF(OR($C274="Cobro",$C274="Nota de crédito"),$F274,0))</f>
        <v/>
      </c>
      <c r="I274" s="16" t="str">
        <f aca="false">IF(OR($A274="",N($G274)=0),"",$A274+IFERROR(INDEX(Clientes!$F$2:$F$81,MATCH($B274,Clientes!$B$2:$B$81,0)),0))</f>
        <v/>
      </c>
      <c r="J274" s="13" t="str">
        <f aca="false">IF($B274="","",SUMIFS($G$2:$G274,$B$2:$B274,$B274)-SUMIFS($H$2:$H274,$B$2:$B274,$B274))</f>
        <v/>
      </c>
      <c r="K274" s="10"/>
      <c r="L274" s="10"/>
      <c r="M274" s="18" t="str">
        <f aca="false">IF(AND($B274&lt;&gt;"",$B274='Estado de cuenta'!$C$4),COUNTIF($B$2:$B274,'Estado de cuenta'!$C$4),"")</f>
        <v/>
      </c>
    </row>
    <row r="275" customFormat="false" ht="15" hidden="false" customHeight="false" outlineLevel="0" collapsed="false">
      <c r="A275" s="17"/>
      <c r="B275" s="10"/>
      <c r="C275" s="10"/>
      <c r="D275" s="10"/>
      <c r="E275" s="10"/>
      <c r="F275" s="12"/>
      <c r="G275" s="13" t="str">
        <f aca="false">IF(OR($B275="",$F275=""),"",IF(OR($C275="Saldo inicial",$C275="Factura",$C275="Nota de débito"),$F275,0))</f>
        <v/>
      </c>
      <c r="H275" s="13" t="str">
        <f aca="false">IF(OR($B275="",$F275=""),"",IF(OR($C275="Cobro",$C275="Nota de crédito"),$F275,0))</f>
        <v/>
      </c>
      <c r="I275" s="16" t="str">
        <f aca="false">IF(OR($A275="",N($G275)=0),"",$A275+IFERROR(INDEX(Clientes!$F$2:$F$81,MATCH($B275,Clientes!$B$2:$B$81,0)),0))</f>
        <v/>
      </c>
      <c r="J275" s="13" t="str">
        <f aca="false">IF($B275="","",SUMIFS($G$2:$G275,$B$2:$B275,$B275)-SUMIFS($H$2:$H275,$B$2:$B275,$B275))</f>
        <v/>
      </c>
      <c r="K275" s="10"/>
      <c r="L275" s="10"/>
      <c r="M275" s="18" t="str">
        <f aca="false">IF(AND($B275&lt;&gt;"",$B275='Estado de cuenta'!$C$4),COUNTIF($B$2:$B275,'Estado de cuenta'!$C$4),"")</f>
        <v/>
      </c>
    </row>
    <row r="276" customFormat="false" ht="15" hidden="false" customHeight="false" outlineLevel="0" collapsed="false">
      <c r="A276" s="17"/>
      <c r="B276" s="10"/>
      <c r="C276" s="10"/>
      <c r="D276" s="10"/>
      <c r="E276" s="10"/>
      <c r="F276" s="12"/>
      <c r="G276" s="13" t="str">
        <f aca="false">IF(OR($B276="",$F276=""),"",IF(OR($C276="Saldo inicial",$C276="Factura",$C276="Nota de débito"),$F276,0))</f>
        <v/>
      </c>
      <c r="H276" s="13" t="str">
        <f aca="false">IF(OR($B276="",$F276=""),"",IF(OR($C276="Cobro",$C276="Nota de crédito"),$F276,0))</f>
        <v/>
      </c>
      <c r="I276" s="16" t="str">
        <f aca="false">IF(OR($A276="",N($G276)=0),"",$A276+IFERROR(INDEX(Clientes!$F$2:$F$81,MATCH($B276,Clientes!$B$2:$B$81,0)),0))</f>
        <v/>
      </c>
      <c r="J276" s="13" t="str">
        <f aca="false">IF($B276="","",SUMIFS($G$2:$G276,$B$2:$B276,$B276)-SUMIFS($H$2:$H276,$B$2:$B276,$B276))</f>
        <v/>
      </c>
      <c r="K276" s="10"/>
      <c r="L276" s="10"/>
      <c r="M276" s="18" t="str">
        <f aca="false">IF(AND($B276&lt;&gt;"",$B276='Estado de cuenta'!$C$4),COUNTIF($B$2:$B276,'Estado de cuenta'!$C$4),"")</f>
        <v/>
      </c>
    </row>
    <row r="277" customFormat="false" ht="15" hidden="false" customHeight="false" outlineLevel="0" collapsed="false">
      <c r="A277" s="17"/>
      <c r="B277" s="10"/>
      <c r="C277" s="10"/>
      <c r="D277" s="10"/>
      <c r="E277" s="10"/>
      <c r="F277" s="12"/>
      <c r="G277" s="13" t="str">
        <f aca="false">IF(OR($B277="",$F277=""),"",IF(OR($C277="Saldo inicial",$C277="Factura",$C277="Nota de débito"),$F277,0))</f>
        <v/>
      </c>
      <c r="H277" s="13" t="str">
        <f aca="false">IF(OR($B277="",$F277=""),"",IF(OR($C277="Cobro",$C277="Nota de crédito"),$F277,0))</f>
        <v/>
      </c>
      <c r="I277" s="16" t="str">
        <f aca="false">IF(OR($A277="",N($G277)=0),"",$A277+IFERROR(INDEX(Clientes!$F$2:$F$81,MATCH($B277,Clientes!$B$2:$B$81,0)),0))</f>
        <v/>
      </c>
      <c r="J277" s="13" t="str">
        <f aca="false">IF($B277="","",SUMIFS($G$2:$G277,$B$2:$B277,$B277)-SUMIFS($H$2:$H277,$B$2:$B277,$B277))</f>
        <v/>
      </c>
      <c r="K277" s="10"/>
      <c r="L277" s="10"/>
      <c r="M277" s="18" t="str">
        <f aca="false">IF(AND($B277&lt;&gt;"",$B277='Estado de cuenta'!$C$4),COUNTIF($B$2:$B277,'Estado de cuenta'!$C$4),"")</f>
        <v/>
      </c>
    </row>
    <row r="278" customFormat="false" ht="15" hidden="false" customHeight="false" outlineLevel="0" collapsed="false">
      <c r="A278" s="17"/>
      <c r="B278" s="10"/>
      <c r="C278" s="10"/>
      <c r="D278" s="10"/>
      <c r="E278" s="10"/>
      <c r="F278" s="12"/>
      <c r="G278" s="13" t="str">
        <f aca="false">IF(OR($B278="",$F278=""),"",IF(OR($C278="Saldo inicial",$C278="Factura",$C278="Nota de débito"),$F278,0))</f>
        <v/>
      </c>
      <c r="H278" s="13" t="str">
        <f aca="false">IF(OR($B278="",$F278=""),"",IF(OR($C278="Cobro",$C278="Nota de crédito"),$F278,0))</f>
        <v/>
      </c>
      <c r="I278" s="16" t="str">
        <f aca="false">IF(OR($A278="",N($G278)=0),"",$A278+IFERROR(INDEX(Clientes!$F$2:$F$81,MATCH($B278,Clientes!$B$2:$B$81,0)),0))</f>
        <v/>
      </c>
      <c r="J278" s="13" t="str">
        <f aca="false">IF($B278="","",SUMIFS($G$2:$G278,$B$2:$B278,$B278)-SUMIFS($H$2:$H278,$B$2:$B278,$B278))</f>
        <v/>
      </c>
      <c r="K278" s="10"/>
      <c r="L278" s="10"/>
      <c r="M278" s="18" t="str">
        <f aca="false">IF(AND($B278&lt;&gt;"",$B278='Estado de cuenta'!$C$4),COUNTIF($B$2:$B278,'Estado de cuenta'!$C$4),"")</f>
        <v/>
      </c>
    </row>
    <row r="279" customFormat="false" ht="15" hidden="false" customHeight="false" outlineLevel="0" collapsed="false">
      <c r="A279" s="17"/>
      <c r="B279" s="10"/>
      <c r="C279" s="10"/>
      <c r="D279" s="10"/>
      <c r="E279" s="10"/>
      <c r="F279" s="12"/>
      <c r="G279" s="13" t="str">
        <f aca="false">IF(OR($B279="",$F279=""),"",IF(OR($C279="Saldo inicial",$C279="Factura",$C279="Nota de débito"),$F279,0))</f>
        <v/>
      </c>
      <c r="H279" s="13" t="str">
        <f aca="false">IF(OR($B279="",$F279=""),"",IF(OR($C279="Cobro",$C279="Nota de crédito"),$F279,0))</f>
        <v/>
      </c>
      <c r="I279" s="16" t="str">
        <f aca="false">IF(OR($A279="",N($G279)=0),"",$A279+IFERROR(INDEX(Clientes!$F$2:$F$81,MATCH($B279,Clientes!$B$2:$B$81,0)),0))</f>
        <v/>
      </c>
      <c r="J279" s="13" t="str">
        <f aca="false">IF($B279="","",SUMIFS($G$2:$G279,$B$2:$B279,$B279)-SUMIFS($H$2:$H279,$B$2:$B279,$B279))</f>
        <v/>
      </c>
      <c r="K279" s="10"/>
      <c r="L279" s="10"/>
      <c r="M279" s="18" t="str">
        <f aca="false">IF(AND($B279&lt;&gt;"",$B279='Estado de cuenta'!$C$4),COUNTIF($B$2:$B279,'Estado de cuenta'!$C$4),"")</f>
        <v/>
      </c>
    </row>
    <row r="280" customFormat="false" ht="15" hidden="false" customHeight="false" outlineLevel="0" collapsed="false">
      <c r="A280" s="17"/>
      <c r="B280" s="10"/>
      <c r="C280" s="10"/>
      <c r="D280" s="10"/>
      <c r="E280" s="10"/>
      <c r="F280" s="12"/>
      <c r="G280" s="13" t="str">
        <f aca="false">IF(OR($B280="",$F280=""),"",IF(OR($C280="Saldo inicial",$C280="Factura",$C280="Nota de débito"),$F280,0))</f>
        <v/>
      </c>
      <c r="H280" s="13" t="str">
        <f aca="false">IF(OR($B280="",$F280=""),"",IF(OR($C280="Cobro",$C280="Nota de crédito"),$F280,0))</f>
        <v/>
      </c>
      <c r="I280" s="16" t="str">
        <f aca="false">IF(OR($A280="",N($G280)=0),"",$A280+IFERROR(INDEX(Clientes!$F$2:$F$81,MATCH($B280,Clientes!$B$2:$B$81,0)),0))</f>
        <v/>
      </c>
      <c r="J280" s="13" t="str">
        <f aca="false">IF($B280="","",SUMIFS($G$2:$G280,$B$2:$B280,$B280)-SUMIFS($H$2:$H280,$B$2:$B280,$B280))</f>
        <v/>
      </c>
      <c r="K280" s="10"/>
      <c r="L280" s="10"/>
      <c r="M280" s="18" t="str">
        <f aca="false">IF(AND($B280&lt;&gt;"",$B280='Estado de cuenta'!$C$4),COUNTIF($B$2:$B280,'Estado de cuenta'!$C$4),"")</f>
        <v/>
      </c>
    </row>
    <row r="281" customFormat="false" ht="15" hidden="false" customHeight="false" outlineLevel="0" collapsed="false">
      <c r="A281" s="17"/>
      <c r="B281" s="10"/>
      <c r="C281" s="10"/>
      <c r="D281" s="10"/>
      <c r="E281" s="10"/>
      <c r="F281" s="12"/>
      <c r="G281" s="13" t="str">
        <f aca="false">IF(OR($B281="",$F281=""),"",IF(OR($C281="Saldo inicial",$C281="Factura",$C281="Nota de débito"),$F281,0))</f>
        <v/>
      </c>
      <c r="H281" s="13" t="str">
        <f aca="false">IF(OR($B281="",$F281=""),"",IF(OR($C281="Cobro",$C281="Nota de crédito"),$F281,0))</f>
        <v/>
      </c>
      <c r="I281" s="16" t="str">
        <f aca="false">IF(OR($A281="",N($G281)=0),"",$A281+IFERROR(INDEX(Clientes!$F$2:$F$81,MATCH($B281,Clientes!$B$2:$B$81,0)),0))</f>
        <v/>
      </c>
      <c r="J281" s="13" t="str">
        <f aca="false">IF($B281="","",SUMIFS($G$2:$G281,$B$2:$B281,$B281)-SUMIFS($H$2:$H281,$B$2:$B281,$B281))</f>
        <v/>
      </c>
      <c r="K281" s="10"/>
      <c r="L281" s="10"/>
      <c r="M281" s="18" t="str">
        <f aca="false">IF(AND($B281&lt;&gt;"",$B281='Estado de cuenta'!$C$4),COUNTIF($B$2:$B281,'Estado de cuenta'!$C$4),"")</f>
        <v/>
      </c>
    </row>
    <row r="282" customFormat="false" ht="15" hidden="false" customHeight="false" outlineLevel="0" collapsed="false">
      <c r="A282" s="17"/>
      <c r="B282" s="10"/>
      <c r="C282" s="10"/>
      <c r="D282" s="10"/>
      <c r="E282" s="10"/>
      <c r="F282" s="12"/>
      <c r="G282" s="13" t="str">
        <f aca="false">IF(OR($B282="",$F282=""),"",IF(OR($C282="Saldo inicial",$C282="Factura",$C282="Nota de débito"),$F282,0))</f>
        <v/>
      </c>
      <c r="H282" s="13" t="str">
        <f aca="false">IF(OR($B282="",$F282=""),"",IF(OR($C282="Cobro",$C282="Nota de crédito"),$F282,0))</f>
        <v/>
      </c>
      <c r="I282" s="16" t="str">
        <f aca="false">IF(OR($A282="",N($G282)=0),"",$A282+IFERROR(INDEX(Clientes!$F$2:$F$81,MATCH($B282,Clientes!$B$2:$B$81,0)),0))</f>
        <v/>
      </c>
      <c r="J282" s="13" t="str">
        <f aca="false">IF($B282="","",SUMIFS($G$2:$G282,$B$2:$B282,$B282)-SUMIFS($H$2:$H282,$B$2:$B282,$B282))</f>
        <v/>
      </c>
      <c r="K282" s="10"/>
      <c r="L282" s="10"/>
      <c r="M282" s="18" t="str">
        <f aca="false">IF(AND($B282&lt;&gt;"",$B282='Estado de cuenta'!$C$4),COUNTIF($B$2:$B282,'Estado de cuenta'!$C$4),"")</f>
        <v/>
      </c>
    </row>
    <row r="283" customFormat="false" ht="15" hidden="false" customHeight="false" outlineLevel="0" collapsed="false">
      <c r="A283" s="17"/>
      <c r="B283" s="10"/>
      <c r="C283" s="10"/>
      <c r="D283" s="10"/>
      <c r="E283" s="10"/>
      <c r="F283" s="12"/>
      <c r="G283" s="13" t="str">
        <f aca="false">IF(OR($B283="",$F283=""),"",IF(OR($C283="Saldo inicial",$C283="Factura",$C283="Nota de débito"),$F283,0))</f>
        <v/>
      </c>
      <c r="H283" s="13" t="str">
        <f aca="false">IF(OR($B283="",$F283=""),"",IF(OR($C283="Cobro",$C283="Nota de crédito"),$F283,0))</f>
        <v/>
      </c>
      <c r="I283" s="16" t="str">
        <f aca="false">IF(OR($A283="",N($G283)=0),"",$A283+IFERROR(INDEX(Clientes!$F$2:$F$81,MATCH($B283,Clientes!$B$2:$B$81,0)),0))</f>
        <v/>
      </c>
      <c r="J283" s="13" t="str">
        <f aca="false">IF($B283="","",SUMIFS($G$2:$G283,$B$2:$B283,$B283)-SUMIFS($H$2:$H283,$B$2:$B283,$B283))</f>
        <v/>
      </c>
      <c r="K283" s="10"/>
      <c r="L283" s="10"/>
      <c r="M283" s="18" t="str">
        <f aca="false">IF(AND($B283&lt;&gt;"",$B283='Estado de cuenta'!$C$4),COUNTIF($B$2:$B283,'Estado de cuenta'!$C$4),"")</f>
        <v/>
      </c>
    </row>
    <row r="284" customFormat="false" ht="15" hidden="false" customHeight="false" outlineLevel="0" collapsed="false">
      <c r="A284" s="17"/>
      <c r="B284" s="10"/>
      <c r="C284" s="10"/>
      <c r="D284" s="10"/>
      <c r="E284" s="10"/>
      <c r="F284" s="12"/>
      <c r="G284" s="13" t="str">
        <f aca="false">IF(OR($B284="",$F284=""),"",IF(OR($C284="Saldo inicial",$C284="Factura",$C284="Nota de débito"),$F284,0))</f>
        <v/>
      </c>
      <c r="H284" s="13" t="str">
        <f aca="false">IF(OR($B284="",$F284=""),"",IF(OR($C284="Cobro",$C284="Nota de crédito"),$F284,0))</f>
        <v/>
      </c>
      <c r="I284" s="16" t="str">
        <f aca="false">IF(OR($A284="",N($G284)=0),"",$A284+IFERROR(INDEX(Clientes!$F$2:$F$81,MATCH($B284,Clientes!$B$2:$B$81,0)),0))</f>
        <v/>
      </c>
      <c r="J284" s="13" t="str">
        <f aca="false">IF($B284="","",SUMIFS($G$2:$G284,$B$2:$B284,$B284)-SUMIFS($H$2:$H284,$B$2:$B284,$B284))</f>
        <v/>
      </c>
      <c r="K284" s="10"/>
      <c r="L284" s="10"/>
      <c r="M284" s="18" t="str">
        <f aca="false">IF(AND($B284&lt;&gt;"",$B284='Estado de cuenta'!$C$4),COUNTIF($B$2:$B284,'Estado de cuenta'!$C$4),"")</f>
        <v/>
      </c>
    </row>
    <row r="285" customFormat="false" ht="15" hidden="false" customHeight="false" outlineLevel="0" collapsed="false">
      <c r="A285" s="17"/>
      <c r="B285" s="10"/>
      <c r="C285" s="10"/>
      <c r="D285" s="10"/>
      <c r="E285" s="10"/>
      <c r="F285" s="12"/>
      <c r="G285" s="13" t="str">
        <f aca="false">IF(OR($B285="",$F285=""),"",IF(OR($C285="Saldo inicial",$C285="Factura",$C285="Nota de débito"),$F285,0))</f>
        <v/>
      </c>
      <c r="H285" s="13" t="str">
        <f aca="false">IF(OR($B285="",$F285=""),"",IF(OR($C285="Cobro",$C285="Nota de crédito"),$F285,0))</f>
        <v/>
      </c>
      <c r="I285" s="16" t="str">
        <f aca="false">IF(OR($A285="",N($G285)=0),"",$A285+IFERROR(INDEX(Clientes!$F$2:$F$81,MATCH($B285,Clientes!$B$2:$B$81,0)),0))</f>
        <v/>
      </c>
      <c r="J285" s="13" t="str">
        <f aca="false">IF($B285="","",SUMIFS($G$2:$G285,$B$2:$B285,$B285)-SUMIFS($H$2:$H285,$B$2:$B285,$B285))</f>
        <v/>
      </c>
      <c r="K285" s="10"/>
      <c r="L285" s="10"/>
      <c r="M285" s="18" t="str">
        <f aca="false">IF(AND($B285&lt;&gt;"",$B285='Estado de cuenta'!$C$4),COUNTIF($B$2:$B285,'Estado de cuenta'!$C$4),"")</f>
        <v/>
      </c>
    </row>
    <row r="286" customFormat="false" ht="15" hidden="false" customHeight="false" outlineLevel="0" collapsed="false">
      <c r="A286" s="17"/>
      <c r="B286" s="10"/>
      <c r="C286" s="10"/>
      <c r="D286" s="10"/>
      <c r="E286" s="10"/>
      <c r="F286" s="12"/>
      <c r="G286" s="13" t="str">
        <f aca="false">IF(OR($B286="",$F286=""),"",IF(OR($C286="Saldo inicial",$C286="Factura",$C286="Nota de débito"),$F286,0))</f>
        <v/>
      </c>
      <c r="H286" s="13" t="str">
        <f aca="false">IF(OR($B286="",$F286=""),"",IF(OR($C286="Cobro",$C286="Nota de crédito"),$F286,0))</f>
        <v/>
      </c>
      <c r="I286" s="16" t="str">
        <f aca="false">IF(OR($A286="",N($G286)=0),"",$A286+IFERROR(INDEX(Clientes!$F$2:$F$81,MATCH($B286,Clientes!$B$2:$B$81,0)),0))</f>
        <v/>
      </c>
      <c r="J286" s="13" t="str">
        <f aca="false">IF($B286="","",SUMIFS($G$2:$G286,$B$2:$B286,$B286)-SUMIFS($H$2:$H286,$B$2:$B286,$B286))</f>
        <v/>
      </c>
      <c r="K286" s="10"/>
      <c r="L286" s="10"/>
      <c r="M286" s="18" t="str">
        <f aca="false">IF(AND($B286&lt;&gt;"",$B286='Estado de cuenta'!$C$4),COUNTIF($B$2:$B286,'Estado de cuenta'!$C$4),"")</f>
        <v/>
      </c>
    </row>
    <row r="287" customFormat="false" ht="15" hidden="false" customHeight="false" outlineLevel="0" collapsed="false">
      <c r="A287" s="17"/>
      <c r="B287" s="10"/>
      <c r="C287" s="10"/>
      <c r="D287" s="10"/>
      <c r="E287" s="10"/>
      <c r="F287" s="12"/>
      <c r="G287" s="13" t="str">
        <f aca="false">IF(OR($B287="",$F287=""),"",IF(OR($C287="Saldo inicial",$C287="Factura",$C287="Nota de débito"),$F287,0))</f>
        <v/>
      </c>
      <c r="H287" s="13" t="str">
        <f aca="false">IF(OR($B287="",$F287=""),"",IF(OR($C287="Cobro",$C287="Nota de crédito"),$F287,0))</f>
        <v/>
      </c>
      <c r="I287" s="16" t="str">
        <f aca="false">IF(OR($A287="",N($G287)=0),"",$A287+IFERROR(INDEX(Clientes!$F$2:$F$81,MATCH($B287,Clientes!$B$2:$B$81,0)),0))</f>
        <v/>
      </c>
      <c r="J287" s="13" t="str">
        <f aca="false">IF($B287="","",SUMIFS($G$2:$G287,$B$2:$B287,$B287)-SUMIFS($H$2:$H287,$B$2:$B287,$B287))</f>
        <v/>
      </c>
      <c r="K287" s="10"/>
      <c r="L287" s="10"/>
      <c r="M287" s="18" t="str">
        <f aca="false">IF(AND($B287&lt;&gt;"",$B287='Estado de cuenta'!$C$4),COUNTIF($B$2:$B287,'Estado de cuenta'!$C$4),"")</f>
        <v/>
      </c>
    </row>
    <row r="288" customFormat="false" ht="15" hidden="false" customHeight="false" outlineLevel="0" collapsed="false">
      <c r="A288" s="17"/>
      <c r="B288" s="10"/>
      <c r="C288" s="10"/>
      <c r="D288" s="10"/>
      <c r="E288" s="10"/>
      <c r="F288" s="12"/>
      <c r="G288" s="13" t="str">
        <f aca="false">IF(OR($B288="",$F288=""),"",IF(OR($C288="Saldo inicial",$C288="Factura",$C288="Nota de débito"),$F288,0))</f>
        <v/>
      </c>
      <c r="H288" s="13" t="str">
        <f aca="false">IF(OR($B288="",$F288=""),"",IF(OR($C288="Cobro",$C288="Nota de crédito"),$F288,0))</f>
        <v/>
      </c>
      <c r="I288" s="16" t="str">
        <f aca="false">IF(OR($A288="",N($G288)=0),"",$A288+IFERROR(INDEX(Clientes!$F$2:$F$81,MATCH($B288,Clientes!$B$2:$B$81,0)),0))</f>
        <v/>
      </c>
      <c r="J288" s="13" t="str">
        <f aca="false">IF($B288="","",SUMIFS($G$2:$G288,$B$2:$B288,$B288)-SUMIFS($H$2:$H288,$B$2:$B288,$B288))</f>
        <v/>
      </c>
      <c r="K288" s="10"/>
      <c r="L288" s="10"/>
      <c r="M288" s="18" t="str">
        <f aca="false">IF(AND($B288&lt;&gt;"",$B288='Estado de cuenta'!$C$4),COUNTIF($B$2:$B288,'Estado de cuenta'!$C$4),"")</f>
        <v/>
      </c>
    </row>
    <row r="289" customFormat="false" ht="15" hidden="false" customHeight="false" outlineLevel="0" collapsed="false">
      <c r="A289" s="17"/>
      <c r="B289" s="10"/>
      <c r="C289" s="10"/>
      <c r="D289" s="10"/>
      <c r="E289" s="10"/>
      <c r="F289" s="12"/>
      <c r="G289" s="13" t="str">
        <f aca="false">IF(OR($B289="",$F289=""),"",IF(OR($C289="Saldo inicial",$C289="Factura",$C289="Nota de débito"),$F289,0))</f>
        <v/>
      </c>
      <c r="H289" s="13" t="str">
        <f aca="false">IF(OR($B289="",$F289=""),"",IF(OR($C289="Cobro",$C289="Nota de crédito"),$F289,0))</f>
        <v/>
      </c>
      <c r="I289" s="16" t="str">
        <f aca="false">IF(OR($A289="",N($G289)=0),"",$A289+IFERROR(INDEX(Clientes!$F$2:$F$81,MATCH($B289,Clientes!$B$2:$B$81,0)),0))</f>
        <v/>
      </c>
      <c r="J289" s="13" t="str">
        <f aca="false">IF($B289="","",SUMIFS($G$2:$G289,$B$2:$B289,$B289)-SUMIFS($H$2:$H289,$B$2:$B289,$B289))</f>
        <v/>
      </c>
      <c r="K289" s="10"/>
      <c r="L289" s="10"/>
      <c r="M289" s="18" t="str">
        <f aca="false">IF(AND($B289&lt;&gt;"",$B289='Estado de cuenta'!$C$4),COUNTIF($B$2:$B289,'Estado de cuenta'!$C$4),"")</f>
        <v/>
      </c>
    </row>
    <row r="290" customFormat="false" ht="15" hidden="false" customHeight="false" outlineLevel="0" collapsed="false">
      <c r="A290" s="17"/>
      <c r="B290" s="10"/>
      <c r="C290" s="10"/>
      <c r="D290" s="10"/>
      <c r="E290" s="10"/>
      <c r="F290" s="12"/>
      <c r="G290" s="13" t="str">
        <f aca="false">IF(OR($B290="",$F290=""),"",IF(OR($C290="Saldo inicial",$C290="Factura",$C290="Nota de débito"),$F290,0))</f>
        <v/>
      </c>
      <c r="H290" s="13" t="str">
        <f aca="false">IF(OR($B290="",$F290=""),"",IF(OR($C290="Cobro",$C290="Nota de crédito"),$F290,0))</f>
        <v/>
      </c>
      <c r="I290" s="16" t="str">
        <f aca="false">IF(OR($A290="",N($G290)=0),"",$A290+IFERROR(INDEX(Clientes!$F$2:$F$81,MATCH($B290,Clientes!$B$2:$B$81,0)),0))</f>
        <v/>
      </c>
      <c r="J290" s="13" t="str">
        <f aca="false">IF($B290="","",SUMIFS($G$2:$G290,$B$2:$B290,$B290)-SUMIFS($H$2:$H290,$B$2:$B290,$B290))</f>
        <v/>
      </c>
      <c r="K290" s="10"/>
      <c r="L290" s="10"/>
      <c r="M290" s="18" t="str">
        <f aca="false">IF(AND($B290&lt;&gt;"",$B290='Estado de cuenta'!$C$4),COUNTIF($B$2:$B290,'Estado de cuenta'!$C$4),"")</f>
        <v/>
      </c>
    </row>
    <row r="291" customFormat="false" ht="15" hidden="false" customHeight="false" outlineLevel="0" collapsed="false">
      <c r="A291" s="17"/>
      <c r="B291" s="10"/>
      <c r="C291" s="10"/>
      <c r="D291" s="10"/>
      <c r="E291" s="10"/>
      <c r="F291" s="12"/>
      <c r="G291" s="13" t="str">
        <f aca="false">IF(OR($B291="",$F291=""),"",IF(OR($C291="Saldo inicial",$C291="Factura",$C291="Nota de débito"),$F291,0))</f>
        <v/>
      </c>
      <c r="H291" s="13" t="str">
        <f aca="false">IF(OR($B291="",$F291=""),"",IF(OR($C291="Cobro",$C291="Nota de crédito"),$F291,0))</f>
        <v/>
      </c>
      <c r="I291" s="16" t="str">
        <f aca="false">IF(OR($A291="",N($G291)=0),"",$A291+IFERROR(INDEX(Clientes!$F$2:$F$81,MATCH($B291,Clientes!$B$2:$B$81,0)),0))</f>
        <v/>
      </c>
      <c r="J291" s="13" t="str">
        <f aca="false">IF($B291="","",SUMIFS($G$2:$G291,$B$2:$B291,$B291)-SUMIFS($H$2:$H291,$B$2:$B291,$B291))</f>
        <v/>
      </c>
      <c r="K291" s="10"/>
      <c r="L291" s="10"/>
      <c r="M291" s="18" t="str">
        <f aca="false">IF(AND($B291&lt;&gt;"",$B291='Estado de cuenta'!$C$4),COUNTIF($B$2:$B291,'Estado de cuenta'!$C$4),"")</f>
        <v/>
      </c>
    </row>
    <row r="292" customFormat="false" ht="15" hidden="false" customHeight="false" outlineLevel="0" collapsed="false">
      <c r="A292" s="17"/>
      <c r="B292" s="10"/>
      <c r="C292" s="10"/>
      <c r="D292" s="10"/>
      <c r="E292" s="10"/>
      <c r="F292" s="12"/>
      <c r="G292" s="13" t="str">
        <f aca="false">IF(OR($B292="",$F292=""),"",IF(OR($C292="Saldo inicial",$C292="Factura",$C292="Nota de débito"),$F292,0))</f>
        <v/>
      </c>
      <c r="H292" s="13" t="str">
        <f aca="false">IF(OR($B292="",$F292=""),"",IF(OR($C292="Cobro",$C292="Nota de crédito"),$F292,0))</f>
        <v/>
      </c>
      <c r="I292" s="16" t="str">
        <f aca="false">IF(OR($A292="",N($G292)=0),"",$A292+IFERROR(INDEX(Clientes!$F$2:$F$81,MATCH($B292,Clientes!$B$2:$B$81,0)),0))</f>
        <v/>
      </c>
      <c r="J292" s="13" t="str">
        <f aca="false">IF($B292="","",SUMIFS($G$2:$G292,$B$2:$B292,$B292)-SUMIFS($H$2:$H292,$B$2:$B292,$B292))</f>
        <v/>
      </c>
      <c r="K292" s="10"/>
      <c r="L292" s="10"/>
      <c r="M292" s="18" t="str">
        <f aca="false">IF(AND($B292&lt;&gt;"",$B292='Estado de cuenta'!$C$4),COUNTIF($B$2:$B292,'Estado de cuenta'!$C$4),"")</f>
        <v/>
      </c>
    </row>
    <row r="293" customFormat="false" ht="15" hidden="false" customHeight="false" outlineLevel="0" collapsed="false">
      <c r="A293" s="17"/>
      <c r="B293" s="10"/>
      <c r="C293" s="10"/>
      <c r="D293" s="10"/>
      <c r="E293" s="10"/>
      <c r="F293" s="12"/>
      <c r="G293" s="13" t="str">
        <f aca="false">IF(OR($B293="",$F293=""),"",IF(OR($C293="Saldo inicial",$C293="Factura",$C293="Nota de débito"),$F293,0))</f>
        <v/>
      </c>
      <c r="H293" s="13" t="str">
        <f aca="false">IF(OR($B293="",$F293=""),"",IF(OR($C293="Cobro",$C293="Nota de crédito"),$F293,0))</f>
        <v/>
      </c>
      <c r="I293" s="16" t="str">
        <f aca="false">IF(OR($A293="",N($G293)=0),"",$A293+IFERROR(INDEX(Clientes!$F$2:$F$81,MATCH($B293,Clientes!$B$2:$B$81,0)),0))</f>
        <v/>
      </c>
      <c r="J293" s="13" t="str">
        <f aca="false">IF($B293="","",SUMIFS($G$2:$G293,$B$2:$B293,$B293)-SUMIFS($H$2:$H293,$B$2:$B293,$B293))</f>
        <v/>
      </c>
      <c r="K293" s="10"/>
      <c r="L293" s="10"/>
      <c r="M293" s="18" t="str">
        <f aca="false">IF(AND($B293&lt;&gt;"",$B293='Estado de cuenta'!$C$4),COUNTIF($B$2:$B293,'Estado de cuenta'!$C$4),"")</f>
        <v/>
      </c>
    </row>
    <row r="294" customFormat="false" ht="15" hidden="false" customHeight="false" outlineLevel="0" collapsed="false">
      <c r="A294" s="17"/>
      <c r="B294" s="10"/>
      <c r="C294" s="10"/>
      <c r="D294" s="10"/>
      <c r="E294" s="10"/>
      <c r="F294" s="12"/>
      <c r="G294" s="13" t="str">
        <f aca="false">IF(OR($B294="",$F294=""),"",IF(OR($C294="Saldo inicial",$C294="Factura",$C294="Nota de débito"),$F294,0))</f>
        <v/>
      </c>
      <c r="H294" s="13" t="str">
        <f aca="false">IF(OR($B294="",$F294=""),"",IF(OR($C294="Cobro",$C294="Nota de crédito"),$F294,0))</f>
        <v/>
      </c>
      <c r="I294" s="16" t="str">
        <f aca="false">IF(OR($A294="",N($G294)=0),"",$A294+IFERROR(INDEX(Clientes!$F$2:$F$81,MATCH($B294,Clientes!$B$2:$B$81,0)),0))</f>
        <v/>
      </c>
      <c r="J294" s="13" t="str">
        <f aca="false">IF($B294="","",SUMIFS($G$2:$G294,$B$2:$B294,$B294)-SUMIFS($H$2:$H294,$B$2:$B294,$B294))</f>
        <v/>
      </c>
      <c r="K294" s="10"/>
      <c r="L294" s="10"/>
      <c r="M294" s="18" t="str">
        <f aca="false">IF(AND($B294&lt;&gt;"",$B294='Estado de cuenta'!$C$4),COUNTIF($B$2:$B294,'Estado de cuenta'!$C$4),"")</f>
        <v/>
      </c>
    </row>
    <row r="295" customFormat="false" ht="15" hidden="false" customHeight="false" outlineLevel="0" collapsed="false">
      <c r="A295" s="17"/>
      <c r="B295" s="10"/>
      <c r="C295" s="10"/>
      <c r="D295" s="10"/>
      <c r="E295" s="10"/>
      <c r="F295" s="12"/>
      <c r="G295" s="13" t="str">
        <f aca="false">IF(OR($B295="",$F295=""),"",IF(OR($C295="Saldo inicial",$C295="Factura",$C295="Nota de débito"),$F295,0))</f>
        <v/>
      </c>
      <c r="H295" s="13" t="str">
        <f aca="false">IF(OR($B295="",$F295=""),"",IF(OR($C295="Cobro",$C295="Nota de crédito"),$F295,0))</f>
        <v/>
      </c>
      <c r="I295" s="16" t="str">
        <f aca="false">IF(OR($A295="",N($G295)=0),"",$A295+IFERROR(INDEX(Clientes!$F$2:$F$81,MATCH($B295,Clientes!$B$2:$B$81,0)),0))</f>
        <v/>
      </c>
      <c r="J295" s="13" t="str">
        <f aca="false">IF($B295="","",SUMIFS($G$2:$G295,$B$2:$B295,$B295)-SUMIFS($H$2:$H295,$B$2:$B295,$B295))</f>
        <v/>
      </c>
      <c r="K295" s="10"/>
      <c r="L295" s="10"/>
      <c r="M295" s="18" t="str">
        <f aca="false">IF(AND($B295&lt;&gt;"",$B295='Estado de cuenta'!$C$4),COUNTIF($B$2:$B295,'Estado de cuenta'!$C$4),"")</f>
        <v/>
      </c>
    </row>
    <row r="296" customFormat="false" ht="15" hidden="false" customHeight="false" outlineLevel="0" collapsed="false">
      <c r="A296" s="17"/>
      <c r="B296" s="10"/>
      <c r="C296" s="10"/>
      <c r="D296" s="10"/>
      <c r="E296" s="10"/>
      <c r="F296" s="12"/>
      <c r="G296" s="13" t="str">
        <f aca="false">IF(OR($B296="",$F296=""),"",IF(OR($C296="Saldo inicial",$C296="Factura",$C296="Nota de débito"),$F296,0))</f>
        <v/>
      </c>
      <c r="H296" s="13" t="str">
        <f aca="false">IF(OR($B296="",$F296=""),"",IF(OR($C296="Cobro",$C296="Nota de crédito"),$F296,0))</f>
        <v/>
      </c>
      <c r="I296" s="16" t="str">
        <f aca="false">IF(OR($A296="",N($G296)=0),"",$A296+IFERROR(INDEX(Clientes!$F$2:$F$81,MATCH($B296,Clientes!$B$2:$B$81,0)),0))</f>
        <v/>
      </c>
      <c r="J296" s="13" t="str">
        <f aca="false">IF($B296="","",SUMIFS($G$2:$G296,$B$2:$B296,$B296)-SUMIFS($H$2:$H296,$B$2:$B296,$B296))</f>
        <v/>
      </c>
      <c r="K296" s="10"/>
      <c r="L296" s="10"/>
      <c r="M296" s="18" t="str">
        <f aca="false">IF(AND($B296&lt;&gt;"",$B296='Estado de cuenta'!$C$4),COUNTIF($B$2:$B296,'Estado de cuenta'!$C$4),"")</f>
        <v/>
      </c>
    </row>
    <row r="297" customFormat="false" ht="15" hidden="false" customHeight="false" outlineLevel="0" collapsed="false">
      <c r="A297" s="17"/>
      <c r="B297" s="10"/>
      <c r="C297" s="10"/>
      <c r="D297" s="10"/>
      <c r="E297" s="10"/>
      <c r="F297" s="12"/>
      <c r="G297" s="13" t="str">
        <f aca="false">IF(OR($B297="",$F297=""),"",IF(OR($C297="Saldo inicial",$C297="Factura",$C297="Nota de débito"),$F297,0))</f>
        <v/>
      </c>
      <c r="H297" s="13" t="str">
        <f aca="false">IF(OR($B297="",$F297=""),"",IF(OR($C297="Cobro",$C297="Nota de crédito"),$F297,0))</f>
        <v/>
      </c>
      <c r="I297" s="16" t="str">
        <f aca="false">IF(OR($A297="",N($G297)=0),"",$A297+IFERROR(INDEX(Clientes!$F$2:$F$81,MATCH($B297,Clientes!$B$2:$B$81,0)),0))</f>
        <v/>
      </c>
      <c r="J297" s="13" t="str">
        <f aca="false">IF($B297="","",SUMIFS($G$2:$G297,$B$2:$B297,$B297)-SUMIFS($H$2:$H297,$B$2:$B297,$B297))</f>
        <v/>
      </c>
      <c r="K297" s="10"/>
      <c r="L297" s="10"/>
      <c r="M297" s="18" t="str">
        <f aca="false">IF(AND($B297&lt;&gt;"",$B297='Estado de cuenta'!$C$4),COUNTIF($B$2:$B297,'Estado de cuenta'!$C$4),"")</f>
        <v/>
      </c>
    </row>
    <row r="298" customFormat="false" ht="15" hidden="false" customHeight="false" outlineLevel="0" collapsed="false">
      <c r="A298" s="17"/>
      <c r="B298" s="10"/>
      <c r="C298" s="10"/>
      <c r="D298" s="10"/>
      <c r="E298" s="10"/>
      <c r="F298" s="12"/>
      <c r="G298" s="13" t="str">
        <f aca="false">IF(OR($B298="",$F298=""),"",IF(OR($C298="Saldo inicial",$C298="Factura",$C298="Nota de débito"),$F298,0))</f>
        <v/>
      </c>
      <c r="H298" s="13" t="str">
        <f aca="false">IF(OR($B298="",$F298=""),"",IF(OR($C298="Cobro",$C298="Nota de crédito"),$F298,0))</f>
        <v/>
      </c>
      <c r="I298" s="16" t="str">
        <f aca="false">IF(OR($A298="",N($G298)=0),"",$A298+IFERROR(INDEX(Clientes!$F$2:$F$81,MATCH($B298,Clientes!$B$2:$B$81,0)),0))</f>
        <v/>
      </c>
      <c r="J298" s="13" t="str">
        <f aca="false">IF($B298="","",SUMIFS($G$2:$G298,$B$2:$B298,$B298)-SUMIFS($H$2:$H298,$B$2:$B298,$B298))</f>
        <v/>
      </c>
      <c r="K298" s="10"/>
      <c r="L298" s="10"/>
      <c r="M298" s="18" t="str">
        <f aca="false">IF(AND($B298&lt;&gt;"",$B298='Estado de cuenta'!$C$4),COUNTIF($B$2:$B298,'Estado de cuenta'!$C$4),"")</f>
        <v/>
      </c>
    </row>
    <row r="299" customFormat="false" ht="15" hidden="false" customHeight="false" outlineLevel="0" collapsed="false">
      <c r="A299" s="17"/>
      <c r="B299" s="10"/>
      <c r="C299" s="10"/>
      <c r="D299" s="10"/>
      <c r="E299" s="10"/>
      <c r="F299" s="12"/>
      <c r="G299" s="13" t="str">
        <f aca="false">IF(OR($B299="",$F299=""),"",IF(OR($C299="Saldo inicial",$C299="Factura",$C299="Nota de débito"),$F299,0))</f>
        <v/>
      </c>
      <c r="H299" s="13" t="str">
        <f aca="false">IF(OR($B299="",$F299=""),"",IF(OR($C299="Cobro",$C299="Nota de crédito"),$F299,0))</f>
        <v/>
      </c>
      <c r="I299" s="16" t="str">
        <f aca="false">IF(OR($A299="",N($G299)=0),"",$A299+IFERROR(INDEX(Clientes!$F$2:$F$81,MATCH($B299,Clientes!$B$2:$B$81,0)),0))</f>
        <v/>
      </c>
      <c r="J299" s="13" t="str">
        <f aca="false">IF($B299="","",SUMIFS($G$2:$G299,$B$2:$B299,$B299)-SUMIFS($H$2:$H299,$B$2:$B299,$B299))</f>
        <v/>
      </c>
      <c r="K299" s="10"/>
      <c r="L299" s="10"/>
      <c r="M299" s="18" t="str">
        <f aca="false">IF(AND($B299&lt;&gt;"",$B299='Estado de cuenta'!$C$4),COUNTIF($B$2:$B299,'Estado de cuenta'!$C$4),"")</f>
        <v/>
      </c>
    </row>
    <row r="300" customFormat="false" ht="15" hidden="false" customHeight="false" outlineLevel="0" collapsed="false">
      <c r="A300" s="17"/>
      <c r="B300" s="10"/>
      <c r="C300" s="10"/>
      <c r="D300" s="10"/>
      <c r="E300" s="10"/>
      <c r="F300" s="12"/>
      <c r="G300" s="13" t="str">
        <f aca="false">IF(OR($B300="",$F300=""),"",IF(OR($C300="Saldo inicial",$C300="Factura",$C300="Nota de débito"),$F300,0))</f>
        <v/>
      </c>
      <c r="H300" s="13" t="str">
        <f aca="false">IF(OR($B300="",$F300=""),"",IF(OR($C300="Cobro",$C300="Nota de crédito"),$F300,0))</f>
        <v/>
      </c>
      <c r="I300" s="16" t="str">
        <f aca="false">IF(OR($A300="",N($G300)=0),"",$A300+IFERROR(INDEX(Clientes!$F$2:$F$81,MATCH($B300,Clientes!$B$2:$B$81,0)),0))</f>
        <v/>
      </c>
      <c r="J300" s="13" t="str">
        <f aca="false">IF($B300="","",SUMIFS($G$2:$G300,$B$2:$B300,$B300)-SUMIFS($H$2:$H300,$B$2:$B300,$B300))</f>
        <v/>
      </c>
      <c r="K300" s="10"/>
      <c r="L300" s="10"/>
      <c r="M300" s="18" t="str">
        <f aca="false">IF(AND($B300&lt;&gt;"",$B300='Estado de cuenta'!$C$4),COUNTIF($B$2:$B300,'Estado de cuenta'!$C$4),"")</f>
        <v/>
      </c>
    </row>
    <row r="301" customFormat="false" ht="15" hidden="false" customHeight="false" outlineLevel="0" collapsed="false">
      <c r="A301" s="17"/>
      <c r="B301" s="10"/>
      <c r="C301" s="10"/>
      <c r="D301" s="10"/>
      <c r="E301" s="10"/>
      <c r="F301" s="12"/>
      <c r="G301" s="13" t="str">
        <f aca="false">IF(OR($B301="",$F301=""),"",IF(OR($C301="Saldo inicial",$C301="Factura",$C301="Nota de débito"),$F301,0))</f>
        <v/>
      </c>
      <c r="H301" s="13" t="str">
        <f aca="false">IF(OR($B301="",$F301=""),"",IF(OR($C301="Cobro",$C301="Nota de crédito"),$F301,0))</f>
        <v/>
      </c>
      <c r="I301" s="16" t="str">
        <f aca="false">IF(OR($A301="",N($G301)=0),"",$A301+IFERROR(INDEX(Clientes!$F$2:$F$81,MATCH($B301,Clientes!$B$2:$B$81,0)),0))</f>
        <v/>
      </c>
      <c r="J301" s="13" t="str">
        <f aca="false">IF($B301="","",SUMIFS($G$2:$G301,$B$2:$B301,$B301)-SUMIFS($H$2:$H301,$B$2:$B301,$B301))</f>
        <v/>
      </c>
      <c r="K301" s="10"/>
      <c r="L301" s="10"/>
      <c r="M301" s="18" t="str">
        <f aca="false">IF(AND($B301&lt;&gt;"",$B301='Estado de cuenta'!$C$4),COUNTIF($B$2:$B301,'Estado de cuenta'!$C$4),"")</f>
        <v/>
      </c>
    </row>
    <row r="302" customFormat="false" ht="15" hidden="false" customHeight="false" outlineLevel="0" collapsed="false">
      <c r="A302" s="17"/>
      <c r="B302" s="10"/>
      <c r="C302" s="10"/>
      <c r="D302" s="10"/>
      <c r="E302" s="10"/>
      <c r="F302" s="12"/>
      <c r="G302" s="13" t="str">
        <f aca="false">IF(OR($B302="",$F302=""),"",IF(OR($C302="Saldo inicial",$C302="Factura",$C302="Nota de débito"),$F302,0))</f>
        <v/>
      </c>
      <c r="H302" s="13" t="str">
        <f aca="false">IF(OR($B302="",$F302=""),"",IF(OR($C302="Cobro",$C302="Nota de crédito"),$F302,0))</f>
        <v/>
      </c>
      <c r="I302" s="16" t="str">
        <f aca="false">IF(OR($A302="",N($G302)=0),"",$A302+IFERROR(INDEX(Clientes!$F$2:$F$81,MATCH($B302,Clientes!$B$2:$B$81,0)),0))</f>
        <v/>
      </c>
      <c r="J302" s="13" t="str">
        <f aca="false">IF($B302="","",SUMIFS($G$2:$G302,$B$2:$B302,$B302)-SUMIFS($H$2:$H302,$B$2:$B302,$B302))</f>
        <v/>
      </c>
      <c r="K302" s="10"/>
      <c r="L302" s="10"/>
      <c r="M302" s="18" t="str">
        <f aca="false">IF(AND($B302&lt;&gt;"",$B302='Estado de cuenta'!$C$4),COUNTIF($B$2:$B302,'Estado de cuenta'!$C$4),"")</f>
        <v/>
      </c>
    </row>
    <row r="303" customFormat="false" ht="15" hidden="false" customHeight="false" outlineLevel="0" collapsed="false">
      <c r="A303" s="17"/>
      <c r="B303" s="10"/>
      <c r="C303" s="10"/>
      <c r="D303" s="10"/>
      <c r="E303" s="10"/>
      <c r="F303" s="12"/>
      <c r="G303" s="13" t="str">
        <f aca="false">IF(OR($B303="",$F303=""),"",IF(OR($C303="Saldo inicial",$C303="Factura",$C303="Nota de débito"),$F303,0))</f>
        <v/>
      </c>
      <c r="H303" s="13" t="str">
        <f aca="false">IF(OR($B303="",$F303=""),"",IF(OR($C303="Cobro",$C303="Nota de crédito"),$F303,0))</f>
        <v/>
      </c>
      <c r="I303" s="16" t="str">
        <f aca="false">IF(OR($A303="",N($G303)=0),"",$A303+IFERROR(INDEX(Clientes!$F$2:$F$81,MATCH($B303,Clientes!$B$2:$B$81,0)),0))</f>
        <v/>
      </c>
      <c r="J303" s="13" t="str">
        <f aca="false">IF($B303="","",SUMIFS($G$2:$G303,$B$2:$B303,$B303)-SUMIFS($H$2:$H303,$B$2:$B303,$B303))</f>
        <v/>
      </c>
      <c r="K303" s="10"/>
      <c r="L303" s="10"/>
      <c r="M303" s="18" t="str">
        <f aca="false">IF(AND($B303&lt;&gt;"",$B303='Estado de cuenta'!$C$4),COUNTIF($B$2:$B303,'Estado de cuenta'!$C$4),"")</f>
        <v/>
      </c>
    </row>
    <row r="304" customFormat="false" ht="15" hidden="false" customHeight="false" outlineLevel="0" collapsed="false">
      <c r="A304" s="17"/>
      <c r="B304" s="10"/>
      <c r="C304" s="10"/>
      <c r="D304" s="10"/>
      <c r="E304" s="10"/>
      <c r="F304" s="12"/>
      <c r="G304" s="13" t="str">
        <f aca="false">IF(OR($B304="",$F304=""),"",IF(OR($C304="Saldo inicial",$C304="Factura",$C304="Nota de débito"),$F304,0))</f>
        <v/>
      </c>
      <c r="H304" s="13" t="str">
        <f aca="false">IF(OR($B304="",$F304=""),"",IF(OR($C304="Cobro",$C304="Nota de crédito"),$F304,0))</f>
        <v/>
      </c>
      <c r="I304" s="16" t="str">
        <f aca="false">IF(OR($A304="",N($G304)=0),"",$A304+IFERROR(INDEX(Clientes!$F$2:$F$81,MATCH($B304,Clientes!$B$2:$B$81,0)),0))</f>
        <v/>
      </c>
      <c r="J304" s="13" t="str">
        <f aca="false">IF($B304="","",SUMIFS($G$2:$G304,$B$2:$B304,$B304)-SUMIFS($H$2:$H304,$B$2:$B304,$B304))</f>
        <v/>
      </c>
      <c r="K304" s="10"/>
      <c r="L304" s="10"/>
      <c r="M304" s="18" t="str">
        <f aca="false">IF(AND($B304&lt;&gt;"",$B304='Estado de cuenta'!$C$4),COUNTIF($B$2:$B304,'Estado de cuenta'!$C$4),"")</f>
        <v/>
      </c>
    </row>
    <row r="305" customFormat="false" ht="15" hidden="false" customHeight="false" outlineLevel="0" collapsed="false">
      <c r="A305" s="17"/>
      <c r="B305" s="10"/>
      <c r="C305" s="10"/>
      <c r="D305" s="10"/>
      <c r="E305" s="10"/>
      <c r="F305" s="12"/>
      <c r="G305" s="13" t="str">
        <f aca="false">IF(OR($B305="",$F305=""),"",IF(OR($C305="Saldo inicial",$C305="Factura",$C305="Nota de débito"),$F305,0))</f>
        <v/>
      </c>
      <c r="H305" s="13" t="str">
        <f aca="false">IF(OR($B305="",$F305=""),"",IF(OR($C305="Cobro",$C305="Nota de crédito"),$F305,0))</f>
        <v/>
      </c>
      <c r="I305" s="16" t="str">
        <f aca="false">IF(OR($A305="",N($G305)=0),"",$A305+IFERROR(INDEX(Clientes!$F$2:$F$81,MATCH($B305,Clientes!$B$2:$B$81,0)),0))</f>
        <v/>
      </c>
      <c r="J305" s="13" t="str">
        <f aca="false">IF($B305="","",SUMIFS($G$2:$G305,$B$2:$B305,$B305)-SUMIFS($H$2:$H305,$B$2:$B305,$B305))</f>
        <v/>
      </c>
      <c r="K305" s="10"/>
      <c r="L305" s="10"/>
      <c r="M305" s="18" t="str">
        <f aca="false">IF(AND($B305&lt;&gt;"",$B305='Estado de cuenta'!$C$4),COUNTIF($B$2:$B305,'Estado de cuenta'!$C$4),"")</f>
        <v/>
      </c>
    </row>
    <row r="306" customFormat="false" ht="15" hidden="false" customHeight="false" outlineLevel="0" collapsed="false">
      <c r="A306" s="17"/>
      <c r="B306" s="10"/>
      <c r="C306" s="10"/>
      <c r="D306" s="10"/>
      <c r="E306" s="10"/>
      <c r="F306" s="12"/>
      <c r="G306" s="13" t="str">
        <f aca="false">IF(OR($B306="",$F306=""),"",IF(OR($C306="Saldo inicial",$C306="Factura",$C306="Nota de débito"),$F306,0))</f>
        <v/>
      </c>
      <c r="H306" s="13" t="str">
        <f aca="false">IF(OR($B306="",$F306=""),"",IF(OR($C306="Cobro",$C306="Nota de crédito"),$F306,0))</f>
        <v/>
      </c>
      <c r="I306" s="16" t="str">
        <f aca="false">IF(OR($A306="",N($G306)=0),"",$A306+IFERROR(INDEX(Clientes!$F$2:$F$81,MATCH($B306,Clientes!$B$2:$B$81,0)),0))</f>
        <v/>
      </c>
      <c r="J306" s="13" t="str">
        <f aca="false">IF($B306="","",SUMIFS($G$2:$G306,$B$2:$B306,$B306)-SUMIFS($H$2:$H306,$B$2:$B306,$B306))</f>
        <v/>
      </c>
      <c r="K306" s="10"/>
      <c r="L306" s="10"/>
      <c r="M306" s="18" t="str">
        <f aca="false">IF(AND($B306&lt;&gt;"",$B306='Estado de cuenta'!$C$4),COUNTIF($B$2:$B306,'Estado de cuenta'!$C$4),"")</f>
        <v/>
      </c>
    </row>
    <row r="307" customFormat="false" ht="15" hidden="false" customHeight="false" outlineLevel="0" collapsed="false">
      <c r="A307" s="17"/>
      <c r="B307" s="10"/>
      <c r="C307" s="10"/>
      <c r="D307" s="10"/>
      <c r="E307" s="10"/>
      <c r="F307" s="12"/>
      <c r="G307" s="13" t="str">
        <f aca="false">IF(OR($B307="",$F307=""),"",IF(OR($C307="Saldo inicial",$C307="Factura",$C307="Nota de débito"),$F307,0))</f>
        <v/>
      </c>
      <c r="H307" s="13" t="str">
        <f aca="false">IF(OR($B307="",$F307=""),"",IF(OR($C307="Cobro",$C307="Nota de crédito"),$F307,0))</f>
        <v/>
      </c>
      <c r="I307" s="16" t="str">
        <f aca="false">IF(OR($A307="",N($G307)=0),"",$A307+IFERROR(INDEX(Clientes!$F$2:$F$81,MATCH($B307,Clientes!$B$2:$B$81,0)),0))</f>
        <v/>
      </c>
      <c r="J307" s="13" t="str">
        <f aca="false">IF($B307="","",SUMIFS($G$2:$G307,$B$2:$B307,$B307)-SUMIFS($H$2:$H307,$B$2:$B307,$B307))</f>
        <v/>
      </c>
      <c r="K307" s="10"/>
      <c r="L307" s="10"/>
      <c r="M307" s="18" t="str">
        <f aca="false">IF(AND($B307&lt;&gt;"",$B307='Estado de cuenta'!$C$4),COUNTIF($B$2:$B307,'Estado de cuenta'!$C$4),"")</f>
        <v/>
      </c>
    </row>
    <row r="308" customFormat="false" ht="15" hidden="false" customHeight="false" outlineLevel="0" collapsed="false">
      <c r="A308" s="17"/>
      <c r="B308" s="10"/>
      <c r="C308" s="10"/>
      <c r="D308" s="10"/>
      <c r="E308" s="10"/>
      <c r="F308" s="12"/>
      <c r="G308" s="13" t="str">
        <f aca="false">IF(OR($B308="",$F308=""),"",IF(OR($C308="Saldo inicial",$C308="Factura",$C308="Nota de débito"),$F308,0))</f>
        <v/>
      </c>
      <c r="H308" s="13" t="str">
        <f aca="false">IF(OR($B308="",$F308=""),"",IF(OR($C308="Cobro",$C308="Nota de crédito"),$F308,0))</f>
        <v/>
      </c>
      <c r="I308" s="16" t="str">
        <f aca="false">IF(OR($A308="",N($G308)=0),"",$A308+IFERROR(INDEX(Clientes!$F$2:$F$81,MATCH($B308,Clientes!$B$2:$B$81,0)),0))</f>
        <v/>
      </c>
      <c r="J308" s="13" t="str">
        <f aca="false">IF($B308="","",SUMIFS($G$2:$G308,$B$2:$B308,$B308)-SUMIFS($H$2:$H308,$B$2:$B308,$B308))</f>
        <v/>
      </c>
      <c r="K308" s="10"/>
      <c r="L308" s="10"/>
      <c r="M308" s="18" t="str">
        <f aca="false">IF(AND($B308&lt;&gt;"",$B308='Estado de cuenta'!$C$4),COUNTIF($B$2:$B308,'Estado de cuenta'!$C$4),"")</f>
        <v/>
      </c>
    </row>
    <row r="309" customFormat="false" ht="15" hidden="false" customHeight="false" outlineLevel="0" collapsed="false">
      <c r="A309" s="17"/>
      <c r="B309" s="10"/>
      <c r="C309" s="10"/>
      <c r="D309" s="10"/>
      <c r="E309" s="10"/>
      <c r="F309" s="12"/>
      <c r="G309" s="13" t="str">
        <f aca="false">IF(OR($B309="",$F309=""),"",IF(OR($C309="Saldo inicial",$C309="Factura",$C309="Nota de débito"),$F309,0))</f>
        <v/>
      </c>
      <c r="H309" s="13" t="str">
        <f aca="false">IF(OR($B309="",$F309=""),"",IF(OR($C309="Cobro",$C309="Nota de crédito"),$F309,0))</f>
        <v/>
      </c>
      <c r="I309" s="16" t="str">
        <f aca="false">IF(OR($A309="",N($G309)=0),"",$A309+IFERROR(INDEX(Clientes!$F$2:$F$81,MATCH($B309,Clientes!$B$2:$B$81,0)),0))</f>
        <v/>
      </c>
      <c r="J309" s="13" t="str">
        <f aca="false">IF($B309="","",SUMIFS($G$2:$G309,$B$2:$B309,$B309)-SUMIFS($H$2:$H309,$B$2:$B309,$B309))</f>
        <v/>
      </c>
      <c r="K309" s="10"/>
      <c r="L309" s="10"/>
      <c r="M309" s="18" t="str">
        <f aca="false">IF(AND($B309&lt;&gt;"",$B309='Estado de cuenta'!$C$4),COUNTIF($B$2:$B309,'Estado de cuenta'!$C$4),"")</f>
        <v/>
      </c>
    </row>
    <row r="310" customFormat="false" ht="15" hidden="false" customHeight="false" outlineLevel="0" collapsed="false">
      <c r="A310" s="17"/>
      <c r="B310" s="10"/>
      <c r="C310" s="10"/>
      <c r="D310" s="10"/>
      <c r="E310" s="10"/>
      <c r="F310" s="12"/>
      <c r="G310" s="13" t="str">
        <f aca="false">IF(OR($B310="",$F310=""),"",IF(OR($C310="Saldo inicial",$C310="Factura",$C310="Nota de débito"),$F310,0))</f>
        <v/>
      </c>
      <c r="H310" s="13" t="str">
        <f aca="false">IF(OR($B310="",$F310=""),"",IF(OR($C310="Cobro",$C310="Nota de crédito"),$F310,0))</f>
        <v/>
      </c>
      <c r="I310" s="16" t="str">
        <f aca="false">IF(OR($A310="",N($G310)=0),"",$A310+IFERROR(INDEX(Clientes!$F$2:$F$81,MATCH($B310,Clientes!$B$2:$B$81,0)),0))</f>
        <v/>
      </c>
      <c r="J310" s="13" t="str">
        <f aca="false">IF($B310="","",SUMIFS($G$2:$G310,$B$2:$B310,$B310)-SUMIFS($H$2:$H310,$B$2:$B310,$B310))</f>
        <v/>
      </c>
      <c r="K310" s="10"/>
      <c r="L310" s="10"/>
      <c r="M310" s="18" t="str">
        <f aca="false">IF(AND($B310&lt;&gt;"",$B310='Estado de cuenta'!$C$4),COUNTIF($B$2:$B310,'Estado de cuenta'!$C$4),"")</f>
        <v/>
      </c>
    </row>
    <row r="311" customFormat="false" ht="15" hidden="false" customHeight="false" outlineLevel="0" collapsed="false">
      <c r="A311" s="17"/>
      <c r="B311" s="10"/>
      <c r="C311" s="10"/>
      <c r="D311" s="10"/>
      <c r="E311" s="10"/>
      <c r="F311" s="12"/>
      <c r="G311" s="13" t="str">
        <f aca="false">IF(OR($B311="",$F311=""),"",IF(OR($C311="Saldo inicial",$C311="Factura",$C311="Nota de débito"),$F311,0))</f>
        <v/>
      </c>
      <c r="H311" s="13" t="str">
        <f aca="false">IF(OR($B311="",$F311=""),"",IF(OR($C311="Cobro",$C311="Nota de crédito"),$F311,0))</f>
        <v/>
      </c>
      <c r="I311" s="16" t="str">
        <f aca="false">IF(OR($A311="",N($G311)=0),"",$A311+IFERROR(INDEX(Clientes!$F$2:$F$81,MATCH($B311,Clientes!$B$2:$B$81,0)),0))</f>
        <v/>
      </c>
      <c r="J311" s="13" t="str">
        <f aca="false">IF($B311="","",SUMIFS($G$2:$G311,$B$2:$B311,$B311)-SUMIFS($H$2:$H311,$B$2:$B311,$B311))</f>
        <v/>
      </c>
      <c r="K311" s="10"/>
      <c r="L311" s="10"/>
      <c r="M311" s="18" t="str">
        <f aca="false">IF(AND($B311&lt;&gt;"",$B311='Estado de cuenta'!$C$4),COUNTIF($B$2:$B311,'Estado de cuenta'!$C$4),"")</f>
        <v/>
      </c>
    </row>
    <row r="312" customFormat="false" ht="15" hidden="false" customHeight="false" outlineLevel="0" collapsed="false">
      <c r="A312" s="17"/>
      <c r="B312" s="10"/>
      <c r="C312" s="10"/>
      <c r="D312" s="10"/>
      <c r="E312" s="10"/>
      <c r="F312" s="12"/>
      <c r="G312" s="13" t="str">
        <f aca="false">IF(OR($B312="",$F312=""),"",IF(OR($C312="Saldo inicial",$C312="Factura",$C312="Nota de débito"),$F312,0))</f>
        <v/>
      </c>
      <c r="H312" s="13" t="str">
        <f aca="false">IF(OR($B312="",$F312=""),"",IF(OR($C312="Cobro",$C312="Nota de crédito"),$F312,0))</f>
        <v/>
      </c>
      <c r="I312" s="16" t="str">
        <f aca="false">IF(OR($A312="",N($G312)=0),"",$A312+IFERROR(INDEX(Clientes!$F$2:$F$81,MATCH($B312,Clientes!$B$2:$B$81,0)),0))</f>
        <v/>
      </c>
      <c r="J312" s="13" t="str">
        <f aca="false">IF($B312="","",SUMIFS($G$2:$G312,$B$2:$B312,$B312)-SUMIFS($H$2:$H312,$B$2:$B312,$B312))</f>
        <v/>
      </c>
      <c r="K312" s="10"/>
      <c r="L312" s="10"/>
      <c r="M312" s="18" t="str">
        <f aca="false">IF(AND($B312&lt;&gt;"",$B312='Estado de cuenta'!$C$4),COUNTIF($B$2:$B312,'Estado de cuenta'!$C$4),"")</f>
        <v/>
      </c>
    </row>
    <row r="313" customFormat="false" ht="15" hidden="false" customHeight="false" outlineLevel="0" collapsed="false">
      <c r="A313" s="17"/>
      <c r="B313" s="10"/>
      <c r="C313" s="10"/>
      <c r="D313" s="10"/>
      <c r="E313" s="10"/>
      <c r="F313" s="12"/>
      <c r="G313" s="13" t="str">
        <f aca="false">IF(OR($B313="",$F313=""),"",IF(OR($C313="Saldo inicial",$C313="Factura",$C313="Nota de débito"),$F313,0))</f>
        <v/>
      </c>
      <c r="H313" s="13" t="str">
        <f aca="false">IF(OR($B313="",$F313=""),"",IF(OR($C313="Cobro",$C313="Nota de crédito"),$F313,0))</f>
        <v/>
      </c>
      <c r="I313" s="16" t="str">
        <f aca="false">IF(OR($A313="",N($G313)=0),"",$A313+IFERROR(INDEX(Clientes!$F$2:$F$81,MATCH($B313,Clientes!$B$2:$B$81,0)),0))</f>
        <v/>
      </c>
      <c r="J313" s="13" t="str">
        <f aca="false">IF($B313="","",SUMIFS($G$2:$G313,$B$2:$B313,$B313)-SUMIFS($H$2:$H313,$B$2:$B313,$B313))</f>
        <v/>
      </c>
      <c r="K313" s="10"/>
      <c r="L313" s="10"/>
      <c r="M313" s="18" t="str">
        <f aca="false">IF(AND($B313&lt;&gt;"",$B313='Estado de cuenta'!$C$4),COUNTIF($B$2:$B313,'Estado de cuenta'!$C$4),"")</f>
        <v/>
      </c>
    </row>
    <row r="314" customFormat="false" ht="15" hidden="false" customHeight="false" outlineLevel="0" collapsed="false">
      <c r="A314" s="17"/>
      <c r="B314" s="10"/>
      <c r="C314" s="10"/>
      <c r="D314" s="10"/>
      <c r="E314" s="10"/>
      <c r="F314" s="12"/>
      <c r="G314" s="13" t="str">
        <f aca="false">IF(OR($B314="",$F314=""),"",IF(OR($C314="Saldo inicial",$C314="Factura",$C314="Nota de débito"),$F314,0))</f>
        <v/>
      </c>
      <c r="H314" s="13" t="str">
        <f aca="false">IF(OR($B314="",$F314=""),"",IF(OR($C314="Cobro",$C314="Nota de crédito"),$F314,0))</f>
        <v/>
      </c>
      <c r="I314" s="16" t="str">
        <f aca="false">IF(OR($A314="",N($G314)=0),"",$A314+IFERROR(INDEX(Clientes!$F$2:$F$81,MATCH($B314,Clientes!$B$2:$B$81,0)),0))</f>
        <v/>
      </c>
      <c r="J314" s="13" t="str">
        <f aca="false">IF($B314="","",SUMIFS($G$2:$G314,$B$2:$B314,$B314)-SUMIFS($H$2:$H314,$B$2:$B314,$B314))</f>
        <v/>
      </c>
      <c r="K314" s="10"/>
      <c r="L314" s="10"/>
      <c r="M314" s="18" t="str">
        <f aca="false">IF(AND($B314&lt;&gt;"",$B314='Estado de cuenta'!$C$4),COUNTIF($B$2:$B314,'Estado de cuenta'!$C$4),"")</f>
        <v/>
      </c>
    </row>
    <row r="315" customFormat="false" ht="15" hidden="false" customHeight="false" outlineLevel="0" collapsed="false">
      <c r="A315" s="17"/>
      <c r="B315" s="10"/>
      <c r="C315" s="10"/>
      <c r="D315" s="10"/>
      <c r="E315" s="10"/>
      <c r="F315" s="12"/>
      <c r="G315" s="13" t="str">
        <f aca="false">IF(OR($B315="",$F315=""),"",IF(OR($C315="Saldo inicial",$C315="Factura",$C315="Nota de débito"),$F315,0))</f>
        <v/>
      </c>
      <c r="H315" s="13" t="str">
        <f aca="false">IF(OR($B315="",$F315=""),"",IF(OR($C315="Cobro",$C315="Nota de crédito"),$F315,0))</f>
        <v/>
      </c>
      <c r="I315" s="16" t="str">
        <f aca="false">IF(OR($A315="",N($G315)=0),"",$A315+IFERROR(INDEX(Clientes!$F$2:$F$81,MATCH($B315,Clientes!$B$2:$B$81,0)),0))</f>
        <v/>
      </c>
      <c r="J315" s="13" t="str">
        <f aca="false">IF($B315="","",SUMIFS($G$2:$G315,$B$2:$B315,$B315)-SUMIFS($H$2:$H315,$B$2:$B315,$B315))</f>
        <v/>
      </c>
      <c r="K315" s="10"/>
      <c r="L315" s="10"/>
      <c r="M315" s="18" t="str">
        <f aca="false">IF(AND($B315&lt;&gt;"",$B315='Estado de cuenta'!$C$4),COUNTIF($B$2:$B315,'Estado de cuenta'!$C$4),"")</f>
        <v/>
      </c>
    </row>
    <row r="316" customFormat="false" ht="15" hidden="false" customHeight="false" outlineLevel="0" collapsed="false">
      <c r="A316" s="17"/>
      <c r="B316" s="10"/>
      <c r="C316" s="10"/>
      <c r="D316" s="10"/>
      <c r="E316" s="10"/>
      <c r="F316" s="12"/>
      <c r="G316" s="13" t="str">
        <f aca="false">IF(OR($B316="",$F316=""),"",IF(OR($C316="Saldo inicial",$C316="Factura",$C316="Nota de débito"),$F316,0))</f>
        <v/>
      </c>
      <c r="H316" s="13" t="str">
        <f aca="false">IF(OR($B316="",$F316=""),"",IF(OR($C316="Cobro",$C316="Nota de crédito"),$F316,0))</f>
        <v/>
      </c>
      <c r="I316" s="16" t="str">
        <f aca="false">IF(OR($A316="",N($G316)=0),"",$A316+IFERROR(INDEX(Clientes!$F$2:$F$81,MATCH($B316,Clientes!$B$2:$B$81,0)),0))</f>
        <v/>
      </c>
      <c r="J316" s="13" t="str">
        <f aca="false">IF($B316="","",SUMIFS($G$2:$G316,$B$2:$B316,$B316)-SUMIFS($H$2:$H316,$B$2:$B316,$B316))</f>
        <v/>
      </c>
      <c r="K316" s="10"/>
      <c r="L316" s="10"/>
      <c r="M316" s="18" t="str">
        <f aca="false">IF(AND($B316&lt;&gt;"",$B316='Estado de cuenta'!$C$4),COUNTIF($B$2:$B316,'Estado de cuenta'!$C$4),"")</f>
        <v/>
      </c>
    </row>
    <row r="317" customFormat="false" ht="15" hidden="false" customHeight="false" outlineLevel="0" collapsed="false">
      <c r="A317" s="17"/>
      <c r="B317" s="10"/>
      <c r="C317" s="10"/>
      <c r="D317" s="10"/>
      <c r="E317" s="10"/>
      <c r="F317" s="12"/>
      <c r="G317" s="13" t="str">
        <f aca="false">IF(OR($B317="",$F317=""),"",IF(OR($C317="Saldo inicial",$C317="Factura",$C317="Nota de débito"),$F317,0))</f>
        <v/>
      </c>
      <c r="H317" s="13" t="str">
        <f aca="false">IF(OR($B317="",$F317=""),"",IF(OR($C317="Cobro",$C317="Nota de crédito"),$F317,0))</f>
        <v/>
      </c>
      <c r="I317" s="16" t="str">
        <f aca="false">IF(OR($A317="",N($G317)=0),"",$A317+IFERROR(INDEX(Clientes!$F$2:$F$81,MATCH($B317,Clientes!$B$2:$B$81,0)),0))</f>
        <v/>
      </c>
      <c r="J317" s="13" t="str">
        <f aca="false">IF($B317="","",SUMIFS($G$2:$G317,$B$2:$B317,$B317)-SUMIFS($H$2:$H317,$B$2:$B317,$B317))</f>
        <v/>
      </c>
      <c r="K317" s="10"/>
      <c r="L317" s="10"/>
      <c r="M317" s="18" t="str">
        <f aca="false">IF(AND($B317&lt;&gt;"",$B317='Estado de cuenta'!$C$4),COUNTIF($B$2:$B317,'Estado de cuenta'!$C$4),"")</f>
        <v/>
      </c>
    </row>
    <row r="318" customFormat="false" ht="15" hidden="false" customHeight="false" outlineLevel="0" collapsed="false">
      <c r="A318" s="17"/>
      <c r="B318" s="10"/>
      <c r="C318" s="10"/>
      <c r="D318" s="10"/>
      <c r="E318" s="10"/>
      <c r="F318" s="12"/>
      <c r="G318" s="13" t="str">
        <f aca="false">IF(OR($B318="",$F318=""),"",IF(OR($C318="Saldo inicial",$C318="Factura",$C318="Nota de débito"),$F318,0))</f>
        <v/>
      </c>
      <c r="H318" s="13" t="str">
        <f aca="false">IF(OR($B318="",$F318=""),"",IF(OR($C318="Cobro",$C318="Nota de crédito"),$F318,0))</f>
        <v/>
      </c>
      <c r="I318" s="16" t="str">
        <f aca="false">IF(OR($A318="",N($G318)=0),"",$A318+IFERROR(INDEX(Clientes!$F$2:$F$81,MATCH($B318,Clientes!$B$2:$B$81,0)),0))</f>
        <v/>
      </c>
      <c r="J318" s="13" t="str">
        <f aca="false">IF($B318="","",SUMIFS($G$2:$G318,$B$2:$B318,$B318)-SUMIFS($H$2:$H318,$B$2:$B318,$B318))</f>
        <v/>
      </c>
      <c r="K318" s="10"/>
      <c r="L318" s="10"/>
      <c r="M318" s="18" t="str">
        <f aca="false">IF(AND($B318&lt;&gt;"",$B318='Estado de cuenta'!$C$4),COUNTIF($B$2:$B318,'Estado de cuenta'!$C$4),"")</f>
        <v/>
      </c>
    </row>
    <row r="319" customFormat="false" ht="15" hidden="false" customHeight="false" outlineLevel="0" collapsed="false">
      <c r="A319" s="17"/>
      <c r="B319" s="10"/>
      <c r="C319" s="10"/>
      <c r="D319" s="10"/>
      <c r="E319" s="10"/>
      <c r="F319" s="12"/>
      <c r="G319" s="13" t="str">
        <f aca="false">IF(OR($B319="",$F319=""),"",IF(OR($C319="Saldo inicial",$C319="Factura",$C319="Nota de débito"),$F319,0))</f>
        <v/>
      </c>
      <c r="H319" s="13" t="str">
        <f aca="false">IF(OR($B319="",$F319=""),"",IF(OR($C319="Cobro",$C319="Nota de crédito"),$F319,0))</f>
        <v/>
      </c>
      <c r="I319" s="16" t="str">
        <f aca="false">IF(OR($A319="",N($G319)=0),"",$A319+IFERROR(INDEX(Clientes!$F$2:$F$81,MATCH($B319,Clientes!$B$2:$B$81,0)),0))</f>
        <v/>
      </c>
      <c r="J319" s="13" t="str">
        <f aca="false">IF($B319="","",SUMIFS($G$2:$G319,$B$2:$B319,$B319)-SUMIFS($H$2:$H319,$B$2:$B319,$B319))</f>
        <v/>
      </c>
      <c r="K319" s="10"/>
      <c r="L319" s="10"/>
      <c r="M319" s="18" t="str">
        <f aca="false">IF(AND($B319&lt;&gt;"",$B319='Estado de cuenta'!$C$4),COUNTIF($B$2:$B319,'Estado de cuenta'!$C$4),"")</f>
        <v/>
      </c>
    </row>
    <row r="320" customFormat="false" ht="15" hidden="false" customHeight="false" outlineLevel="0" collapsed="false">
      <c r="A320" s="17"/>
      <c r="B320" s="10"/>
      <c r="C320" s="10"/>
      <c r="D320" s="10"/>
      <c r="E320" s="10"/>
      <c r="F320" s="12"/>
      <c r="G320" s="13" t="str">
        <f aca="false">IF(OR($B320="",$F320=""),"",IF(OR($C320="Saldo inicial",$C320="Factura",$C320="Nota de débito"),$F320,0))</f>
        <v/>
      </c>
      <c r="H320" s="13" t="str">
        <f aca="false">IF(OR($B320="",$F320=""),"",IF(OR($C320="Cobro",$C320="Nota de crédito"),$F320,0))</f>
        <v/>
      </c>
      <c r="I320" s="16" t="str">
        <f aca="false">IF(OR($A320="",N($G320)=0),"",$A320+IFERROR(INDEX(Clientes!$F$2:$F$81,MATCH($B320,Clientes!$B$2:$B$81,0)),0))</f>
        <v/>
      </c>
      <c r="J320" s="13" t="str">
        <f aca="false">IF($B320="","",SUMIFS($G$2:$G320,$B$2:$B320,$B320)-SUMIFS($H$2:$H320,$B$2:$B320,$B320))</f>
        <v/>
      </c>
      <c r="K320" s="10"/>
      <c r="L320" s="10"/>
      <c r="M320" s="18" t="str">
        <f aca="false">IF(AND($B320&lt;&gt;"",$B320='Estado de cuenta'!$C$4),COUNTIF($B$2:$B320,'Estado de cuenta'!$C$4),"")</f>
        <v/>
      </c>
    </row>
    <row r="321" customFormat="false" ht="15" hidden="false" customHeight="false" outlineLevel="0" collapsed="false">
      <c r="A321" s="17"/>
      <c r="B321" s="10"/>
      <c r="C321" s="10"/>
      <c r="D321" s="10"/>
      <c r="E321" s="10"/>
      <c r="F321" s="12"/>
      <c r="G321" s="13" t="str">
        <f aca="false">IF(OR($B321="",$F321=""),"",IF(OR($C321="Saldo inicial",$C321="Factura",$C321="Nota de débito"),$F321,0))</f>
        <v/>
      </c>
      <c r="H321" s="13" t="str">
        <f aca="false">IF(OR($B321="",$F321=""),"",IF(OR($C321="Cobro",$C321="Nota de crédito"),$F321,0))</f>
        <v/>
      </c>
      <c r="I321" s="16" t="str">
        <f aca="false">IF(OR($A321="",N($G321)=0),"",$A321+IFERROR(INDEX(Clientes!$F$2:$F$81,MATCH($B321,Clientes!$B$2:$B$81,0)),0))</f>
        <v/>
      </c>
      <c r="J321" s="13" t="str">
        <f aca="false">IF($B321="","",SUMIFS($G$2:$G321,$B$2:$B321,$B321)-SUMIFS($H$2:$H321,$B$2:$B321,$B321))</f>
        <v/>
      </c>
      <c r="K321" s="10"/>
      <c r="L321" s="10"/>
      <c r="M321" s="18" t="str">
        <f aca="false">IF(AND($B321&lt;&gt;"",$B321='Estado de cuenta'!$C$4),COUNTIF($B$2:$B321,'Estado de cuenta'!$C$4),"")</f>
        <v/>
      </c>
    </row>
    <row r="322" customFormat="false" ht="15" hidden="false" customHeight="false" outlineLevel="0" collapsed="false">
      <c r="A322" s="17"/>
      <c r="B322" s="10"/>
      <c r="C322" s="10"/>
      <c r="D322" s="10"/>
      <c r="E322" s="10"/>
      <c r="F322" s="12"/>
      <c r="G322" s="13" t="str">
        <f aca="false">IF(OR($B322="",$F322=""),"",IF(OR($C322="Saldo inicial",$C322="Factura",$C322="Nota de débito"),$F322,0))</f>
        <v/>
      </c>
      <c r="H322" s="13" t="str">
        <f aca="false">IF(OR($B322="",$F322=""),"",IF(OR($C322="Cobro",$C322="Nota de crédito"),$F322,0))</f>
        <v/>
      </c>
      <c r="I322" s="16" t="str">
        <f aca="false">IF(OR($A322="",N($G322)=0),"",$A322+IFERROR(INDEX(Clientes!$F$2:$F$81,MATCH($B322,Clientes!$B$2:$B$81,0)),0))</f>
        <v/>
      </c>
      <c r="J322" s="13" t="str">
        <f aca="false">IF($B322="","",SUMIFS($G$2:$G322,$B$2:$B322,$B322)-SUMIFS($H$2:$H322,$B$2:$B322,$B322))</f>
        <v/>
      </c>
      <c r="K322" s="10"/>
      <c r="L322" s="10"/>
      <c r="M322" s="18" t="str">
        <f aca="false">IF(AND($B322&lt;&gt;"",$B322='Estado de cuenta'!$C$4),COUNTIF($B$2:$B322,'Estado de cuenta'!$C$4),"")</f>
        <v/>
      </c>
    </row>
    <row r="323" customFormat="false" ht="15" hidden="false" customHeight="false" outlineLevel="0" collapsed="false">
      <c r="A323" s="17"/>
      <c r="B323" s="10"/>
      <c r="C323" s="10"/>
      <c r="D323" s="10"/>
      <c r="E323" s="10"/>
      <c r="F323" s="12"/>
      <c r="G323" s="13" t="str">
        <f aca="false">IF(OR($B323="",$F323=""),"",IF(OR($C323="Saldo inicial",$C323="Factura",$C323="Nota de débito"),$F323,0))</f>
        <v/>
      </c>
      <c r="H323" s="13" t="str">
        <f aca="false">IF(OR($B323="",$F323=""),"",IF(OR($C323="Cobro",$C323="Nota de crédito"),$F323,0))</f>
        <v/>
      </c>
      <c r="I323" s="16" t="str">
        <f aca="false">IF(OR($A323="",N($G323)=0),"",$A323+IFERROR(INDEX(Clientes!$F$2:$F$81,MATCH($B323,Clientes!$B$2:$B$81,0)),0))</f>
        <v/>
      </c>
      <c r="J323" s="13" t="str">
        <f aca="false">IF($B323="","",SUMIFS($G$2:$G323,$B$2:$B323,$B323)-SUMIFS($H$2:$H323,$B$2:$B323,$B323))</f>
        <v/>
      </c>
      <c r="K323" s="10"/>
      <c r="L323" s="10"/>
      <c r="M323" s="18" t="str">
        <f aca="false">IF(AND($B323&lt;&gt;"",$B323='Estado de cuenta'!$C$4),COUNTIF($B$2:$B323,'Estado de cuenta'!$C$4),"")</f>
        <v/>
      </c>
    </row>
    <row r="324" customFormat="false" ht="15" hidden="false" customHeight="false" outlineLevel="0" collapsed="false">
      <c r="A324" s="17"/>
      <c r="B324" s="10"/>
      <c r="C324" s="10"/>
      <c r="D324" s="10"/>
      <c r="E324" s="10"/>
      <c r="F324" s="12"/>
      <c r="G324" s="13" t="str">
        <f aca="false">IF(OR($B324="",$F324=""),"",IF(OR($C324="Saldo inicial",$C324="Factura",$C324="Nota de débito"),$F324,0))</f>
        <v/>
      </c>
      <c r="H324" s="13" t="str">
        <f aca="false">IF(OR($B324="",$F324=""),"",IF(OR($C324="Cobro",$C324="Nota de crédito"),$F324,0))</f>
        <v/>
      </c>
      <c r="I324" s="16" t="str">
        <f aca="false">IF(OR($A324="",N($G324)=0),"",$A324+IFERROR(INDEX(Clientes!$F$2:$F$81,MATCH($B324,Clientes!$B$2:$B$81,0)),0))</f>
        <v/>
      </c>
      <c r="J324" s="13" t="str">
        <f aca="false">IF($B324="","",SUMIFS($G$2:$G324,$B$2:$B324,$B324)-SUMIFS($H$2:$H324,$B$2:$B324,$B324))</f>
        <v/>
      </c>
      <c r="K324" s="10"/>
      <c r="L324" s="10"/>
      <c r="M324" s="18" t="str">
        <f aca="false">IF(AND($B324&lt;&gt;"",$B324='Estado de cuenta'!$C$4),COUNTIF($B$2:$B324,'Estado de cuenta'!$C$4),"")</f>
        <v/>
      </c>
    </row>
    <row r="325" customFormat="false" ht="15" hidden="false" customHeight="false" outlineLevel="0" collapsed="false">
      <c r="A325" s="17"/>
      <c r="B325" s="10"/>
      <c r="C325" s="10"/>
      <c r="D325" s="10"/>
      <c r="E325" s="10"/>
      <c r="F325" s="12"/>
      <c r="G325" s="13" t="str">
        <f aca="false">IF(OR($B325="",$F325=""),"",IF(OR($C325="Saldo inicial",$C325="Factura",$C325="Nota de débito"),$F325,0))</f>
        <v/>
      </c>
      <c r="H325" s="13" t="str">
        <f aca="false">IF(OR($B325="",$F325=""),"",IF(OR($C325="Cobro",$C325="Nota de crédito"),$F325,0))</f>
        <v/>
      </c>
      <c r="I325" s="16" t="str">
        <f aca="false">IF(OR($A325="",N($G325)=0),"",$A325+IFERROR(INDEX(Clientes!$F$2:$F$81,MATCH($B325,Clientes!$B$2:$B$81,0)),0))</f>
        <v/>
      </c>
      <c r="J325" s="13" t="str">
        <f aca="false">IF($B325="","",SUMIFS($G$2:$G325,$B$2:$B325,$B325)-SUMIFS($H$2:$H325,$B$2:$B325,$B325))</f>
        <v/>
      </c>
      <c r="K325" s="10"/>
      <c r="L325" s="10"/>
      <c r="M325" s="18" t="str">
        <f aca="false">IF(AND($B325&lt;&gt;"",$B325='Estado de cuenta'!$C$4),COUNTIF($B$2:$B325,'Estado de cuenta'!$C$4),"")</f>
        <v/>
      </c>
    </row>
    <row r="326" customFormat="false" ht="15" hidden="false" customHeight="false" outlineLevel="0" collapsed="false">
      <c r="A326" s="17"/>
      <c r="B326" s="10"/>
      <c r="C326" s="10"/>
      <c r="D326" s="10"/>
      <c r="E326" s="10"/>
      <c r="F326" s="12"/>
      <c r="G326" s="13" t="str">
        <f aca="false">IF(OR($B326="",$F326=""),"",IF(OR($C326="Saldo inicial",$C326="Factura",$C326="Nota de débito"),$F326,0))</f>
        <v/>
      </c>
      <c r="H326" s="13" t="str">
        <f aca="false">IF(OR($B326="",$F326=""),"",IF(OR($C326="Cobro",$C326="Nota de crédito"),$F326,0))</f>
        <v/>
      </c>
      <c r="I326" s="16" t="str">
        <f aca="false">IF(OR($A326="",N($G326)=0),"",$A326+IFERROR(INDEX(Clientes!$F$2:$F$81,MATCH($B326,Clientes!$B$2:$B$81,0)),0))</f>
        <v/>
      </c>
      <c r="J326" s="13" t="str">
        <f aca="false">IF($B326="","",SUMIFS($G$2:$G326,$B$2:$B326,$B326)-SUMIFS($H$2:$H326,$B$2:$B326,$B326))</f>
        <v/>
      </c>
      <c r="K326" s="10"/>
      <c r="L326" s="10"/>
      <c r="M326" s="18" t="str">
        <f aca="false">IF(AND($B326&lt;&gt;"",$B326='Estado de cuenta'!$C$4),COUNTIF($B$2:$B326,'Estado de cuenta'!$C$4),"")</f>
        <v/>
      </c>
    </row>
    <row r="327" customFormat="false" ht="15" hidden="false" customHeight="false" outlineLevel="0" collapsed="false">
      <c r="A327" s="17"/>
      <c r="B327" s="10"/>
      <c r="C327" s="10"/>
      <c r="D327" s="10"/>
      <c r="E327" s="10"/>
      <c r="F327" s="12"/>
      <c r="G327" s="13" t="str">
        <f aca="false">IF(OR($B327="",$F327=""),"",IF(OR($C327="Saldo inicial",$C327="Factura",$C327="Nota de débito"),$F327,0))</f>
        <v/>
      </c>
      <c r="H327" s="13" t="str">
        <f aca="false">IF(OR($B327="",$F327=""),"",IF(OR($C327="Cobro",$C327="Nota de crédito"),$F327,0))</f>
        <v/>
      </c>
      <c r="I327" s="16" t="str">
        <f aca="false">IF(OR($A327="",N($G327)=0),"",$A327+IFERROR(INDEX(Clientes!$F$2:$F$81,MATCH($B327,Clientes!$B$2:$B$81,0)),0))</f>
        <v/>
      </c>
      <c r="J327" s="13" t="str">
        <f aca="false">IF($B327="","",SUMIFS($G$2:$G327,$B$2:$B327,$B327)-SUMIFS($H$2:$H327,$B$2:$B327,$B327))</f>
        <v/>
      </c>
      <c r="K327" s="10"/>
      <c r="L327" s="10"/>
      <c r="M327" s="18" t="str">
        <f aca="false">IF(AND($B327&lt;&gt;"",$B327='Estado de cuenta'!$C$4),COUNTIF($B$2:$B327,'Estado de cuenta'!$C$4),"")</f>
        <v/>
      </c>
    </row>
    <row r="328" customFormat="false" ht="15" hidden="false" customHeight="false" outlineLevel="0" collapsed="false">
      <c r="A328" s="17"/>
      <c r="B328" s="10"/>
      <c r="C328" s="10"/>
      <c r="D328" s="10"/>
      <c r="E328" s="10"/>
      <c r="F328" s="12"/>
      <c r="G328" s="13" t="str">
        <f aca="false">IF(OR($B328="",$F328=""),"",IF(OR($C328="Saldo inicial",$C328="Factura",$C328="Nota de débito"),$F328,0))</f>
        <v/>
      </c>
      <c r="H328" s="13" t="str">
        <f aca="false">IF(OR($B328="",$F328=""),"",IF(OR($C328="Cobro",$C328="Nota de crédito"),$F328,0))</f>
        <v/>
      </c>
      <c r="I328" s="16" t="str">
        <f aca="false">IF(OR($A328="",N($G328)=0),"",$A328+IFERROR(INDEX(Clientes!$F$2:$F$81,MATCH($B328,Clientes!$B$2:$B$81,0)),0))</f>
        <v/>
      </c>
      <c r="J328" s="13" t="str">
        <f aca="false">IF($B328="","",SUMIFS($G$2:$G328,$B$2:$B328,$B328)-SUMIFS($H$2:$H328,$B$2:$B328,$B328))</f>
        <v/>
      </c>
      <c r="K328" s="10"/>
      <c r="L328" s="10"/>
      <c r="M328" s="18" t="str">
        <f aca="false">IF(AND($B328&lt;&gt;"",$B328='Estado de cuenta'!$C$4),COUNTIF($B$2:$B328,'Estado de cuenta'!$C$4),"")</f>
        <v/>
      </c>
    </row>
    <row r="329" customFormat="false" ht="15" hidden="false" customHeight="false" outlineLevel="0" collapsed="false">
      <c r="A329" s="17"/>
      <c r="B329" s="10"/>
      <c r="C329" s="10"/>
      <c r="D329" s="10"/>
      <c r="E329" s="10"/>
      <c r="F329" s="12"/>
      <c r="G329" s="13" t="str">
        <f aca="false">IF(OR($B329="",$F329=""),"",IF(OR($C329="Saldo inicial",$C329="Factura",$C329="Nota de débito"),$F329,0))</f>
        <v/>
      </c>
      <c r="H329" s="13" t="str">
        <f aca="false">IF(OR($B329="",$F329=""),"",IF(OR($C329="Cobro",$C329="Nota de crédito"),$F329,0))</f>
        <v/>
      </c>
      <c r="I329" s="16" t="str">
        <f aca="false">IF(OR($A329="",N($G329)=0),"",$A329+IFERROR(INDEX(Clientes!$F$2:$F$81,MATCH($B329,Clientes!$B$2:$B$81,0)),0))</f>
        <v/>
      </c>
      <c r="J329" s="13" t="str">
        <f aca="false">IF($B329="","",SUMIFS($G$2:$G329,$B$2:$B329,$B329)-SUMIFS($H$2:$H329,$B$2:$B329,$B329))</f>
        <v/>
      </c>
      <c r="K329" s="10"/>
      <c r="L329" s="10"/>
      <c r="M329" s="18" t="str">
        <f aca="false">IF(AND($B329&lt;&gt;"",$B329='Estado de cuenta'!$C$4),COUNTIF($B$2:$B329,'Estado de cuenta'!$C$4),"")</f>
        <v/>
      </c>
    </row>
    <row r="330" customFormat="false" ht="15" hidden="false" customHeight="false" outlineLevel="0" collapsed="false">
      <c r="A330" s="17"/>
      <c r="B330" s="10"/>
      <c r="C330" s="10"/>
      <c r="D330" s="10"/>
      <c r="E330" s="10"/>
      <c r="F330" s="12"/>
      <c r="G330" s="13" t="str">
        <f aca="false">IF(OR($B330="",$F330=""),"",IF(OR($C330="Saldo inicial",$C330="Factura",$C330="Nota de débito"),$F330,0))</f>
        <v/>
      </c>
      <c r="H330" s="13" t="str">
        <f aca="false">IF(OR($B330="",$F330=""),"",IF(OR($C330="Cobro",$C330="Nota de crédito"),$F330,0))</f>
        <v/>
      </c>
      <c r="I330" s="16" t="str">
        <f aca="false">IF(OR($A330="",N($G330)=0),"",$A330+IFERROR(INDEX(Clientes!$F$2:$F$81,MATCH($B330,Clientes!$B$2:$B$81,0)),0))</f>
        <v/>
      </c>
      <c r="J330" s="13" t="str">
        <f aca="false">IF($B330="","",SUMIFS($G$2:$G330,$B$2:$B330,$B330)-SUMIFS($H$2:$H330,$B$2:$B330,$B330))</f>
        <v/>
      </c>
      <c r="K330" s="10"/>
      <c r="L330" s="10"/>
      <c r="M330" s="18" t="str">
        <f aca="false">IF(AND($B330&lt;&gt;"",$B330='Estado de cuenta'!$C$4),COUNTIF($B$2:$B330,'Estado de cuenta'!$C$4),"")</f>
        <v/>
      </c>
    </row>
    <row r="331" customFormat="false" ht="15" hidden="false" customHeight="false" outlineLevel="0" collapsed="false">
      <c r="A331" s="17"/>
      <c r="B331" s="10"/>
      <c r="C331" s="10"/>
      <c r="D331" s="10"/>
      <c r="E331" s="10"/>
      <c r="F331" s="12"/>
      <c r="G331" s="13" t="str">
        <f aca="false">IF(OR($B331="",$F331=""),"",IF(OR($C331="Saldo inicial",$C331="Factura",$C331="Nota de débito"),$F331,0))</f>
        <v/>
      </c>
      <c r="H331" s="13" t="str">
        <f aca="false">IF(OR($B331="",$F331=""),"",IF(OR($C331="Cobro",$C331="Nota de crédito"),$F331,0))</f>
        <v/>
      </c>
      <c r="I331" s="16" t="str">
        <f aca="false">IF(OR($A331="",N($G331)=0),"",$A331+IFERROR(INDEX(Clientes!$F$2:$F$81,MATCH($B331,Clientes!$B$2:$B$81,0)),0))</f>
        <v/>
      </c>
      <c r="J331" s="13" t="str">
        <f aca="false">IF($B331="","",SUMIFS($G$2:$G331,$B$2:$B331,$B331)-SUMIFS($H$2:$H331,$B$2:$B331,$B331))</f>
        <v/>
      </c>
      <c r="K331" s="10"/>
      <c r="L331" s="10"/>
      <c r="M331" s="18" t="str">
        <f aca="false">IF(AND($B331&lt;&gt;"",$B331='Estado de cuenta'!$C$4),COUNTIF($B$2:$B331,'Estado de cuenta'!$C$4),"")</f>
        <v/>
      </c>
    </row>
    <row r="332" customFormat="false" ht="15" hidden="false" customHeight="false" outlineLevel="0" collapsed="false">
      <c r="A332" s="17"/>
      <c r="B332" s="10"/>
      <c r="C332" s="10"/>
      <c r="D332" s="10"/>
      <c r="E332" s="10"/>
      <c r="F332" s="12"/>
      <c r="G332" s="13" t="str">
        <f aca="false">IF(OR($B332="",$F332=""),"",IF(OR($C332="Saldo inicial",$C332="Factura",$C332="Nota de débito"),$F332,0))</f>
        <v/>
      </c>
      <c r="H332" s="13" t="str">
        <f aca="false">IF(OR($B332="",$F332=""),"",IF(OR($C332="Cobro",$C332="Nota de crédito"),$F332,0))</f>
        <v/>
      </c>
      <c r="I332" s="16" t="str">
        <f aca="false">IF(OR($A332="",N($G332)=0),"",$A332+IFERROR(INDEX(Clientes!$F$2:$F$81,MATCH($B332,Clientes!$B$2:$B$81,0)),0))</f>
        <v/>
      </c>
      <c r="J332" s="13" t="str">
        <f aca="false">IF($B332="","",SUMIFS($G$2:$G332,$B$2:$B332,$B332)-SUMIFS($H$2:$H332,$B$2:$B332,$B332))</f>
        <v/>
      </c>
      <c r="K332" s="10"/>
      <c r="L332" s="10"/>
      <c r="M332" s="18" t="str">
        <f aca="false">IF(AND($B332&lt;&gt;"",$B332='Estado de cuenta'!$C$4),COUNTIF($B$2:$B332,'Estado de cuenta'!$C$4),"")</f>
        <v/>
      </c>
    </row>
    <row r="333" customFormat="false" ht="15" hidden="false" customHeight="false" outlineLevel="0" collapsed="false">
      <c r="A333" s="17"/>
      <c r="B333" s="10"/>
      <c r="C333" s="10"/>
      <c r="D333" s="10"/>
      <c r="E333" s="10"/>
      <c r="F333" s="12"/>
      <c r="G333" s="13" t="str">
        <f aca="false">IF(OR($B333="",$F333=""),"",IF(OR($C333="Saldo inicial",$C333="Factura",$C333="Nota de débito"),$F333,0))</f>
        <v/>
      </c>
      <c r="H333" s="13" t="str">
        <f aca="false">IF(OR($B333="",$F333=""),"",IF(OR($C333="Cobro",$C333="Nota de crédito"),$F333,0))</f>
        <v/>
      </c>
      <c r="I333" s="16" t="str">
        <f aca="false">IF(OR($A333="",N($G333)=0),"",$A333+IFERROR(INDEX(Clientes!$F$2:$F$81,MATCH($B333,Clientes!$B$2:$B$81,0)),0))</f>
        <v/>
      </c>
      <c r="J333" s="13" t="str">
        <f aca="false">IF($B333="","",SUMIFS($G$2:$G333,$B$2:$B333,$B333)-SUMIFS($H$2:$H333,$B$2:$B333,$B333))</f>
        <v/>
      </c>
      <c r="K333" s="10"/>
      <c r="L333" s="10"/>
      <c r="M333" s="18" t="str">
        <f aca="false">IF(AND($B333&lt;&gt;"",$B333='Estado de cuenta'!$C$4),COUNTIF($B$2:$B333,'Estado de cuenta'!$C$4),"")</f>
        <v/>
      </c>
    </row>
    <row r="334" customFormat="false" ht="15" hidden="false" customHeight="false" outlineLevel="0" collapsed="false">
      <c r="A334" s="17"/>
      <c r="B334" s="10"/>
      <c r="C334" s="10"/>
      <c r="D334" s="10"/>
      <c r="E334" s="10"/>
      <c r="F334" s="12"/>
      <c r="G334" s="13" t="str">
        <f aca="false">IF(OR($B334="",$F334=""),"",IF(OR($C334="Saldo inicial",$C334="Factura",$C334="Nota de débito"),$F334,0))</f>
        <v/>
      </c>
      <c r="H334" s="13" t="str">
        <f aca="false">IF(OR($B334="",$F334=""),"",IF(OR($C334="Cobro",$C334="Nota de crédito"),$F334,0))</f>
        <v/>
      </c>
      <c r="I334" s="16" t="str">
        <f aca="false">IF(OR($A334="",N($G334)=0),"",$A334+IFERROR(INDEX(Clientes!$F$2:$F$81,MATCH($B334,Clientes!$B$2:$B$81,0)),0))</f>
        <v/>
      </c>
      <c r="J334" s="13" t="str">
        <f aca="false">IF($B334="","",SUMIFS($G$2:$G334,$B$2:$B334,$B334)-SUMIFS($H$2:$H334,$B$2:$B334,$B334))</f>
        <v/>
      </c>
      <c r="K334" s="10"/>
      <c r="L334" s="10"/>
      <c r="M334" s="18" t="str">
        <f aca="false">IF(AND($B334&lt;&gt;"",$B334='Estado de cuenta'!$C$4),COUNTIF($B$2:$B334,'Estado de cuenta'!$C$4),"")</f>
        <v/>
      </c>
    </row>
    <row r="335" customFormat="false" ht="15" hidden="false" customHeight="false" outlineLevel="0" collapsed="false">
      <c r="A335" s="17"/>
      <c r="B335" s="10"/>
      <c r="C335" s="10"/>
      <c r="D335" s="10"/>
      <c r="E335" s="10"/>
      <c r="F335" s="12"/>
      <c r="G335" s="13" t="str">
        <f aca="false">IF(OR($B335="",$F335=""),"",IF(OR($C335="Saldo inicial",$C335="Factura",$C335="Nota de débito"),$F335,0))</f>
        <v/>
      </c>
      <c r="H335" s="13" t="str">
        <f aca="false">IF(OR($B335="",$F335=""),"",IF(OR($C335="Cobro",$C335="Nota de crédito"),$F335,0))</f>
        <v/>
      </c>
      <c r="I335" s="16" t="str">
        <f aca="false">IF(OR($A335="",N($G335)=0),"",$A335+IFERROR(INDEX(Clientes!$F$2:$F$81,MATCH($B335,Clientes!$B$2:$B$81,0)),0))</f>
        <v/>
      </c>
      <c r="J335" s="13" t="str">
        <f aca="false">IF($B335="","",SUMIFS($G$2:$G335,$B$2:$B335,$B335)-SUMIFS($H$2:$H335,$B$2:$B335,$B335))</f>
        <v/>
      </c>
      <c r="K335" s="10"/>
      <c r="L335" s="10"/>
      <c r="M335" s="18" t="str">
        <f aca="false">IF(AND($B335&lt;&gt;"",$B335='Estado de cuenta'!$C$4),COUNTIF($B$2:$B335,'Estado de cuenta'!$C$4),"")</f>
        <v/>
      </c>
    </row>
    <row r="336" customFormat="false" ht="15" hidden="false" customHeight="false" outlineLevel="0" collapsed="false">
      <c r="A336" s="17"/>
      <c r="B336" s="10"/>
      <c r="C336" s="10"/>
      <c r="D336" s="10"/>
      <c r="E336" s="10"/>
      <c r="F336" s="12"/>
      <c r="G336" s="13" t="str">
        <f aca="false">IF(OR($B336="",$F336=""),"",IF(OR($C336="Saldo inicial",$C336="Factura",$C336="Nota de débito"),$F336,0))</f>
        <v/>
      </c>
      <c r="H336" s="13" t="str">
        <f aca="false">IF(OR($B336="",$F336=""),"",IF(OR($C336="Cobro",$C336="Nota de crédito"),$F336,0))</f>
        <v/>
      </c>
      <c r="I336" s="16" t="str">
        <f aca="false">IF(OR($A336="",N($G336)=0),"",$A336+IFERROR(INDEX(Clientes!$F$2:$F$81,MATCH($B336,Clientes!$B$2:$B$81,0)),0))</f>
        <v/>
      </c>
      <c r="J336" s="13" t="str">
        <f aca="false">IF($B336="","",SUMIFS($G$2:$G336,$B$2:$B336,$B336)-SUMIFS($H$2:$H336,$B$2:$B336,$B336))</f>
        <v/>
      </c>
      <c r="K336" s="10"/>
      <c r="L336" s="10"/>
      <c r="M336" s="18" t="str">
        <f aca="false">IF(AND($B336&lt;&gt;"",$B336='Estado de cuenta'!$C$4),COUNTIF($B$2:$B336,'Estado de cuenta'!$C$4),"")</f>
        <v/>
      </c>
    </row>
    <row r="337" customFormat="false" ht="15" hidden="false" customHeight="false" outlineLevel="0" collapsed="false">
      <c r="A337" s="17"/>
      <c r="B337" s="10"/>
      <c r="C337" s="10"/>
      <c r="D337" s="10"/>
      <c r="E337" s="10"/>
      <c r="F337" s="12"/>
      <c r="G337" s="13" t="str">
        <f aca="false">IF(OR($B337="",$F337=""),"",IF(OR($C337="Saldo inicial",$C337="Factura",$C337="Nota de débito"),$F337,0))</f>
        <v/>
      </c>
      <c r="H337" s="13" t="str">
        <f aca="false">IF(OR($B337="",$F337=""),"",IF(OR($C337="Cobro",$C337="Nota de crédito"),$F337,0))</f>
        <v/>
      </c>
      <c r="I337" s="16" t="str">
        <f aca="false">IF(OR($A337="",N($G337)=0),"",$A337+IFERROR(INDEX(Clientes!$F$2:$F$81,MATCH($B337,Clientes!$B$2:$B$81,0)),0))</f>
        <v/>
      </c>
      <c r="J337" s="13" t="str">
        <f aca="false">IF($B337="","",SUMIFS($G$2:$G337,$B$2:$B337,$B337)-SUMIFS($H$2:$H337,$B$2:$B337,$B337))</f>
        <v/>
      </c>
      <c r="K337" s="10"/>
      <c r="L337" s="10"/>
      <c r="M337" s="18" t="str">
        <f aca="false">IF(AND($B337&lt;&gt;"",$B337='Estado de cuenta'!$C$4),COUNTIF($B$2:$B337,'Estado de cuenta'!$C$4),"")</f>
        <v/>
      </c>
    </row>
    <row r="338" customFormat="false" ht="15" hidden="false" customHeight="false" outlineLevel="0" collapsed="false">
      <c r="A338" s="17"/>
      <c r="B338" s="10"/>
      <c r="C338" s="10"/>
      <c r="D338" s="10"/>
      <c r="E338" s="10"/>
      <c r="F338" s="12"/>
      <c r="G338" s="13" t="str">
        <f aca="false">IF(OR($B338="",$F338=""),"",IF(OR($C338="Saldo inicial",$C338="Factura",$C338="Nota de débito"),$F338,0))</f>
        <v/>
      </c>
      <c r="H338" s="13" t="str">
        <f aca="false">IF(OR($B338="",$F338=""),"",IF(OR($C338="Cobro",$C338="Nota de crédito"),$F338,0))</f>
        <v/>
      </c>
      <c r="I338" s="16" t="str">
        <f aca="false">IF(OR($A338="",N($G338)=0),"",$A338+IFERROR(INDEX(Clientes!$F$2:$F$81,MATCH($B338,Clientes!$B$2:$B$81,0)),0))</f>
        <v/>
      </c>
      <c r="J338" s="13" t="str">
        <f aca="false">IF($B338="","",SUMIFS($G$2:$G338,$B$2:$B338,$B338)-SUMIFS($H$2:$H338,$B$2:$B338,$B338))</f>
        <v/>
      </c>
      <c r="K338" s="10"/>
      <c r="L338" s="10"/>
      <c r="M338" s="18" t="str">
        <f aca="false">IF(AND($B338&lt;&gt;"",$B338='Estado de cuenta'!$C$4),COUNTIF($B$2:$B338,'Estado de cuenta'!$C$4),"")</f>
        <v/>
      </c>
    </row>
    <row r="339" customFormat="false" ht="15" hidden="false" customHeight="false" outlineLevel="0" collapsed="false">
      <c r="A339" s="17"/>
      <c r="B339" s="10"/>
      <c r="C339" s="10"/>
      <c r="D339" s="10"/>
      <c r="E339" s="10"/>
      <c r="F339" s="12"/>
      <c r="G339" s="13" t="str">
        <f aca="false">IF(OR($B339="",$F339=""),"",IF(OR($C339="Saldo inicial",$C339="Factura",$C339="Nota de débito"),$F339,0))</f>
        <v/>
      </c>
      <c r="H339" s="13" t="str">
        <f aca="false">IF(OR($B339="",$F339=""),"",IF(OR($C339="Cobro",$C339="Nota de crédito"),$F339,0))</f>
        <v/>
      </c>
      <c r="I339" s="16" t="str">
        <f aca="false">IF(OR($A339="",N($G339)=0),"",$A339+IFERROR(INDEX(Clientes!$F$2:$F$81,MATCH($B339,Clientes!$B$2:$B$81,0)),0))</f>
        <v/>
      </c>
      <c r="J339" s="13" t="str">
        <f aca="false">IF($B339="","",SUMIFS($G$2:$G339,$B$2:$B339,$B339)-SUMIFS($H$2:$H339,$B$2:$B339,$B339))</f>
        <v/>
      </c>
      <c r="K339" s="10"/>
      <c r="L339" s="10"/>
      <c r="M339" s="18" t="str">
        <f aca="false">IF(AND($B339&lt;&gt;"",$B339='Estado de cuenta'!$C$4),COUNTIF($B$2:$B339,'Estado de cuenta'!$C$4),"")</f>
        <v/>
      </c>
    </row>
    <row r="340" customFormat="false" ht="15" hidden="false" customHeight="false" outlineLevel="0" collapsed="false">
      <c r="A340" s="17"/>
      <c r="B340" s="10"/>
      <c r="C340" s="10"/>
      <c r="D340" s="10"/>
      <c r="E340" s="10"/>
      <c r="F340" s="12"/>
      <c r="G340" s="13" t="str">
        <f aca="false">IF(OR($B340="",$F340=""),"",IF(OR($C340="Saldo inicial",$C340="Factura",$C340="Nota de débito"),$F340,0))</f>
        <v/>
      </c>
      <c r="H340" s="13" t="str">
        <f aca="false">IF(OR($B340="",$F340=""),"",IF(OR($C340="Cobro",$C340="Nota de crédito"),$F340,0))</f>
        <v/>
      </c>
      <c r="I340" s="16" t="str">
        <f aca="false">IF(OR($A340="",N($G340)=0),"",$A340+IFERROR(INDEX(Clientes!$F$2:$F$81,MATCH($B340,Clientes!$B$2:$B$81,0)),0))</f>
        <v/>
      </c>
      <c r="J340" s="13" t="str">
        <f aca="false">IF($B340="","",SUMIFS($G$2:$G340,$B$2:$B340,$B340)-SUMIFS($H$2:$H340,$B$2:$B340,$B340))</f>
        <v/>
      </c>
      <c r="K340" s="10"/>
      <c r="L340" s="10"/>
      <c r="M340" s="18" t="str">
        <f aca="false">IF(AND($B340&lt;&gt;"",$B340='Estado de cuenta'!$C$4),COUNTIF($B$2:$B340,'Estado de cuenta'!$C$4),"")</f>
        <v/>
      </c>
    </row>
    <row r="341" customFormat="false" ht="15" hidden="false" customHeight="false" outlineLevel="0" collapsed="false">
      <c r="A341" s="17"/>
      <c r="B341" s="10"/>
      <c r="C341" s="10"/>
      <c r="D341" s="10"/>
      <c r="E341" s="10"/>
      <c r="F341" s="12"/>
      <c r="G341" s="13" t="str">
        <f aca="false">IF(OR($B341="",$F341=""),"",IF(OR($C341="Saldo inicial",$C341="Factura",$C341="Nota de débito"),$F341,0))</f>
        <v/>
      </c>
      <c r="H341" s="13" t="str">
        <f aca="false">IF(OR($B341="",$F341=""),"",IF(OR($C341="Cobro",$C341="Nota de crédito"),$F341,0))</f>
        <v/>
      </c>
      <c r="I341" s="16" t="str">
        <f aca="false">IF(OR($A341="",N($G341)=0),"",$A341+IFERROR(INDEX(Clientes!$F$2:$F$81,MATCH($B341,Clientes!$B$2:$B$81,0)),0))</f>
        <v/>
      </c>
      <c r="J341" s="13" t="str">
        <f aca="false">IF($B341="","",SUMIFS($G$2:$G341,$B$2:$B341,$B341)-SUMIFS($H$2:$H341,$B$2:$B341,$B341))</f>
        <v/>
      </c>
      <c r="K341" s="10"/>
      <c r="L341" s="10"/>
      <c r="M341" s="18" t="str">
        <f aca="false">IF(AND($B341&lt;&gt;"",$B341='Estado de cuenta'!$C$4),COUNTIF($B$2:$B341,'Estado de cuenta'!$C$4),"")</f>
        <v/>
      </c>
    </row>
    <row r="342" customFormat="false" ht="15" hidden="false" customHeight="false" outlineLevel="0" collapsed="false">
      <c r="A342" s="17"/>
      <c r="B342" s="10"/>
      <c r="C342" s="10"/>
      <c r="D342" s="10"/>
      <c r="E342" s="10"/>
      <c r="F342" s="12"/>
      <c r="G342" s="13" t="str">
        <f aca="false">IF(OR($B342="",$F342=""),"",IF(OR($C342="Saldo inicial",$C342="Factura",$C342="Nota de débito"),$F342,0))</f>
        <v/>
      </c>
      <c r="H342" s="13" t="str">
        <f aca="false">IF(OR($B342="",$F342=""),"",IF(OR($C342="Cobro",$C342="Nota de crédito"),$F342,0))</f>
        <v/>
      </c>
      <c r="I342" s="16" t="str">
        <f aca="false">IF(OR($A342="",N($G342)=0),"",$A342+IFERROR(INDEX(Clientes!$F$2:$F$81,MATCH($B342,Clientes!$B$2:$B$81,0)),0))</f>
        <v/>
      </c>
      <c r="J342" s="13" t="str">
        <f aca="false">IF($B342="","",SUMIFS($G$2:$G342,$B$2:$B342,$B342)-SUMIFS($H$2:$H342,$B$2:$B342,$B342))</f>
        <v/>
      </c>
      <c r="K342" s="10"/>
      <c r="L342" s="10"/>
      <c r="M342" s="18" t="str">
        <f aca="false">IF(AND($B342&lt;&gt;"",$B342='Estado de cuenta'!$C$4),COUNTIF($B$2:$B342,'Estado de cuenta'!$C$4),"")</f>
        <v/>
      </c>
    </row>
    <row r="343" customFormat="false" ht="15" hidden="false" customHeight="false" outlineLevel="0" collapsed="false">
      <c r="A343" s="17"/>
      <c r="B343" s="10"/>
      <c r="C343" s="10"/>
      <c r="D343" s="10"/>
      <c r="E343" s="10"/>
      <c r="F343" s="12"/>
      <c r="G343" s="13" t="str">
        <f aca="false">IF(OR($B343="",$F343=""),"",IF(OR($C343="Saldo inicial",$C343="Factura",$C343="Nota de débito"),$F343,0))</f>
        <v/>
      </c>
      <c r="H343" s="13" t="str">
        <f aca="false">IF(OR($B343="",$F343=""),"",IF(OR($C343="Cobro",$C343="Nota de crédito"),$F343,0))</f>
        <v/>
      </c>
      <c r="I343" s="16" t="str">
        <f aca="false">IF(OR($A343="",N($G343)=0),"",$A343+IFERROR(INDEX(Clientes!$F$2:$F$81,MATCH($B343,Clientes!$B$2:$B$81,0)),0))</f>
        <v/>
      </c>
      <c r="J343" s="13" t="str">
        <f aca="false">IF($B343="","",SUMIFS($G$2:$G343,$B$2:$B343,$B343)-SUMIFS($H$2:$H343,$B$2:$B343,$B343))</f>
        <v/>
      </c>
      <c r="K343" s="10"/>
      <c r="L343" s="10"/>
      <c r="M343" s="18" t="str">
        <f aca="false">IF(AND($B343&lt;&gt;"",$B343='Estado de cuenta'!$C$4),COUNTIF($B$2:$B343,'Estado de cuenta'!$C$4),"")</f>
        <v/>
      </c>
    </row>
    <row r="344" customFormat="false" ht="15" hidden="false" customHeight="false" outlineLevel="0" collapsed="false">
      <c r="A344" s="17"/>
      <c r="B344" s="10"/>
      <c r="C344" s="10"/>
      <c r="D344" s="10"/>
      <c r="E344" s="10"/>
      <c r="F344" s="12"/>
      <c r="G344" s="13" t="str">
        <f aca="false">IF(OR($B344="",$F344=""),"",IF(OR($C344="Saldo inicial",$C344="Factura",$C344="Nota de débito"),$F344,0))</f>
        <v/>
      </c>
      <c r="H344" s="13" t="str">
        <f aca="false">IF(OR($B344="",$F344=""),"",IF(OR($C344="Cobro",$C344="Nota de crédito"),$F344,0))</f>
        <v/>
      </c>
      <c r="I344" s="16" t="str">
        <f aca="false">IF(OR($A344="",N($G344)=0),"",$A344+IFERROR(INDEX(Clientes!$F$2:$F$81,MATCH($B344,Clientes!$B$2:$B$81,0)),0))</f>
        <v/>
      </c>
      <c r="J344" s="13" t="str">
        <f aca="false">IF($B344="","",SUMIFS($G$2:$G344,$B$2:$B344,$B344)-SUMIFS($H$2:$H344,$B$2:$B344,$B344))</f>
        <v/>
      </c>
      <c r="K344" s="10"/>
      <c r="L344" s="10"/>
      <c r="M344" s="18" t="str">
        <f aca="false">IF(AND($B344&lt;&gt;"",$B344='Estado de cuenta'!$C$4),COUNTIF($B$2:$B344,'Estado de cuenta'!$C$4),"")</f>
        <v/>
      </c>
    </row>
    <row r="345" customFormat="false" ht="15" hidden="false" customHeight="false" outlineLevel="0" collapsed="false">
      <c r="A345" s="17"/>
      <c r="B345" s="10"/>
      <c r="C345" s="10"/>
      <c r="D345" s="10"/>
      <c r="E345" s="10"/>
      <c r="F345" s="12"/>
      <c r="G345" s="13" t="str">
        <f aca="false">IF(OR($B345="",$F345=""),"",IF(OR($C345="Saldo inicial",$C345="Factura",$C345="Nota de débito"),$F345,0))</f>
        <v/>
      </c>
      <c r="H345" s="13" t="str">
        <f aca="false">IF(OR($B345="",$F345=""),"",IF(OR($C345="Cobro",$C345="Nota de crédito"),$F345,0))</f>
        <v/>
      </c>
      <c r="I345" s="16" t="str">
        <f aca="false">IF(OR($A345="",N($G345)=0),"",$A345+IFERROR(INDEX(Clientes!$F$2:$F$81,MATCH($B345,Clientes!$B$2:$B$81,0)),0))</f>
        <v/>
      </c>
      <c r="J345" s="13" t="str">
        <f aca="false">IF($B345="","",SUMIFS($G$2:$G345,$B$2:$B345,$B345)-SUMIFS($H$2:$H345,$B$2:$B345,$B345))</f>
        <v/>
      </c>
      <c r="K345" s="10"/>
      <c r="L345" s="10"/>
      <c r="M345" s="18" t="str">
        <f aca="false">IF(AND($B345&lt;&gt;"",$B345='Estado de cuenta'!$C$4),COUNTIF($B$2:$B345,'Estado de cuenta'!$C$4),"")</f>
        <v/>
      </c>
    </row>
    <row r="346" customFormat="false" ht="15" hidden="false" customHeight="false" outlineLevel="0" collapsed="false">
      <c r="A346" s="17"/>
      <c r="B346" s="10"/>
      <c r="C346" s="10"/>
      <c r="D346" s="10"/>
      <c r="E346" s="10"/>
      <c r="F346" s="12"/>
      <c r="G346" s="13" t="str">
        <f aca="false">IF(OR($B346="",$F346=""),"",IF(OR($C346="Saldo inicial",$C346="Factura",$C346="Nota de débito"),$F346,0))</f>
        <v/>
      </c>
      <c r="H346" s="13" t="str">
        <f aca="false">IF(OR($B346="",$F346=""),"",IF(OR($C346="Cobro",$C346="Nota de crédito"),$F346,0))</f>
        <v/>
      </c>
      <c r="I346" s="16" t="str">
        <f aca="false">IF(OR($A346="",N($G346)=0),"",$A346+IFERROR(INDEX(Clientes!$F$2:$F$81,MATCH($B346,Clientes!$B$2:$B$81,0)),0))</f>
        <v/>
      </c>
      <c r="J346" s="13" t="str">
        <f aca="false">IF($B346="","",SUMIFS($G$2:$G346,$B$2:$B346,$B346)-SUMIFS($H$2:$H346,$B$2:$B346,$B346))</f>
        <v/>
      </c>
      <c r="K346" s="10"/>
      <c r="L346" s="10"/>
      <c r="M346" s="18" t="str">
        <f aca="false">IF(AND($B346&lt;&gt;"",$B346='Estado de cuenta'!$C$4),COUNTIF($B$2:$B346,'Estado de cuenta'!$C$4),"")</f>
        <v/>
      </c>
    </row>
    <row r="347" customFormat="false" ht="15" hidden="false" customHeight="false" outlineLevel="0" collapsed="false">
      <c r="A347" s="17"/>
      <c r="B347" s="10"/>
      <c r="C347" s="10"/>
      <c r="D347" s="10"/>
      <c r="E347" s="10"/>
      <c r="F347" s="12"/>
      <c r="G347" s="13" t="str">
        <f aca="false">IF(OR($B347="",$F347=""),"",IF(OR($C347="Saldo inicial",$C347="Factura",$C347="Nota de débito"),$F347,0))</f>
        <v/>
      </c>
      <c r="H347" s="13" t="str">
        <f aca="false">IF(OR($B347="",$F347=""),"",IF(OR($C347="Cobro",$C347="Nota de crédito"),$F347,0))</f>
        <v/>
      </c>
      <c r="I347" s="16" t="str">
        <f aca="false">IF(OR($A347="",N($G347)=0),"",$A347+IFERROR(INDEX(Clientes!$F$2:$F$81,MATCH($B347,Clientes!$B$2:$B$81,0)),0))</f>
        <v/>
      </c>
      <c r="J347" s="13" t="str">
        <f aca="false">IF($B347="","",SUMIFS($G$2:$G347,$B$2:$B347,$B347)-SUMIFS($H$2:$H347,$B$2:$B347,$B347))</f>
        <v/>
      </c>
      <c r="K347" s="10"/>
      <c r="L347" s="10"/>
      <c r="M347" s="18" t="str">
        <f aca="false">IF(AND($B347&lt;&gt;"",$B347='Estado de cuenta'!$C$4),COUNTIF($B$2:$B347,'Estado de cuenta'!$C$4),"")</f>
        <v/>
      </c>
    </row>
    <row r="348" customFormat="false" ht="15" hidden="false" customHeight="false" outlineLevel="0" collapsed="false">
      <c r="A348" s="17"/>
      <c r="B348" s="10"/>
      <c r="C348" s="10"/>
      <c r="D348" s="10"/>
      <c r="E348" s="10"/>
      <c r="F348" s="12"/>
      <c r="G348" s="13" t="str">
        <f aca="false">IF(OR($B348="",$F348=""),"",IF(OR($C348="Saldo inicial",$C348="Factura",$C348="Nota de débito"),$F348,0))</f>
        <v/>
      </c>
      <c r="H348" s="13" t="str">
        <f aca="false">IF(OR($B348="",$F348=""),"",IF(OR($C348="Cobro",$C348="Nota de crédito"),$F348,0))</f>
        <v/>
      </c>
      <c r="I348" s="16" t="str">
        <f aca="false">IF(OR($A348="",N($G348)=0),"",$A348+IFERROR(INDEX(Clientes!$F$2:$F$81,MATCH($B348,Clientes!$B$2:$B$81,0)),0))</f>
        <v/>
      </c>
      <c r="J348" s="13" t="str">
        <f aca="false">IF($B348="","",SUMIFS($G$2:$G348,$B$2:$B348,$B348)-SUMIFS($H$2:$H348,$B$2:$B348,$B348))</f>
        <v/>
      </c>
      <c r="K348" s="10"/>
      <c r="L348" s="10"/>
      <c r="M348" s="18" t="str">
        <f aca="false">IF(AND($B348&lt;&gt;"",$B348='Estado de cuenta'!$C$4),COUNTIF($B$2:$B348,'Estado de cuenta'!$C$4),"")</f>
        <v/>
      </c>
    </row>
    <row r="349" customFormat="false" ht="15" hidden="false" customHeight="false" outlineLevel="0" collapsed="false">
      <c r="A349" s="17"/>
      <c r="B349" s="10"/>
      <c r="C349" s="10"/>
      <c r="D349" s="10"/>
      <c r="E349" s="10"/>
      <c r="F349" s="12"/>
      <c r="G349" s="13" t="str">
        <f aca="false">IF(OR($B349="",$F349=""),"",IF(OR($C349="Saldo inicial",$C349="Factura",$C349="Nota de débito"),$F349,0))</f>
        <v/>
      </c>
      <c r="H349" s="13" t="str">
        <f aca="false">IF(OR($B349="",$F349=""),"",IF(OR($C349="Cobro",$C349="Nota de crédito"),$F349,0))</f>
        <v/>
      </c>
      <c r="I349" s="16" t="str">
        <f aca="false">IF(OR($A349="",N($G349)=0),"",$A349+IFERROR(INDEX(Clientes!$F$2:$F$81,MATCH($B349,Clientes!$B$2:$B$81,0)),0))</f>
        <v/>
      </c>
      <c r="J349" s="13" t="str">
        <f aca="false">IF($B349="","",SUMIFS($G$2:$G349,$B$2:$B349,$B349)-SUMIFS($H$2:$H349,$B$2:$B349,$B349))</f>
        <v/>
      </c>
      <c r="K349" s="10"/>
      <c r="L349" s="10"/>
      <c r="M349" s="18" t="str">
        <f aca="false">IF(AND($B349&lt;&gt;"",$B349='Estado de cuenta'!$C$4),COUNTIF($B$2:$B349,'Estado de cuenta'!$C$4),"")</f>
        <v/>
      </c>
    </row>
    <row r="350" customFormat="false" ht="15" hidden="false" customHeight="false" outlineLevel="0" collapsed="false">
      <c r="A350" s="17"/>
      <c r="B350" s="10"/>
      <c r="C350" s="10"/>
      <c r="D350" s="10"/>
      <c r="E350" s="10"/>
      <c r="F350" s="12"/>
      <c r="G350" s="13" t="str">
        <f aca="false">IF(OR($B350="",$F350=""),"",IF(OR($C350="Saldo inicial",$C350="Factura",$C350="Nota de débito"),$F350,0))</f>
        <v/>
      </c>
      <c r="H350" s="13" t="str">
        <f aca="false">IF(OR($B350="",$F350=""),"",IF(OR($C350="Cobro",$C350="Nota de crédito"),$F350,0))</f>
        <v/>
      </c>
      <c r="I350" s="16" t="str">
        <f aca="false">IF(OR($A350="",N($G350)=0),"",$A350+IFERROR(INDEX(Clientes!$F$2:$F$81,MATCH($B350,Clientes!$B$2:$B$81,0)),0))</f>
        <v/>
      </c>
      <c r="J350" s="13" t="str">
        <f aca="false">IF($B350="","",SUMIFS($G$2:$G350,$B$2:$B350,$B350)-SUMIFS($H$2:$H350,$B$2:$B350,$B350))</f>
        <v/>
      </c>
      <c r="K350" s="10"/>
      <c r="L350" s="10"/>
      <c r="M350" s="18" t="str">
        <f aca="false">IF(AND($B350&lt;&gt;"",$B350='Estado de cuenta'!$C$4),COUNTIF($B$2:$B350,'Estado de cuenta'!$C$4),"")</f>
        <v/>
      </c>
    </row>
    <row r="351" customFormat="false" ht="15" hidden="false" customHeight="false" outlineLevel="0" collapsed="false">
      <c r="A351" s="17"/>
      <c r="B351" s="10"/>
      <c r="C351" s="10"/>
      <c r="D351" s="10"/>
      <c r="E351" s="10"/>
      <c r="F351" s="12"/>
      <c r="G351" s="13" t="str">
        <f aca="false">IF(OR($B351="",$F351=""),"",IF(OR($C351="Saldo inicial",$C351="Factura",$C351="Nota de débito"),$F351,0))</f>
        <v/>
      </c>
      <c r="H351" s="13" t="str">
        <f aca="false">IF(OR($B351="",$F351=""),"",IF(OR($C351="Cobro",$C351="Nota de crédito"),$F351,0))</f>
        <v/>
      </c>
      <c r="I351" s="16" t="str">
        <f aca="false">IF(OR($A351="",N($G351)=0),"",$A351+IFERROR(INDEX(Clientes!$F$2:$F$81,MATCH($B351,Clientes!$B$2:$B$81,0)),0))</f>
        <v/>
      </c>
      <c r="J351" s="13" t="str">
        <f aca="false">IF($B351="","",SUMIFS($G$2:$G351,$B$2:$B351,$B351)-SUMIFS($H$2:$H351,$B$2:$B351,$B351))</f>
        <v/>
      </c>
      <c r="K351" s="10"/>
      <c r="L351" s="10"/>
      <c r="M351" s="18" t="str">
        <f aca="false">IF(AND($B351&lt;&gt;"",$B351='Estado de cuenta'!$C$4),COUNTIF($B$2:$B351,'Estado de cuenta'!$C$4),"")</f>
        <v/>
      </c>
    </row>
    <row r="352" customFormat="false" ht="15" hidden="false" customHeight="false" outlineLevel="0" collapsed="false">
      <c r="A352" s="17"/>
      <c r="B352" s="10"/>
      <c r="C352" s="10"/>
      <c r="D352" s="10"/>
      <c r="E352" s="10"/>
      <c r="F352" s="12"/>
      <c r="G352" s="13" t="str">
        <f aca="false">IF(OR($B352="",$F352=""),"",IF(OR($C352="Saldo inicial",$C352="Factura",$C352="Nota de débito"),$F352,0))</f>
        <v/>
      </c>
      <c r="H352" s="13" t="str">
        <f aca="false">IF(OR($B352="",$F352=""),"",IF(OR($C352="Cobro",$C352="Nota de crédito"),$F352,0))</f>
        <v/>
      </c>
      <c r="I352" s="16" t="str">
        <f aca="false">IF(OR($A352="",N($G352)=0),"",$A352+IFERROR(INDEX(Clientes!$F$2:$F$81,MATCH($B352,Clientes!$B$2:$B$81,0)),0))</f>
        <v/>
      </c>
      <c r="J352" s="13" t="str">
        <f aca="false">IF($B352="","",SUMIFS($G$2:$G352,$B$2:$B352,$B352)-SUMIFS($H$2:$H352,$B$2:$B352,$B352))</f>
        <v/>
      </c>
      <c r="K352" s="10"/>
      <c r="L352" s="10"/>
      <c r="M352" s="18" t="str">
        <f aca="false">IF(AND($B352&lt;&gt;"",$B352='Estado de cuenta'!$C$4),COUNTIF($B$2:$B352,'Estado de cuenta'!$C$4),"")</f>
        <v/>
      </c>
    </row>
    <row r="353" customFormat="false" ht="15" hidden="false" customHeight="false" outlineLevel="0" collapsed="false">
      <c r="A353" s="17"/>
      <c r="B353" s="10"/>
      <c r="C353" s="10"/>
      <c r="D353" s="10"/>
      <c r="E353" s="10"/>
      <c r="F353" s="12"/>
      <c r="G353" s="13" t="str">
        <f aca="false">IF(OR($B353="",$F353=""),"",IF(OR($C353="Saldo inicial",$C353="Factura",$C353="Nota de débito"),$F353,0))</f>
        <v/>
      </c>
      <c r="H353" s="13" t="str">
        <f aca="false">IF(OR($B353="",$F353=""),"",IF(OR($C353="Cobro",$C353="Nota de crédito"),$F353,0))</f>
        <v/>
      </c>
      <c r="I353" s="16" t="str">
        <f aca="false">IF(OR($A353="",N($G353)=0),"",$A353+IFERROR(INDEX(Clientes!$F$2:$F$81,MATCH($B353,Clientes!$B$2:$B$81,0)),0))</f>
        <v/>
      </c>
      <c r="J353" s="13" t="str">
        <f aca="false">IF($B353="","",SUMIFS($G$2:$G353,$B$2:$B353,$B353)-SUMIFS($H$2:$H353,$B$2:$B353,$B353))</f>
        <v/>
      </c>
      <c r="K353" s="10"/>
      <c r="L353" s="10"/>
      <c r="M353" s="18" t="str">
        <f aca="false">IF(AND($B353&lt;&gt;"",$B353='Estado de cuenta'!$C$4),COUNTIF($B$2:$B353,'Estado de cuenta'!$C$4),"")</f>
        <v/>
      </c>
    </row>
    <row r="354" customFormat="false" ht="15" hidden="false" customHeight="false" outlineLevel="0" collapsed="false">
      <c r="A354" s="17"/>
      <c r="B354" s="10"/>
      <c r="C354" s="10"/>
      <c r="D354" s="10"/>
      <c r="E354" s="10"/>
      <c r="F354" s="12"/>
      <c r="G354" s="13" t="str">
        <f aca="false">IF(OR($B354="",$F354=""),"",IF(OR($C354="Saldo inicial",$C354="Factura",$C354="Nota de débito"),$F354,0))</f>
        <v/>
      </c>
      <c r="H354" s="13" t="str">
        <f aca="false">IF(OR($B354="",$F354=""),"",IF(OR($C354="Cobro",$C354="Nota de crédito"),$F354,0))</f>
        <v/>
      </c>
      <c r="I354" s="16" t="str">
        <f aca="false">IF(OR($A354="",N($G354)=0),"",$A354+IFERROR(INDEX(Clientes!$F$2:$F$81,MATCH($B354,Clientes!$B$2:$B$81,0)),0))</f>
        <v/>
      </c>
      <c r="J354" s="13" t="str">
        <f aca="false">IF($B354="","",SUMIFS($G$2:$G354,$B$2:$B354,$B354)-SUMIFS($H$2:$H354,$B$2:$B354,$B354))</f>
        <v/>
      </c>
      <c r="K354" s="10"/>
      <c r="L354" s="10"/>
      <c r="M354" s="18" t="str">
        <f aca="false">IF(AND($B354&lt;&gt;"",$B354='Estado de cuenta'!$C$4),COUNTIF($B$2:$B354,'Estado de cuenta'!$C$4),"")</f>
        <v/>
      </c>
    </row>
    <row r="355" customFormat="false" ht="15" hidden="false" customHeight="false" outlineLevel="0" collapsed="false">
      <c r="A355" s="17"/>
      <c r="B355" s="10"/>
      <c r="C355" s="10"/>
      <c r="D355" s="10"/>
      <c r="E355" s="10"/>
      <c r="F355" s="12"/>
      <c r="G355" s="13" t="str">
        <f aca="false">IF(OR($B355="",$F355=""),"",IF(OR($C355="Saldo inicial",$C355="Factura",$C355="Nota de débito"),$F355,0))</f>
        <v/>
      </c>
      <c r="H355" s="13" t="str">
        <f aca="false">IF(OR($B355="",$F355=""),"",IF(OR($C355="Cobro",$C355="Nota de crédito"),$F355,0))</f>
        <v/>
      </c>
      <c r="I355" s="16" t="str">
        <f aca="false">IF(OR($A355="",N($G355)=0),"",$A355+IFERROR(INDEX(Clientes!$F$2:$F$81,MATCH($B355,Clientes!$B$2:$B$81,0)),0))</f>
        <v/>
      </c>
      <c r="J355" s="13" t="str">
        <f aca="false">IF($B355="","",SUMIFS($G$2:$G355,$B$2:$B355,$B355)-SUMIFS($H$2:$H355,$B$2:$B355,$B355))</f>
        <v/>
      </c>
      <c r="K355" s="10"/>
      <c r="L355" s="10"/>
      <c r="M355" s="18" t="str">
        <f aca="false">IF(AND($B355&lt;&gt;"",$B355='Estado de cuenta'!$C$4),COUNTIF($B$2:$B355,'Estado de cuenta'!$C$4),"")</f>
        <v/>
      </c>
    </row>
    <row r="356" customFormat="false" ht="15" hidden="false" customHeight="false" outlineLevel="0" collapsed="false">
      <c r="A356" s="17"/>
      <c r="B356" s="10"/>
      <c r="C356" s="10"/>
      <c r="D356" s="10"/>
      <c r="E356" s="10"/>
      <c r="F356" s="12"/>
      <c r="G356" s="13" t="str">
        <f aca="false">IF(OR($B356="",$F356=""),"",IF(OR($C356="Saldo inicial",$C356="Factura",$C356="Nota de débito"),$F356,0))</f>
        <v/>
      </c>
      <c r="H356" s="13" t="str">
        <f aca="false">IF(OR($B356="",$F356=""),"",IF(OR($C356="Cobro",$C356="Nota de crédito"),$F356,0))</f>
        <v/>
      </c>
      <c r="I356" s="16" t="str">
        <f aca="false">IF(OR($A356="",N($G356)=0),"",$A356+IFERROR(INDEX(Clientes!$F$2:$F$81,MATCH($B356,Clientes!$B$2:$B$81,0)),0))</f>
        <v/>
      </c>
      <c r="J356" s="13" t="str">
        <f aca="false">IF($B356="","",SUMIFS($G$2:$G356,$B$2:$B356,$B356)-SUMIFS($H$2:$H356,$B$2:$B356,$B356))</f>
        <v/>
      </c>
      <c r="K356" s="10"/>
      <c r="L356" s="10"/>
      <c r="M356" s="18" t="str">
        <f aca="false">IF(AND($B356&lt;&gt;"",$B356='Estado de cuenta'!$C$4),COUNTIF($B$2:$B356,'Estado de cuenta'!$C$4),"")</f>
        <v/>
      </c>
    </row>
    <row r="357" customFormat="false" ht="15" hidden="false" customHeight="false" outlineLevel="0" collapsed="false">
      <c r="A357" s="17"/>
      <c r="B357" s="10"/>
      <c r="C357" s="10"/>
      <c r="D357" s="10"/>
      <c r="E357" s="10"/>
      <c r="F357" s="12"/>
      <c r="G357" s="13" t="str">
        <f aca="false">IF(OR($B357="",$F357=""),"",IF(OR($C357="Saldo inicial",$C357="Factura",$C357="Nota de débito"),$F357,0))</f>
        <v/>
      </c>
      <c r="H357" s="13" t="str">
        <f aca="false">IF(OR($B357="",$F357=""),"",IF(OR($C357="Cobro",$C357="Nota de crédito"),$F357,0))</f>
        <v/>
      </c>
      <c r="I357" s="16" t="str">
        <f aca="false">IF(OR($A357="",N($G357)=0),"",$A357+IFERROR(INDEX(Clientes!$F$2:$F$81,MATCH($B357,Clientes!$B$2:$B$81,0)),0))</f>
        <v/>
      </c>
      <c r="J357" s="13" t="str">
        <f aca="false">IF($B357="","",SUMIFS($G$2:$G357,$B$2:$B357,$B357)-SUMIFS($H$2:$H357,$B$2:$B357,$B357))</f>
        <v/>
      </c>
      <c r="K357" s="10"/>
      <c r="L357" s="10"/>
      <c r="M357" s="18" t="str">
        <f aca="false">IF(AND($B357&lt;&gt;"",$B357='Estado de cuenta'!$C$4),COUNTIF($B$2:$B357,'Estado de cuenta'!$C$4),"")</f>
        <v/>
      </c>
    </row>
    <row r="358" customFormat="false" ht="15" hidden="false" customHeight="false" outlineLevel="0" collapsed="false">
      <c r="A358" s="17"/>
      <c r="B358" s="10"/>
      <c r="C358" s="10"/>
      <c r="D358" s="10"/>
      <c r="E358" s="10"/>
      <c r="F358" s="12"/>
      <c r="G358" s="13" t="str">
        <f aca="false">IF(OR($B358="",$F358=""),"",IF(OR($C358="Saldo inicial",$C358="Factura",$C358="Nota de débito"),$F358,0))</f>
        <v/>
      </c>
      <c r="H358" s="13" t="str">
        <f aca="false">IF(OR($B358="",$F358=""),"",IF(OR($C358="Cobro",$C358="Nota de crédito"),$F358,0))</f>
        <v/>
      </c>
      <c r="I358" s="16" t="str">
        <f aca="false">IF(OR($A358="",N($G358)=0),"",$A358+IFERROR(INDEX(Clientes!$F$2:$F$81,MATCH($B358,Clientes!$B$2:$B$81,0)),0))</f>
        <v/>
      </c>
      <c r="J358" s="13" t="str">
        <f aca="false">IF($B358="","",SUMIFS($G$2:$G358,$B$2:$B358,$B358)-SUMIFS($H$2:$H358,$B$2:$B358,$B358))</f>
        <v/>
      </c>
      <c r="K358" s="10"/>
      <c r="L358" s="10"/>
      <c r="M358" s="18" t="str">
        <f aca="false">IF(AND($B358&lt;&gt;"",$B358='Estado de cuenta'!$C$4),COUNTIF($B$2:$B358,'Estado de cuenta'!$C$4),"")</f>
        <v/>
      </c>
    </row>
    <row r="359" customFormat="false" ht="15" hidden="false" customHeight="false" outlineLevel="0" collapsed="false">
      <c r="A359" s="17"/>
      <c r="B359" s="10"/>
      <c r="C359" s="10"/>
      <c r="D359" s="10"/>
      <c r="E359" s="10"/>
      <c r="F359" s="12"/>
      <c r="G359" s="13" t="str">
        <f aca="false">IF(OR($B359="",$F359=""),"",IF(OR($C359="Saldo inicial",$C359="Factura",$C359="Nota de débito"),$F359,0))</f>
        <v/>
      </c>
      <c r="H359" s="13" t="str">
        <f aca="false">IF(OR($B359="",$F359=""),"",IF(OR($C359="Cobro",$C359="Nota de crédito"),$F359,0))</f>
        <v/>
      </c>
      <c r="I359" s="16" t="str">
        <f aca="false">IF(OR($A359="",N($G359)=0),"",$A359+IFERROR(INDEX(Clientes!$F$2:$F$81,MATCH($B359,Clientes!$B$2:$B$81,0)),0))</f>
        <v/>
      </c>
      <c r="J359" s="13" t="str">
        <f aca="false">IF($B359="","",SUMIFS($G$2:$G359,$B$2:$B359,$B359)-SUMIFS($H$2:$H359,$B$2:$B359,$B359))</f>
        <v/>
      </c>
      <c r="K359" s="10"/>
      <c r="L359" s="10"/>
      <c r="M359" s="18" t="str">
        <f aca="false">IF(AND($B359&lt;&gt;"",$B359='Estado de cuenta'!$C$4),COUNTIF($B$2:$B359,'Estado de cuenta'!$C$4),"")</f>
        <v/>
      </c>
    </row>
    <row r="360" customFormat="false" ht="15" hidden="false" customHeight="false" outlineLevel="0" collapsed="false">
      <c r="A360" s="17"/>
      <c r="B360" s="10"/>
      <c r="C360" s="10"/>
      <c r="D360" s="10"/>
      <c r="E360" s="10"/>
      <c r="F360" s="12"/>
      <c r="G360" s="13" t="str">
        <f aca="false">IF(OR($B360="",$F360=""),"",IF(OR($C360="Saldo inicial",$C360="Factura",$C360="Nota de débito"),$F360,0))</f>
        <v/>
      </c>
      <c r="H360" s="13" t="str">
        <f aca="false">IF(OR($B360="",$F360=""),"",IF(OR($C360="Cobro",$C360="Nota de crédito"),$F360,0))</f>
        <v/>
      </c>
      <c r="I360" s="16" t="str">
        <f aca="false">IF(OR($A360="",N($G360)=0),"",$A360+IFERROR(INDEX(Clientes!$F$2:$F$81,MATCH($B360,Clientes!$B$2:$B$81,0)),0))</f>
        <v/>
      </c>
      <c r="J360" s="13" t="str">
        <f aca="false">IF($B360="","",SUMIFS($G$2:$G360,$B$2:$B360,$B360)-SUMIFS($H$2:$H360,$B$2:$B360,$B360))</f>
        <v/>
      </c>
      <c r="K360" s="10"/>
      <c r="L360" s="10"/>
      <c r="M360" s="18" t="str">
        <f aca="false">IF(AND($B360&lt;&gt;"",$B360='Estado de cuenta'!$C$4),COUNTIF($B$2:$B360,'Estado de cuenta'!$C$4),"")</f>
        <v/>
      </c>
    </row>
    <row r="361" customFormat="false" ht="15" hidden="false" customHeight="false" outlineLevel="0" collapsed="false">
      <c r="A361" s="17"/>
      <c r="B361" s="10"/>
      <c r="C361" s="10"/>
      <c r="D361" s="10"/>
      <c r="E361" s="10"/>
      <c r="F361" s="12"/>
      <c r="G361" s="13" t="str">
        <f aca="false">IF(OR($B361="",$F361=""),"",IF(OR($C361="Saldo inicial",$C361="Factura",$C361="Nota de débito"),$F361,0))</f>
        <v/>
      </c>
      <c r="H361" s="13" t="str">
        <f aca="false">IF(OR($B361="",$F361=""),"",IF(OR($C361="Cobro",$C361="Nota de crédito"),$F361,0))</f>
        <v/>
      </c>
      <c r="I361" s="16" t="str">
        <f aca="false">IF(OR($A361="",N($G361)=0),"",$A361+IFERROR(INDEX(Clientes!$F$2:$F$81,MATCH($B361,Clientes!$B$2:$B$81,0)),0))</f>
        <v/>
      </c>
      <c r="J361" s="13" t="str">
        <f aca="false">IF($B361="","",SUMIFS($G$2:$G361,$B$2:$B361,$B361)-SUMIFS($H$2:$H361,$B$2:$B361,$B361))</f>
        <v/>
      </c>
      <c r="K361" s="10"/>
      <c r="L361" s="10"/>
      <c r="M361" s="18" t="str">
        <f aca="false">IF(AND($B361&lt;&gt;"",$B361='Estado de cuenta'!$C$4),COUNTIF($B$2:$B361,'Estado de cuenta'!$C$4),"")</f>
        <v/>
      </c>
    </row>
    <row r="362" customFormat="false" ht="15" hidden="false" customHeight="false" outlineLevel="0" collapsed="false">
      <c r="A362" s="17"/>
      <c r="B362" s="10"/>
      <c r="C362" s="10"/>
      <c r="D362" s="10"/>
      <c r="E362" s="10"/>
      <c r="F362" s="12"/>
      <c r="G362" s="13" t="str">
        <f aca="false">IF(OR($B362="",$F362=""),"",IF(OR($C362="Saldo inicial",$C362="Factura",$C362="Nota de débito"),$F362,0))</f>
        <v/>
      </c>
      <c r="H362" s="13" t="str">
        <f aca="false">IF(OR($B362="",$F362=""),"",IF(OR($C362="Cobro",$C362="Nota de crédito"),$F362,0))</f>
        <v/>
      </c>
      <c r="I362" s="16" t="str">
        <f aca="false">IF(OR($A362="",N($G362)=0),"",$A362+IFERROR(INDEX(Clientes!$F$2:$F$81,MATCH($B362,Clientes!$B$2:$B$81,0)),0))</f>
        <v/>
      </c>
      <c r="J362" s="13" t="str">
        <f aca="false">IF($B362="","",SUMIFS($G$2:$G362,$B$2:$B362,$B362)-SUMIFS($H$2:$H362,$B$2:$B362,$B362))</f>
        <v/>
      </c>
      <c r="K362" s="10"/>
      <c r="L362" s="10"/>
      <c r="M362" s="18" t="str">
        <f aca="false">IF(AND($B362&lt;&gt;"",$B362='Estado de cuenta'!$C$4),COUNTIF($B$2:$B362,'Estado de cuenta'!$C$4),"")</f>
        <v/>
      </c>
    </row>
    <row r="363" customFormat="false" ht="15" hidden="false" customHeight="false" outlineLevel="0" collapsed="false">
      <c r="A363" s="17"/>
      <c r="B363" s="10"/>
      <c r="C363" s="10"/>
      <c r="D363" s="10"/>
      <c r="E363" s="10"/>
      <c r="F363" s="12"/>
      <c r="G363" s="13" t="str">
        <f aca="false">IF(OR($B363="",$F363=""),"",IF(OR($C363="Saldo inicial",$C363="Factura",$C363="Nota de débito"),$F363,0))</f>
        <v/>
      </c>
      <c r="H363" s="13" t="str">
        <f aca="false">IF(OR($B363="",$F363=""),"",IF(OR($C363="Cobro",$C363="Nota de crédito"),$F363,0))</f>
        <v/>
      </c>
      <c r="I363" s="16" t="str">
        <f aca="false">IF(OR($A363="",N($G363)=0),"",$A363+IFERROR(INDEX(Clientes!$F$2:$F$81,MATCH($B363,Clientes!$B$2:$B$81,0)),0))</f>
        <v/>
      </c>
      <c r="J363" s="13" t="str">
        <f aca="false">IF($B363="","",SUMIFS($G$2:$G363,$B$2:$B363,$B363)-SUMIFS($H$2:$H363,$B$2:$B363,$B363))</f>
        <v/>
      </c>
      <c r="K363" s="10"/>
      <c r="L363" s="10"/>
      <c r="M363" s="18" t="str">
        <f aca="false">IF(AND($B363&lt;&gt;"",$B363='Estado de cuenta'!$C$4),COUNTIF($B$2:$B363,'Estado de cuenta'!$C$4),"")</f>
        <v/>
      </c>
    </row>
    <row r="364" customFormat="false" ht="15" hidden="false" customHeight="false" outlineLevel="0" collapsed="false">
      <c r="A364" s="17"/>
      <c r="B364" s="10"/>
      <c r="C364" s="10"/>
      <c r="D364" s="10"/>
      <c r="E364" s="10"/>
      <c r="F364" s="12"/>
      <c r="G364" s="13" t="str">
        <f aca="false">IF(OR($B364="",$F364=""),"",IF(OR($C364="Saldo inicial",$C364="Factura",$C364="Nota de débito"),$F364,0))</f>
        <v/>
      </c>
      <c r="H364" s="13" t="str">
        <f aca="false">IF(OR($B364="",$F364=""),"",IF(OR($C364="Cobro",$C364="Nota de crédito"),$F364,0))</f>
        <v/>
      </c>
      <c r="I364" s="16" t="str">
        <f aca="false">IF(OR($A364="",N($G364)=0),"",$A364+IFERROR(INDEX(Clientes!$F$2:$F$81,MATCH($B364,Clientes!$B$2:$B$81,0)),0))</f>
        <v/>
      </c>
      <c r="J364" s="13" t="str">
        <f aca="false">IF($B364="","",SUMIFS($G$2:$G364,$B$2:$B364,$B364)-SUMIFS($H$2:$H364,$B$2:$B364,$B364))</f>
        <v/>
      </c>
      <c r="K364" s="10"/>
      <c r="L364" s="10"/>
      <c r="M364" s="18" t="str">
        <f aca="false">IF(AND($B364&lt;&gt;"",$B364='Estado de cuenta'!$C$4),COUNTIF($B$2:$B364,'Estado de cuenta'!$C$4),"")</f>
        <v/>
      </c>
    </row>
    <row r="365" customFormat="false" ht="15" hidden="false" customHeight="false" outlineLevel="0" collapsed="false">
      <c r="A365" s="17"/>
      <c r="B365" s="10"/>
      <c r="C365" s="10"/>
      <c r="D365" s="10"/>
      <c r="E365" s="10"/>
      <c r="F365" s="12"/>
      <c r="G365" s="13" t="str">
        <f aca="false">IF(OR($B365="",$F365=""),"",IF(OR($C365="Saldo inicial",$C365="Factura",$C365="Nota de débito"),$F365,0))</f>
        <v/>
      </c>
      <c r="H365" s="13" t="str">
        <f aca="false">IF(OR($B365="",$F365=""),"",IF(OR($C365="Cobro",$C365="Nota de crédito"),$F365,0))</f>
        <v/>
      </c>
      <c r="I365" s="16" t="str">
        <f aca="false">IF(OR($A365="",N($G365)=0),"",$A365+IFERROR(INDEX(Clientes!$F$2:$F$81,MATCH($B365,Clientes!$B$2:$B$81,0)),0))</f>
        <v/>
      </c>
      <c r="J365" s="13" t="str">
        <f aca="false">IF($B365="","",SUMIFS($G$2:$G365,$B$2:$B365,$B365)-SUMIFS($H$2:$H365,$B$2:$B365,$B365))</f>
        <v/>
      </c>
      <c r="K365" s="10"/>
      <c r="L365" s="10"/>
      <c r="M365" s="18" t="str">
        <f aca="false">IF(AND($B365&lt;&gt;"",$B365='Estado de cuenta'!$C$4),COUNTIF($B$2:$B365,'Estado de cuenta'!$C$4),"")</f>
        <v/>
      </c>
    </row>
    <row r="366" customFormat="false" ht="15" hidden="false" customHeight="false" outlineLevel="0" collapsed="false">
      <c r="A366" s="17"/>
      <c r="B366" s="10"/>
      <c r="C366" s="10"/>
      <c r="D366" s="10"/>
      <c r="E366" s="10"/>
      <c r="F366" s="12"/>
      <c r="G366" s="13" t="str">
        <f aca="false">IF(OR($B366="",$F366=""),"",IF(OR($C366="Saldo inicial",$C366="Factura",$C366="Nota de débito"),$F366,0))</f>
        <v/>
      </c>
      <c r="H366" s="13" t="str">
        <f aca="false">IF(OR($B366="",$F366=""),"",IF(OR($C366="Cobro",$C366="Nota de crédito"),$F366,0))</f>
        <v/>
      </c>
      <c r="I366" s="16" t="str">
        <f aca="false">IF(OR($A366="",N($G366)=0),"",$A366+IFERROR(INDEX(Clientes!$F$2:$F$81,MATCH($B366,Clientes!$B$2:$B$81,0)),0))</f>
        <v/>
      </c>
      <c r="J366" s="13" t="str">
        <f aca="false">IF($B366="","",SUMIFS($G$2:$G366,$B$2:$B366,$B366)-SUMIFS($H$2:$H366,$B$2:$B366,$B366))</f>
        <v/>
      </c>
      <c r="K366" s="10"/>
      <c r="L366" s="10"/>
      <c r="M366" s="18" t="str">
        <f aca="false">IF(AND($B366&lt;&gt;"",$B366='Estado de cuenta'!$C$4),COUNTIF($B$2:$B366,'Estado de cuenta'!$C$4),"")</f>
        <v/>
      </c>
    </row>
    <row r="367" customFormat="false" ht="15" hidden="false" customHeight="false" outlineLevel="0" collapsed="false">
      <c r="A367" s="17"/>
      <c r="B367" s="10"/>
      <c r="C367" s="10"/>
      <c r="D367" s="10"/>
      <c r="E367" s="10"/>
      <c r="F367" s="12"/>
      <c r="G367" s="13" t="str">
        <f aca="false">IF(OR($B367="",$F367=""),"",IF(OR($C367="Saldo inicial",$C367="Factura",$C367="Nota de débito"),$F367,0))</f>
        <v/>
      </c>
      <c r="H367" s="13" t="str">
        <f aca="false">IF(OR($B367="",$F367=""),"",IF(OR($C367="Cobro",$C367="Nota de crédito"),$F367,0))</f>
        <v/>
      </c>
      <c r="I367" s="16" t="str">
        <f aca="false">IF(OR($A367="",N($G367)=0),"",$A367+IFERROR(INDEX(Clientes!$F$2:$F$81,MATCH($B367,Clientes!$B$2:$B$81,0)),0))</f>
        <v/>
      </c>
      <c r="J367" s="13" t="str">
        <f aca="false">IF($B367="","",SUMIFS($G$2:$G367,$B$2:$B367,$B367)-SUMIFS($H$2:$H367,$B$2:$B367,$B367))</f>
        <v/>
      </c>
      <c r="K367" s="10"/>
      <c r="L367" s="10"/>
      <c r="M367" s="18" t="str">
        <f aca="false">IF(AND($B367&lt;&gt;"",$B367='Estado de cuenta'!$C$4),COUNTIF($B$2:$B367,'Estado de cuenta'!$C$4),"")</f>
        <v/>
      </c>
    </row>
    <row r="368" customFormat="false" ht="15" hidden="false" customHeight="false" outlineLevel="0" collapsed="false">
      <c r="A368" s="17"/>
      <c r="B368" s="10"/>
      <c r="C368" s="10"/>
      <c r="D368" s="10"/>
      <c r="E368" s="10"/>
      <c r="F368" s="12"/>
      <c r="G368" s="13" t="str">
        <f aca="false">IF(OR($B368="",$F368=""),"",IF(OR($C368="Saldo inicial",$C368="Factura",$C368="Nota de débito"),$F368,0))</f>
        <v/>
      </c>
      <c r="H368" s="13" t="str">
        <f aca="false">IF(OR($B368="",$F368=""),"",IF(OR($C368="Cobro",$C368="Nota de crédito"),$F368,0))</f>
        <v/>
      </c>
      <c r="I368" s="16" t="str">
        <f aca="false">IF(OR($A368="",N($G368)=0),"",$A368+IFERROR(INDEX(Clientes!$F$2:$F$81,MATCH($B368,Clientes!$B$2:$B$81,0)),0))</f>
        <v/>
      </c>
      <c r="J368" s="13" t="str">
        <f aca="false">IF($B368="","",SUMIFS($G$2:$G368,$B$2:$B368,$B368)-SUMIFS($H$2:$H368,$B$2:$B368,$B368))</f>
        <v/>
      </c>
      <c r="K368" s="10"/>
      <c r="L368" s="10"/>
      <c r="M368" s="18" t="str">
        <f aca="false">IF(AND($B368&lt;&gt;"",$B368='Estado de cuenta'!$C$4),COUNTIF($B$2:$B368,'Estado de cuenta'!$C$4),"")</f>
        <v/>
      </c>
    </row>
    <row r="369" customFormat="false" ht="15" hidden="false" customHeight="false" outlineLevel="0" collapsed="false">
      <c r="A369" s="17"/>
      <c r="B369" s="10"/>
      <c r="C369" s="10"/>
      <c r="D369" s="10"/>
      <c r="E369" s="10"/>
      <c r="F369" s="12"/>
      <c r="G369" s="13" t="str">
        <f aca="false">IF(OR($B369="",$F369=""),"",IF(OR($C369="Saldo inicial",$C369="Factura",$C369="Nota de débito"),$F369,0))</f>
        <v/>
      </c>
      <c r="H369" s="13" t="str">
        <f aca="false">IF(OR($B369="",$F369=""),"",IF(OR($C369="Cobro",$C369="Nota de crédito"),$F369,0))</f>
        <v/>
      </c>
      <c r="I369" s="16" t="str">
        <f aca="false">IF(OR($A369="",N($G369)=0),"",$A369+IFERROR(INDEX(Clientes!$F$2:$F$81,MATCH($B369,Clientes!$B$2:$B$81,0)),0))</f>
        <v/>
      </c>
      <c r="J369" s="13" t="str">
        <f aca="false">IF($B369="","",SUMIFS($G$2:$G369,$B$2:$B369,$B369)-SUMIFS($H$2:$H369,$B$2:$B369,$B369))</f>
        <v/>
      </c>
      <c r="K369" s="10"/>
      <c r="L369" s="10"/>
      <c r="M369" s="18" t="str">
        <f aca="false">IF(AND($B369&lt;&gt;"",$B369='Estado de cuenta'!$C$4),COUNTIF($B$2:$B369,'Estado de cuenta'!$C$4),"")</f>
        <v/>
      </c>
    </row>
    <row r="370" customFormat="false" ht="15" hidden="false" customHeight="false" outlineLevel="0" collapsed="false">
      <c r="A370" s="17"/>
      <c r="B370" s="10"/>
      <c r="C370" s="10"/>
      <c r="D370" s="10"/>
      <c r="E370" s="10"/>
      <c r="F370" s="12"/>
      <c r="G370" s="13" t="str">
        <f aca="false">IF(OR($B370="",$F370=""),"",IF(OR($C370="Saldo inicial",$C370="Factura",$C370="Nota de débito"),$F370,0))</f>
        <v/>
      </c>
      <c r="H370" s="13" t="str">
        <f aca="false">IF(OR($B370="",$F370=""),"",IF(OR($C370="Cobro",$C370="Nota de crédito"),$F370,0))</f>
        <v/>
      </c>
      <c r="I370" s="16" t="str">
        <f aca="false">IF(OR($A370="",N($G370)=0),"",$A370+IFERROR(INDEX(Clientes!$F$2:$F$81,MATCH($B370,Clientes!$B$2:$B$81,0)),0))</f>
        <v/>
      </c>
      <c r="J370" s="13" t="str">
        <f aca="false">IF($B370="","",SUMIFS($G$2:$G370,$B$2:$B370,$B370)-SUMIFS($H$2:$H370,$B$2:$B370,$B370))</f>
        <v/>
      </c>
      <c r="K370" s="10"/>
      <c r="L370" s="10"/>
      <c r="M370" s="18" t="str">
        <f aca="false">IF(AND($B370&lt;&gt;"",$B370='Estado de cuenta'!$C$4),COUNTIF($B$2:$B370,'Estado de cuenta'!$C$4),"")</f>
        <v/>
      </c>
    </row>
    <row r="371" customFormat="false" ht="15" hidden="false" customHeight="false" outlineLevel="0" collapsed="false">
      <c r="A371" s="17"/>
      <c r="B371" s="10"/>
      <c r="C371" s="10"/>
      <c r="D371" s="10"/>
      <c r="E371" s="10"/>
      <c r="F371" s="12"/>
      <c r="G371" s="13" t="str">
        <f aca="false">IF(OR($B371="",$F371=""),"",IF(OR($C371="Saldo inicial",$C371="Factura",$C371="Nota de débito"),$F371,0))</f>
        <v/>
      </c>
      <c r="H371" s="13" t="str">
        <f aca="false">IF(OR($B371="",$F371=""),"",IF(OR($C371="Cobro",$C371="Nota de crédito"),$F371,0))</f>
        <v/>
      </c>
      <c r="I371" s="16" t="str">
        <f aca="false">IF(OR($A371="",N($G371)=0),"",$A371+IFERROR(INDEX(Clientes!$F$2:$F$81,MATCH($B371,Clientes!$B$2:$B$81,0)),0))</f>
        <v/>
      </c>
      <c r="J371" s="13" t="str">
        <f aca="false">IF($B371="","",SUMIFS($G$2:$G371,$B$2:$B371,$B371)-SUMIFS($H$2:$H371,$B$2:$B371,$B371))</f>
        <v/>
      </c>
      <c r="K371" s="10"/>
      <c r="L371" s="10"/>
      <c r="M371" s="18" t="str">
        <f aca="false">IF(AND($B371&lt;&gt;"",$B371='Estado de cuenta'!$C$4),COUNTIF($B$2:$B371,'Estado de cuenta'!$C$4),"")</f>
        <v/>
      </c>
    </row>
    <row r="372" customFormat="false" ht="15" hidden="false" customHeight="false" outlineLevel="0" collapsed="false">
      <c r="A372" s="17"/>
      <c r="B372" s="10"/>
      <c r="C372" s="10"/>
      <c r="D372" s="10"/>
      <c r="E372" s="10"/>
      <c r="F372" s="12"/>
      <c r="G372" s="13" t="str">
        <f aca="false">IF(OR($B372="",$F372=""),"",IF(OR($C372="Saldo inicial",$C372="Factura",$C372="Nota de débito"),$F372,0))</f>
        <v/>
      </c>
      <c r="H372" s="13" t="str">
        <f aca="false">IF(OR($B372="",$F372=""),"",IF(OR($C372="Cobro",$C372="Nota de crédito"),$F372,0))</f>
        <v/>
      </c>
      <c r="I372" s="16" t="str">
        <f aca="false">IF(OR($A372="",N($G372)=0),"",$A372+IFERROR(INDEX(Clientes!$F$2:$F$81,MATCH($B372,Clientes!$B$2:$B$81,0)),0))</f>
        <v/>
      </c>
      <c r="J372" s="13" t="str">
        <f aca="false">IF($B372="","",SUMIFS($G$2:$G372,$B$2:$B372,$B372)-SUMIFS($H$2:$H372,$B$2:$B372,$B372))</f>
        <v/>
      </c>
      <c r="K372" s="10"/>
      <c r="L372" s="10"/>
      <c r="M372" s="18" t="str">
        <f aca="false">IF(AND($B372&lt;&gt;"",$B372='Estado de cuenta'!$C$4),COUNTIF($B$2:$B372,'Estado de cuenta'!$C$4),"")</f>
        <v/>
      </c>
    </row>
    <row r="373" customFormat="false" ht="15" hidden="false" customHeight="false" outlineLevel="0" collapsed="false">
      <c r="A373" s="17"/>
      <c r="B373" s="10"/>
      <c r="C373" s="10"/>
      <c r="D373" s="10"/>
      <c r="E373" s="10"/>
      <c r="F373" s="12"/>
      <c r="G373" s="13" t="str">
        <f aca="false">IF(OR($B373="",$F373=""),"",IF(OR($C373="Saldo inicial",$C373="Factura",$C373="Nota de débito"),$F373,0))</f>
        <v/>
      </c>
      <c r="H373" s="13" t="str">
        <f aca="false">IF(OR($B373="",$F373=""),"",IF(OR($C373="Cobro",$C373="Nota de crédito"),$F373,0))</f>
        <v/>
      </c>
      <c r="I373" s="16" t="str">
        <f aca="false">IF(OR($A373="",N($G373)=0),"",$A373+IFERROR(INDEX(Clientes!$F$2:$F$81,MATCH($B373,Clientes!$B$2:$B$81,0)),0))</f>
        <v/>
      </c>
      <c r="J373" s="13" t="str">
        <f aca="false">IF($B373="","",SUMIFS($G$2:$G373,$B$2:$B373,$B373)-SUMIFS($H$2:$H373,$B$2:$B373,$B373))</f>
        <v/>
      </c>
      <c r="K373" s="10"/>
      <c r="L373" s="10"/>
      <c r="M373" s="18" t="str">
        <f aca="false">IF(AND($B373&lt;&gt;"",$B373='Estado de cuenta'!$C$4),COUNTIF($B$2:$B373,'Estado de cuenta'!$C$4),"")</f>
        <v/>
      </c>
    </row>
    <row r="374" customFormat="false" ht="15" hidden="false" customHeight="false" outlineLevel="0" collapsed="false">
      <c r="A374" s="17"/>
      <c r="B374" s="10"/>
      <c r="C374" s="10"/>
      <c r="D374" s="10"/>
      <c r="E374" s="10"/>
      <c r="F374" s="12"/>
      <c r="G374" s="13" t="str">
        <f aca="false">IF(OR($B374="",$F374=""),"",IF(OR($C374="Saldo inicial",$C374="Factura",$C374="Nota de débito"),$F374,0))</f>
        <v/>
      </c>
      <c r="H374" s="13" t="str">
        <f aca="false">IF(OR($B374="",$F374=""),"",IF(OR($C374="Cobro",$C374="Nota de crédito"),$F374,0))</f>
        <v/>
      </c>
      <c r="I374" s="16" t="str">
        <f aca="false">IF(OR($A374="",N($G374)=0),"",$A374+IFERROR(INDEX(Clientes!$F$2:$F$81,MATCH($B374,Clientes!$B$2:$B$81,0)),0))</f>
        <v/>
      </c>
      <c r="J374" s="13" t="str">
        <f aca="false">IF($B374="","",SUMIFS($G$2:$G374,$B$2:$B374,$B374)-SUMIFS($H$2:$H374,$B$2:$B374,$B374))</f>
        <v/>
      </c>
      <c r="K374" s="10"/>
      <c r="L374" s="10"/>
      <c r="M374" s="18" t="str">
        <f aca="false">IF(AND($B374&lt;&gt;"",$B374='Estado de cuenta'!$C$4),COUNTIF($B$2:$B374,'Estado de cuenta'!$C$4),"")</f>
        <v/>
      </c>
    </row>
    <row r="375" customFormat="false" ht="15" hidden="false" customHeight="false" outlineLevel="0" collapsed="false">
      <c r="A375" s="17"/>
      <c r="B375" s="10"/>
      <c r="C375" s="10"/>
      <c r="D375" s="10"/>
      <c r="E375" s="10"/>
      <c r="F375" s="12"/>
      <c r="G375" s="13" t="str">
        <f aca="false">IF(OR($B375="",$F375=""),"",IF(OR($C375="Saldo inicial",$C375="Factura",$C375="Nota de débito"),$F375,0))</f>
        <v/>
      </c>
      <c r="H375" s="13" t="str">
        <f aca="false">IF(OR($B375="",$F375=""),"",IF(OR($C375="Cobro",$C375="Nota de crédito"),$F375,0))</f>
        <v/>
      </c>
      <c r="I375" s="16" t="str">
        <f aca="false">IF(OR($A375="",N($G375)=0),"",$A375+IFERROR(INDEX(Clientes!$F$2:$F$81,MATCH($B375,Clientes!$B$2:$B$81,0)),0))</f>
        <v/>
      </c>
      <c r="J375" s="13" t="str">
        <f aca="false">IF($B375="","",SUMIFS($G$2:$G375,$B$2:$B375,$B375)-SUMIFS($H$2:$H375,$B$2:$B375,$B375))</f>
        <v/>
      </c>
      <c r="K375" s="10"/>
      <c r="L375" s="10"/>
      <c r="M375" s="18" t="str">
        <f aca="false">IF(AND($B375&lt;&gt;"",$B375='Estado de cuenta'!$C$4),COUNTIF($B$2:$B375,'Estado de cuenta'!$C$4),"")</f>
        <v/>
      </c>
    </row>
    <row r="376" customFormat="false" ht="15" hidden="false" customHeight="false" outlineLevel="0" collapsed="false">
      <c r="A376" s="17"/>
      <c r="B376" s="10"/>
      <c r="C376" s="10"/>
      <c r="D376" s="10"/>
      <c r="E376" s="10"/>
      <c r="F376" s="12"/>
      <c r="G376" s="13" t="str">
        <f aca="false">IF(OR($B376="",$F376=""),"",IF(OR($C376="Saldo inicial",$C376="Factura",$C376="Nota de débito"),$F376,0))</f>
        <v/>
      </c>
      <c r="H376" s="13" t="str">
        <f aca="false">IF(OR($B376="",$F376=""),"",IF(OR($C376="Cobro",$C376="Nota de crédito"),$F376,0))</f>
        <v/>
      </c>
      <c r="I376" s="16" t="str">
        <f aca="false">IF(OR($A376="",N($G376)=0),"",$A376+IFERROR(INDEX(Clientes!$F$2:$F$81,MATCH($B376,Clientes!$B$2:$B$81,0)),0))</f>
        <v/>
      </c>
      <c r="J376" s="13" t="str">
        <f aca="false">IF($B376="","",SUMIFS($G$2:$G376,$B$2:$B376,$B376)-SUMIFS($H$2:$H376,$B$2:$B376,$B376))</f>
        <v/>
      </c>
      <c r="K376" s="10"/>
      <c r="L376" s="10"/>
      <c r="M376" s="18" t="str">
        <f aca="false">IF(AND($B376&lt;&gt;"",$B376='Estado de cuenta'!$C$4),COUNTIF($B$2:$B376,'Estado de cuenta'!$C$4),"")</f>
        <v/>
      </c>
    </row>
    <row r="377" customFormat="false" ht="15" hidden="false" customHeight="false" outlineLevel="0" collapsed="false">
      <c r="A377" s="17"/>
      <c r="B377" s="10"/>
      <c r="C377" s="10"/>
      <c r="D377" s="10"/>
      <c r="E377" s="10"/>
      <c r="F377" s="12"/>
      <c r="G377" s="13" t="str">
        <f aca="false">IF(OR($B377="",$F377=""),"",IF(OR($C377="Saldo inicial",$C377="Factura",$C377="Nota de débito"),$F377,0))</f>
        <v/>
      </c>
      <c r="H377" s="13" t="str">
        <f aca="false">IF(OR($B377="",$F377=""),"",IF(OR($C377="Cobro",$C377="Nota de crédito"),$F377,0))</f>
        <v/>
      </c>
      <c r="I377" s="16" t="str">
        <f aca="false">IF(OR($A377="",N($G377)=0),"",$A377+IFERROR(INDEX(Clientes!$F$2:$F$81,MATCH($B377,Clientes!$B$2:$B$81,0)),0))</f>
        <v/>
      </c>
      <c r="J377" s="13" t="str">
        <f aca="false">IF($B377="","",SUMIFS($G$2:$G377,$B$2:$B377,$B377)-SUMIFS($H$2:$H377,$B$2:$B377,$B377))</f>
        <v/>
      </c>
      <c r="K377" s="10"/>
      <c r="L377" s="10"/>
      <c r="M377" s="18" t="str">
        <f aca="false">IF(AND($B377&lt;&gt;"",$B377='Estado de cuenta'!$C$4),COUNTIF($B$2:$B377,'Estado de cuenta'!$C$4),"")</f>
        <v/>
      </c>
    </row>
    <row r="378" customFormat="false" ht="15" hidden="false" customHeight="false" outlineLevel="0" collapsed="false">
      <c r="A378" s="17"/>
      <c r="B378" s="10"/>
      <c r="C378" s="10"/>
      <c r="D378" s="10"/>
      <c r="E378" s="10"/>
      <c r="F378" s="12"/>
      <c r="G378" s="13" t="str">
        <f aca="false">IF(OR($B378="",$F378=""),"",IF(OR($C378="Saldo inicial",$C378="Factura",$C378="Nota de débito"),$F378,0))</f>
        <v/>
      </c>
      <c r="H378" s="13" t="str">
        <f aca="false">IF(OR($B378="",$F378=""),"",IF(OR($C378="Cobro",$C378="Nota de crédito"),$F378,0))</f>
        <v/>
      </c>
      <c r="I378" s="16" t="str">
        <f aca="false">IF(OR($A378="",N($G378)=0),"",$A378+IFERROR(INDEX(Clientes!$F$2:$F$81,MATCH($B378,Clientes!$B$2:$B$81,0)),0))</f>
        <v/>
      </c>
      <c r="J378" s="13" t="str">
        <f aca="false">IF($B378="","",SUMIFS($G$2:$G378,$B$2:$B378,$B378)-SUMIFS($H$2:$H378,$B$2:$B378,$B378))</f>
        <v/>
      </c>
      <c r="K378" s="10"/>
      <c r="L378" s="10"/>
      <c r="M378" s="18" t="str">
        <f aca="false">IF(AND($B378&lt;&gt;"",$B378='Estado de cuenta'!$C$4),COUNTIF($B$2:$B378,'Estado de cuenta'!$C$4),"")</f>
        <v/>
      </c>
    </row>
    <row r="379" customFormat="false" ht="15" hidden="false" customHeight="false" outlineLevel="0" collapsed="false">
      <c r="A379" s="17"/>
      <c r="B379" s="10"/>
      <c r="C379" s="10"/>
      <c r="D379" s="10"/>
      <c r="E379" s="10"/>
      <c r="F379" s="12"/>
      <c r="G379" s="13" t="str">
        <f aca="false">IF(OR($B379="",$F379=""),"",IF(OR($C379="Saldo inicial",$C379="Factura",$C379="Nota de débito"),$F379,0))</f>
        <v/>
      </c>
      <c r="H379" s="13" t="str">
        <f aca="false">IF(OR($B379="",$F379=""),"",IF(OR($C379="Cobro",$C379="Nota de crédito"),$F379,0))</f>
        <v/>
      </c>
      <c r="I379" s="16" t="str">
        <f aca="false">IF(OR($A379="",N($G379)=0),"",$A379+IFERROR(INDEX(Clientes!$F$2:$F$81,MATCH($B379,Clientes!$B$2:$B$81,0)),0))</f>
        <v/>
      </c>
      <c r="J379" s="13" t="str">
        <f aca="false">IF($B379="","",SUMIFS($G$2:$G379,$B$2:$B379,$B379)-SUMIFS($H$2:$H379,$B$2:$B379,$B379))</f>
        <v/>
      </c>
      <c r="K379" s="10"/>
      <c r="L379" s="10"/>
      <c r="M379" s="18" t="str">
        <f aca="false">IF(AND($B379&lt;&gt;"",$B379='Estado de cuenta'!$C$4),COUNTIF($B$2:$B379,'Estado de cuenta'!$C$4),"")</f>
        <v/>
      </c>
    </row>
    <row r="380" customFormat="false" ht="15" hidden="false" customHeight="false" outlineLevel="0" collapsed="false">
      <c r="A380" s="17"/>
      <c r="B380" s="10"/>
      <c r="C380" s="10"/>
      <c r="D380" s="10"/>
      <c r="E380" s="10"/>
      <c r="F380" s="12"/>
      <c r="G380" s="13" t="str">
        <f aca="false">IF(OR($B380="",$F380=""),"",IF(OR($C380="Saldo inicial",$C380="Factura",$C380="Nota de débito"),$F380,0))</f>
        <v/>
      </c>
      <c r="H380" s="13" t="str">
        <f aca="false">IF(OR($B380="",$F380=""),"",IF(OR($C380="Cobro",$C380="Nota de crédito"),$F380,0))</f>
        <v/>
      </c>
      <c r="I380" s="16" t="str">
        <f aca="false">IF(OR($A380="",N($G380)=0),"",$A380+IFERROR(INDEX(Clientes!$F$2:$F$81,MATCH($B380,Clientes!$B$2:$B$81,0)),0))</f>
        <v/>
      </c>
      <c r="J380" s="13" t="str">
        <f aca="false">IF($B380="","",SUMIFS($G$2:$G380,$B$2:$B380,$B380)-SUMIFS($H$2:$H380,$B$2:$B380,$B380))</f>
        <v/>
      </c>
      <c r="K380" s="10"/>
      <c r="L380" s="10"/>
      <c r="M380" s="18" t="str">
        <f aca="false">IF(AND($B380&lt;&gt;"",$B380='Estado de cuenta'!$C$4),COUNTIF($B$2:$B380,'Estado de cuenta'!$C$4),"")</f>
        <v/>
      </c>
    </row>
    <row r="381" customFormat="false" ht="15" hidden="false" customHeight="false" outlineLevel="0" collapsed="false">
      <c r="A381" s="17"/>
      <c r="B381" s="10"/>
      <c r="C381" s="10"/>
      <c r="D381" s="10"/>
      <c r="E381" s="10"/>
      <c r="F381" s="12"/>
      <c r="G381" s="13" t="str">
        <f aca="false">IF(OR($B381="",$F381=""),"",IF(OR($C381="Saldo inicial",$C381="Factura",$C381="Nota de débito"),$F381,0))</f>
        <v/>
      </c>
      <c r="H381" s="13" t="str">
        <f aca="false">IF(OR($B381="",$F381=""),"",IF(OR($C381="Cobro",$C381="Nota de crédito"),$F381,0))</f>
        <v/>
      </c>
      <c r="I381" s="16" t="str">
        <f aca="false">IF(OR($A381="",N($G381)=0),"",$A381+IFERROR(INDEX(Clientes!$F$2:$F$81,MATCH($B381,Clientes!$B$2:$B$81,0)),0))</f>
        <v/>
      </c>
      <c r="J381" s="13" t="str">
        <f aca="false">IF($B381="","",SUMIFS($G$2:$G381,$B$2:$B381,$B381)-SUMIFS($H$2:$H381,$B$2:$B381,$B381))</f>
        <v/>
      </c>
      <c r="K381" s="10"/>
      <c r="L381" s="10"/>
      <c r="M381" s="18" t="str">
        <f aca="false">IF(AND($B381&lt;&gt;"",$B381='Estado de cuenta'!$C$4),COUNTIF($B$2:$B381,'Estado de cuenta'!$C$4),"")</f>
        <v/>
      </c>
    </row>
    <row r="382" customFormat="false" ht="15" hidden="false" customHeight="false" outlineLevel="0" collapsed="false">
      <c r="A382" s="17"/>
      <c r="B382" s="10"/>
      <c r="C382" s="10"/>
      <c r="D382" s="10"/>
      <c r="E382" s="10"/>
      <c r="F382" s="12"/>
      <c r="G382" s="13" t="str">
        <f aca="false">IF(OR($B382="",$F382=""),"",IF(OR($C382="Saldo inicial",$C382="Factura",$C382="Nota de débito"),$F382,0))</f>
        <v/>
      </c>
      <c r="H382" s="13" t="str">
        <f aca="false">IF(OR($B382="",$F382=""),"",IF(OR($C382="Cobro",$C382="Nota de crédito"),$F382,0))</f>
        <v/>
      </c>
      <c r="I382" s="16" t="str">
        <f aca="false">IF(OR($A382="",N($G382)=0),"",$A382+IFERROR(INDEX(Clientes!$F$2:$F$81,MATCH($B382,Clientes!$B$2:$B$81,0)),0))</f>
        <v/>
      </c>
      <c r="J382" s="13" t="str">
        <f aca="false">IF($B382="","",SUMIFS($G$2:$G382,$B$2:$B382,$B382)-SUMIFS($H$2:$H382,$B$2:$B382,$B382))</f>
        <v/>
      </c>
      <c r="K382" s="10"/>
      <c r="L382" s="10"/>
      <c r="M382" s="18" t="str">
        <f aca="false">IF(AND($B382&lt;&gt;"",$B382='Estado de cuenta'!$C$4),COUNTIF($B$2:$B382,'Estado de cuenta'!$C$4),"")</f>
        <v/>
      </c>
    </row>
    <row r="383" customFormat="false" ht="15" hidden="false" customHeight="false" outlineLevel="0" collapsed="false">
      <c r="A383" s="17"/>
      <c r="B383" s="10"/>
      <c r="C383" s="10"/>
      <c r="D383" s="10"/>
      <c r="E383" s="10"/>
      <c r="F383" s="12"/>
      <c r="G383" s="13" t="str">
        <f aca="false">IF(OR($B383="",$F383=""),"",IF(OR($C383="Saldo inicial",$C383="Factura",$C383="Nota de débito"),$F383,0))</f>
        <v/>
      </c>
      <c r="H383" s="13" t="str">
        <f aca="false">IF(OR($B383="",$F383=""),"",IF(OR($C383="Cobro",$C383="Nota de crédito"),$F383,0))</f>
        <v/>
      </c>
      <c r="I383" s="16" t="str">
        <f aca="false">IF(OR($A383="",N($G383)=0),"",$A383+IFERROR(INDEX(Clientes!$F$2:$F$81,MATCH($B383,Clientes!$B$2:$B$81,0)),0))</f>
        <v/>
      </c>
      <c r="J383" s="13" t="str">
        <f aca="false">IF($B383="","",SUMIFS($G$2:$G383,$B$2:$B383,$B383)-SUMIFS($H$2:$H383,$B$2:$B383,$B383))</f>
        <v/>
      </c>
      <c r="K383" s="10"/>
      <c r="L383" s="10"/>
      <c r="M383" s="18" t="str">
        <f aca="false">IF(AND($B383&lt;&gt;"",$B383='Estado de cuenta'!$C$4),COUNTIF($B$2:$B383,'Estado de cuenta'!$C$4),"")</f>
        <v/>
      </c>
    </row>
    <row r="384" customFormat="false" ht="15" hidden="false" customHeight="false" outlineLevel="0" collapsed="false">
      <c r="A384" s="17"/>
      <c r="B384" s="10"/>
      <c r="C384" s="10"/>
      <c r="D384" s="10"/>
      <c r="E384" s="10"/>
      <c r="F384" s="12"/>
      <c r="G384" s="13" t="str">
        <f aca="false">IF(OR($B384="",$F384=""),"",IF(OR($C384="Saldo inicial",$C384="Factura",$C384="Nota de débito"),$F384,0))</f>
        <v/>
      </c>
      <c r="H384" s="13" t="str">
        <f aca="false">IF(OR($B384="",$F384=""),"",IF(OR($C384="Cobro",$C384="Nota de crédito"),$F384,0))</f>
        <v/>
      </c>
      <c r="I384" s="16" t="str">
        <f aca="false">IF(OR($A384="",N($G384)=0),"",$A384+IFERROR(INDEX(Clientes!$F$2:$F$81,MATCH($B384,Clientes!$B$2:$B$81,0)),0))</f>
        <v/>
      </c>
      <c r="J384" s="13" t="str">
        <f aca="false">IF($B384="","",SUMIFS($G$2:$G384,$B$2:$B384,$B384)-SUMIFS($H$2:$H384,$B$2:$B384,$B384))</f>
        <v/>
      </c>
      <c r="K384" s="10"/>
      <c r="L384" s="10"/>
      <c r="M384" s="18" t="str">
        <f aca="false">IF(AND($B384&lt;&gt;"",$B384='Estado de cuenta'!$C$4),COUNTIF($B$2:$B384,'Estado de cuenta'!$C$4),"")</f>
        <v/>
      </c>
    </row>
    <row r="385" customFormat="false" ht="15" hidden="false" customHeight="false" outlineLevel="0" collapsed="false">
      <c r="A385" s="17"/>
      <c r="B385" s="10"/>
      <c r="C385" s="10"/>
      <c r="D385" s="10"/>
      <c r="E385" s="10"/>
      <c r="F385" s="12"/>
      <c r="G385" s="13" t="str">
        <f aca="false">IF(OR($B385="",$F385=""),"",IF(OR($C385="Saldo inicial",$C385="Factura",$C385="Nota de débito"),$F385,0))</f>
        <v/>
      </c>
      <c r="H385" s="13" t="str">
        <f aca="false">IF(OR($B385="",$F385=""),"",IF(OR($C385="Cobro",$C385="Nota de crédito"),$F385,0))</f>
        <v/>
      </c>
      <c r="I385" s="16" t="str">
        <f aca="false">IF(OR($A385="",N($G385)=0),"",$A385+IFERROR(INDEX(Clientes!$F$2:$F$81,MATCH($B385,Clientes!$B$2:$B$81,0)),0))</f>
        <v/>
      </c>
      <c r="J385" s="13" t="str">
        <f aca="false">IF($B385="","",SUMIFS($G$2:$G385,$B$2:$B385,$B385)-SUMIFS($H$2:$H385,$B$2:$B385,$B385))</f>
        <v/>
      </c>
      <c r="K385" s="10"/>
      <c r="L385" s="10"/>
      <c r="M385" s="18" t="str">
        <f aca="false">IF(AND($B385&lt;&gt;"",$B385='Estado de cuenta'!$C$4),COUNTIF($B$2:$B385,'Estado de cuenta'!$C$4),"")</f>
        <v/>
      </c>
    </row>
    <row r="386" customFormat="false" ht="15" hidden="false" customHeight="false" outlineLevel="0" collapsed="false">
      <c r="A386" s="17"/>
      <c r="B386" s="10"/>
      <c r="C386" s="10"/>
      <c r="D386" s="10"/>
      <c r="E386" s="10"/>
      <c r="F386" s="12"/>
      <c r="G386" s="13" t="str">
        <f aca="false">IF(OR($B386="",$F386=""),"",IF(OR($C386="Saldo inicial",$C386="Factura",$C386="Nota de débito"),$F386,0))</f>
        <v/>
      </c>
      <c r="H386" s="13" t="str">
        <f aca="false">IF(OR($B386="",$F386=""),"",IF(OR($C386="Cobro",$C386="Nota de crédito"),$F386,0))</f>
        <v/>
      </c>
      <c r="I386" s="16" t="str">
        <f aca="false">IF(OR($A386="",N($G386)=0),"",$A386+IFERROR(INDEX(Clientes!$F$2:$F$81,MATCH($B386,Clientes!$B$2:$B$81,0)),0))</f>
        <v/>
      </c>
      <c r="J386" s="13" t="str">
        <f aca="false">IF($B386="","",SUMIFS($G$2:$G386,$B$2:$B386,$B386)-SUMIFS($H$2:$H386,$B$2:$B386,$B386))</f>
        <v/>
      </c>
      <c r="K386" s="10"/>
      <c r="L386" s="10"/>
      <c r="M386" s="18" t="str">
        <f aca="false">IF(AND($B386&lt;&gt;"",$B386='Estado de cuenta'!$C$4),COUNTIF($B$2:$B386,'Estado de cuenta'!$C$4),"")</f>
        <v/>
      </c>
    </row>
    <row r="387" customFormat="false" ht="15" hidden="false" customHeight="false" outlineLevel="0" collapsed="false">
      <c r="A387" s="17"/>
      <c r="B387" s="10"/>
      <c r="C387" s="10"/>
      <c r="D387" s="10"/>
      <c r="E387" s="10"/>
      <c r="F387" s="12"/>
      <c r="G387" s="13" t="str">
        <f aca="false">IF(OR($B387="",$F387=""),"",IF(OR($C387="Saldo inicial",$C387="Factura",$C387="Nota de débito"),$F387,0))</f>
        <v/>
      </c>
      <c r="H387" s="13" t="str">
        <f aca="false">IF(OR($B387="",$F387=""),"",IF(OR($C387="Cobro",$C387="Nota de crédito"),$F387,0))</f>
        <v/>
      </c>
      <c r="I387" s="16" t="str">
        <f aca="false">IF(OR($A387="",N($G387)=0),"",$A387+IFERROR(INDEX(Clientes!$F$2:$F$81,MATCH($B387,Clientes!$B$2:$B$81,0)),0))</f>
        <v/>
      </c>
      <c r="J387" s="13" t="str">
        <f aca="false">IF($B387="","",SUMIFS($G$2:$G387,$B$2:$B387,$B387)-SUMIFS($H$2:$H387,$B$2:$B387,$B387))</f>
        <v/>
      </c>
      <c r="K387" s="10"/>
      <c r="L387" s="10"/>
      <c r="M387" s="18" t="str">
        <f aca="false">IF(AND($B387&lt;&gt;"",$B387='Estado de cuenta'!$C$4),COUNTIF($B$2:$B387,'Estado de cuenta'!$C$4),"")</f>
        <v/>
      </c>
    </row>
    <row r="388" customFormat="false" ht="15" hidden="false" customHeight="false" outlineLevel="0" collapsed="false">
      <c r="A388" s="17"/>
      <c r="B388" s="10"/>
      <c r="C388" s="10"/>
      <c r="D388" s="10"/>
      <c r="E388" s="10"/>
      <c r="F388" s="12"/>
      <c r="G388" s="13" t="str">
        <f aca="false">IF(OR($B388="",$F388=""),"",IF(OR($C388="Saldo inicial",$C388="Factura",$C388="Nota de débito"),$F388,0))</f>
        <v/>
      </c>
      <c r="H388" s="13" t="str">
        <f aca="false">IF(OR($B388="",$F388=""),"",IF(OR($C388="Cobro",$C388="Nota de crédito"),$F388,0))</f>
        <v/>
      </c>
      <c r="I388" s="16" t="str">
        <f aca="false">IF(OR($A388="",N($G388)=0),"",$A388+IFERROR(INDEX(Clientes!$F$2:$F$81,MATCH($B388,Clientes!$B$2:$B$81,0)),0))</f>
        <v/>
      </c>
      <c r="J388" s="13" t="str">
        <f aca="false">IF($B388="","",SUMIFS($G$2:$G388,$B$2:$B388,$B388)-SUMIFS($H$2:$H388,$B$2:$B388,$B388))</f>
        <v/>
      </c>
      <c r="K388" s="10"/>
      <c r="L388" s="10"/>
      <c r="M388" s="18" t="str">
        <f aca="false">IF(AND($B388&lt;&gt;"",$B388='Estado de cuenta'!$C$4),COUNTIF($B$2:$B388,'Estado de cuenta'!$C$4),"")</f>
        <v/>
      </c>
    </row>
    <row r="389" customFormat="false" ht="15" hidden="false" customHeight="false" outlineLevel="0" collapsed="false">
      <c r="A389" s="17"/>
      <c r="B389" s="10"/>
      <c r="C389" s="10"/>
      <c r="D389" s="10"/>
      <c r="E389" s="10"/>
      <c r="F389" s="12"/>
      <c r="G389" s="13" t="str">
        <f aca="false">IF(OR($B389="",$F389=""),"",IF(OR($C389="Saldo inicial",$C389="Factura",$C389="Nota de débito"),$F389,0))</f>
        <v/>
      </c>
      <c r="H389" s="13" t="str">
        <f aca="false">IF(OR($B389="",$F389=""),"",IF(OR($C389="Cobro",$C389="Nota de crédito"),$F389,0))</f>
        <v/>
      </c>
      <c r="I389" s="16" t="str">
        <f aca="false">IF(OR($A389="",N($G389)=0),"",$A389+IFERROR(INDEX(Clientes!$F$2:$F$81,MATCH($B389,Clientes!$B$2:$B$81,0)),0))</f>
        <v/>
      </c>
      <c r="J389" s="13" t="str">
        <f aca="false">IF($B389="","",SUMIFS($G$2:$G389,$B$2:$B389,$B389)-SUMIFS($H$2:$H389,$B$2:$B389,$B389))</f>
        <v/>
      </c>
      <c r="K389" s="10"/>
      <c r="L389" s="10"/>
      <c r="M389" s="18" t="str">
        <f aca="false">IF(AND($B389&lt;&gt;"",$B389='Estado de cuenta'!$C$4),COUNTIF($B$2:$B389,'Estado de cuenta'!$C$4),"")</f>
        <v/>
      </c>
    </row>
    <row r="390" customFormat="false" ht="15" hidden="false" customHeight="false" outlineLevel="0" collapsed="false">
      <c r="A390" s="17"/>
      <c r="B390" s="10"/>
      <c r="C390" s="10"/>
      <c r="D390" s="10"/>
      <c r="E390" s="10"/>
      <c r="F390" s="12"/>
      <c r="G390" s="13" t="str">
        <f aca="false">IF(OR($B390="",$F390=""),"",IF(OR($C390="Saldo inicial",$C390="Factura",$C390="Nota de débito"),$F390,0))</f>
        <v/>
      </c>
      <c r="H390" s="13" t="str">
        <f aca="false">IF(OR($B390="",$F390=""),"",IF(OR($C390="Cobro",$C390="Nota de crédito"),$F390,0))</f>
        <v/>
      </c>
      <c r="I390" s="16" t="str">
        <f aca="false">IF(OR($A390="",N($G390)=0),"",$A390+IFERROR(INDEX(Clientes!$F$2:$F$81,MATCH($B390,Clientes!$B$2:$B$81,0)),0))</f>
        <v/>
      </c>
      <c r="J390" s="13" t="str">
        <f aca="false">IF($B390="","",SUMIFS($G$2:$G390,$B$2:$B390,$B390)-SUMIFS($H$2:$H390,$B$2:$B390,$B390))</f>
        <v/>
      </c>
      <c r="K390" s="10"/>
      <c r="L390" s="10"/>
      <c r="M390" s="18" t="str">
        <f aca="false">IF(AND($B390&lt;&gt;"",$B390='Estado de cuenta'!$C$4),COUNTIF($B$2:$B390,'Estado de cuenta'!$C$4),"")</f>
        <v/>
      </c>
    </row>
    <row r="391" customFormat="false" ht="15" hidden="false" customHeight="false" outlineLevel="0" collapsed="false">
      <c r="A391" s="17"/>
      <c r="B391" s="10"/>
      <c r="C391" s="10"/>
      <c r="D391" s="10"/>
      <c r="E391" s="10"/>
      <c r="F391" s="12"/>
      <c r="G391" s="13" t="str">
        <f aca="false">IF(OR($B391="",$F391=""),"",IF(OR($C391="Saldo inicial",$C391="Factura",$C391="Nota de débito"),$F391,0))</f>
        <v/>
      </c>
      <c r="H391" s="13" t="str">
        <f aca="false">IF(OR($B391="",$F391=""),"",IF(OR($C391="Cobro",$C391="Nota de crédito"),$F391,0))</f>
        <v/>
      </c>
      <c r="I391" s="16" t="str">
        <f aca="false">IF(OR($A391="",N($G391)=0),"",$A391+IFERROR(INDEX(Clientes!$F$2:$F$81,MATCH($B391,Clientes!$B$2:$B$81,0)),0))</f>
        <v/>
      </c>
      <c r="J391" s="13" t="str">
        <f aca="false">IF($B391="","",SUMIFS($G$2:$G391,$B$2:$B391,$B391)-SUMIFS($H$2:$H391,$B$2:$B391,$B391))</f>
        <v/>
      </c>
      <c r="K391" s="10"/>
      <c r="L391" s="10"/>
      <c r="M391" s="18" t="str">
        <f aca="false">IF(AND($B391&lt;&gt;"",$B391='Estado de cuenta'!$C$4),COUNTIF($B$2:$B391,'Estado de cuenta'!$C$4),"")</f>
        <v/>
      </c>
    </row>
    <row r="392" customFormat="false" ht="15" hidden="false" customHeight="false" outlineLevel="0" collapsed="false">
      <c r="A392" s="17"/>
      <c r="B392" s="10"/>
      <c r="C392" s="10"/>
      <c r="D392" s="10"/>
      <c r="E392" s="10"/>
      <c r="F392" s="12"/>
      <c r="G392" s="13" t="str">
        <f aca="false">IF(OR($B392="",$F392=""),"",IF(OR($C392="Saldo inicial",$C392="Factura",$C392="Nota de débito"),$F392,0))</f>
        <v/>
      </c>
      <c r="H392" s="13" t="str">
        <f aca="false">IF(OR($B392="",$F392=""),"",IF(OR($C392="Cobro",$C392="Nota de crédito"),$F392,0))</f>
        <v/>
      </c>
      <c r="I392" s="16" t="str">
        <f aca="false">IF(OR($A392="",N($G392)=0),"",$A392+IFERROR(INDEX(Clientes!$F$2:$F$81,MATCH($B392,Clientes!$B$2:$B$81,0)),0))</f>
        <v/>
      </c>
      <c r="J392" s="13" t="str">
        <f aca="false">IF($B392="","",SUMIFS($G$2:$G392,$B$2:$B392,$B392)-SUMIFS($H$2:$H392,$B$2:$B392,$B392))</f>
        <v/>
      </c>
      <c r="K392" s="10"/>
      <c r="L392" s="10"/>
      <c r="M392" s="18" t="str">
        <f aca="false">IF(AND($B392&lt;&gt;"",$B392='Estado de cuenta'!$C$4),COUNTIF($B$2:$B392,'Estado de cuenta'!$C$4),"")</f>
        <v/>
      </c>
    </row>
    <row r="393" customFormat="false" ht="15" hidden="false" customHeight="false" outlineLevel="0" collapsed="false">
      <c r="A393" s="17"/>
      <c r="B393" s="10"/>
      <c r="C393" s="10"/>
      <c r="D393" s="10"/>
      <c r="E393" s="10"/>
      <c r="F393" s="12"/>
      <c r="G393" s="13" t="str">
        <f aca="false">IF(OR($B393="",$F393=""),"",IF(OR($C393="Saldo inicial",$C393="Factura",$C393="Nota de débito"),$F393,0))</f>
        <v/>
      </c>
      <c r="H393" s="13" t="str">
        <f aca="false">IF(OR($B393="",$F393=""),"",IF(OR($C393="Cobro",$C393="Nota de crédito"),$F393,0))</f>
        <v/>
      </c>
      <c r="I393" s="16" t="str">
        <f aca="false">IF(OR($A393="",N($G393)=0),"",$A393+IFERROR(INDEX(Clientes!$F$2:$F$81,MATCH($B393,Clientes!$B$2:$B$81,0)),0))</f>
        <v/>
      </c>
      <c r="J393" s="13" t="str">
        <f aca="false">IF($B393="","",SUMIFS($G$2:$G393,$B$2:$B393,$B393)-SUMIFS($H$2:$H393,$B$2:$B393,$B393))</f>
        <v/>
      </c>
      <c r="K393" s="10"/>
      <c r="L393" s="10"/>
      <c r="M393" s="18" t="str">
        <f aca="false">IF(AND($B393&lt;&gt;"",$B393='Estado de cuenta'!$C$4),COUNTIF($B$2:$B393,'Estado de cuenta'!$C$4),"")</f>
        <v/>
      </c>
    </row>
    <row r="394" customFormat="false" ht="15" hidden="false" customHeight="false" outlineLevel="0" collapsed="false">
      <c r="A394" s="17"/>
      <c r="B394" s="10"/>
      <c r="C394" s="10"/>
      <c r="D394" s="10"/>
      <c r="E394" s="10"/>
      <c r="F394" s="12"/>
      <c r="G394" s="13" t="str">
        <f aca="false">IF(OR($B394="",$F394=""),"",IF(OR($C394="Saldo inicial",$C394="Factura",$C394="Nota de débito"),$F394,0))</f>
        <v/>
      </c>
      <c r="H394" s="13" t="str">
        <f aca="false">IF(OR($B394="",$F394=""),"",IF(OR($C394="Cobro",$C394="Nota de crédito"),$F394,0))</f>
        <v/>
      </c>
      <c r="I394" s="16" t="str">
        <f aca="false">IF(OR($A394="",N($G394)=0),"",$A394+IFERROR(INDEX(Clientes!$F$2:$F$81,MATCH($B394,Clientes!$B$2:$B$81,0)),0))</f>
        <v/>
      </c>
      <c r="J394" s="13" t="str">
        <f aca="false">IF($B394="","",SUMIFS($G$2:$G394,$B$2:$B394,$B394)-SUMIFS($H$2:$H394,$B$2:$B394,$B394))</f>
        <v/>
      </c>
      <c r="K394" s="10"/>
      <c r="L394" s="10"/>
      <c r="M394" s="18" t="str">
        <f aca="false">IF(AND($B394&lt;&gt;"",$B394='Estado de cuenta'!$C$4),COUNTIF($B$2:$B394,'Estado de cuenta'!$C$4),"")</f>
        <v/>
      </c>
    </row>
    <row r="395" customFormat="false" ht="15" hidden="false" customHeight="false" outlineLevel="0" collapsed="false">
      <c r="A395" s="17"/>
      <c r="B395" s="10"/>
      <c r="C395" s="10"/>
      <c r="D395" s="10"/>
      <c r="E395" s="10"/>
      <c r="F395" s="12"/>
      <c r="G395" s="13" t="str">
        <f aca="false">IF(OR($B395="",$F395=""),"",IF(OR($C395="Saldo inicial",$C395="Factura",$C395="Nota de débito"),$F395,0))</f>
        <v/>
      </c>
      <c r="H395" s="13" t="str">
        <f aca="false">IF(OR($B395="",$F395=""),"",IF(OR($C395="Cobro",$C395="Nota de crédito"),$F395,0))</f>
        <v/>
      </c>
      <c r="I395" s="16" t="str">
        <f aca="false">IF(OR($A395="",N($G395)=0),"",$A395+IFERROR(INDEX(Clientes!$F$2:$F$81,MATCH($B395,Clientes!$B$2:$B$81,0)),0))</f>
        <v/>
      </c>
      <c r="J395" s="13" t="str">
        <f aca="false">IF($B395="","",SUMIFS($G$2:$G395,$B$2:$B395,$B395)-SUMIFS($H$2:$H395,$B$2:$B395,$B395))</f>
        <v/>
      </c>
      <c r="K395" s="10"/>
      <c r="L395" s="10"/>
      <c r="M395" s="18" t="str">
        <f aca="false">IF(AND($B395&lt;&gt;"",$B395='Estado de cuenta'!$C$4),COUNTIF($B$2:$B395,'Estado de cuenta'!$C$4),"")</f>
        <v/>
      </c>
    </row>
    <row r="396" customFormat="false" ht="15" hidden="false" customHeight="false" outlineLevel="0" collapsed="false">
      <c r="A396" s="17"/>
      <c r="B396" s="10"/>
      <c r="C396" s="10"/>
      <c r="D396" s="10"/>
      <c r="E396" s="10"/>
      <c r="F396" s="12"/>
      <c r="G396" s="13" t="str">
        <f aca="false">IF(OR($B396="",$F396=""),"",IF(OR($C396="Saldo inicial",$C396="Factura",$C396="Nota de débito"),$F396,0))</f>
        <v/>
      </c>
      <c r="H396" s="13" t="str">
        <f aca="false">IF(OR($B396="",$F396=""),"",IF(OR($C396="Cobro",$C396="Nota de crédito"),$F396,0))</f>
        <v/>
      </c>
      <c r="I396" s="16" t="str">
        <f aca="false">IF(OR($A396="",N($G396)=0),"",$A396+IFERROR(INDEX(Clientes!$F$2:$F$81,MATCH($B396,Clientes!$B$2:$B$81,0)),0))</f>
        <v/>
      </c>
      <c r="J396" s="13" t="str">
        <f aca="false">IF($B396="","",SUMIFS($G$2:$G396,$B$2:$B396,$B396)-SUMIFS($H$2:$H396,$B$2:$B396,$B396))</f>
        <v/>
      </c>
      <c r="K396" s="10"/>
      <c r="L396" s="10"/>
      <c r="M396" s="18" t="str">
        <f aca="false">IF(AND($B396&lt;&gt;"",$B396='Estado de cuenta'!$C$4),COUNTIF($B$2:$B396,'Estado de cuenta'!$C$4),"")</f>
        <v/>
      </c>
    </row>
    <row r="397" customFormat="false" ht="15" hidden="false" customHeight="false" outlineLevel="0" collapsed="false">
      <c r="A397" s="17"/>
      <c r="B397" s="10"/>
      <c r="C397" s="10"/>
      <c r="D397" s="10"/>
      <c r="E397" s="10"/>
      <c r="F397" s="12"/>
      <c r="G397" s="13" t="str">
        <f aca="false">IF(OR($B397="",$F397=""),"",IF(OR($C397="Saldo inicial",$C397="Factura",$C397="Nota de débito"),$F397,0))</f>
        <v/>
      </c>
      <c r="H397" s="13" t="str">
        <f aca="false">IF(OR($B397="",$F397=""),"",IF(OR($C397="Cobro",$C397="Nota de crédito"),$F397,0))</f>
        <v/>
      </c>
      <c r="I397" s="16" t="str">
        <f aca="false">IF(OR($A397="",N($G397)=0),"",$A397+IFERROR(INDEX(Clientes!$F$2:$F$81,MATCH($B397,Clientes!$B$2:$B$81,0)),0))</f>
        <v/>
      </c>
      <c r="J397" s="13" t="str">
        <f aca="false">IF($B397="","",SUMIFS($G$2:$G397,$B$2:$B397,$B397)-SUMIFS($H$2:$H397,$B$2:$B397,$B397))</f>
        <v/>
      </c>
      <c r="K397" s="10"/>
      <c r="L397" s="10"/>
      <c r="M397" s="18" t="str">
        <f aca="false">IF(AND($B397&lt;&gt;"",$B397='Estado de cuenta'!$C$4),COUNTIF($B$2:$B397,'Estado de cuenta'!$C$4),"")</f>
        <v/>
      </c>
    </row>
    <row r="398" customFormat="false" ht="15" hidden="false" customHeight="false" outlineLevel="0" collapsed="false">
      <c r="A398" s="17"/>
      <c r="B398" s="10"/>
      <c r="C398" s="10"/>
      <c r="D398" s="10"/>
      <c r="E398" s="10"/>
      <c r="F398" s="12"/>
      <c r="G398" s="13" t="str">
        <f aca="false">IF(OR($B398="",$F398=""),"",IF(OR($C398="Saldo inicial",$C398="Factura",$C398="Nota de débito"),$F398,0))</f>
        <v/>
      </c>
      <c r="H398" s="13" t="str">
        <f aca="false">IF(OR($B398="",$F398=""),"",IF(OR($C398="Cobro",$C398="Nota de crédito"),$F398,0))</f>
        <v/>
      </c>
      <c r="I398" s="16" t="str">
        <f aca="false">IF(OR($A398="",N($G398)=0),"",$A398+IFERROR(INDEX(Clientes!$F$2:$F$81,MATCH($B398,Clientes!$B$2:$B$81,0)),0))</f>
        <v/>
      </c>
      <c r="J398" s="13" t="str">
        <f aca="false">IF($B398="","",SUMIFS($G$2:$G398,$B$2:$B398,$B398)-SUMIFS($H$2:$H398,$B$2:$B398,$B398))</f>
        <v/>
      </c>
      <c r="K398" s="10"/>
      <c r="L398" s="10"/>
      <c r="M398" s="18" t="str">
        <f aca="false">IF(AND($B398&lt;&gt;"",$B398='Estado de cuenta'!$C$4),COUNTIF($B$2:$B398,'Estado de cuenta'!$C$4),"")</f>
        <v/>
      </c>
    </row>
    <row r="399" customFormat="false" ht="15" hidden="false" customHeight="false" outlineLevel="0" collapsed="false">
      <c r="A399" s="17"/>
      <c r="B399" s="10"/>
      <c r="C399" s="10"/>
      <c r="D399" s="10"/>
      <c r="E399" s="10"/>
      <c r="F399" s="12"/>
      <c r="G399" s="13" t="str">
        <f aca="false">IF(OR($B399="",$F399=""),"",IF(OR($C399="Saldo inicial",$C399="Factura",$C399="Nota de débito"),$F399,0))</f>
        <v/>
      </c>
      <c r="H399" s="13" t="str">
        <f aca="false">IF(OR($B399="",$F399=""),"",IF(OR($C399="Cobro",$C399="Nota de crédito"),$F399,0))</f>
        <v/>
      </c>
      <c r="I399" s="16" t="str">
        <f aca="false">IF(OR($A399="",N($G399)=0),"",$A399+IFERROR(INDEX(Clientes!$F$2:$F$81,MATCH($B399,Clientes!$B$2:$B$81,0)),0))</f>
        <v/>
      </c>
      <c r="J399" s="13" t="str">
        <f aca="false">IF($B399="","",SUMIFS($G$2:$G399,$B$2:$B399,$B399)-SUMIFS($H$2:$H399,$B$2:$B399,$B399))</f>
        <v/>
      </c>
      <c r="K399" s="10"/>
      <c r="L399" s="10"/>
      <c r="M399" s="18" t="str">
        <f aca="false">IF(AND($B399&lt;&gt;"",$B399='Estado de cuenta'!$C$4),COUNTIF($B$2:$B399,'Estado de cuenta'!$C$4),"")</f>
        <v/>
      </c>
    </row>
    <row r="400" customFormat="false" ht="15" hidden="false" customHeight="false" outlineLevel="0" collapsed="false">
      <c r="A400" s="17"/>
      <c r="B400" s="10"/>
      <c r="C400" s="10"/>
      <c r="D400" s="10"/>
      <c r="E400" s="10"/>
      <c r="F400" s="12"/>
      <c r="G400" s="13" t="str">
        <f aca="false">IF(OR($B400="",$F400=""),"",IF(OR($C400="Saldo inicial",$C400="Factura",$C400="Nota de débito"),$F400,0))</f>
        <v/>
      </c>
      <c r="H400" s="13" t="str">
        <f aca="false">IF(OR($B400="",$F400=""),"",IF(OR($C400="Cobro",$C400="Nota de crédito"),$F400,0))</f>
        <v/>
      </c>
      <c r="I400" s="16" t="str">
        <f aca="false">IF(OR($A400="",N($G400)=0),"",$A400+IFERROR(INDEX(Clientes!$F$2:$F$81,MATCH($B400,Clientes!$B$2:$B$81,0)),0))</f>
        <v/>
      </c>
      <c r="J400" s="13" t="str">
        <f aca="false">IF($B400="","",SUMIFS($G$2:$G400,$B$2:$B400,$B400)-SUMIFS($H$2:$H400,$B$2:$B400,$B400))</f>
        <v/>
      </c>
      <c r="K400" s="10"/>
      <c r="L400" s="10"/>
      <c r="M400" s="18" t="str">
        <f aca="false">IF(AND($B400&lt;&gt;"",$B400='Estado de cuenta'!$C$4),COUNTIF($B$2:$B400,'Estado de cuenta'!$C$4),"")</f>
        <v/>
      </c>
    </row>
    <row r="401" customFormat="false" ht="15" hidden="false" customHeight="false" outlineLevel="0" collapsed="false">
      <c r="A401" s="17"/>
      <c r="B401" s="10"/>
      <c r="C401" s="10"/>
      <c r="D401" s="10"/>
      <c r="E401" s="10"/>
      <c r="F401" s="12"/>
      <c r="G401" s="13" t="str">
        <f aca="false">IF(OR($B401="",$F401=""),"",IF(OR($C401="Saldo inicial",$C401="Factura",$C401="Nota de débito"),$F401,0))</f>
        <v/>
      </c>
      <c r="H401" s="13" t="str">
        <f aca="false">IF(OR($B401="",$F401=""),"",IF(OR($C401="Cobro",$C401="Nota de crédito"),$F401,0))</f>
        <v/>
      </c>
      <c r="I401" s="16" t="str">
        <f aca="false">IF(OR($A401="",N($G401)=0),"",$A401+IFERROR(INDEX(Clientes!$F$2:$F$81,MATCH($B401,Clientes!$B$2:$B$81,0)),0))</f>
        <v/>
      </c>
      <c r="J401" s="13" t="str">
        <f aca="false">IF($B401="","",SUMIFS($G$2:$G401,$B$2:$B401,$B401)-SUMIFS($H$2:$H401,$B$2:$B401,$B401))</f>
        <v/>
      </c>
      <c r="K401" s="10"/>
      <c r="L401" s="10"/>
      <c r="M401" s="18" t="str">
        <f aca="false">IF(AND($B401&lt;&gt;"",$B401='Estado de cuenta'!$C$4),COUNTIF($B$2:$B401,'Estado de cuenta'!$C$4),"")</f>
        <v/>
      </c>
    </row>
    <row r="402" customFormat="false" ht="15" hidden="false" customHeight="false" outlineLevel="0" collapsed="false">
      <c r="A402" s="17"/>
      <c r="B402" s="10"/>
      <c r="C402" s="10"/>
      <c r="D402" s="10"/>
      <c r="E402" s="10"/>
      <c r="F402" s="12"/>
      <c r="G402" s="13" t="str">
        <f aca="false">IF(OR($B402="",$F402=""),"",IF(OR($C402="Saldo inicial",$C402="Factura",$C402="Nota de débito"),$F402,0))</f>
        <v/>
      </c>
      <c r="H402" s="13" t="str">
        <f aca="false">IF(OR($B402="",$F402=""),"",IF(OR($C402="Cobro",$C402="Nota de crédito"),$F402,0))</f>
        <v/>
      </c>
      <c r="I402" s="16" t="str">
        <f aca="false">IF(OR($A402="",N($G402)=0),"",$A402+IFERROR(INDEX(Clientes!$F$2:$F$81,MATCH($B402,Clientes!$B$2:$B$81,0)),0))</f>
        <v/>
      </c>
      <c r="J402" s="13" t="str">
        <f aca="false">IF($B402="","",SUMIFS($G$2:$G402,$B$2:$B402,$B402)-SUMIFS($H$2:$H402,$B$2:$B402,$B402))</f>
        <v/>
      </c>
      <c r="K402" s="10"/>
      <c r="L402" s="10"/>
      <c r="M402" s="18" t="str">
        <f aca="false">IF(AND($B402&lt;&gt;"",$B402='Estado de cuenta'!$C$4),COUNTIF($B$2:$B402,'Estado de cuenta'!$C$4),"")</f>
        <v/>
      </c>
    </row>
    <row r="403" customFormat="false" ht="15" hidden="false" customHeight="false" outlineLevel="0" collapsed="false">
      <c r="A403" s="17"/>
      <c r="B403" s="10"/>
      <c r="C403" s="10"/>
      <c r="D403" s="10"/>
      <c r="E403" s="10"/>
      <c r="F403" s="12"/>
      <c r="G403" s="13" t="str">
        <f aca="false">IF(OR($B403="",$F403=""),"",IF(OR($C403="Saldo inicial",$C403="Factura",$C403="Nota de débito"),$F403,0))</f>
        <v/>
      </c>
      <c r="H403" s="13" t="str">
        <f aca="false">IF(OR($B403="",$F403=""),"",IF(OR($C403="Cobro",$C403="Nota de crédito"),$F403,0))</f>
        <v/>
      </c>
      <c r="I403" s="16" t="str">
        <f aca="false">IF(OR($A403="",N($G403)=0),"",$A403+IFERROR(INDEX(Clientes!$F$2:$F$81,MATCH($B403,Clientes!$B$2:$B$81,0)),0))</f>
        <v/>
      </c>
      <c r="J403" s="13" t="str">
        <f aca="false">IF($B403="","",SUMIFS($G$2:$G403,$B$2:$B403,$B403)-SUMIFS($H$2:$H403,$B$2:$B403,$B403))</f>
        <v/>
      </c>
      <c r="K403" s="10"/>
      <c r="L403" s="10"/>
      <c r="M403" s="18" t="str">
        <f aca="false">IF(AND($B403&lt;&gt;"",$B403='Estado de cuenta'!$C$4),COUNTIF($B$2:$B403,'Estado de cuenta'!$C$4),"")</f>
        <v/>
      </c>
    </row>
    <row r="404" customFormat="false" ht="15" hidden="false" customHeight="false" outlineLevel="0" collapsed="false">
      <c r="A404" s="17"/>
      <c r="B404" s="10"/>
      <c r="C404" s="10"/>
      <c r="D404" s="10"/>
      <c r="E404" s="10"/>
      <c r="F404" s="12"/>
      <c r="G404" s="13" t="str">
        <f aca="false">IF(OR($B404="",$F404=""),"",IF(OR($C404="Saldo inicial",$C404="Factura",$C404="Nota de débito"),$F404,0))</f>
        <v/>
      </c>
      <c r="H404" s="13" t="str">
        <f aca="false">IF(OR($B404="",$F404=""),"",IF(OR($C404="Cobro",$C404="Nota de crédito"),$F404,0))</f>
        <v/>
      </c>
      <c r="I404" s="16" t="str">
        <f aca="false">IF(OR($A404="",N($G404)=0),"",$A404+IFERROR(INDEX(Clientes!$F$2:$F$81,MATCH($B404,Clientes!$B$2:$B$81,0)),0))</f>
        <v/>
      </c>
      <c r="J404" s="13" t="str">
        <f aca="false">IF($B404="","",SUMIFS($G$2:$G404,$B$2:$B404,$B404)-SUMIFS($H$2:$H404,$B$2:$B404,$B404))</f>
        <v/>
      </c>
      <c r="K404" s="10"/>
      <c r="L404" s="10"/>
      <c r="M404" s="18" t="str">
        <f aca="false">IF(AND($B404&lt;&gt;"",$B404='Estado de cuenta'!$C$4),COUNTIF($B$2:$B404,'Estado de cuenta'!$C$4),"")</f>
        <v/>
      </c>
    </row>
    <row r="405" customFormat="false" ht="15" hidden="false" customHeight="false" outlineLevel="0" collapsed="false">
      <c r="A405" s="17"/>
      <c r="B405" s="10"/>
      <c r="C405" s="10"/>
      <c r="D405" s="10"/>
      <c r="E405" s="10"/>
      <c r="F405" s="12"/>
      <c r="G405" s="13" t="str">
        <f aca="false">IF(OR($B405="",$F405=""),"",IF(OR($C405="Saldo inicial",$C405="Factura",$C405="Nota de débito"),$F405,0))</f>
        <v/>
      </c>
      <c r="H405" s="13" t="str">
        <f aca="false">IF(OR($B405="",$F405=""),"",IF(OR($C405="Cobro",$C405="Nota de crédito"),$F405,0))</f>
        <v/>
      </c>
      <c r="I405" s="16" t="str">
        <f aca="false">IF(OR($A405="",N($G405)=0),"",$A405+IFERROR(INDEX(Clientes!$F$2:$F$81,MATCH($B405,Clientes!$B$2:$B$81,0)),0))</f>
        <v/>
      </c>
      <c r="J405" s="13" t="str">
        <f aca="false">IF($B405="","",SUMIFS($G$2:$G405,$B$2:$B405,$B405)-SUMIFS($H$2:$H405,$B$2:$B405,$B405))</f>
        <v/>
      </c>
      <c r="K405" s="10"/>
      <c r="L405" s="10"/>
      <c r="M405" s="18" t="str">
        <f aca="false">IF(AND($B405&lt;&gt;"",$B405='Estado de cuenta'!$C$4),COUNTIF($B$2:$B405,'Estado de cuenta'!$C$4),"")</f>
        <v/>
      </c>
    </row>
    <row r="406" customFormat="false" ht="15" hidden="false" customHeight="false" outlineLevel="0" collapsed="false">
      <c r="A406" s="17"/>
      <c r="B406" s="10"/>
      <c r="C406" s="10"/>
      <c r="D406" s="10"/>
      <c r="E406" s="10"/>
      <c r="F406" s="12"/>
      <c r="G406" s="13" t="str">
        <f aca="false">IF(OR($B406="",$F406=""),"",IF(OR($C406="Saldo inicial",$C406="Factura",$C406="Nota de débito"),$F406,0))</f>
        <v/>
      </c>
      <c r="H406" s="13" t="str">
        <f aca="false">IF(OR($B406="",$F406=""),"",IF(OR($C406="Cobro",$C406="Nota de crédito"),$F406,0))</f>
        <v/>
      </c>
      <c r="I406" s="16" t="str">
        <f aca="false">IF(OR($A406="",N($G406)=0),"",$A406+IFERROR(INDEX(Clientes!$F$2:$F$81,MATCH($B406,Clientes!$B$2:$B$81,0)),0))</f>
        <v/>
      </c>
      <c r="J406" s="13" t="str">
        <f aca="false">IF($B406="","",SUMIFS($G$2:$G406,$B$2:$B406,$B406)-SUMIFS($H$2:$H406,$B$2:$B406,$B406))</f>
        <v/>
      </c>
      <c r="K406" s="10"/>
      <c r="L406" s="10"/>
      <c r="M406" s="18" t="str">
        <f aca="false">IF(AND($B406&lt;&gt;"",$B406='Estado de cuenta'!$C$4),COUNTIF($B$2:$B406,'Estado de cuenta'!$C$4),"")</f>
        <v/>
      </c>
    </row>
    <row r="407" customFormat="false" ht="15" hidden="false" customHeight="false" outlineLevel="0" collapsed="false">
      <c r="A407" s="17"/>
      <c r="B407" s="10"/>
      <c r="C407" s="10"/>
      <c r="D407" s="10"/>
      <c r="E407" s="10"/>
      <c r="F407" s="12"/>
      <c r="G407" s="13" t="str">
        <f aca="false">IF(OR($B407="",$F407=""),"",IF(OR($C407="Saldo inicial",$C407="Factura",$C407="Nota de débito"),$F407,0))</f>
        <v/>
      </c>
      <c r="H407" s="13" t="str">
        <f aca="false">IF(OR($B407="",$F407=""),"",IF(OR($C407="Cobro",$C407="Nota de crédito"),$F407,0))</f>
        <v/>
      </c>
      <c r="I407" s="16" t="str">
        <f aca="false">IF(OR($A407="",N($G407)=0),"",$A407+IFERROR(INDEX(Clientes!$F$2:$F$81,MATCH($B407,Clientes!$B$2:$B$81,0)),0))</f>
        <v/>
      </c>
      <c r="J407" s="13" t="str">
        <f aca="false">IF($B407="","",SUMIFS($G$2:$G407,$B$2:$B407,$B407)-SUMIFS($H$2:$H407,$B$2:$B407,$B407))</f>
        <v/>
      </c>
      <c r="K407" s="10"/>
      <c r="L407" s="10"/>
      <c r="M407" s="18" t="str">
        <f aca="false">IF(AND($B407&lt;&gt;"",$B407='Estado de cuenta'!$C$4),COUNTIF($B$2:$B407,'Estado de cuenta'!$C$4),"")</f>
        <v/>
      </c>
    </row>
    <row r="408" customFormat="false" ht="15" hidden="false" customHeight="false" outlineLevel="0" collapsed="false">
      <c r="A408" s="17"/>
      <c r="B408" s="10"/>
      <c r="C408" s="10"/>
      <c r="D408" s="10"/>
      <c r="E408" s="10"/>
      <c r="F408" s="12"/>
      <c r="G408" s="13" t="str">
        <f aca="false">IF(OR($B408="",$F408=""),"",IF(OR($C408="Saldo inicial",$C408="Factura",$C408="Nota de débito"),$F408,0))</f>
        <v/>
      </c>
      <c r="H408" s="13" t="str">
        <f aca="false">IF(OR($B408="",$F408=""),"",IF(OR($C408="Cobro",$C408="Nota de crédito"),$F408,0))</f>
        <v/>
      </c>
      <c r="I408" s="16" t="str">
        <f aca="false">IF(OR($A408="",N($G408)=0),"",$A408+IFERROR(INDEX(Clientes!$F$2:$F$81,MATCH($B408,Clientes!$B$2:$B$81,0)),0))</f>
        <v/>
      </c>
      <c r="J408" s="13" t="str">
        <f aca="false">IF($B408="","",SUMIFS($G$2:$G408,$B$2:$B408,$B408)-SUMIFS($H$2:$H408,$B$2:$B408,$B408))</f>
        <v/>
      </c>
      <c r="K408" s="10"/>
      <c r="L408" s="10"/>
      <c r="M408" s="18" t="str">
        <f aca="false">IF(AND($B408&lt;&gt;"",$B408='Estado de cuenta'!$C$4),COUNTIF($B$2:$B408,'Estado de cuenta'!$C$4),"")</f>
        <v/>
      </c>
    </row>
    <row r="409" customFormat="false" ht="15" hidden="false" customHeight="false" outlineLevel="0" collapsed="false">
      <c r="A409" s="17"/>
      <c r="B409" s="10"/>
      <c r="C409" s="10"/>
      <c r="D409" s="10"/>
      <c r="E409" s="10"/>
      <c r="F409" s="12"/>
      <c r="G409" s="13" t="str">
        <f aca="false">IF(OR($B409="",$F409=""),"",IF(OR($C409="Saldo inicial",$C409="Factura",$C409="Nota de débito"),$F409,0))</f>
        <v/>
      </c>
      <c r="H409" s="13" t="str">
        <f aca="false">IF(OR($B409="",$F409=""),"",IF(OR($C409="Cobro",$C409="Nota de crédito"),$F409,0))</f>
        <v/>
      </c>
      <c r="I409" s="16" t="str">
        <f aca="false">IF(OR($A409="",N($G409)=0),"",$A409+IFERROR(INDEX(Clientes!$F$2:$F$81,MATCH($B409,Clientes!$B$2:$B$81,0)),0))</f>
        <v/>
      </c>
      <c r="J409" s="13" t="str">
        <f aca="false">IF($B409="","",SUMIFS($G$2:$G409,$B$2:$B409,$B409)-SUMIFS($H$2:$H409,$B$2:$B409,$B409))</f>
        <v/>
      </c>
      <c r="K409" s="10"/>
      <c r="L409" s="10"/>
      <c r="M409" s="18" t="str">
        <f aca="false">IF(AND($B409&lt;&gt;"",$B409='Estado de cuenta'!$C$4),COUNTIF($B$2:$B409,'Estado de cuenta'!$C$4),"")</f>
        <v/>
      </c>
    </row>
    <row r="410" customFormat="false" ht="15" hidden="false" customHeight="false" outlineLevel="0" collapsed="false">
      <c r="A410" s="17"/>
      <c r="B410" s="10"/>
      <c r="C410" s="10"/>
      <c r="D410" s="10"/>
      <c r="E410" s="10"/>
      <c r="F410" s="12"/>
      <c r="G410" s="13" t="str">
        <f aca="false">IF(OR($B410="",$F410=""),"",IF(OR($C410="Saldo inicial",$C410="Factura",$C410="Nota de débito"),$F410,0))</f>
        <v/>
      </c>
      <c r="H410" s="13" t="str">
        <f aca="false">IF(OR($B410="",$F410=""),"",IF(OR($C410="Cobro",$C410="Nota de crédito"),$F410,0))</f>
        <v/>
      </c>
      <c r="I410" s="16" t="str">
        <f aca="false">IF(OR($A410="",N($G410)=0),"",$A410+IFERROR(INDEX(Clientes!$F$2:$F$81,MATCH($B410,Clientes!$B$2:$B$81,0)),0))</f>
        <v/>
      </c>
      <c r="J410" s="13" t="str">
        <f aca="false">IF($B410="","",SUMIFS($G$2:$G410,$B$2:$B410,$B410)-SUMIFS($H$2:$H410,$B$2:$B410,$B410))</f>
        <v/>
      </c>
      <c r="K410" s="10"/>
      <c r="L410" s="10"/>
      <c r="M410" s="18" t="str">
        <f aca="false">IF(AND($B410&lt;&gt;"",$B410='Estado de cuenta'!$C$4),COUNTIF($B$2:$B410,'Estado de cuenta'!$C$4),"")</f>
        <v/>
      </c>
    </row>
    <row r="411" customFormat="false" ht="15" hidden="false" customHeight="false" outlineLevel="0" collapsed="false">
      <c r="A411" s="17"/>
      <c r="B411" s="10"/>
      <c r="C411" s="10"/>
      <c r="D411" s="10"/>
      <c r="E411" s="10"/>
      <c r="F411" s="12"/>
      <c r="G411" s="13" t="str">
        <f aca="false">IF(OR($B411="",$F411=""),"",IF(OR($C411="Saldo inicial",$C411="Factura",$C411="Nota de débito"),$F411,0))</f>
        <v/>
      </c>
      <c r="H411" s="13" t="str">
        <f aca="false">IF(OR($B411="",$F411=""),"",IF(OR($C411="Cobro",$C411="Nota de crédito"),$F411,0))</f>
        <v/>
      </c>
      <c r="I411" s="16" t="str">
        <f aca="false">IF(OR($A411="",N($G411)=0),"",$A411+IFERROR(INDEX(Clientes!$F$2:$F$81,MATCH($B411,Clientes!$B$2:$B$81,0)),0))</f>
        <v/>
      </c>
      <c r="J411" s="13" t="str">
        <f aca="false">IF($B411="","",SUMIFS($G$2:$G411,$B$2:$B411,$B411)-SUMIFS($H$2:$H411,$B$2:$B411,$B411))</f>
        <v/>
      </c>
      <c r="K411" s="10"/>
      <c r="L411" s="10"/>
      <c r="M411" s="18" t="str">
        <f aca="false">IF(AND($B411&lt;&gt;"",$B411='Estado de cuenta'!$C$4),COUNTIF($B$2:$B411,'Estado de cuenta'!$C$4),"")</f>
        <v/>
      </c>
    </row>
    <row r="412" customFormat="false" ht="15" hidden="false" customHeight="false" outlineLevel="0" collapsed="false">
      <c r="A412" s="17"/>
      <c r="B412" s="10"/>
      <c r="C412" s="10"/>
      <c r="D412" s="10"/>
      <c r="E412" s="10"/>
      <c r="F412" s="12"/>
      <c r="G412" s="13" t="str">
        <f aca="false">IF(OR($B412="",$F412=""),"",IF(OR($C412="Saldo inicial",$C412="Factura",$C412="Nota de débito"),$F412,0))</f>
        <v/>
      </c>
      <c r="H412" s="13" t="str">
        <f aca="false">IF(OR($B412="",$F412=""),"",IF(OR($C412="Cobro",$C412="Nota de crédito"),$F412,0))</f>
        <v/>
      </c>
      <c r="I412" s="16" t="str">
        <f aca="false">IF(OR($A412="",N($G412)=0),"",$A412+IFERROR(INDEX(Clientes!$F$2:$F$81,MATCH($B412,Clientes!$B$2:$B$81,0)),0))</f>
        <v/>
      </c>
      <c r="J412" s="13" t="str">
        <f aca="false">IF($B412="","",SUMIFS($G$2:$G412,$B$2:$B412,$B412)-SUMIFS($H$2:$H412,$B$2:$B412,$B412))</f>
        <v/>
      </c>
      <c r="K412" s="10"/>
      <c r="L412" s="10"/>
      <c r="M412" s="18" t="str">
        <f aca="false">IF(AND($B412&lt;&gt;"",$B412='Estado de cuenta'!$C$4),COUNTIF($B$2:$B412,'Estado de cuenta'!$C$4),"")</f>
        <v/>
      </c>
    </row>
    <row r="413" customFormat="false" ht="15" hidden="false" customHeight="false" outlineLevel="0" collapsed="false">
      <c r="A413" s="17"/>
      <c r="B413" s="10"/>
      <c r="C413" s="10"/>
      <c r="D413" s="10"/>
      <c r="E413" s="10"/>
      <c r="F413" s="12"/>
      <c r="G413" s="13" t="str">
        <f aca="false">IF(OR($B413="",$F413=""),"",IF(OR($C413="Saldo inicial",$C413="Factura",$C413="Nota de débito"),$F413,0))</f>
        <v/>
      </c>
      <c r="H413" s="13" t="str">
        <f aca="false">IF(OR($B413="",$F413=""),"",IF(OR($C413="Cobro",$C413="Nota de crédito"),$F413,0))</f>
        <v/>
      </c>
      <c r="I413" s="16" t="str">
        <f aca="false">IF(OR($A413="",N($G413)=0),"",$A413+IFERROR(INDEX(Clientes!$F$2:$F$81,MATCH($B413,Clientes!$B$2:$B$81,0)),0))</f>
        <v/>
      </c>
      <c r="J413" s="13" t="str">
        <f aca="false">IF($B413="","",SUMIFS($G$2:$G413,$B$2:$B413,$B413)-SUMIFS($H$2:$H413,$B$2:$B413,$B413))</f>
        <v/>
      </c>
      <c r="K413" s="10"/>
      <c r="L413" s="10"/>
      <c r="M413" s="18" t="str">
        <f aca="false">IF(AND($B413&lt;&gt;"",$B413='Estado de cuenta'!$C$4),COUNTIF($B$2:$B413,'Estado de cuenta'!$C$4),"")</f>
        <v/>
      </c>
    </row>
    <row r="414" customFormat="false" ht="15" hidden="false" customHeight="false" outlineLevel="0" collapsed="false">
      <c r="A414" s="17"/>
      <c r="B414" s="10"/>
      <c r="C414" s="10"/>
      <c r="D414" s="10"/>
      <c r="E414" s="10"/>
      <c r="F414" s="12"/>
      <c r="G414" s="13" t="str">
        <f aca="false">IF(OR($B414="",$F414=""),"",IF(OR($C414="Saldo inicial",$C414="Factura",$C414="Nota de débito"),$F414,0))</f>
        <v/>
      </c>
      <c r="H414" s="13" t="str">
        <f aca="false">IF(OR($B414="",$F414=""),"",IF(OR($C414="Cobro",$C414="Nota de crédito"),$F414,0))</f>
        <v/>
      </c>
      <c r="I414" s="16" t="str">
        <f aca="false">IF(OR($A414="",N($G414)=0),"",$A414+IFERROR(INDEX(Clientes!$F$2:$F$81,MATCH($B414,Clientes!$B$2:$B$81,0)),0))</f>
        <v/>
      </c>
      <c r="J414" s="13" t="str">
        <f aca="false">IF($B414="","",SUMIFS($G$2:$G414,$B$2:$B414,$B414)-SUMIFS($H$2:$H414,$B$2:$B414,$B414))</f>
        <v/>
      </c>
      <c r="K414" s="10"/>
      <c r="L414" s="10"/>
      <c r="M414" s="18" t="str">
        <f aca="false">IF(AND($B414&lt;&gt;"",$B414='Estado de cuenta'!$C$4),COUNTIF($B$2:$B414,'Estado de cuenta'!$C$4),"")</f>
        <v/>
      </c>
    </row>
    <row r="415" customFormat="false" ht="15" hidden="false" customHeight="false" outlineLevel="0" collapsed="false">
      <c r="A415" s="17"/>
      <c r="B415" s="10"/>
      <c r="C415" s="10"/>
      <c r="D415" s="10"/>
      <c r="E415" s="10"/>
      <c r="F415" s="12"/>
      <c r="G415" s="13" t="str">
        <f aca="false">IF(OR($B415="",$F415=""),"",IF(OR($C415="Saldo inicial",$C415="Factura",$C415="Nota de débito"),$F415,0))</f>
        <v/>
      </c>
      <c r="H415" s="13" t="str">
        <f aca="false">IF(OR($B415="",$F415=""),"",IF(OR($C415="Cobro",$C415="Nota de crédito"),$F415,0))</f>
        <v/>
      </c>
      <c r="I415" s="16" t="str">
        <f aca="false">IF(OR($A415="",N($G415)=0),"",$A415+IFERROR(INDEX(Clientes!$F$2:$F$81,MATCH($B415,Clientes!$B$2:$B$81,0)),0))</f>
        <v/>
      </c>
      <c r="J415" s="13" t="str">
        <f aca="false">IF($B415="","",SUMIFS($G$2:$G415,$B$2:$B415,$B415)-SUMIFS($H$2:$H415,$B$2:$B415,$B415))</f>
        <v/>
      </c>
      <c r="K415" s="10"/>
      <c r="L415" s="10"/>
      <c r="M415" s="18" t="str">
        <f aca="false">IF(AND($B415&lt;&gt;"",$B415='Estado de cuenta'!$C$4),COUNTIF($B$2:$B415,'Estado de cuenta'!$C$4),"")</f>
        <v/>
      </c>
    </row>
    <row r="416" customFormat="false" ht="15" hidden="false" customHeight="false" outlineLevel="0" collapsed="false">
      <c r="A416" s="17"/>
      <c r="B416" s="10"/>
      <c r="C416" s="10"/>
      <c r="D416" s="10"/>
      <c r="E416" s="10"/>
      <c r="F416" s="12"/>
      <c r="G416" s="13" t="str">
        <f aca="false">IF(OR($B416="",$F416=""),"",IF(OR($C416="Saldo inicial",$C416="Factura",$C416="Nota de débito"),$F416,0))</f>
        <v/>
      </c>
      <c r="H416" s="13" t="str">
        <f aca="false">IF(OR($B416="",$F416=""),"",IF(OR($C416="Cobro",$C416="Nota de crédito"),$F416,0))</f>
        <v/>
      </c>
      <c r="I416" s="16" t="str">
        <f aca="false">IF(OR($A416="",N($G416)=0),"",$A416+IFERROR(INDEX(Clientes!$F$2:$F$81,MATCH($B416,Clientes!$B$2:$B$81,0)),0))</f>
        <v/>
      </c>
      <c r="J416" s="13" t="str">
        <f aca="false">IF($B416="","",SUMIFS($G$2:$G416,$B$2:$B416,$B416)-SUMIFS($H$2:$H416,$B$2:$B416,$B416))</f>
        <v/>
      </c>
      <c r="K416" s="10"/>
      <c r="L416" s="10"/>
      <c r="M416" s="18" t="str">
        <f aca="false">IF(AND($B416&lt;&gt;"",$B416='Estado de cuenta'!$C$4),COUNTIF($B$2:$B416,'Estado de cuenta'!$C$4),"")</f>
        <v/>
      </c>
    </row>
    <row r="417" customFormat="false" ht="15" hidden="false" customHeight="false" outlineLevel="0" collapsed="false">
      <c r="A417" s="17"/>
      <c r="B417" s="10"/>
      <c r="C417" s="10"/>
      <c r="D417" s="10"/>
      <c r="E417" s="10"/>
      <c r="F417" s="12"/>
      <c r="G417" s="13" t="str">
        <f aca="false">IF(OR($B417="",$F417=""),"",IF(OR($C417="Saldo inicial",$C417="Factura",$C417="Nota de débito"),$F417,0))</f>
        <v/>
      </c>
      <c r="H417" s="13" t="str">
        <f aca="false">IF(OR($B417="",$F417=""),"",IF(OR($C417="Cobro",$C417="Nota de crédito"),$F417,0))</f>
        <v/>
      </c>
      <c r="I417" s="16" t="str">
        <f aca="false">IF(OR($A417="",N($G417)=0),"",$A417+IFERROR(INDEX(Clientes!$F$2:$F$81,MATCH($B417,Clientes!$B$2:$B$81,0)),0))</f>
        <v/>
      </c>
      <c r="J417" s="13" t="str">
        <f aca="false">IF($B417="","",SUMIFS($G$2:$G417,$B$2:$B417,$B417)-SUMIFS($H$2:$H417,$B$2:$B417,$B417))</f>
        <v/>
      </c>
      <c r="K417" s="10"/>
      <c r="L417" s="10"/>
      <c r="M417" s="18" t="str">
        <f aca="false">IF(AND($B417&lt;&gt;"",$B417='Estado de cuenta'!$C$4),COUNTIF($B$2:$B417,'Estado de cuenta'!$C$4),"")</f>
        <v/>
      </c>
    </row>
    <row r="418" customFormat="false" ht="15" hidden="false" customHeight="false" outlineLevel="0" collapsed="false">
      <c r="A418" s="17"/>
      <c r="B418" s="10"/>
      <c r="C418" s="10"/>
      <c r="D418" s="10"/>
      <c r="E418" s="10"/>
      <c r="F418" s="12"/>
      <c r="G418" s="13" t="str">
        <f aca="false">IF(OR($B418="",$F418=""),"",IF(OR($C418="Saldo inicial",$C418="Factura",$C418="Nota de débito"),$F418,0))</f>
        <v/>
      </c>
      <c r="H418" s="13" t="str">
        <f aca="false">IF(OR($B418="",$F418=""),"",IF(OR($C418="Cobro",$C418="Nota de crédito"),$F418,0))</f>
        <v/>
      </c>
      <c r="I418" s="16" t="str">
        <f aca="false">IF(OR($A418="",N($G418)=0),"",$A418+IFERROR(INDEX(Clientes!$F$2:$F$81,MATCH($B418,Clientes!$B$2:$B$81,0)),0))</f>
        <v/>
      </c>
      <c r="J418" s="13" t="str">
        <f aca="false">IF($B418="","",SUMIFS($G$2:$G418,$B$2:$B418,$B418)-SUMIFS($H$2:$H418,$B$2:$B418,$B418))</f>
        <v/>
      </c>
      <c r="K418" s="10"/>
      <c r="L418" s="10"/>
      <c r="M418" s="18" t="str">
        <f aca="false">IF(AND($B418&lt;&gt;"",$B418='Estado de cuenta'!$C$4),COUNTIF($B$2:$B418,'Estado de cuenta'!$C$4),"")</f>
        <v/>
      </c>
    </row>
    <row r="419" customFormat="false" ht="15" hidden="false" customHeight="false" outlineLevel="0" collapsed="false">
      <c r="A419" s="17"/>
      <c r="B419" s="10"/>
      <c r="C419" s="10"/>
      <c r="D419" s="10"/>
      <c r="E419" s="10"/>
      <c r="F419" s="12"/>
      <c r="G419" s="13" t="str">
        <f aca="false">IF(OR($B419="",$F419=""),"",IF(OR($C419="Saldo inicial",$C419="Factura",$C419="Nota de débito"),$F419,0))</f>
        <v/>
      </c>
      <c r="H419" s="13" t="str">
        <f aca="false">IF(OR($B419="",$F419=""),"",IF(OR($C419="Cobro",$C419="Nota de crédito"),$F419,0))</f>
        <v/>
      </c>
      <c r="I419" s="16" t="str">
        <f aca="false">IF(OR($A419="",N($G419)=0),"",$A419+IFERROR(INDEX(Clientes!$F$2:$F$81,MATCH($B419,Clientes!$B$2:$B$81,0)),0))</f>
        <v/>
      </c>
      <c r="J419" s="13" t="str">
        <f aca="false">IF($B419="","",SUMIFS($G$2:$G419,$B$2:$B419,$B419)-SUMIFS($H$2:$H419,$B$2:$B419,$B419))</f>
        <v/>
      </c>
      <c r="K419" s="10"/>
      <c r="L419" s="10"/>
      <c r="M419" s="18" t="str">
        <f aca="false">IF(AND($B419&lt;&gt;"",$B419='Estado de cuenta'!$C$4),COUNTIF($B$2:$B419,'Estado de cuenta'!$C$4),"")</f>
        <v/>
      </c>
    </row>
    <row r="420" customFormat="false" ht="15" hidden="false" customHeight="false" outlineLevel="0" collapsed="false">
      <c r="A420" s="17"/>
      <c r="B420" s="10"/>
      <c r="C420" s="10"/>
      <c r="D420" s="10"/>
      <c r="E420" s="10"/>
      <c r="F420" s="12"/>
      <c r="G420" s="13" t="str">
        <f aca="false">IF(OR($B420="",$F420=""),"",IF(OR($C420="Saldo inicial",$C420="Factura",$C420="Nota de débito"),$F420,0))</f>
        <v/>
      </c>
      <c r="H420" s="13" t="str">
        <f aca="false">IF(OR($B420="",$F420=""),"",IF(OR($C420="Cobro",$C420="Nota de crédito"),$F420,0))</f>
        <v/>
      </c>
      <c r="I420" s="16" t="str">
        <f aca="false">IF(OR($A420="",N($G420)=0),"",$A420+IFERROR(INDEX(Clientes!$F$2:$F$81,MATCH($B420,Clientes!$B$2:$B$81,0)),0))</f>
        <v/>
      </c>
      <c r="J420" s="13" t="str">
        <f aca="false">IF($B420="","",SUMIFS($G$2:$G420,$B$2:$B420,$B420)-SUMIFS($H$2:$H420,$B$2:$B420,$B420))</f>
        <v/>
      </c>
      <c r="K420" s="10"/>
      <c r="L420" s="10"/>
      <c r="M420" s="18" t="str">
        <f aca="false">IF(AND($B420&lt;&gt;"",$B420='Estado de cuenta'!$C$4),COUNTIF($B$2:$B420,'Estado de cuenta'!$C$4),"")</f>
        <v/>
      </c>
    </row>
    <row r="421" customFormat="false" ht="15" hidden="false" customHeight="false" outlineLevel="0" collapsed="false">
      <c r="A421" s="17"/>
      <c r="B421" s="10"/>
      <c r="C421" s="10"/>
      <c r="D421" s="10"/>
      <c r="E421" s="10"/>
      <c r="F421" s="12"/>
      <c r="G421" s="13" t="str">
        <f aca="false">IF(OR($B421="",$F421=""),"",IF(OR($C421="Saldo inicial",$C421="Factura",$C421="Nota de débito"),$F421,0))</f>
        <v/>
      </c>
      <c r="H421" s="13" t="str">
        <f aca="false">IF(OR($B421="",$F421=""),"",IF(OR($C421="Cobro",$C421="Nota de crédito"),$F421,0))</f>
        <v/>
      </c>
      <c r="I421" s="16" t="str">
        <f aca="false">IF(OR($A421="",N($G421)=0),"",$A421+IFERROR(INDEX(Clientes!$F$2:$F$81,MATCH($B421,Clientes!$B$2:$B$81,0)),0))</f>
        <v/>
      </c>
      <c r="J421" s="13" t="str">
        <f aca="false">IF($B421="","",SUMIFS($G$2:$G421,$B$2:$B421,$B421)-SUMIFS($H$2:$H421,$B$2:$B421,$B421))</f>
        <v/>
      </c>
      <c r="K421" s="10"/>
      <c r="L421" s="10"/>
      <c r="M421" s="18" t="str">
        <f aca="false">IF(AND($B421&lt;&gt;"",$B421='Estado de cuenta'!$C$4),COUNTIF($B$2:$B421,'Estado de cuenta'!$C$4),"")</f>
        <v/>
      </c>
    </row>
    <row r="422" customFormat="false" ht="15" hidden="false" customHeight="false" outlineLevel="0" collapsed="false">
      <c r="A422" s="17"/>
      <c r="B422" s="10"/>
      <c r="C422" s="10"/>
      <c r="D422" s="10"/>
      <c r="E422" s="10"/>
      <c r="F422" s="12"/>
      <c r="G422" s="13" t="str">
        <f aca="false">IF(OR($B422="",$F422=""),"",IF(OR($C422="Saldo inicial",$C422="Factura",$C422="Nota de débito"),$F422,0))</f>
        <v/>
      </c>
      <c r="H422" s="13" t="str">
        <f aca="false">IF(OR($B422="",$F422=""),"",IF(OR($C422="Cobro",$C422="Nota de crédito"),$F422,0))</f>
        <v/>
      </c>
      <c r="I422" s="16" t="str">
        <f aca="false">IF(OR($A422="",N($G422)=0),"",$A422+IFERROR(INDEX(Clientes!$F$2:$F$81,MATCH($B422,Clientes!$B$2:$B$81,0)),0))</f>
        <v/>
      </c>
      <c r="J422" s="13" t="str">
        <f aca="false">IF($B422="","",SUMIFS($G$2:$G422,$B$2:$B422,$B422)-SUMIFS($H$2:$H422,$B$2:$B422,$B422))</f>
        <v/>
      </c>
      <c r="K422" s="10"/>
      <c r="L422" s="10"/>
      <c r="M422" s="18" t="str">
        <f aca="false">IF(AND($B422&lt;&gt;"",$B422='Estado de cuenta'!$C$4),COUNTIF($B$2:$B422,'Estado de cuenta'!$C$4),"")</f>
        <v/>
      </c>
    </row>
    <row r="423" customFormat="false" ht="15" hidden="false" customHeight="false" outlineLevel="0" collapsed="false">
      <c r="A423" s="17"/>
      <c r="B423" s="10"/>
      <c r="C423" s="10"/>
      <c r="D423" s="10"/>
      <c r="E423" s="10"/>
      <c r="F423" s="12"/>
      <c r="G423" s="13" t="str">
        <f aca="false">IF(OR($B423="",$F423=""),"",IF(OR($C423="Saldo inicial",$C423="Factura",$C423="Nota de débito"),$F423,0))</f>
        <v/>
      </c>
      <c r="H423" s="13" t="str">
        <f aca="false">IF(OR($B423="",$F423=""),"",IF(OR($C423="Cobro",$C423="Nota de crédito"),$F423,0))</f>
        <v/>
      </c>
      <c r="I423" s="16" t="str">
        <f aca="false">IF(OR($A423="",N($G423)=0),"",$A423+IFERROR(INDEX(Clientes!$F$2:$F$81,MATCH($B423,Clientes!$B$2:$B$81,0)),0))</f>
        <v/>
      </c>
      <c r="J423" s="13" t="str">
        <f aca="false">IF($B423="","",SUMIFS($G$2:$G423,$B$2:$B423,$B423)-SUMIFS($H$2:$H423,$B$2:$B423,$B423))</f>
        <v/>
      </c>
      <c r="K423" s="10"/>
      <c r="L423" s="10"/>
      <c r="M423" s="18" t="str">
        <f aca="false">IF(AND($B423&lt;&gt;"",$B423='Estado de cuenta'!$C$4),COUNTIF($B$2:$B423,'Estado de cuenta'!$C$4),"")</f>
        <v/>
      </c>
    </row>
    <row r="424" customFormat="false" ht="15" hidden="false" customHeight="false" outlineLevel="0" collapsed="false">
      <c r="A424" s="17"/>
      <c r="B424" s="10"/>
      <c r="C424" s="10"/>
      <c r="D424" s="10"/>
      <c r="E424" s="10"/>
      <c r="F424" s="12"/>
      <c r="G424" s="13" t="str">
        <f aca="false">IF(OR($B424="",$F424=""),"",IF(OR($C424="Saldo inicial",$C424="Factura",$C424="Nota de débito"),$F424,0))</f>
        <v/>
      </c>
      <c r="H424" s="13" t="str">
        <f aca="false">IF(OR($B424="",$F424=""),"",IF(OR($C424="Cobro",$C424="Nota de crédito"),$F424,0))</f>
        <v/>
      </c>
      <c r="I424" s="16" t="str">
        <f aca="false">IF(OR($A424="",N($G424)=0),"",$A424+IFERROR(INDEX(Clientes!$F$2:$F$81,MATCH($B424,Clientes!$B$2:$B$81,0)),0))</f>
        <v/>
      </c>
      <c r="J424" s="13" t="str">
        <f aca="false">IF($B424="","",SUMIFS($G$2:$G424,$B$2:$B424,$B424)-SUMIFS($H$2:$H424,$B$2:$B424,$B424))</f>
        <v/>
      </c>
      <c r="K424" s="10"/>
      <c r="L424" s="10"/>
      <c r="M424" s="18" t="str">
        <f aca="false">IF(AND($B424&lt;&gt;"",$B424='Estado de cuenta'!$C$4),COUNTIF($B$2:$B424,'Estado de cuenta'!$C$4),"")</f>
        <v/>
      </c>
    </row>
    <row r="425" customFormat="false" ht="15" hidden="false" customHeight="false" outlineLevel="0" collapsed="false">
      <c r="A425" s="17"/>
      <c r="B425" s="10"/>
      <c r="C425" s="10"/>
      <c r="D425" s="10"/>
      <c r="E425" s="10"/>
      <c r="F425" s="12"/>
      <c r="G425" s="13" t="str">
        <f aca="false">IF(OR($B425="",$F425=""),"",IF(OR($C425="Saldo inicial",$C425="Factura",$C425="Nota de débito"),$F425,0))</f>
        <v/>
      </c>
      <c r="H425" s="13" t="str">
        <f aca="false">IF(OR($B425="",$F425=""),"",IF(OR($C425="Cobro",$C425="Nota de crédito"),$F425,0))</f>
        <v/>
      </c>
      <c r="I425" s="16" t="str">
        <f aca="false">IF(OR($A425="",N($G425)=0),"",$A425+IFERROR(INDEX(Clientes!$F$2:$F$81,MATCH($B425,Clientes!$B$2:$B$81,0)),0))</f>
        <v/>
      </c>
      <c r="J425" s="13" t="str">
        <f aca="false">IF($B425="","",SUMIFS($G$2:$G425,$B$2:$B425,$B425)-SUMIFS($H$2:$H425,$B$2:$B425,$B425))</f>
        <v/>
      </c>
      <c r="K425" s="10"/>
      <c r="L425" s="10"/>
      <c r="M425" s="18" t="str">
        <f aca="false">IF(AND($B425&lt;&gt;"",$B425='Estado de cuenta'!$C$4),COUNTIF($B$2:$B425,'Estado de cuenta'!$C$4),"")</f>
        <v/>
      </c>
    </row>
    <row r="426" customFormat="false" ht="15" hidden="false" customHeight="false" outlineLevel="0" collapsed="false">
      <c r="A426" s="17"/>
      <c r="B426" s="10"/>
      <c r="C426" s="10"/>
      <c r="D426" s="10"/>
      <c r="E426" s="10"/>
      <c r="F426" s="12"/>
      <c r="G426" s="13" t="str">
        <f aca="false">IF(OR($B426="",$F426=""),"",IF(OR($C426="Saldo inicial",$C426="Factura",$C426="Nota de débito"),$F426,0))</f>
        <v/>
      </c>
      <c r="H426" s="13" t="str">
        <f aca="false">IF(OR($B426="",$F426=""),"",IF(OR($C426="Cobro",$C426="Nota de crédito"),$F426,0))</f>
        <v/>
      </c>
      <c r="I426" s="16" t="str">
        <f aca="false">IF(OR($A426="",N($G426)=0),"",$A426+IFERROR(INDEX(Clientes!$F$2:$F$81,MATCH($B426,Clientes!$B$2:$B$81,0)),0))</f>
        <v/>
      </c>
      <c r="J426" s="13" t="str">
        <f aca="false">IF($B426="","",SUMIFS($G$2:$G426,$B$2:$B426,$B426)-SUMIFS($H$2:$H426,$B$2:$B426,$B426))</f>
        <v/>
      </c>
      <c r="K426" s="10"/>
      <c r="L426" s="10"/>
      <c r="M426" s="18" t="str">
        <f aca="false">IF(AND($B426&lt;&gt;"",$B426='Estado de cuenta'!$C$4),COUNTIF($B$2:$B426,'Estado de cuenta'!$C$4),"")</f>
        <v/>
      </c>
    </row>
    <row r="427" customFormat="false" ht="15" hidden="false" customHeight="false" outlineLevel="0" collapsed="false">
      <c r="A427" s="17"/>
      <c r="B427" s="10"/>
      <c r="C427" s="10"/>
      <c r="D427" s="10"/>
      <c r="E427" s="10"/>
      <c r="F427" s="12"/>
      <c r="G427" s="13" t="str">
        <f aca="false">IF(OR($B427="",$F427=""),"",IF(OR($C427="Saldo inicial",$C427="Factura",$C427="Nota de débito"),$F427,0))</f>
        <v/>
      </c>
      <c r="H427" s="13" t="str">
        <f aca="false">IF(OR($B427="",$F427=""),"",IF(OR($C427="Cobro",$C427="Nota de crédito"),$F427,0))</f>
        <v/>
      </c>
      <c r="I427" s="16" t="str">
        <f aca="false">IF(OR($A427="",N($G427)=0),"",$A427+IFERROR(INDEX(Clientes!$F$2:$F$81,MATCH($B427,Clientes!$B$2:$B$81,0)),0))</f>
        <v/>
      </c>
      <c r="J427" s="13" t="str">
        <f aca="false">IF($B427="","",SUMIFS($G$2:$G427,$B$2:$B427,$B427)-SUMIFS($H$2:$H427,$B$2:$B427,$B427))</f>
        <v/>
      </c>
      <c r="K427" s="10"/>
      <c r="L427" s="10"/>
      <c r="M427" s="18" t="str">
        <f aca="false">IF(AND($B427&lt;&gt;"",$B427='Estado de cuenta'!$C$4),COUNTIF($B$2:$B427,'Estado de cuenta'!$C$4),"")</f>
        <v/>
      </c>
    </row>
    <row r="428" customFormat="false" ht="15" hidden="false" customHeight="false" outlineLevel="0" collapsed="false">
      <c r="A428" s="17"/>
      <c r="B428" s="10"/>
      <c r="C428" s="10"/>
      <c r="D428" s="10"/>
      <c r="E428" s="10"/>
      <c r="F428" s="12"/>
      <c r="G428" s="13" t="str">
        <f aca="false">IF(OR($B428="",$F428=""),"",IF(OR($C428="Saldo inicial",$C428="Factura",$C428="Nota de débito"),$F428,0))</f>
        <v/>
      </c>
      <c r="H428" s="13" t="str">
        <f aca="false">IF(OR($B428="",$F428=""),"",IF(OR($C428="Cobro",$C428="Nota de crédito"),$F428,0))</f>
        <v/>
      </c>
      <c r="I428" s="16" t="str">
        <f aca="false">IF(OR($A428="",N($G428)=0),"",$A428+IFERROR(INDEX(Clientes!$F$2:$F$81,MATCH($B428,Clientes!$B$2:$B$81,0)),0))</f>
        <v/>
      </c>
      <c r="J428" s="13" t="str">
        <f aca="false">IF($B428="","",SUMIFS($G$2:$G428,$B$2:$B428,$B428)-SUMIFS($H$2:$H428,$B$2:$B428,$B428))</f>
        <v/>
      </c>
      <c r="K428" s="10"/>
      <c r="L428" s="10"/>
      <c r="M428" s="18" t="str">
        <f aca="false">IF(AND($B428&lt;&gt;"",$B428='Estado de cuenta'!$C$4),COUNTIF($B$2:$B428,'Estado de cuenta'!$C$4),"")</f>
        <v/>
      </c>
    </row>
    <row r="429" customFormat="false" ht="15" hidden="false" customHeight="false" outlineLevel="0" collapsed="false">
      <c r="A429" s="17"/>
      <c r="B429" s="10"/>
      <c r="C429" s="10"/>
      <c r="D429" s="10"/>
      <c r="E429" s="10"/>
      <c r="F429" s="12"/>
      <c r="G429" s="13" t="str">
        <f aca="false">IF(OR($B429="",$F429=""),"",IF(OR($C429="Saldo inicial",$C429="Factura",$C429="Nota de débito"),$F429,0))</f>
        <v/>
      </c>
      <c r="H429" s="13" t="str">
        <f aca="false">IF(OR($B429="",$F429=""),"",IF(OR($C429="Cobro",$C429="Nota de crédito"),$F429,0))</f>
        <v/>
      </c>
      <c r="I429" s="16" t="str">
        <f aca="false">IF(OR($A429="",N($G429)=0),"",$A429+IFERROR(INDEX(Clientes!$F$2:$F$81,MATCH($B429,Clientes!$B$2:$B$81,0)),0))</f>
        <v/>
      </c>
      <c r="J429" s="13" t="str">
        <f aca="false">IF($B429="","",SUMIFS($G$2:$G429,$B$2:$B429,$B429)-SUMIFS($H$2:$H429,$B$2:$B429,$B429))</f>
        <v/>
      </c>
      <c r="K429" s="10"/>
      <c r="L429" s="10"/>
      <c r="M429" s="18" t="str">
        <f aca="false">IF(AND($B429&lt;&gt;"",$B429='Estado de cuenta'!$C$4),COUNTIF($B$2:$B429,'Estado de cuenta'!$C$4),"")</f>
        <v/>
      </c>
    </row>
    <row r="430" customFormat="false" ht="15" hidden="false" customHeight="false" outlineLevel="0" collapsed="false">
      <c r="A430" s="17"/>
      <c r="B430" s="10"/>
      <c r="C430" s="10"/>
      <c r="D430" s="10"/>
      <c r="E430" s="10"/>
      <c r="F430" s="12"/>
      <c r="G430" s="13" t="str">
        <f aca="false">IF(OR($B430="",$F430=""),"",IF(OR($C430="Saldo inicial",$C430="Factura",$C430="Nota de débito"),$F430,0))</f>
        <v/>
      </c>
      <c r="H430" s="13" t="str">
        <f aca="false">IF(OR($B430="",$F430=""),"",IF(OR($C430="Cobro",$C430="Nota de crédito"),$F430,0))</f>
        <v/>
      </c>
      <c r="I430" s="16" t="str">
        <f aca="false">IF(OR($A430="",N($G430)=0),"",$A430+IFERROR(INDEX(Clientes!$F$2:$F$81,MATCH($B430,Clientes!$B$2:$B$81,0)),0))</f>
        <v/>
      </c>
      <c r="J430" s="13" t="str">
        <f aca="false">IF($B430="","",SUMIFS($G$2:$G430,$B$2:$B430,$B430)-SUMIFS($H$2:$H430,$B$2:$B430,$B430))</f>
        <v/>
      </c>
      <c r="K430" s="10"/>
      <c r="L430" s="10"/>
      <c r="M430" s="18" t="str">
        <f aca="false">IF(AND($B430&lt;&gt;"",$B430='Estado de cuenta'!$C$4),COUNTIF($B$2:$B430,'Estado de cuenta'!$C$4),"")</f>
        <v/>
      </c>
    </row>
    <row r="431" customFormat="false" ht="15" hidden="false" customHeight="false" outlineLevel="0" collapsed="false">
      <c r="A431" s="17"/>
      <c r="B431" s="10"/>
      <c r="C431" s="10"/>
      <c r="D431" s="10"/>
      <c r="E431" s="10"/>
      <c r="F431" s="12"/>
      <c r="G431" s="13" t="str">
        <f aca="false">IF(OR($B431="",$F431=""),"",IF(OR($C431="Saldo inicial",$C431="Factura",$C431="Nota de débito"),$F431,0))</f>
        <v/>
      </c>
      <c r="H431" s="13" t="str">
        <f aca="false">IF(OR($B431="",$F431=""),"",IF(OR($C431="Cobro",$C431="Nota de crédito"),$F431,0))</f>
        <v/>
      </c>
      <c r="I431" s="16" t="str">
        <f aca="false">IF(OR($A431="",N($G431)=0),"",$A431+IFERROR(INDEX(Clientes!$F$2:$F$81,MATCH($B431,Clientes!$B$2:$B$81,0)),0))</f>
        <v/>
      </c>
      <c r="J431" s="13" t="str">
        <f aca="false">IF($B431="","",SUMIFS($G$2:$G431,$B$2:$B431,$B431)-SUMIFS($H$2:$H431,$B$2:$B431,$B431))</f>
        <v/>
      </c>
      <c r="K431" s="10"/>
      <c r="L431" s="10"/>
      <c r="M431" s="18" t="str">
        <f aca="false">IF(AND($B431&lt;&gt;"",$B431='Estado de cuenta'!$C$4),COUNTIF($B$2:$B431,'Estado de cuenta'!$C$4),"")</f>
        <v/>
      </c>
    </row>
    <row r="432" customFormat="false" ht="15" hidden="false" customHeight="false" outlineLevel="0" collapsed="false">
      <c r="A432" s="17"/>
      <c r="B432" s="10"/>
      <c r="C432" s="10"/>
      <c r="D432" s="10"/>
      <c r="E432" s="10"/>
      <c r="F432" s="12"/>
      <c r="G432" s="13" t="str">
        <f aca="false">IF(OR($B432="",$F432=""),"",IF(OR($C432="Saldo inicial",$C432="Factura",$C432="Nota de débito"),$F432,0))</f>
        <v/>
      </c>
      <c r="H432" s="13" t="str">
        <f aca="false">IF(OR($B432="",$F432=""),"",IF(OR($C432="Cobro",$C432="Nota de crédito"),$F432,0))</f>
        <v/>
      </c>
      <c r="I432" s="16" t="str">
        <f aca="false">IF(OR($A432="",N($G432)=0),"",$A432+IFERROR(INDEX(Clientes!$F$2:$F$81,MATCH($B432,Clientes!$B$2:$B$81,0)),0))</f>
        <v/>
      </c>
      <c r="J432" s="13" t="str">
        <f aca="false">IF($B432="","",SUMIFS($G$2:$G432,$B$2:$B432,$B432)-SUMIFS($H$2:$H432,$B$2:$B432,$B432))</f>
        <v/>
      </c>
      <c r="K432" s="10"/>
      <c r="L432" s="10"/>
      <c r="M432" s="18" t="str">
        <f aca="false">IF(AND($B432&lt;&gt;"",$B432='Estado de cuenta'!$C$4),COUNTIF($B$2:$B432,'Estado de cuenta'!$C$4),"")</f>
        <v/>
      </c>
    </row>
    <row r="433" customFormat="false" ht="15" hidden="false" customHeight="false" outlineLevel="0" collapsed="false">
      <c r="A433" s="17"/>
      <c r="B433" s="10"/>
      <c r="C433" s="10"/>
      <c r="D433" s="10"/>
      <c r="E433" s="10"/>
      <c r="F433" s="12"/>
      <c r="G433" s="13" t="str">
        <f aca="false">IF(OR($B433="",$F433=""),"",IF(OR($C433="Saldo inicial",$C433="Factura",$C433="Nota de débito"),$F433,0))</f>
        <v/>
      </c>
      <c r="H433" s="13" t="str">
        <f aca="false">IF(OR($B433="",$F433=""),"",IF(OR($C433="Cobro",$C433="Nota de crédito"),$F433,0))</f>
        <v/>
      </c>
      <c r="I433" s="16" t="str">
        <f aca="false">IF(OR($A433="",N($G433)=0),"",$A433+IFERROR(INDEX(Clientes!$F$2:$F$81,MATCH($B433,Clientes!$B$2:$B$81,0)),0))</f>
        <v/>
      </c>
      <c r="J433" s="13" t="str">
        <f aca="false">IF($B433="","",SUMIFS($G$2:$G433,$B$2:$B433,$B433)-SUMIFS($H$2:$H433,$B$2:$B433,$B433))</f>
        <v/>
      </c>
      <c r="K433" s="10"/>
      <c r="L433" s="10"/>
      <c r="M433" s="18" t="str">
        <f aca="false">IF(AND($B433&lt;&gt;"",$B433='Estado de cuenta'!$C$4),COUNTIF($B$2:$B433,'Estado de cuenta'!$C$4),"")</f>
        <v/>
      </c>
    </row>
    <row r="434" customFormat="false" ht="15" hidden="false" customHeight="false" outlineLevel="0" collapsed="false">
      <c r="A434" s="17"/>
      <c r="B434" s="10"/>
      <c r="C434" s="10"/>
      <c r="D434" s="10"/>
      <c r="E434" s="10"/>
      <c r="F434" s="12"/>
      <c r="G434" s="13" t="str">
        <f aca="false">IF(OR($B434="",$F434=""),"",IF(OR($C434="Saldo inicial",$C434="Factura",$C434="Nota de débito"),$F434,0))</f>
        <v/>
      </c>
      <c r="H434" s="13" t="str">
        <f aca="false">IF(OR($B434="",$F434=""),"",IF(OR($C434="Cobro",$C434="Nota de crédito"),$F434,0))</f>
        <v/>
      </c>
      <c r="I434" s="16" t="str">
        <f aca="false">IF(OR($A434="",N($G434)=0),"",$A434+IFERROR(INDEX(Clientes!$F$2:$F$81,MATCH($B434,Clientes!$B$2:$B$81,0)),0))</f>
        <v/>
      </c>
      <c r="J434" s="13" t="str">
        <f aca="false">IF($B434="","",SUMIFS($G$2:$G434,$B$2:$B434,$B434)-SUMIFS($H$2:$H434,$B$2:$B434,$B434))</f>
        <v/>
      </c>
      <c r="K434" s="10"/>
      <c r="L434" s="10"/>
      <c r="M434" s="18" t="str">
        <f aca="false">IF(AND($B434&lt;&gt;"",$B434='Estado de cuenta'!$C$4),COUNTIF($B$2:$B434,'Estado de cuenta'!$C$4),"")</f>
        <v/>
      </c>
    </row>
    <row r="435" customFormat="false" ht="15" hidden="false" customHeight="false" outlineLevel="0" collapsed="false">
      <c r="A435" s="17"/>
      <c r="B435" s="10"/>
      <c r="C435" s="10"/>
      <c r="D435" s="10"/>
      <c r="E435" s="10"/>
      <c r="F435" s="12"/>
      <c r="G435" s="13" t="str">
        <f aca="false">IF(OR($B435="",$F435=""),"",IF(OR($C435="Saldo inicial",$C435="Factura",$C435="Nota de débito"),$F435,0))</f>
        <v/>
      </c>
      <c r="H435" s="13" t="str">
        <f aca="false">IF(OR($B435="",$F435=""),"",IF(OR($C435="Cobro",$C435="Nota de crédito"),$F435,0))</f>
        <v/>
      </c>
      <c r="I435" s="16" t="str">
        <f aca="false">IF(OR($A435="",N($G435)=0),"",$A435+IFERROR(INDEX(Clientes!$F$2:$F$81,MATCH($B435,Clientes!$B$2:$B$81,0)),0))</f>
        <v/>
      </c>
      <c r="J435" s="13" t="str">
        <f aca="false">IF($B435="","",SUMIFS($G$2:$G435,$B$2:$B435,$B435)-SUMIFS($H$2:$H435,$B$2:$B435,$B435))</f>
        <v/>
      </c>
      <c r="K435" s="10"/>
      <c r="L435" s="10"/>
      <c r="M435" s="18" t="str">
        <f aca="false">IF(AND($B435&lt;&gt;"",$B435='Estado de cuenta'!$C$4),COUNTIF($B$2:$B435,'Estado de cuenta'!$C$4),"")</f>
        <v/>
      </c>
    </row>
    <row r="436" customFormat="false" ht="15" hidden="false" customHeight="false" outlineLevel="0" collapsed="false">
      <c r="A436" s="17"/>
      <c r="B436" s="10"/>
      <c r="C436" s="10"/>
      <c r="D436" s="10"/>
      <c r="E436" s="10"/>
      <c r="F436" s="12"/>
      <c r="G436" s="13" t="str">
        <f aca="false">IF(OR($B436="",$F436=""),"",IF(OR($C436="Saldo inicial",$C436="Factura",$C436="Nota de débito"),$F436,0))</f>
        <v/>
      </c>
      <c r="H436" s="13" t="str">
        <f aca="false">IF(OR($B436="",$F436=""),"",IF(OR($C436="Cobro",$C436="Nota de crédito"),$F436,0))</f>
        <v/>
      </c>
      <c r="I436" s="16" t="str">
        <f aca="false">IF(OR($A436="",N($G436)=0),"",$A436+IFERROR(INDEX(Clientes!$F$2:$F$81,MATCH($B436,Clientes!$B$2:$B$81,0)),0))</f>
        <v/>
      </c>
      <c r="J436" s="13" t="str">
        <f aca="false">IF($B436="","",SUMIFS($G$2:$G436,$B$2:$B436,$B436)-SUMIFS($H$2:$H436,$B$2:$B436,$B436))</f>
        <v/>
      </c>
      <c r="K436" s="10"/>
      <c r="L436" s="10"/>
      <c r="M436" s="18" t="str">
        <f aca="false">IF(AND($B436&lt;&gt;"",$B436='Estado de cuenta'!$C$4),COUNTIF($B$2:$B436,'Estado de cuenta'!$C$4),"")</f>
        <v/>
      </c>
    </row>
    <row r="437" customFormat="false" ht="15" hidden="false" customHeight="false" outlineLevel="0" collapsed="false">
      <c r="A437" s="17"/>
      <c r="B437" s="10"/>
      <c r="C437" s="10"/>
      <c r="D437" s="10"/>
      <c r="E437" s="10"/>
      <c r="F437" s="12"/>
      <c r="G437" s="13" t="str">
        <f aca="false">IF(OR($B437="",$F437=""),"",IF(OR($C437="Saldo inicial",$C437="Factura",$C437="Nota de débito"),$F437,0))</f>
        <v/>
      </c>
      <c r="H437" s="13" t="str">
        <f aca="false">IF(OR($B437="",$F437=""),"",IF(OR($C437="Cobro",$C437="Nota de crédito"),$F437,0))</f>
        <v/>
      </c>
      <c r="I437" s="16" t="str">
        <f aca="false">IF(OR($A437="",N($G437)=0),"",$A437+IFERROR(INDEX(Clientes!$F$2:$F$81,MATCH($B437,Clientes!$B$2:$B$81,0)),0))</f>
        <v/>
      </c>
      <c r="J437" s="13" t="str">
        <f aca="false">IF($B437="","",SUMIFS($G$2:$G437,$B$2:$B437,$B437)-SUMIFS($H$2:$H437,$B$2:$B437,$B437))</f>
        <v/>
      </c>
      <c r="K437" s="10"/>
      <c r="L437" s="10"/>
      <c r="M437" s="18" t="str">
        <f aca="false">IF(AND($B437&lt;&gt;"",$B437='Estado de cuenta'!$C$4),COUNTIF($B$2:$B437,'Estado de cuenta'!$C$4),"")</f>
        <v/>
      </c>
    </row>
    <row r="438" customFormat="false" ht="15" hidden="false" customHeight="false" outlineLevel="0" collapsed="false">
      <c r="A438" s="17"/>
      <c r="B438" s="10"/>
      <c r="C438" s="10"/>
      <c r="D438" s="10"/>
      <c r="E438" s="10"/>
      <c r="F438" s="12"/>
      <c r="G438" s="13" t="str">
        <f aca="false">IF(OR($B438="",$F438=""),"",IF(OR($C438="Saldo inicial",$C438="Factura",$C438="Nota de débito"),$F438,0))</f>
        <v/>
      </c>
      <c r="H438" s="13" t="str">
        <f aca="false">IF(OR($B438="",$F438=""),"",IF(OR($C438="Cobro",$C438="Nota de crédito"),$F438,0))</f>
        <v/>
      </c>
      <c r="I438" s="16" t="str">
        <f aca="false">IF(OR($A438="",N($G438)=0),"",$A438+IFERROR(INDEX(Clientes!$F$2:$F$81,MATCH($B438,Clientes!$B$2:$B$81,0)),0))</f>
        <v/>
      </c>
      <c r="J438" s="13" t="str">
        <f aca="false">IF($B438="","",SUMIFS($G$2:$G438,$B$2:$B438,$B438)-SUMIFS($H$2:$H438,$B$2:$B438,$B438))</f>
        <v/>
      </c>
      <c r="K438" s="10"/>
      <c r="L438" s="10"/>
      <c r="M438" s="18" t="str">
        <f aca="false">IF(AND($B438&lt;&gt;"",$B438='Estado de cuenta'!$C$4),COUNTIF($B$2:$B438,'Estado de cuenta'!$C$4),"")</f>
        <v/>
      </c>
    </row>
    <row r="439" customFormat="false" ht="15" hidden="false" customHeight="false" outlineLevel="0" collapsed="false">
      <c r="A439" s="17"/>
      <c r="B439" s="10"/>
      <c r="C439" s="10"/>
      <c r="D439" s="10"/>
      <c r="E439" s="10"/>
      <c r="F439" s="12"/>
      <c r="G439" s="13" t="str">
        <f aca="false">IF(OR($B439="",$F439=""),"",IF(OR($C439="Saldo inicial",$C439="Factura",$C439="Nota de débito"),$F439,0))</f>
        <v/>
      </c>
      <c r="H439" s="13" t="str">
        <f aca="false">IF(OR($B439="",$F439=""),"",IF(OR($C439="Cobro",$C439="Nota de crédito"),$F439,0))</f>
        <v/>
      </c>
      <c r="I439" s="16" t="str">
        <f aca="false">IF(OR($A439="",N($G439)=0),"",$A439+IFERROR(INDEX(Clientes!$F$2:$F$81,MATCH($B439,Clientes!$B$2:$B$81,0)),0))</f>
        <v/>
      </c>
      <c r="J439" s="13" t="str">
        <f aca="false">IF($B439="","",SUMIFS($G$2:$G439,$B$2:$B439,$B439)-SUMIFS($H$2:$H439,$B$2:$B439,$B439))</f>
        <v/>
      </c>
      <c r="K439" s="10"/>
      <c r="L439" s="10"/>
      <c r="M439" s="18" t="str">
        <f aca="false">IF(AND($B439&lt;&gt;"",$B439='Estado de cuenta'!$C$4),COUNTIF($B$2:$B439,'Estado de cuenta'!$C$4),"")</f>
        <v/>
      </c>
    </row>
    <row r="440" customFormat="false" ht="15" hidden="false" customHeight="false" outlineLevel="0" collapsed="false">
      <c r="A440" s="17"/>
      <c r="B440" s="10"/>
      <c r="C440" s="10"/>
      <c r="D440" s="10"/>
      <c r="E440" s="10"/>
      <c r="F440" s="12"/>
      <c r="G440" s="13" t="str">
        <f aca="false">IF(OR($B440="",$F440=""),"",IF(OR($C440="Saldo inicial",$C440="Factura",$C440="Nota de débito"),$F440,0))</f>
        <v/>
      </c>
      <c r="H440" s="13" t="str">
        <f aca="false">IF(OR($B440="",$F440=""),"",IF(OR($C440="Cobro",$C440="Nota de crédito"),$F440,0))</f>
        <v/>
      </c>
      <c r="I440" s="16" t="str">
        <f aca="false">IF(OR($A440="",N($G440)=0),"",$A440+IFERROR(INDEX(Clientes!$F$2:$F$81,MATCH($B440,Clientes!$B$2:$B$81,0)),0))</f>
        <v/>
      </c>
      <c r="J440" s="13" t="str">
        <f aca="false">IF($B440="","",SUMIFS($G$2:$G440,$B$2:$B440,$B440)-SUMIFS($H$2:$H440,$B$2:$B440,$B440))</f>
        <v/>
      </c>
      <c r="K440" s="10"/>
      <c r="L440" s="10"/>
      <c r="M440" s="18" t="str">
        <f aca="false">IF(AND($B440&lt;&gt;"",$B440='Estado de cuenta'!$C$4),COUNTIF($B$2:$B440,'Estado de cuenta'!$C$4),"")</f>
        <v/>
      </c>
    </row>
    <row r="441" customFormat="false" ht="15" hidden="false" customHeight="false" outlineLevel="0" collapsed="false">
      <c r="A441" s="17"/>
      <c r="B441" s="10"/>
      <c r="C441" s="10"/>
      <c r="D441" s="10"/>
      <c r="E441" s="10"/>
      <c r="F441" s="12"/>
      <c r="G441" s="13" t="str">
        <f aca="false">IF(OR($B441="",$F441=""),"",IF(OR($C441="Saldo inicial",$C441="Factura",$C441="Nota de débito"),$F441,0))</f>
        <v/>
      </c>
      <c r="H441" s="13" t="str">
        <f aca="false">IF(OR($B441="",$F441=""),"",IF(OR($C441="Cobro",$C441="Nota de crédito"),$F441,0))</f>
        <v/>
      </c>
      <c r="I441" s="16" t="str">
        <f aca="false">IF(OR($A441="",N($G441)=0),"",$A441+IFERROR(INDEX(Clientes!$F$2:$F$81,MATCH($B441,Clientes!$B$2:$B$81,0)),0))</f>
        <v/>
      </c>
      <c r="J441" s="13" t="str">
        <f aca="false">IF($B441="","",SUMIFS($G$2:$G441,$B$2:$B441,$B441)-SUMIFS($H$2:$H441,$B$2:$B441,$B441))</f>
        <v/>
      </c>
      <c r="K441" s="10"/>
      <c r="L441" s="10"/>
      <c r="M441" s="18" t="str">
        <f aca="false">IF(AND($B441&lt;&gt;"",$B441='Estado de cuenta'!$C$4),COUNTIF($B$2:$B441,'Estado de cuenta'!$C$4),"")</f>
        <v/>
      </c>
    </row>
    <row r="442" customFormat="false" ht="15" hidden="false" customHeight="false" outlineLevel="0" collapsed="false">
      <c r="A442" s="17"/>
      <c r="B442" s="10"/>
      <c r="C442" s="10"/>
      <c r="D442" s="10"/>
      <c r="E442" s="10"/>
      <c r="F442" s="12"/>
      <c r="G442" s="13" t="str">
        <f aca="false">IF(OR($B442="",$F442=""),"",IF(OR($C442="Saldo inicial",$C442="Factura",$C442="Nota de débito"),$F442,0))</f>
        <v/>
      </c>
      <c r="H442" s="13" t="str">
        <f aca="false">IF(OR($B442="",$F442=""),"",IF(OR($C442="Cobro",$C442="Nota de crédito"),$F442,0))</f>
        <v/>
      </c>
      <c r="I442" s="16" t="str">
        <f aca="false">IF(OR($A442="",N($G442)=0),"",$A442+IFERROR(INDEX(Clientes!$F$2:$F$81,MATCH($B442,Clientes!$B$2:$B$81,0)),0))</f>
        <v/>
      </c>
      <c r="J442" s="13" t="str">
        <f aca="false">IF($B442="","",SUMIFS($G$2:$G442,$B$2:$B442,$B442)-SUMIFS($H$2:$H442,$B$2:$B442,$B442))</f>
        <v/>
      </c>
      <c r="K442" s="10"/>
      <c r="L442" s="10"/>
      <c r="M442" s="18" t="str">
        <f aca="false">IF(AND($B442&lt;&gt;"",$B442='Estado de cuenta'!$C$4),COUNTIF($B$2:$B442,'Estado de cuenta'!$C$4),"")</f>
        <v/>
      </c>
    </row>
    <row r="443" customFormat="false" ht="15" hidden="false" customHeight="false" outlineLevel="0" collapsed="false">
      <c r="A443" s="17"/>
      <c r="B443" s="10"/>
      <c r="C443" s="10"/>
      <c r="D443" s="10"/>
      <c r="E443" s="10"/>
      <c r="F443" s="12"/>
      <c r="G443" s="13" t="str">
        <f aca="false">IF(OR($B443="",$F443=""),"",IF(OR($C443="Saldo inicial",$C443="Factura",$C443="Nota de débito"),$F443,0))</f>
        <v/>
      </c>
      <c r="H443" s="13" t="str">
        <f aca="false">IF(OR($B443="",$F443=""),"",IF(OR($C443="Cobro",$C443="Nota de crédito"),$F443,0))</f>
        <v/>
      </c>
      <c r="I443" s="16" t="str">
        <f aca="false">IF(OR($A443="",N($G443)=0),"",$A443+IFERROR(INDEX(Clientes!$F$2:$F$81,MATCH($B443,Clientes!$B$2:$B$81,0)),0))</f>
        <v/>
      </c>
      <c r="J443" s="13" t="str">
        <f aca="false">IF($B443="","",SUMIFS($G$2:$G443,$B$2:$B443,$B443)-SUMIFS($H$2:$H443,$B$2:$B443,$B443))</f>
        <v/>
      </c>
      <c r="K443" s="10"/>
      <c r="L443" s="10"/>
      <c r="M443" s="18" t="str">
        <f aca="false">IF(AND($B443&lt;&gt;"",$B443='Estado de cuenta'!$C$4),COUNTIF($B$2:$B443,'Estado de cuenta'!$C$4),"")</f>
        <v/>
      </c>
    </row>
    <row r="444" customFormat="false" ht="15" hidden="false" customHeight="false" outlineLevel="0" collapsed="false">
      <c r="A444" s="17"/>
      <c r="B444" s="10"/>
      <c r="C444" s="10"/>
      <c r="D444" s="10"/>
      <c r="E444" s="10"/>
      <c r="F444" s="12"/>
      <c r="G444" s="13" t="str">
        <f aca="false">IF(OR($B444="",$F444=""),"",IF(OR($C444="Saldo inicial",$C444="Factura",$C444="Nota de débito"),$F444,0))</f>
        <v/>
      </c>
      <c r="H444" s="13" t="str">
        <f aca="false">IF(OR($B444="",$F444=""),"",IF(OR($C444="Cobro",$C444="Nota de crédito"),$F444,0))</f>
        <v/>
      </c>
      <c r="I444" s="16" t="str">
        <f aca="false">IF(OR($A444="",N($G444)=0),"",$A444+IFERROR(INDEX(Clientes!$F$2:$F$81,MATCH($B444,Clientes!$B$2:$B$81,0)),0))</f>
        <v/>
      </c>
      <c r="J444" s="13" t="str">
        <f aca="false">IF($B444="","",SUMIFS($G$2:$G444,$B$2:$B444,$B444)-SUMIFS($H$2:$H444,$B$2:$B444,$B444))</f>
        <v/>
      </c>
      <c r="K444" s="10"/>
      <c r="L444" s="10"/>
      <c r="M444" s="18" t="str">
        <f aca="false">IF(AND($B444&lt;&gt;"",$B444='Estado de cuenta'!$C$4),COUNTIF($B$2:$B444,'Estado de cuenta'!$C$4),"")</f>
        <v/>
      </c>
    </row>
    <row r="445" customFormat="false" ht="15" hidden="false" customHeight="false" outlineLevel="0" collapsed="false">
      <c r="A445" s="17"/>
      <c r="B445" s="10"/>
      <c r="C445" s="10"/>
      <c r="D445" s="10"/>
      <c r="E445" s="10"/>
      <c r="F445" s="12"/>
      <c r="G445" s="13" t="str">
        <f aca="false">IF(OR($B445="",$F445=""),"",IF(OR($C445="Saldo inicial",$C445="Factura",$C445="Nota de débito"),$F445,0))</f>
        <v/>
      </c>
      <c r="H445" s="13" t="str">
        <f aca="false">IF(OR($B445="",$F445=""),"",IF(OR($C445="Cobro",$C445="Nota de crédito"),$F445,0))</f>
        <v/>
      </c>
      <c r="I445" s="16" t="str">
        <f aca="false">IF(OR($A445="",N($G445)=0),"",$A445+IFERROR(INDEX(Clientes!$F$2:$F$81,MATCH($B445,Clientes!$B$2:$B$81,0)),0))</f>
        <v/>
      </c>
      <c r="J445" s="13" t="str">
        <f aca="false">IF($B445="","",SUMIFS($G$2:$G445,$B$2:$B445,$B445)-SUMIFS($H$2:$H445,$B$2:$B445,$B445))</f>
        <v/>
      </c>
      <c r="K445" s="10"/>
      <c r="L445" s="10"/>
      <c r="M445" s="18" t="str">
        <f aca="false">IF(AND($B445&lt;&gt;"",$B445='Estado de cuenta'!$C$4),COUNTIF($B$2:$B445,'Estado de cuenta'!$C$4),"")</f>
        <v/>
      </c>
    </row>
    <row r="446" customFormat="false" ht="15" hidden="false" customHeight="false" outlineLevel="0" collapsed="false">
      <c r="A446" s="17"/>
      <c r="B446" s="10"/>
      <c r="C446" s="10"/>
      <c r="D446" s="10"/>
      <c r="E446" s="10"/>
      <c r="F446" s="12"/>
      <c r="G446" s="13" t="str">
        <f aca="false">IF(OR($B446="",$F446=""),"",IF(OR($C446="Saldo inicial",$C446="Factura",$C446="Nota de débito"),$F446,0))</f>
        <v/>
      </c>
      <c r="H446" s="13" t="str">
        <f aca="false">IF(OR($B446="",$F446=""),"",IF(OR($C446="Cobro",$C446="Nota de crédito"),$F446,0))</f>
        <v/>
      </c>
      <c r="I446" s="16" t="str">
        <f aca="false">IF(OR($A446="",N($G446)=0),"",$A446+IFERROR(INDEX(Clientes!$F$2:$F$81,MATCH($B446,Clientes!$B$2:$B$81,0)),0))</f>
        <v/>
      </c>
      <c r="J446" s="13" t="str">
        <f aca="false">IF($B446="","",SUMIFS($G$2:$G446,$B$2:$B446,$B446)-SUMIFS($H$2:$H446,$B$2:$B446,$B446))</f>
        <v/>
      </c>
      <c r="K446" s="10"/>
      <c r="L446" s="10"/>
      <c r="M446" s="18" t="str">
        <f aca="false">IF(AND($B446&lt;&gt;"",$B446='Estado de cuenta'!$C$4),COUNTIF($B$2:$B446,'Estado de cuenta'!$C$4),"")</f>
        <v/>
      </c>
    </row>
    <row r="447" customFormat="false" ht="15" hidden="false" customHeight="false" outlineLevel="0" collapsed="false">
      <c r="A447" s="17"/>
      <c r="B447" s="10"/>
      <c r="C447" s="10"/>
      <c r="D447" s="10"/>
      <c r="E447" s="10"/>
      <c r="F447" s="12"/>
      <c r="G447" s="13" t="str">
        <f aca="false">IF(OR($B447="",$F447=""),"",IF(OR($C447="Saldo inicial",$C447="Factura",$C447="Nota de débito"),$F447,0))</f>
        <v/>
      </c>
      <c r="H447" s="13" t="str">
        <f aca="false">IF(OR($B447="",$F447=""),"",IF(OR($C447="Cobro",$C447="Nota de crédito"),$F447,0))</f>
        <v/>
      </c>
      <c r="I447" s="16" t="str">
        <f aca="false">IF(OR($A447="",N($G447)=0),"",$A447+IFERROR(INDEX(Clientes!$F$2:$F$81,MATCH($B447,Clientes!$B$2:$B$81,0)),0))</f>
        <v/>
      </c>
      <c r="J447" s="13" t="str">
        <f aca="false">IF($B447="","",SUMIFS($G$2:$G447,$B$2:$B447,$B447)-SUMIFS($H$2:$H447,$B$2:$B447,$B447))</f>
        <v/>
      </c>
      <c r="K447" s="10"/>
      <c r="L447" s="10"/>
      <c r="M447" s="18" t="str">
        <f aca="false">IF(AND($B447&lt;&gt;"",$B447='Estado de cuenta'!$C$4),COUNTIF($B$2:$B447,'Estado de cuenta'!$C$4),"")</f>
        <v/>
      </c>
    </row>
    <row r="448" customFormat="false" ht="15" hidden="false" customHeight="false" outlineLevel="0" collapsed="false">
      <c r="A448" s="17"/>
      <c r="B448" s="10"/>
      <c r="C448" s="10"/>
      <c r="D448" s="10"/>
      <c r="E448" s="10"/>
      <c r="F448" s="12"/>
      <c r="G448" s="13" t="str">
        <f aca="false">IF(OR($B448="",$F448=""),"",IF(OR($C448="Saldo inicial",$C448="Factura",$C448="Nota de débito"),$F448,0))</f>
        <v/>
      </c>
      <c r="H448" s="13" t="str">
        <f aca="false">IF(OR($B448="",$F448=""),"",IF(OR($C448="Cobro",$C448="Nota de crédito"),$F448,0))</f>
        <v/>
      </c>
      <c r="I448" s="16" t="str">
        <f aca="false">IF(OR($A448="",N($G448)=0),"",$A448+IFERROR(INDEX(Clientes!$F$2:$F$81,MATCH($B448,Clientes!$B$2:$B$81,0)),0))</f>
        <v/>
      </c>
      <c r="J448" s="13" t="str">
        <f aca="false">IF($B448="","",SUMIFS($G$2:$G448,$B$2:$B448,$B448)-SUMIFS($H$2:$H448,$B$2:$B448,$B448))</f>
        <v/>
      </c>
      <c r="K448" s="10"/>
      <c r="L448" s="10"/>
      <c r="M448" s="18" t="str">
        <f aca="false">IF(AND($B448&lt;&gt;"",$B448='Estado de cuenta'!$C$4),COUNTIF($B$2:$B448,'Estado de cuenta'!$C$4),"")</f>
        <v/>
      </c>
    </row>
    <row r="449" customFormat="false" ht="15" hidden="false" customHeight="false" outlineLevel="0" collapsed="false">
      <c r="A449" s="17"/>
      <c r="B449" s="10"/>
      <c r="C449" s="10"/>
      <c r="D449" s="10"/>
      <c r="E449" s="10"/>
      <c r="F449" s="12"/>
      <c r="G449" s="13" t="str">
        <f aca="false">IF(OR($B449="",$F449=""),"",IF(OR($C449="Saldo inicial",$C449="Factura",$C449="Nota de débito"),$F449,0))</f>
        <v/>
      </c>
      <c r="H449" s="13" t="str">
        <f aca="false">IF(OR($B449="",$F449=""),"",IF(OR($C449="Cobro",$C449="Nota de crédito"),$F449,0))</f>
        <v/>
      </c>
      <c r="I449" s="16" t="str">
        <f aca="false">IF(OR($A449="",N($G449)=0),"",$A449+IFERROR(INDEX(Clientes!$F$2:$F$81,MATCH($B449,Clientes!$B$2:$B$81,0)),0))</f>
        <v/>
      </c>
      <c r="J449" s="13" t="str">
        <f aca="false">IF($B449="","",SUMIFS($G$2:$G449,$B$2:$B449,$B449)-SUMIFS($H$2:$H449,$B$2:$B449,$B449))</f>
        <v/>
      </c>
      <c r="K449" s="10"/>
      <c r="L449" s="10"/>
      <c r="M449" s="18" t="str">
        <f aca="false">IF(AND($B449&lt;&gt;"",$B449='Estado de cuenta'!$C$4),COUNTIF($B$2:$B449,'Estado de cuenta'!$C$4),"")</f>
        <v/>
      </c>
    </row>
    <row r="450" customFormat="false" ht="15" hidden="false" customHeight="false" outlineLevel="0" collapsed="false">
      <c r="A450" s="17"/>
      <c r="B450" s="10"/>
      <c r="C450" s="10"/>
      <c r="D450" s="10"/>
      <c r="E450" s="10"/>
      <c r="F450" s="12"/>
      <c r="G450" s="13" t="str">
        <f aca="false">IF(OR($B450="",$F450=""),"",IF(OR($C450="Saldo inicial",$C450="Factura",$C450="Nota de débito"),$F450,0))</f>
        <v/>
      </c>
      <c r="H450" s="13" t="str">
        <f aca="false">IF(OR($B450="",$F450=""),"",IF(OR($C450="Cobro",$C450="Nota de crédito"),$F450,0))</f>
        <v/>
      </c>
      <c r="I450" s="16" t="str">
        <f aca="false">IF(OR($A450="",N($G450)=0),"",$A450+IFERROR(INDEX(Clientes!$F$2:$F$81,MATCH($B450,Clientes!$B$2:$B$81,0)),0))</f>
        <v/>
      </c>
      <c r="J450" s="13" t="str">
        <f aca="false">IF($B450="","",SUMIFS($G$2:$G450,$B$2:$B450,$B450)-SUMIFS($H$2:$H450,$B$2:$B450,$B450))</f>
        <v/>
      </c>
      <c r="K450" s="10"/>
      <c r="L450" s="10"/>
      <c r="M450" s="18" t="str">
        <f aca="false">IF(AND($B450&lt;&gt;"",$B450='Estado de cuenta'!$C$4),COUNTIF($B$2:$B450,'Estado de cuenta'!$C$4),"")</f>
        <v/>
      </c>
    </row>
    <row r="451" customFormat="false" ht="15" hidden="false" customHeight="false" outlineLevel="0" collapsed="false">
      <c r="A451" s="17"/>
      <c r="B451" s="10"/>
      <c r="C451" s="10"/>
      <c r="D451" s="10"/>
      <c r="E451" s="10"/>
      <c r="F451" s="12"/>
      <c r="G451" s="13" t="str">
        <f aca="false">IF(OR($B451="",$F451=""),"",IF(OR($C451="Saldo inicial",$C451="Factura",$C451="Nota de débito"),$F451,0))</f>
        <v/>
      </c>
      <c r="H451" s="13" t="str">
        <f aca="false">IF(OR($B451="",$F451=""),"",IF(OR($C451="Cobro",$C451="Nota de crédito"),$F451,0))</f>
        <v/>
      </c>
      <c r="I451" s="16" t="str">
        <f aca="false">IF(OR($A451="",N($G451)=0),"",$A451+IFERROR(INDEX(Clientes!$F$2:$F$81,MATCH($B451,Clientes!$B$2:$B$81,0)),0))</f>
        <v/>
      </c>
      <c r="J451" s="13" t="str">
        <f aca="false">IF($B451="","",SUMIFS($G$2:$G451,$B$2:$B451,$B451)-SUMIFS($H$2:$H451,$B$2:$B451,$B451))</f>
        <v/>
      </c>
      <c r="K451" s="10"/>
      <c r="L451" s="10"/>
      <c r="M451" s="18" t="str">
        <f aca="false">IF(AND($B451&lt;&gt;"",$B451='Estado de cuenta'!$C$4),COUNTIF($B$2:$B451,'Estado de cuenta'!$C$4),"")</f>
        <v/>
      </c>
    </row>
    <row r="452" customFormat="false" ht="15" hidden="false" customHeight="false" outlineLevel="0" collapsed="false">
      <c r="A452" s="17"/>
      <c r="B452" s="10"/>
      <c r="C452" s="10"/>
      <c r="D452" s="10"/>
      <c r="E452" s="10"/>
      <c r="F452" s="12"/>
      <c r="G452" s="13" t="str">
        <f aca="false">IF(OR($B452="",$F452=""),"",IF(OR($C452="Saldo inicial",$C452="Factura",$C452="Nota de débito"),$F452,0))</f>
        <v/>
      </c>
      <c r="H452" s="13" t="str">
        <f aca="false">IF(OR($B452="",$F452=""),"",IF(OR($C452="Cobro",$C452="Nota de crédito"),$F452,0))</f>
        <v/>
      </c>
      <c r="I452" s="16" t="str">
        <f aca="false">IF(OR($A452="",N($G452)=0),"",$A452+IFERROR(INDEX(Clientes!$F$2:$F$81,MATCH($B452,Clientes!$B$2:$B$81,0)),0))</f>
        <v/>
      </c>
      <c r="J452" s="13" t="str">
        <f aca="false">IF($B452="","",SUMIFS($G$2:$G452,$B$2:$B452,$B452)-SUMIFS($H$2:$H452,$B$2:$B452,$B452))</f>
        <v/>
      </c>
      <c r="K452" s="10"/>
      <c r="L452" s="10"/>
      <c r="M452" s="18" t="str">
        <f aca="false">IF(AND($B452&lt;&gt;"",$B452='Estado de cuenta'!$C$4),COUNTIF($B$2:$B452,'Estado de cuenta'!$C$4),"")</f>
        <v/>
      </c>
    </row>
    <row r="453" customFormat="false" ht="15" hidden="false" customHeight="false" outlineLevel="0" collapsed="false">
      <c r="A453" s="17"/>
      <c r="B453" s="10"/>
      <c r="C453" s="10"/>
      <c r="D453" s="10"/>
      <c r="E453" s="10"/>
      <c r="F453" s="12"/>
      <c r="G453" s="13" t="str">
        <f aca="false">IF(OR($B453="",$F453=""),"",IF(OR($C453="Saldo inicial",$C453="Factura",$C453="Nota de débito"),$F453,0))</f>
        <v/>
      </c>
      <c r="H453" s="13" t="str">
        <f aca="false">IF(OR($B453="",$F453=""),"",IF(OR($C453="Cobro",$C453="Nota de crédito"),$F453,0))</f>
        <v/>
      </c>
      <c r="I453" s="16" t="str">
        <f aca="false">IF(OR($A453="",N($G453)=0),"",$A453+IFERROR(INDEX(Clientes!$F$2:$F$81,MATCH($B453,Clientes!$B$2:$B$81,0)),0))</f>
        <v/>
      </c>
      <c r="J453" s="13" t="str">
        <f aca="false">IF($B453="","",SUMIFS($G$2:$G453,$B$2:$B453,$B453)-SUMIFS($H$2:$H453,$B$2:$B453,$B453))</f>
        <v/>
      </c>
      <c r="K453" s="10"/>
      <c r="L453" s="10"/>
      <c r="M453" s="18" t="str">
        <f aca="false">IF(AND($B453&lt;&gt;"",$B453='Estado de cuenta'!$C$4),COUNTIF($B$2:$B453,'Estado de cuenta'!$C$4),"")</f>
        <v/>
      </c>
    </row>
    <row r="454" customFormat="false" ht="15" hidden="false" customHeight="false" outlineLevel="0" collapsed="false">
      <c r="A454" s="17"/>
      <c r="B454" s="10"/>
      <c r="C454" s="10"/>
      <c r="D454" s="10"/>
      <c r="E454" s="10"/>
      <c r="F454" s="12"/>
      <c r="G454" s="13" t="str">
        <f aca="false">IF(OR($B454="",$F454=""),"",IF(OR($C454="Saldo inicial",$C454="Factura",$C454="Nota de débito"),$F454,0))</f>
        <v/>
      </c>
      <c r="H454" s="13" t="str">
        <f aca="false">IF(OR($B454="",$F454=""),"",IF(OR($C454="Cobro",$C454="Nota de crédito"),$F454,0))</f>
        <v/>
      </c>
      <c r="I454" s="16" t="str">
        <f aca="false">IF(OR($A454="",N($G454)=0),"",$A454+IFERROR(INDEX(Clientes!$F$2:$F$81,MATCH($B454,Clientes!$B$2:$B$81,0)),0))</f>
        <v/>
      </c>
      <c r="J454" s="13" t="str">
        <f aca="false">IF($B454="","",SUMIFS($G$2:$G454,$B$2:$B454,$B454)-SUMIFS($H$2:$H454,$B$2:$B454,$B454))</f>
        <v/>
      </c>
      <c r="K454" s="10"/>
      <c r="L454" s="10"/>
      <c r="M454" s="18" t="str">
        <f aca="false">IF(AND($B454&lt;&gt;"",$B454='Estado de cuenta'!$C$4),COUNTIF($B$2:$B454,'Estado de cuenta'!$C$4),"")</f>
        <v/>
      </c>
    </row>
    <row r="455" customFormat="false" ht="15" hidden="false" customHeight="false" outlineLevel="0" collapsed="false">
      <c r="A455" s="17"/>
      <c r="B455" s="10"/>
      <c r="C455" s="10"/>
      <c r="D455" s="10"/>
      <c r="E455" s="10"/>
      <c r="F455" s="12"/>
      <c r="G455" s="13" t="str">
        <f aca="false">IF(OR($B455="",$F455=""),"",IF(OR($C455="Saldo inicial",$C455="Factura",$C455="Nota de débito"),$F455,0))</f>
        <v/>
      </c>
      <c r="H455" s="13" t="str">
        <f aca="false">IF(OR($B455="",$F455=""),"",IF(OR($C455="Cobro",$C455="Nota de crédito"),$F455,0))</f>
        <v/>
      </c>
      <c r="I455" s="16" t="str">
        <f aca="false">IF(OR($A455="",N($G455)=0),"",$A455+IFERROR(INDEX(Clientes!$F$2:$F$81,MATCH($B455,Clientes!$B$2:$B$81,0)),0))</f>
        <v/>
      </c>
      <c r="J455" s="13" t="str">
        <f aca="false">IF($B455="","",SUMIFS($G$2:$G455,$B$2:$B455,$B455)-SUMIFS($H$2:$H455,$B$2:$B455,$B455))</f>
        <v/>
      </c>
      <c r="K455" s="10"/>
      <c r="L455" s="10"/>
      <c r="M455" s="18" t="str">
        <f aca="false">IF(AND($B455&lt;&gt;"",$B455='Estado de cuenta'!$C$4),COUNTIF($B$2:$B455,'Estado de cuenta'!$C$4),"")</f>
        <v/>
      </c>
    </row>
    <row r="456" customFormat="false" ht="15" hidden="false" customHeight="false" outlineLevel="0" collapsed="false">
      <c r="A456" s="17"/>
      <c r="B456" s="10"/>
      <c r="C456" s="10"/>
      <c r="D456" s="10"/>
      <c r="E456" s="10"/>
      <c r="F456" s="12"/>
      <c r="G456" s="13" t="str">
        <f aca="false">IF(OR($B456="",$F456=""),"",IF(OR($C456="Saldo inicial",$C456="Factura",$C456="Nota de débito"),$F456,0))</f>
        <v/>
      </c>
      <c r="H456" s="13" t="str">
        <f aca="false">IF(OR($B456="",$F456=""),"",IF(OR($C456="Cobro",$C456="Nota de crédito"),$F456,0))</f>
        <v/>
      </c>
      <c r="I456" s="16" t="str">
        <f aca="false">IF(OR($A456="",N($G456)=0),"",$A456+IFERROR(INDEX(Clientes!$F$2:$F$81,MATCH($B456,Clientes!$B$2:$B$81,0)),0))</f>
        <v/>
      </c>
      <c r="J456" s="13" t="str">
        <f aca="false">IF($B456="","",SUMIFS($G$2:$G456,$B$2:$B456,$B456)-SUMIFS($H$2:$H456,$B$2:$B456,$B456))</f>
        <v/>
      </c>
      <c r="K456" s="10"/>
      <c r="L456" s="10"/>
      <c r="M456" s="18" t="str">
        <f aca="false">IF(AND($B456&lt;&gt;"",$B456='Estado de cuenta'!$C$4),COUNTIF($B$2:$B456,'Estado de cuenta'!$C$4),"")</f>
        <v/>
      </c>
    </row>
    <row r="457" customFormat="false" ht="15" hidden="false" customHeight="false" outlineLevel="0" collapsed="false">
      <c r="A457" s="17"/>
      <c r="B457" s="10"/>
      <c r="C457" s="10"/>
      <c r="D457" s="10"/>
      <c r="E457" s="10"/>
      <c r="F457" s="12"/>
      <c r="G457" s="13" t="str">
        <f aca="false">IF(OR($B457="",$F457=""),"",IF(OR($C457="Saldo inicial",$C457="Factura",$C457="Nota de débito"),$F457,0))</f>
        <v/>
      </c>
      <c r="H457" s="13" t="str">
        <f aca="false">IF(OR($B457="",$F457=""),"",IF(OR($C457="Cobro",$C457="Nota de crédito"),$F457,0))</f>
        <v/>
      </c>
      <c r="I457" s="16" t="str">
        <f aca="false">IF(OR($A457="",N($G457)=0),"",$A457+IFERROR(INDEX(Clientes!$F$2:$F$81,MATCH($B457,Clientes!$B$2:$B$81,0)),0))</f>
        <v/>
      </c>
      <c r="J457" s="13" t="str">
        <f aca="false">IF($B457="","",SUMIFS($G$2:$G457,$B$2:$B457,$B457)-SUMIFS($H$2:$H457,$B$2:$B457,$B457))</f>
        <v/>
      </c>
      <c r="K457" s="10"/>
      <c r="L457" s="10"/>
      <c r="M457" s="18" t="str">
        <f aca="false">IF(AND($B457&lt;&gt;"",$B457='Estado de cuenta'!$C$4),COUNTIF($B$2:$B457,'Estado de cuenta'!$C$4),"")</f>
        <v/>
      </c>
    </row>
    <row r="458" customFormat="false" ht="15" hidden="false" customHeight="false" outlineLevel="0" collapsed="false">
      <c r="A458" s="17"/>
      <c r="B458" s="10"/>
      <c r="C458" s="10"/>
      <c r="D458" s="10"/>
      <c r="E458" s="10"/>
      <c r="F458" s="12"/>
      <c r="G458" s="13" t="str">
        <f aca="false">IF(OR($B458="",$F458=""),"",IF(OR($C458="Saldo inicial",$C458="Factura",$C458="Nota de débito"),$F458,0))</f>
        <v/>
      </c>
      <c r="H458" s="13" t="str">
        <f aca="false">IF(OR($B458="",$F458=""),"",IF(OR($C458="Cobro",$C458="Nota de crédito"),$F458,0))</f>
        <v/>
      </c>
      <c r="I458" s="16" t="str">
        <f aca="false">IF(OR($A458="",N($G458)=0),"",$A458+IFERROR(INDEX(Clientes!$F$2:$F$81,MATCH($B458,Clientes!$B$2:$B$81,0)),0))</f>
        <v/>
      </c>
      <c r="J458" s="13" t="str">
        <f aca="false">IF($B458="","",SUMIFS($G$2:$G458,$B$2:$B458,$B458)-SUMIFS($H$2:$H458,$B$2:$B458,$B458))</f>
        <v/>
      </c>
      <c r="K458" s="10"/>
      <c r="L458" s="10"/>
      <c r="M458" s="18" t="str">
        <f aca="false">IF(AND($B458&lt;&gt;"",$B458='Estado de cuenta'!$C$4),COUNTIF($B$2:$B458,'Estado de cuenta'!$C$4),"")</f>
        <v/>
      </c>
    </row>
    <row r="459" customFormat="false" ht="15" hidden="false" customHeight="false" outlineLevel="0" collapsed="false">
      <c r="A459" s="17"/>
      <c r="B459" s="10"/>
      <c r="C459" s="10"/>
      <c r="D459" s="10"/>
      <c r="E459" s="10"/>
      <c r="F459" s="12"/>
      <c r="G459" s="13" t="str">
        <f aca="false">IF(OR($B459="",$F459=""),"",IF(OR($C459="Saldo inicial",$C459="Factura",$C459="Nota de débito"),$F459,0))</f>
        <v/>
      </c>
      <c r="H459" s="13" t="str">
        <f aca="false">IF(OR($B459="",$F459=""),"",IF(OR($C459="Cobro",$C459="Nota de crédito"),$F459,0))</f>
        <v/>
      </c>
      <c r="I459" s="16" t="str">
        <f aca="false">IF(OR($A459="",N($G459)=0),"",$A459+IFERROR(INDEX(Clientes!$F$2:$F$81,MATCH($B459,Clientes!$B$2:$B$81,0)),0))</f>
        <v/>
      </c>
      <c r="J459" s="13" t="str">
        <f aca="false">IF($B459="","",SUMIFS($G$2:$G459,$B$2:$B459,$B459)-SUMIFS($H$2:$H459,$B$2:$B459,$B459))</f>
        <v/>
      </c>
      <c r="K459" s="10"/>
      <c r="L459" s="10"/>
      <c r="M459" s="18" t="str">
        <f aca="false">IF(AND($B459&lt;&gt;"",$B459='Estado de cuenta'!$C$4),COUNTIF($B$2:$B459,'Estado de cuenta'!$C$4),"")</f>
        <v/>
      </c>
    </row>
    <row r="460" customFormat="false" ht="15" hidden="false" customHeight="false" outlineLevel="0" collapsed="false">
      <c r="A460" s="17"/>
      <c r="B460" s="10"/>
      <c r="C460" s="10"/>
      <c r="D460" s="10"/>
      <c r="E460" s="10"/>
      <c r="F460" s="12"/>
      <c r="G460" s="13" t="str">
        <f aca="false">IF(OR($B460="",$F460=""),"",IF(OR($C460="Saldo inicial",$C460="Factura",$C460="Nota de débito"),$F460,0))</f>
        <v/>
      </c>
      <c r="H460" s="13" t="str">
        <f aca="false">IF(OR($B460="",$F460=""),"",IF(OR($C460="Cobro",$C460="Nota de crédito"),$F460,0))</f>
        <v/>
      </c>
      <c r="I460" s="16" t="str">
        <f aca="false">IF(OR($A460="",N($G460)=0),"",$A460+IFERROR(INDEX(Clientes!$F$2:$F$81,MATCH($B460,Clientes!$B$2:$B$81,0)),0))</f>
        <v/>
      </c>
      <c r="J460" s="13" t="str">
        <f aca="false">IF($B460="","",SUMIFS($G$2:$G460,$B$2:$B460,$B460)-SUMIFS($H$2:$H460,$B$2:$B460,$B460))</f>
        <v/>
      </c>
      <c r="K460" s="10"/>
      <c r="L460" s="10"/>
      <c r="M460" s="18" t="str">
        <f aca="false">IF(AND($B460&lt;&gt;"",$B460='Estado de cuenta'!$C$4),COUNTIF($B$2:$B460,'Estado de cuenta'!$C$4),"")</f>
        <v/>
      </c>
    </row>
    <row r="461" customFormat="false" ht="15" hidden="false" customHeight="false" outlineLevel="0" collapsed="false">
      <c r="A461" s="17"/>
      <c r="B461" s="10"/>
      <c r="C461" s="10"/>
      <c r="D461" s="10"/>
      <c r="E461" s="10"/>
      <c r="F461" s="12"/>
      <c r="G461" s="13" t="str">
        <f aca="false">IF(OR($B461="",$F461=""),"",IF(OR($C461="Saldo inicial",$C461="Factura",$C461="Nota de débito"),$F461,0))</f>
        <v/>
      </c>
      <c r="H461" s="13" t="str">
        <f aca="false">IF(OR($B461="",$F461=""),"",IF(OR($C461="Cobro",$C461="Nota de crédito"),$F461,0))</f>
        <v/>
      </c>
      <c r="I461" s="16" t="str">
        <f aca="false">IF(OR($A461="",N($G461)=0),"",$A461+IFERROR(INDEX(Clientes!$F$2:$F$81,MATCH($B461,Clientes!$B$2:$B$81,0)),0))</f>
        <v/>
      </c>
      <c r="J461" s="13" t="str">
        <f aca="false">IF($B461="","",SUMIFS($G$2:$G461,$B$2:$B461,$B461)-SUMIFS($H$2:$H461,$B$2:$B461,$B461))</f>
        <v/>
      </c>
      <c r="K461" s="10"/>
      <c r="L461" s="10"/>
      <c r="M461" s="18" t="str">
        <f aca="false">IF(AND($B461&lt;&gt;"",$B461='Estado de cuenta'!$C$4),COUNTIF($B$2:$B461,'Estado de cuenta'!$C$4),"")</f>
        <v/>
      </c>
    </row>
    <row r="462" customFormat="false" ht="15" hidden="false" customHeight="false" outlineLevel="0" collapsed="false">
      <c r="A462" s="17"/>
      <c r="B462" s="10"/>
      <c r="C462" s="10"/>
      <c r="D462" s="10"/>
      <c r="E462" s="10"/>
      <c r="F462" s="12"/>
      <c r="G462" s="13" t="str">
        <f aca="false">IF(OR($B462="",$F462=""),"",IF(OR($C462="Saldo inicial",$C462="Factura",$C462="Nota de débito"),$F462,0))</f>
        <v/>
      </c>
      <c r="H462" s="13" t="str">
        <f aca="false">IF(OR($B462="",$F462=""),"",IF(OR($C462="Cobro",$C462="Nota de crédito"),$F462,0))</f>
        <v/>
      </c>
      <c r="I462" s="16" t="str">
        <f aca="false">IF(OR($A462="",N($G462)=0),"",$A462+IFERROR(INDEX(Clientes!$F$2:$F$81,MATCH($B462,Clientes!$B$2:$B$81,0)),0))</f>
        <v/>
      </c>
      <c r="J462" s="13" t="str">
        <f aca="false">IF($B462="","",SUMIFS($G$2:$G462,$B$2:$B462,$B462)-SUMIFS($H$2:$H462,$B$2:$B462,$B462))</f>
        <v/>
      </c>
      <c r="K462" s="10"/>
      <c r="L462" s="10"/>
      <c r="M462" s="18" t="str">
        <f aca="false">IF(AND($B462&lt;&gt;"",$B462='Estado de cuenta'!$C$4),COUNTIF($B$2:$B462,'Estado de cuenta'!$C$4),"")</f>
        <v/>
      </c>
    </row>
    <row r="463" customFormat="false" ht="15" hidden="false" customHeight="false" outlineLevel="0" collapsed="false">
      <c r="A463" s="17"/>
      <c r="B463" s="10"/>
      <c r="C463" s="10"/>
      <c r="D463" s="10"/>
      <c r="E463" s="10"/>
      <c r="F463" s="12"/>
      <c r="G463" s="13" t="str">
        <f aca="false">IF(OR($B463="",$F463=""),"",IF(OR($C463="Saldo inicial",$C463="Factura",$C463="Nota de débito"),$F463,0))</f>
        <v/>
      </c>
      <c r="H463" s="13" t="str">
        <f aca="false">IF(OR($B463="",$F463=""),"",IF(OR($C463="Cobro",$C463="Nota de crédito"),$F463,0))</f>
        <v/>
      </c>
      <c r="I463" s="16" t="str">
        <f aca="false">IF(OR($A463="",N($G463)=0),"",$A463+IFERROR(INDEX(Clientes!$F$2:$F$81,MATCH($B463,Clientes!$B$2:$B$81,0)),0))</f>
        <v/>
      </c>
      <c r="J463" s="13" t="str">
        <f aca="false">IF($B463="","",SUMIFS($G$2:$G463,$B$2:$B463,$B463)-SUMIFS($H$2:$H463,$B$2:$B463,$B463))</f>
        <v/>
      </c>
      <c r="K463" s="10"/>
      <c r="L463" s="10"/>
      <c r="M463" s="18" t="str">
        <f aca="false">IF(AND($B463&lt;&gt;"",$B463='Estado de cuenta'!$C$4),COUNTIF($B$2:$B463,'Estado de cuenta'!$C$4),"")</f>
        <v/>
      </c>
    </row>
    <row r="464" customFormat="false" ht="15" hidden="false" customHeight="false" outlineLevel="0" collapsed="false">
      <c r="A464" s="17"/>
      <c r="B464" s="10"/>
      <c r="C464" s="10"/>
      <c r="D464" s="10"/>
      <c r="E464" s="10"/>
      <c r="F464" s="12"/>
      <c r="G464" s="13" t="str">
        <f aca="false">IF(OR($B464="",$F464=""),"",IF(OR($C464="Saldo inicial",$C464="Factura",$C464="Nota de débito"),$F464,0))</f>
        <v/>
      </c>
      <c r="H464" s="13" t="str">
        <f aca="false">IF(OR($B464="",$F464=""),"",IF(OR($C464="Cobro",$C464="Nota de crédito"),$F464,0))</f>
        <v/>
      </c>
      <c r="I464" s="16" t="str">
        <f aca="false">IF(OR($A464="",N($G464)=0),"",$A464+IFERROR(INDEX(Clientes!$F$2:$F$81,MATCH($B464,Clientes!$B$2:$B$81,0)),0))</f>
        <v/>
      </c>
      <c r="J464" s="13" t="str">
        <f aca="false">IF($B464="","",SUMIFS($G$2:$G464,$B$2:$B464,$B464)-SUMIFS($H$2:$H464,$B$2:$B464,$B464))</f>
        <v/>
      </c>
      <c r="K464" s="10"/>
      <c r="L464" s="10"/>
      <c r="M464" s="18" t="str">
        <f aca="false">IF(AND($B464&lt;&gt;"",$B464='Estado de cuenta'!$C$4),COUNTIF($B$2:$B464,'Estado de cuenta'!$C$4),"")</f>
        <v/>
      </c>
    </row>
    <row r="465" customFormat="false" ht="15" hidden="false" customHeight="false" outlineLevel="0" collapsed="false">
      <c r="A465" s="17"/>
      <c r="B465" s="10"/>
      <c r="C465" s="10"/>
      <c r="D465" s="10"/>
      <c r="E465" s="10"/>
      <c r="F465" s="12"/>
      <c r="G465" s="13" t="str">
        <f aca="false">IF(OR($B465="",$F465=""),"",IF(OR($C465="Saldo inicial",$C465="Factura",$C465="Nota de débito"),$F465,0))</f>
        <v/>
      </c>
      <c r="H465" s="13" t="str">
        <f aca="false">IF(OR($B465="",$F465=""),"",IF(OR($C465="Cobro",$C465="Nota de crédito"),$F465,0))</f>
        <v/>
      </c>
      <c r="I465" s="16" t="str">
        <f aca="false">IF(OR($A465="",N($G465)=0),"",$A465+IFERROR(INDEX(Clientes!$F$2:$F$81,MATCH($B465,Clientes!$B$2:$B$81,0)),0))</f>
        <v/>
      </c>
      <c r="J465" s="13" t="str">
        <f aca="false">IF($B465="","",SUMIFS($G$2:$G465,$B$2:$B465,$B465)-SUMIFS($H$2:$H465,$B$2:$B465,$B465))</f>
        <v/>
      </c>
      <c r="K465" s="10"/>
      <c r="L465" s="10"/>
      <c r="M465" s="18" t="str">
        <f aca="false">IF(AND($B465&lt;&gt;"",$B465='Estado de cuenta'!$C$4),COUNTIF($B$2:$B465,'Estado de cuenta'!$C$4),"")</f>
        <v/>
      </c>
    </row>
    <row r="466" customFormat="false" ht="15" hidden="false" customHeight="false" outlineLevel="0" collapsed="false">
      <c r="A466" s="17"/>
      <c r="B466" s="10"/>
      <c r="C466" s="10"/>
      <c r="D466" s="10"/>
      <c r="E466" s="10"/>
      <c r="F466" s="12"/>
      <c r="G466" s="13" t="str">
        <f aca="false">IF(OR($B466="",$F466=""),"",IF(OR($C466="Saldo inicial",$C466="Factura",$C466="Nota de débito"),$F466,0))</f>
        <v/>
      </c>
      <c r="H466" s="13" t="str">
        <f aca="false">IF(OR($B466="",$F466=""),"",IF(OR($C466="Cobro",$C466="Nota de crédito"),$F466,0))</f>
        <v/>
      </c>
      <c r="I466" s="16" t="str">
        <f aca="false">IF(OR($A466="",N($G466)=0),"",$A466+IFERROR(INDEX(Clientes!$F$2:$F$81,MATCH($B466,Clientes!$B$2:$B$81,0)),0))</f>
        <v/>
      </c>
      <c r="J466" s="13" t="str">
        <f aca="false">IF($B466="","",SUMIFS($G$2:$G466,$B$2:$B466,$B466)-SUMIFS($H$2:$H466,$B$2:$B466,$B466))</f>
        <v/>
      </c>
      <c r="K466" s="10"/>
      <c r="L466" s="10"/>
      <c r="M466" s="18" t="str">
        <f aca="false">IF(AND($B466&lt;&gt;"",$B466='Estado de cuenta'!$C$4),COUNTIF($B$2:$B466,'Estado de cuenta'!$C$4),"")</f>
        <v/>
      </c>
    </row>
    <row r="467" customFormat="false" ht="15" hidden="false" customHeight="false" outlineLevel="0" collapsed="false">
      <c r="A467" s="17"/>
      <c r="B467" s="10"/>
      <c r="C467" s="10"/>
      <c r="D467" s="10"/>
      <c r="E467" s="10"/>
      <c r="F467" s="12"/>
      <c r="G467" s="13" t="str">
        <f aca="false">IF(OR($B467="",$F467=""),"",IF(OR($C467="Saldo inicial",$C467="Factura",$C467="Nota de débito"),$F467,0))</f>
        <v/>
      </c>
      <c r="H467" s="13" t="str">
        <f aca="false">IF(OR($B467="",$F467=""),"",IF(OR($C467="Cobro",$C467="Nota de crédito"),$F467,0))</f>
        <v/>
      </c>
      <c r="I467" s="16" t="str">
        <f aca="false">IF(OR($A467="",N($G467)=0),"",$A467+IFERROR(INDEX(Clientes!$F$2:$F$81,MATCH($B467,Clientes!$B$2:$B$81,0)),0))</f>
        <v/>
      </c>
      <c r="J467" s="13" t="str">
        <f aca="false">IF($B467="","",SUMIFS($G$2:$G467,$B$2:$B467,$B467)-SUMIFS($H$2:$H467,$B$2:$B467,$B467))</f>
        <v/>
      </c>
      <c r="K467" s="10"/>
      <c r="L467" s="10"/>
      <c r="M467" s="18" t="str">
        <f aca="false">IF(AND($B467&lt;&gt;"",$B467='Estado de cuenta'!$C$4),COUNTIF($B$2:$B467,'Estado de cuenta'!$C$4),"")</f>
        <v/>
      </c>
    </row>
    <row r="468" customFormat="false" ht="15" hidden="false" customHeight="false" outlineLevel="0" collapsed="false">
      <c r="A468" s="17"/>
      <c r="B468" s="10"/>
      <c r="C468" s="10"/>
      <c r="D468" s="10"/>
      <c r="E468" s="10"/>
      <c r="F468" s="12"/>
      <c r="G468" s="13" t="str">
        <f aca="false">IF(OR($B468="",$F468=""),"",IF(OR($C468="Saldo inicial",$C468="Factura",$C468="Nota de débito"),$F468,0))</f>
        <v/>
      </c>
      <c r="H468" s="13" t="str">
        <f aca="false">IF(OR($B468="",$F468=""),"",IF(OR($C468="Cobro",$C468="Nota de crédito"),$F468,0))</f>
        <v/>
      </c>
      <c r="I468" s="16" t="str">
        <f aca="false">IF(OR($A468="",N($G468)=0),"",$A468+IFERROR(INDEX(Clientes!$F$2:$F$81,MATCH($B468,Clientes!$B$2:$B$81,0)),0))</f>
        <v/>
      </c>
      <c r="J468" s="13" t="str">
        <f aca="false">IF($B468="","",SUMIFS($G$2:$G468,$B$2:$B468,$B468)-SUMIFS($H$2:$H468,$B$2:$B468,$B468))</f>
        <v/>
      </c>
      <c r="K468" s="10"/>
      <c r="L468" s="10"/>
      <c r="M468" s="18" t="str">
        <f aca="false">IF(AND($B468&lt;&gt;"",$B468='Estado de cuenta'!$C$4),COUNTIF($B$2:$B468,'Estado de cuenta'!$C$4),"")</f>
        <v/>
      </c>
    </row>
    <row r="469" customFormat="false" ht="15" hidden="false" customHeight="false" outlineLevel="0" collapsed="false">
      <c r="A469" s="17"/>
      <c r="B469" s="10"/>
      <c r="C469" s="10"/>
      <c r="D469" s="10"/>
      <c r="E469" s="10"/>
      <c r="F469" s="12"/>
      <c r="G469" s="13" t="str">
        <f aca="false">IF(OR($B469="",$F469=""),"",IF(OR($C469="Saldo inicial",$C469="Factura",$C469="Nota de débito"),$F469,0))</f>
        <v/>
      </c>
      <c r="H469" s="13" t="str">
        <f aca="false">IF(OR($B469="",$F469=""),"",IF(OR($C469="Cobro",$C469="Nota de crédito"),$F469,0))</f>
        <v/>
      </c>
      <c r="I469" s="16" t="str">
        <f aca="false">IF(OR($A469="",N($G469)=0),"",$A469+IFERROR(INDEX(Clientes!$F$2:$F$81,MATCH($B469,Clientes!$B$2:$B$81,0)),0))</f>
        <v/>
      </c>
      <c r="J469" s="13" t="str">
        <f aca="false">IF($B469="","",SUMIFS($G$2:$G469,$B$2:$B469,$B469)-SUMIFS($H$2:$H469,$B$2:$B469,$B469))</f>
        <v/>
      </c>
      <c r="K469" s="10"/>
      <c r="L469" s="10"/>
      <c r="M469" s="18" t="str">
        <f aca="false">IF(AND($B469&lt;&gt;"",$B469='Estado de cuenta'!$C$4),COUNTIF($B$2:$B469,'Estado de cuenta'!$C$4),"")</f>
        <v/>
      </c>
    </row>
    <row r="470" customFormat="false" ht="15" hidden="false" customHeight="false" outlineLevel="0" collapsed="false">
      <c r="A470" s="17"/>
      <c r="B470" s="10"/>
      <c r="C470" s="10"/>
      <c r="D470" s="10"/>
      <c r="E470" s="10"/>
      <c r="F470" s="12"/>
      <c r="G470" s="13" t="str">
        <f aca="false">IF(OR($B470="",$F470=""),"",IF(OR($C470="Saldo inicial",$C470="Factura",$C470="Nota de débito"),$F470,0))</f>
        <v/>
      </c>
      <c r="H470" s="13" t="str">
        <f aca="false">IF(OR($B470="",$F470=""),"",IF(OR($C470="Cobro",$C470="Nota de crédito"),$F470,0))</f>
        <v/>
      </c>
      <c r="I470" s="16" t="str">
        <f aca="false">IF(OR($A470="",N($G470)=0),"",$A470+IFERROR(INDEX(Clientes!$F$2:$F$81,MATCH($B470,Clientes!$B$2:$B$81,0)),0))</f>
        <v/>
      </c>
      <c r="J470" s="13" t="str">
        <f aca="false">IF($B470="","",SUMIFS($G$2:$G470,$B$2:$B470,$B470)-SUMIFS($H$2:$H470,$B$2:$B470,$B470))</f>
        <v/>
      </c>
      <c r="K470" s="10"/>
      <c r="L470" s="10"/>
      <c r="M470" s="18" t="str">
        <f aca="false">IF(AND($B470&lt;&gt;"",$B470='Estado de cuenta'!$C$4),COUNTIF($B$2:$B470,'Estado de cuenta'!$C$4),"")</f>
        <v/>
      </c>
    </row>
    <row r="471" customFormat="false" ht="15" hidden="false" customHeight="false" outlineLevel="0" collapsed="false">
      <c r="A471" s="17"/>
      <c r="B471" s="10"/>
      <c r="C471" s="10"/>
      <c r="D471" s="10"/>
      <c r="E471" s="10"/>
      <c r="F471" s="12"/>
      <c r="G471" s="13" t="str">
        <f aca="false">IF(OR($B471="",$F471=""),"",IF(OR($C471="Saldo inicial",$C471="Factura",$C471="Nota de débito"),$F471,0))</f>
        <v/>
      </c>
      <c r="H471" s="13" t="str">
        <f aca="false">IF(OR($B471="",$F471=""),"",IF(OR($C471="Cobro",$C471="Nota de crédito"),$F471,0))</f>
        <v/>
      </c>
      <c r="I471" s="16" t="str">
        <f aca="false">IF(OR($A471="",N($G471)=0),"",$A471+IFERROR(INDEX(Clientes!$F$2:$F$81,MATCH($B471,Clientes!$B$2:$B$81,0)),0))</f>
        <v/>
      </c>
      <c r="J471" s="13" t="str">
        <f aca="false">IF($B471="","",SUMIFS($G$2:$G471,$B$2:$B471,$B471)-SUMIFS($H$2:$H471,$B$2:$B471,$B471))</f>
        <v/>
      </c>
      <c r="K471" s="10"/>
      <c r="L471" s="10"/>
      <c r="M471" s="18" t="str">
        <f aca="false">IF(AND($B471&lt;&gt;"",$B471='Estado de cuenta'!$C$4),COUNTIF($B$2:$B471,'Estado de cuenta'!$C$4),"")</f>
        <v/>
      </c>
    </row>
    <row r="472" customFormat="false" ht="15" hidden="false" customHeight="false" outlineLevel="0" collapsed="false">
      <c r="A472" s="17"/>
      <c r="B472" s="10"/>
      <c r="C472" s="10"/>
      <c r="D472" s="10"/>
      <c r="E472" s="10"/>
      <c r="F472" s="12"/>
      <c r="G472" s="13" t="str">
        <f aca="false">IF(OR($B472="",$F472=""),"",IF(OR($C472="Saldo inicial",$C472="Factura",$C472="Nota de débito"),$F472,0))</f>
        <v/>
      </c>
      <c r="H472" s="13" t="str">
        <f aca="false">IF(OR($B472="",$F472=""),"",IF(OR($C472="Cobro",$C472="Nota de crédito"),$F472,0))</f>
        <v/>
      </c>
      <c r="I472" s="16" t="str">
        <f aca="false">IF(OR($A472="",N($G472)=0),"",$A472+IFERROR(INDEX(Clientes!$F$2:$F$81,MATCH($B472,Clientes!$B$2:$B$81,0)),0))</f>
        <v/>
      </c>
      <c r="J472" s="13" t="str">
        <f aca="false">IF($B472="","",SUMIFS($G$2:$G472,$B$2:$B472,$B472)-SUMIFS($H$2:$H472,$B$2:$B472,$B472))</f>
        <v/>
      </c>
      <c r="K472" s="10"/>
      <c r="L472" s="10"/>
      <c r="M472" s="18" t="str">
        <f aca="false">IF(AND($B472&lt;&gt;"",$B472='Estado de cuenta'!$C$4),COUNTIF($B$2:$B472,'Estado de cuenta'!$C$4),"")</f>
        <v/>
      </c>
    </row>
    <row r="473" customFormat="false" ht="15" hidden="false" customHeight="false" outlineLevel="0" collapsed="false">
      <c r="A473" s="17"/>
      <c r="B473" s="10"/>
      <c r="C473" s="10"/>
      <c r="D473" s="10"/>
      <c r="E473" s="10"/>
      <c r="F473" s="12"/>
      <c r="G473" s="13" t="str">
        <f aca="false">IF(OR($B473="",$F473=""),"",IF(OR($C473="Saldo inicial",$C473="Factura",$C473="Nota de débito"),$F473,0))</f>
        <v/>
      </c>
      <c r="H473" s="13" t="str">
        <f aca="false">IF(OR($B473="",$F473=""),"",IF(OR($C473="Cobro",$C473="Nota de crédito"),$F473,0))</f>
        <v/>
      </c>
      <c r="I473" s="16" t="str">
        <f aca="false">IF(OR($A473="",N($G473)=0),"",$A473+IFERROR(INDEX(Clientes!$F$2:$F$81,MATCH($B473,Clientes!$B$2:$B$81,0)),0))</f>
        <v/>
      </c>
      <c r="J473" s="13" t="str">
        <f aca="false">IF($B473="","",SUMIFS($G$2:$G473,$B$2:$B473,$B473)-SUMIFS($H$2:$H473,$B$2:$B473,$B473))</f>
        <v/>
      </c>
      <c r="K473" s="10"/>
      <c r="L473" s="10"/>
      <c r="M473" s="18" t="str">
        <f aca="false">IF(AND($B473&lt;&gt;"",$B473='Estado de cuenta'!$C$4),COUNTIF($B$2:$B473,'Estado de cuenta'!$C$4),"")</f>
        <v/>
      </c>
    </row>
    <row r="474" customFormat="false" ht="15" hidden="false" customHeight="false" outlineLevel="0" collapsed="false">
      <c r="A474" s="17"/>
      <c r="B474" s="10"/>
      <c r="C474" s="10"/>
      <c r="D474" s="10"/>
      <c r="E474" s="10"/>
      <c r="F474" s="12"/>
      <c r="G474" s="13" t="str">
        <f aca="false">IF(OR($B474="",$F474=""),"",IF(OR($C474="Saldo inicial",$C474="Factura",$C474="Nota de débito"),$F474,0))</f>
        <v/>
      </c>
      <c r="H474" s="13" t="str">
        <f aca="false">IF(OR($B474="",$F474=""),"",IF(OR($C474="Cobro",$C474="Nota de crédito"),$F474,0))</f>
        <v/>
      </c>
      <c r="I474" s="16" t="str">
        <f aca="false">IF(OR($A474="",N($G474)=0),"",$A474+IFERROR(INDEX(Clientes!$F$2:$F$81,MATCH($B474,Clientes!$B$2:$B$81,0)),0))</f>
        <v/>
      </c>
      <c r="J474" s="13" t="str">
        <f aca="false">IF($B474="","",SUMIFS($G$2:$G474,$B$2:$B474,$B474)-SUMIFS($H$2:$H474,$B$2:$B474,$B474))</f>
        <v/>
      </c>
      <c r="K474" s="10"/>
      <c r="L474" s="10"/>
      <c r="M474" s="18" t="str">
        <f aca="false">IF(AND($B474&lt;&gt;"",$B474='Estado de cuenta'!$C$4),COUNTIF($B$2:$B474,'Estado de cuenta'!$C$4),"")</f>
        <v/>
      </c>
    </row>
    <row r="475" customFormat="false" ht="15" hidden="false" customHeight="false" outlineLevel="0" collapsed="false">
      <c r="A475" s="17"/>
      <c r="B475" s="10"/>
      <c r="C475" s="10"/>
      <c r="D475" s="10"/>
      <c r="E475" s="10"/>
      <c r="F475" s="12"/>
      <c r="G475" s="13" t="str">
        <f aca="false">IF(OR($B475="",$F475=""),"",IF(OR($C475="Saldo inicial",$C475="Factura",$C475="Nota de débito"),$F475,0))</f>
        <v/>
      </c>
      <c r="H475" s="13" t="str">
        <f aca="false">IF(OR($B475="",$F475=""),"",IF(OR($C475="Cobro",$C475="Nota de crédito"),$F475,0))</f>
        <v/>
      </c>
      <c r="I475" s="16" t="str">
        <f aca="false">IF(OR($A475="",N($G475)=0),"",$A475+IFERROR(INDEX(Clientes!$F$2:$F$81,MATCH($B475,Clientes!$B$2:$B$81,0)),0))</f>
        <v/>
      </c>
      <c r="J475" s="13" t="str">
        <f aca="false">IF($B475="","",SUMIFS($G$2:$G475,$B$2:$B475,$B475)-SUMIFS($H$2:$H475,$B$2:$B475,$B475))</f>
        <v/>
      </c>
      <c r="K475" s="10"/>
      <c r="L475" s="10"/>
      <c r="M475" s="18" t="str">
        <f aca="false">IF(AND($B475&lt;&gt;"",$B475='Estado de cuenta'!$C$4),COUNTIF($B$2:$B475,'Estado de cuenta'!$C$4),"")</f>
        <v/>
      </c>
    </row>
    <row r="476" customFormat="false" ht="15" hidden="false" customHeight="false" outlineLevel="0" collapsed="false">
      <c r="A476" s="17"/>
      <c r="B476" s="10"/>
      <c r="C476" s="10"/>
      <c r="D476" s="10"/>
      <c r="E476" s="10"/>
      <c r="F476" s="12"/>
      <c r="G476" s="13" t="str">
        <f aca="false">IF(OR($B476="",$F476=""),"",IF(OR($C476="Saldo inicial",$C476="Factura",$C476="Nota de débito"),$F476,0))</f>
        <v/>
      </c>
      <c r="H476" s="13" t="str">
        <f aca="false">IF(OR($B476="",$F476=""),"",IF(OR($C476="Cobro",$C476="Nota de crédito"),$F476,0))</f>
        <v/>
      </c>
      <c r="I476" s="16" t="str">
        <f aca="false">IF(OR($A476="",N($G476)=0),"",$A476+IFERROR(INDEX(Clientes!$F$2:$F$81,MATCH($B476,Clientes!$B$2:$B$81,0)),0))</f>
        <v/>
      </c>
      <c r="J476" s="13" t="str">
        <f aca="false">IF($B476="","",SUMIFS($G$2:$G476,$B$2:$B476,$B476)-SUMIFS($H$2:$H476,$B$2:$B476,$B476))</f>
        <v/>
      </c>
      <c r="K476" s="10"/>
      <c r="L476" s="10"/>
      <c r="M476" s="18" t="str">
        <f aca="false">IF(AND($B476&lt;&gt;"",$B476='Estado de cuenta'!$C$4),COUNTIF($B$2:$B476,'Estado de cuenta'!$C$4),"")</f>
        <v/>
      </c>
    </row>
    <row r="477" customFormat="false" ht="15" hidden="false" customHeight="false" outlineLevel="0" collapsed="false">
      <c r="A477" s="17"/>
      <c r="B477" s="10"/>
      <c r="C477" s="10"/>
      <c r="D477" s="10"/>
      <c r="E477" s="10"/>
      <c r="F477" s="12"/>
      <c r="G477" s="13" t="str">
        <f aca="false">IF(OR($B477="",$F477=""),"",IF(OR($C477="Saldo inicial",$C477="Factura",$C477="Nota de débito"),$F477,0))</f>
        <v/>
      </c>
      <c r="H477" s="13" t="str">
        <f aca="false">IF(OR($B477="",$F477=""),"",IF(OR($C477="Cobro",$C477="Nota de crédito"),$F477,0))</f>
        <v/>
      </c>
      <c r="I477" s="16" t="str">
        <f aca="false">IF(OR($A477="",N($G477)=0),"",$A477+IFERROR(INDEX(Clientes!$F$2:$F$81,MATCH($B477,Clientes!$B$2:$B$81,0)),0))</f>
        <v/>
      </c>
      <c r="J477" s="13" t="str">
        <f aca="false">IF($B477="","",SUMIFS($G$2:$G477,$B$2:$B477,$B477)-SUMIFS($H$2:$H477,$B$2:$B477,$B477))</f>
        <v/>
      </c>
      <c r="K477" s="10"/>
      <c r="L477" s="10"/>
      <c r="M477" s="18" t="str">
        <f aca="false">IF(AND($B477&lt;&gt;"",$B477='Estado de cuenta'!$C$4),COUNTIF($B$2:$B477,'Estado de cuenta'!$C$4),"")</f>
        <v/>
      </c>
    </row>
    <row r="478" customFormat="false" ht="15" hidden="false" customHeight="false" outlineLevel="0" collapsed="false">
      <c r="A478" s="17"/>
      <c r="B478" s="10"/>
      <c r="C478" s="10"/>
      <c r="D478" s="10"/>
      <c r="E478" s="10"/>
      <c r="F478" s="12"/>
      <c r="G478" s="13" t="str">
        <f aca="false">IF(OR($B478="",$F478=""),"",IF(OR($C478="Saldo inicial",$C478="Factura",$C478="Nota de débito"),$F478,0))</f>
        <v/>
      </c>
      <c r="H478" s="13" t="str">
        <f aca="false">IF(OR($B478="",$F478=""),"",IF(OR($C478="Cobro",$C478="Nota de crédito"),$F478,0))</f>
        <v/>
      </c>
      <c r="I478" s="16" t="str">
        <f aca="false">IF(OR($A478="",N($G478)=0),"",$A478+IFERROR(INDEX(Clientes!$F$2:$F$81,MATCH($B478,Clientes!$B$2:$B$81,0)),0))</f>
        <v/>
      </c>
      <c r="J478" s="13" t="str">
        <f aca="false">IF($B478="","",SUMIFS($G$2:$G478,$B$2:$B478,$B478)-SUMIFS($H$2:$H478,$B$2:$B478,$B478))</f>
        <v/>
      </c>
      <c r="K478" s="10"/>
      <c r="L478" s="10"/>
      <c r="M478" s="18" t="str">
        <f aca="false">IF(AND($B478&lt;&gt;"",$B478='Estado de cuenta'!$C$4),COUNTIF($B$2:$B478,'Estado de cuenta'!$C$4),"")</f>
        <v/>
      </c>
    </row>
    <row r="479" customFormat="false" ht="15" hidden="false" customHeight="false" outlineLevel="0" collapsed="false">
      <c r="A479" s="17"/>
      <c r="B479" s="10"/>
      <c r="C479" s="10"/>
      <c r="D479" s="10"/>
      <c r="E479" s="10"/>
      <c r="F479" s="12"/>
      <c r="G479" s="13" t="str">
        <f aca="false">IF(OR($B479="",$F479=""),"",IF(OR($C479="Saldo inicial",$C479="Factura",$C479="Nota de débito"),$F479,0))</f>
        <v/>
      </c>
      <c r="H479" s="13" t="str">
        <f aca="false">IF(OR($B479="",$F479=""),"",IF(OR($C479="Cobro",$C479="Nota de crédito"),$F479,0))</f>
        <v/>
      </c>
      <c r="I479" s="16" t="str">
        <f aca="false">IF(OR($A479="",N($G479)=0),"",$A479+IFERROR(INDEX(Clientes!$F$2:$F$81,MATCH($B479,Clientes!$B$2:$B$81,0)),0))</f>
        <v/>
      </c>
      <c r="J479" s="13" t="str">
        <f aca="false">IF($B479="","",SUMIFS($G$2:$G479,$B$2:$B479,$B479)-SUMIFS($H$2:$H479,$B$2:$B479,$B479))</f>
        <v/>
      </c>
      <c r="K479" s="10"/>
      <c r="L479" s="10"/>
      <c r="M479" s="18" t="str">
        <f aca="false">IF(AND($B479&lt;&gt;"",$B479='Estado de cuenta'!$C$4),COUNTIF($B$2:$B479,'Estado de cuenta'!$C$4),"")</f>
        <v/>
      </c>
    </row>
    <row r="480" customFormat="false" ht="15" hidden="false" customHeight="false" outlineLevel="0" collapsed="false">
      <c r="A480" s="17"/>
      <c r="B480" s="10"/>
      <c r="C480" s="10"/>
      <c r="D480" s="10"/>
      <c r="E480" s="10"/>
      <c r="F480" s="12"/>
      <c r="G480" s="13" t="str">
        <f aca="false">IF(OR($B480="",$F480=""),"",IF(OR($C480="Saldo inicial",$C480="Factura",$C480="Nota de débito"),$F480,0))</f>
        <v/>
      </c>
      <c r="H480" s="13" t="str">
        <f aca="false">IF(OR($B480="",$F480=""),"",IF(OR($C480="Cobro",$C480="Nota de crédito"),$F480,0))</f>
        <v/>
      </c>
      <c r="I480" s="16" t="str">
        <f aca="false">IF(OR($A480="",N($G480)=0),"",$A480+IFERROR(INDEX(Clientes!$F$2:$F$81,MATCH($B480,Clientes!$B$2:$B$81,0)),0))</f>
        <v/>
      </c>
      <c r="J480" s="13" t="str">
        <f aca="false">IF($B480="","",SUMIFS($G$2:$G480,$B$2:$B480,$B480)-SUMIFS($H$2:$H480,$B$2:$B480,$B480))</f>
        <v/>
      </c>
      <c r="K480" s="10"/>
      <c r="L480" s="10"/>
      <c r="M480" s="18" t="str">
        <f aca="false">IF(AND($B480&lt;&gt;"",$B480='Estado de cuenta'!$C$4),COUNTIF($B$2:$B480,'Estado de cuenta'!$C$4),"")</f>
        <v/>
      </c>
    </row>
    <row r="481" customFormat="false" ht="15" hidden="false" customHeight="false" outlineLevel="0" collapsed="false">
      <c r="A481" s="17"/>
      <c r="B481" s="10"/>
      <c r="C481" s="10"/>
      <c r="D481" s="10"/>
      <c r="E481" s="10"/>
      <c r="F481" s="12"/>
      <c r="G481" s="13" t="str">
        <f aca="false">IF(OR($B481="",$F481=""),"",IF(OR($C481="Saldo inicial",$C481="Factura",$C481="Nota de débito"),$F481,0))</f>
        <v/>
      </c>
      <c r="H481" s="13" t="str">
        <f aca="false">IF(OR($B481="",$F481=""),"",IF(OR($C481="Cobro",$C481="Nota de crédito"),$F481,0))</f>
        <v/>
      </c>
      <c r="I481" s="16" t="str">
        <f aca="false">IF(OR($A481="",N($G481)=0),"",$A481+IFERROR(INDEX(Clientes!$F$2:$F$81,MATCH($B481,Clientes!$B$2:$B$81,0)),0))</f>
        <v/>
      </c>
      <c r="J481" s="13" t="str">
        <f aca="false">IF($B481="","",SUMIFS($G$2:$G481,$B$2:$B481,$B481)-SUMIFS($H$2:$H481,$B$2:$B481,$B481))</f>
        <v/>
      </c>
      <c r="K481" s="10"/>
      <c r="L481" s="10"/>
      <c r="M481" s="18" t="str">
        <f aca="false">IF(AND($B481&lt;&gt;"",$B481='Estado de cuenta'!$C$4),COUNTIF($B$2:$B481,'Estado de cuenta'!$C$4),"")</f>
        <v/>
      </c>
    </row>
    <row r="482" customFormat="false" ht="15" hidden="false" customHeight="false" outlineLevel="0" collapsed="false">
      <c r="A482" s="17"/>
      <c r="B482" s="10"/>
      <c r="C482" s="10"/>
      <c r="D482" s="10"/>
      <c r="E482" s="10"/>
      <c r="F482" s="12"/>
      <c r="G482" s="13" t="str">
        <f aca="false">IF(OR($B482="",$F482=""),"",IF(OR($C482="Saldo inicial",$C482="Factura",$C482="Nota de débito"),$F482,0))</f>
        <v/>
      </c>
      <c r="H482" s="13" t="str">
        <f aca="false">IF(OR($B482="",$F482=""),"",IF(OR($C482="Cobro",$C482="Nota de crédito"),$F482,0))</f>
        <v/>
      </c>
      <c r="I482" s="16" t="str">
        <f aca="false">IF(OR($A482="",N($G482)=0),"",$A482+IFERROR(INDEX(Clientes!$F$2:$F$81,MATCH($B482,Clientes!$B$2:$B$81,0)),0))</f>
        <v/>
      </c>
      <c r="J482" s="13" t="str">
        <f aca="false">IF($B482="","",SUMIFS($G$2:$G482,$B$2:$B482,$B482)-SUMIFS($H$2:$H482,$B$2:$B482,$B482))</f>
        <v/>
      </c>
      <c r="K482" s="10"/>
      <c r="L482" s="10"/>
      <c r="M482" s="18" t="str">
        <f aca="false">IF(AND($B482&lt;&gt;"",$B482='Estado de cuenta'!$C$4),COUNTIF($B$2:$B482,'Estado de cuenta'!$C$4),"")</f>
        <v/>
      </c>
    </row>
    <row r="483" customFormat="false" ht="15" hidden="false" customHeight="false" outlineLevel="0" collapsed="false">
      <c r="A483" s="17"/>
      <c r="B483" s="10"/>
      <c r="C483" s="10"/>
      <c r="D483" s="10"/>
      <c r="E483" s="10"/>
      <c r="F483" s="12"/>
      <c r="G483" s="13" t="str">
        <f aca="false">IF(OR($B483="",$F483=""),"",IF(OR($C483="Saldo inicial",$C483="Factura",$C483="Nota de débito"),$F483,0))</f>
        <v/>
      </c>
      <c r="H483" s="13" t="str">
        <f aca="false">IF(OR($B483="",$F483=""),"",IF(OR($C483="Cobro",$C483="Nota de crédito"),$F483,0))</f>
        <v/>
      </c>
      <c r="I483" s="16" t="str">
        <f aca="false">IF(OR($A483="",N($G483)=0),"",$A483+IFERROR(INDEX(Clientes!$F$2:$F$81,MATCH($B483,Clientes!$B$2:$B$81,0)),0))</f>
        <v/>
      </c>
      <c r="J483" s="13" t="str">
        <f aca="false">IF($B483="","",SUMIFS($G$2:$G483,$B$2:$B483,$B483)-SUMIFS($H$2:$H483,$B$2:$B483,$B483))</f>
        <v/>
      </c>
      <c r="K483" s="10"/>
      <c r="L483" s="10"/>
      <c r="M483" s="18" t="str">
        <f aca="false">IF(AND($B483&lt;&gt;"",$B483='Estado de cuenta'!$C$4),COUNTIF($B$2:$B483,'Estado de cuenta'!$C$4),"")</f>
        <v/>
      </c>
    </row>
    <row r="484" customFormat="false" ht="15" hidden="false" customHeight="false" outlineLevel="0" collapsed="false">
      <c r="A484" s="17"/>
      <c r="B484" s="10"/>
      <c r="C484" s="10"/>
      <c r="D484" s="10"/>
      <c r="E484" s="10"/>
      <c r="F484" s="12"/>
      <c r="G484" s="13" t="str">
        <f aca="false">IF(OR($B484="",$F484=""),"",IF(OR($C484="Saldo inicial",$C484="Factura",$C484="Nota de débito"),$F484,0))</f>
        <v/>
      </c>
      <c r="H484" s="13" t="str">
        <f aca="false">IF(OR($B484="",$F484=""),"",IF(OR($C484="Cobro",$C484="Nota de crédito"),$F484,0))</f>
        <v/>
      </c>
      <c r="I484" s="16" t="str">
        <f aca="false">IF(OR($A484="",N($G484)=0),"",$A484+IFERROR(INDEX(Clientes!$F$2:$F$81,MATCH($B484,Clientes!$B$2:$B$81,0)),0))</f>
        <v/>
      </c>
      <c r="J484" s="13" t="str">
        <f aca="false">IF($B484="","",SUMIFS($G$2:$G484,$B$2:$B484,$B484)-SUMIFS($H$2:$H484,$B$2:$B484,$B484))</f>
        <v/>
      </c>
      <c r="K484" s="10"/>
      <c r="L484" s="10"/>
      <c r="M484" s="18" t="str">
        <f aca="false">IF(AND($B484&lt;&gt;"",$B484='Estado de cuenta'!$C$4),COUNTIF($B$2:$B484,'Estado de cuenta'!$C$4),"")</f>
        <v/>
      </c>
    </row>
    <row r="485" customFormat="false" ht="15" hidden="false" customHeight="false" outlineLevel="0" collapsed="false">
      <c r="A485" s="17"/>
      <c r="B485" s="10"/>
      <c r="C485" s="10"/>
      <c r="D485" s="10"/>
      <c r="E485" s="10"/>
      <c r="F485" s="12"/>
      <c r="G485" s="13" t="str">
        <f aca="false">IF(OR($B485="",$F485=""),"",IF(OR($C485="Saldo inicial",$C485="Factura",$C485="Nota de débito"),$F485,0))</f>
        <v/>
      </c>
      <c r="H485" s="13" t="str">
        <f aca="false">IF(OR($B485="",$F485=""),"",IF(OR($C485="Cobro",$C485="Nota de crédito"),$F485,0))</f>
        <v/>
      </c>
      <c r="I485" s="16" t="str">
        <f aca="false">IF(OR($A485="",N($G485)=0),"",$A485+IFERROR(INDEX(Clientes!$F$2:$F$81,MATCH($B485,Clientes!$B$2:$B$81,0)),0))</f>
        <v/>
      </c>
      <c r="J485" s="13" t="str">
        <f aca="false">IF($B485="","",SUMIFS($G$2:$G485,$B$2:$B485,$B485)-SUMIFS($H$2:$H485,$B$2:$B485,$B485))</f>
        <v/>
      </c>
      <c r="K485" s="10"/>
      <c r="L485" s="10"/>
      <c r="M485" s="18" t="str">
        <f aca="false">IF(AND($B485&lt;&gt;"",$B485='Estado de cuenta'!$C$4),COUNTIF($B$2:$B485,'Estado de cuenta'!$C$4),"")</f>
        <v/>
      </c>
    </row>
    <row r="486" customFormat="false" ht="15" hidden="false" customHeight="false" outlineLevel="0" collapsed="false">
      <c r="A486" s="17"/>
      <c r="B486" s="10"/>
      <c r="C486" s="10"/>
      <c r="D486" s="10"/>
      <c r="E486" s="10"/>
      <c r="F486" s="12"/>
      <c r="G486" s="13" t="str">
        <f aca="false">IF(OR($B486="",$F486=""),"",IF(OR($C486="Saldo inicial",$C486="Factura",$C486="Nota de débito"),$F486,0))</f>
        <v/>
      </c>
      <c r="H486" s="13" t="str">
        <f aca="false">IF(OR($B486="",$F486=""),"",IF(OR($C486="Cobro",$C486="Nota de crédito"),$F486,0))</f>
        <v/>
      </c>
      <c r="I486" s="16" t="str">
        <f aca="false">IF(OR($A486="",N($G486)=0),"",$A486+IFERROR(INDEX(Clientes!$F$2:$F$81,MATCH($B486,Clientes!$B$2:$B$81,0)),0))</f>
        <v/>
      </c>
      <c r="J486" s="13" t="str">
        <f aca="false">IF($B486="","",SUMIFS($G$2:$G486,$B$2:$B486,$B486)-SUMIFS($H$2:$H486,$B$2:$B486,$B486))</f>
        <v/>
      </c>
      <c r="K486" s="10"/>
      <c r="L486" s="10"/>
      <c r="M486" s="18" t="str">
        <f aca="false">IF(AND($B486&lt;&gt;"",$B486='Estado de cuenta'!$C$4),COUNTIF($B$2:$B486,'Estado de cuenta'!$C$4),"")</f>
        <v/>
      </c>
    </row>
    <row r="487" customFormat="false" ht="15" hidden="false" customHeight="false" outlineLevel="0" collapsed="false">
      <c r="A487" s="17"/>
      <c r="B487" s="10"/>
      <c r="C487" s="10"/>
      <c r="D487" s="10"/>
      <c r="E487" s="10"/>
      <c r="F487" s="12"/>
      <c r="G487" s="13" t="str">
        <f aca="false">IF(OR($B487="",$F487=""),"",IF(OR($C487="Saldo inicial",$C487="Factura",$C487="Nota de débito"),$F487,0))</f>
        <v/>
      </c>
      <c r="H487" s="13" t="str">
        <f aca="false">IF(OR($B487="",$F487=""),"",IF(OR($C487="Cobro",$C487="Nota de crédito"),$F487,0))</f>
        <v/>
      </c>
      <c r="I487" s="16" t="str">
        <f aca="false">IF(OR($A487="",N($G487)=0),"",$A487+IFERROR(INDEX(Clientes!$F$2:$F$81,MATCH($B487,Clientes!$B$2:$B$81,0)),0))</f>
        <v/>
      </c>
      <c r="J487" s="13" t="str">
        <f aca="false">IF($B487="","",SUMIFS($G$2:$G487,$B$2:$B487,$B487)-SUMIFS($H$2:$H487,$B$2:$B487,$B487))</f>
        <v/>
      </c>
      <c r="K487" s="10"/>
      <c r="L487" s="10"/>
      <c r="M487" s="18" t="str">
        <f aca="false">IF(AND($B487&lt;&gt;"",$B487='Estado de cuenta'!$C$4),COUNTIF($B$2:$B487,'Estado de cuenta'!$C$4),"")</f>
        <v/>
      </c>
    </row>
    <row r="488" customFormat="false" ht="15" hidden="false" customHeight="false" outlineLevel="0" collapsed="false">
      <c r="A488" s="17"/>
      <c r="B488" s="10"/>
      <c r="C488" s="10"/>
      <c r="D488" s="10"/>
      <c r="E488" s="10"/>
      <c r="F488" s="12"/>
      <c r="G488" s="13" t="str">
        <f aca="false">IF(OR($B488="",$F488=""),"",IF(OR($C488="Saldo inicial",$C488="Factura",$C488="Nota de débito"),$F488,0))</f>
        <v/>
      </c>
      <c r="H488" s="13" t="str">
        <f aca="false">IF(OR($B488="",$F488=""),"",IF(OR($C488="Cobro",$C488="Nota de crédito"),$F488,0))</f>
        <v/>
      </c>
      <c r="I488" s="16" t="str">
        <f aca="false">IF(OR($A488="",N($G488)=0),"",$A488+IFERROR(INDEX(Clientes!$F$2:$F$81,MATCH($B488,Clientes!$B$2:$B$81,0)),0))</f>
        <v/>
      </c>
      <c r="J488" s="13" t="str">
        <f aca="false">IF($B488="","",SUMIFS($G$2:$G488,$B$2:$B488,$B488)-SUMIFS($H$2:$H488,$B$2:$B488,$B488))</f>
        <v/>
      </c>
      <c r="K488" s="10"/>
      <c r="L488" s="10"/>
      <c r="M488" s="18" t="str">
        <f aca="false">IF(AND($B488&lt;&gt;"",$B488='Estado de cuenta'!$C$4),COUNTIF($B$2:$B488,'Estado de cuenta'!$C$4),"")</f>
        <v/>
      </c>
    </row>
    <row r="489" customFormat="false" ht="15" hidden="false" customHeight="false" outlineLevel="0" collapsed="false">
      <c r="A489" s="17"/>
      <c r="B489" s="10"/>
      <c r="C489" s="10"/>
      <c r="D489" s="10"/>
      <c r="E489" s="10"/>
      <c r="F489" s="12"/>
      <c r="G489" s="13" t="str">
        <f aca="false">IF(OR($B489="",$F489=""),"",IF(OR($C489="Saldo inicial",$C489="Factura",$C489="Nota de débito"),$F489,0))</f>
        <v/>
      </c>
      <c r="H489" s="13" t="str">
        <f aca="false">IF(OR($B489="",$F489=""),"",IF(OR($C489="Cobro",$C489="Nota de crédito"),$F489,0))</f>
        <v/>
      </c>
      <c r="I489" s="16" t="str">
        <f aca="false">IF(OR($A489="",N($G489)=0),"",$A489+IFERROR(INDEX(Clientes!$F$2:$F$81,MATCH($B489,Clientes!$B$2:$B$81,0)),0))</f>
        <v/>
      </c>
      <c r="J489" s="13" t="str">
        <f aca="false">IF($B489="","",SUMIFS($G$2:$G489,$B$2:$B489,$B489)-SUMIFS($H$2:$H489,$B$2:$B489,$B489))</f>
        <v/>
      </c>
      <c r="K489" s="10"/>
      <c r="L489" s="10"/>
      <c r="M489" s="18" t="str">
        <f aca="false">IF(AND($B489&lt;&gt;"",$B489='Estado de cuenta'!$C$4),COUNTIF($B$2:$B489,'Estado de cuenta'!$C$4),"")</f>
        <v/>
      </c>
    </row>
    <row r="490" customFormat="false" ht="15" hidden="false" customHeight="false" outlineLevel="0" collapsed="false">
      <c r="A490" s="17"/>
      <c r="B490" s="10"/>
      <c r="C490" s="10"/>
      <c r="D490" s="10"/>
      <c r="E490" s="10"/>
      <c r="F490" s="12"/>
      <c r="G490" s="13" t="str">
        <f aca="false">IF(OR($B490="",$F490=""),"",IF(OR($C490="Saldo inicial",$C490="Factura",$C490="Nota de débito"),$F490,0))</f>
        <v/>
      </c>
      <c r="H490" s="13" t="str">
        <f aca="false">IF(OR($B490="",$F490=""),"",IF(OR($C490="Cobro",$C490="Nota de crédito"),$F490,0))</f>
        <v/>
      </c>
      <c r="I490" s="16" t="str">
        <f aca="false">IF(OR($A490="",N($G490)=0),"",$A490+IFERROR(INDEX(Clientes!$F$2:$F$81,MATCH($B490,Clientes!$B$2:$B$81,0)),0))</f>
        <v/>
      </c>
      <c r="J490" s="13" t="str">
        <f aca="false">IF($B490="","",SUMIFS($G$2:$G490,$B$2:$B490,$B490)-SUMIFS($H$2:$H490,$B$2:$B490,$B490))</f>
        <v/>
      </c>
      <c r="K490" s="10"/>
      <c r="L490" s="10"/>
      <c r="M490" s="18" t="str">
        <f aca="false">IF(AND($B490&lt;&gt;"",$B490='Estado de cuenta'!$C$4),COUNTIF($B$2:$B490,'Estado de cuenta'!$C$4),"")</f>
        <v/>
      </c>
    </row>
    <row r="491" customFormat="false" ht="15" hidden="false" customHeight="false" outlineLevel="0" collapsed="false">
      <c r="A491" s="17"/>
      <c r="B491" s="10"/>
      <c r="C491" s="10"/>
      <c r="D491" s="10"/>
      <c r="E491" s="10"/>
      <c r="F491" s="12"/>
      <c r="G491" s="13" t="str">
        <f aca="false">IF(OR($B491="",$F491=""),"",IF(OR($C491="Saldo inicial",$C491="Factura",$C491="Nota de débito"),$F491,0))</f>
        <v/>
      </c>
      <c r="H491" s="13" t="str">
        <f aca="false">IF(OR($B491="",$F491=""),"",IF(OR($C491="Cobro",$C491="Nota de crédito"),$F491,0))</f>
        <v/>
      </c>
      <c r="I491" s="16" t="str">
        <f aca="false">IF(OR($A491="",N($G491)=0),"",$A491+IFERROR(INDEX(Clientes!$F$2:$F$81,MATCH($B491,Clientes!$B$2:$B$81,0)),0))</f>
        <v/>
      </c>
      <c r="J491" s="13" t="str">
        <f aca="false">IF($B491="","",SUMIFS($G$2:$G491,$B$2:$B491,$B491)-SUMIFS($H$2:$H491,$B$2:$B491,$B491))</f>
        <v/>
      </c>
      <c r="K491" s="10"/>
      <c r="L491" s="10"/>
      <c r="M491" s="18" t="str">
        <f aca="false">IF(AND($B491&lt;&gt;"",$B491='Estado de cuenta'!$C$4),COUNTIF($B$2:$B491,'Estado de cuenta'!$C$4),"")</f>
        <v/>
      </c>
    </row>
    <row r="492" customFormat="false" ht="15" hidden="false" customHeight="false" outlineLevel="0" collapsed="false">
      <c r="A492" s="17"/>
      <c r="B492" s="10"/>
      <c r="C492" s="10"/>
      <c r="D492" s="10"/>
      <c r="E492" s="10"/>
      <c r="F492" s="12"/>
      <c r="G492" s="13" t="str">
        <f aca="false">IF(OR($B492="",$F492=""),"",IF(OR($C492="Saldo inicial",$C492="Factura",$C492="Nota de débito"),$F492,0))</f>
        <v/>
      </c>
      <c r="H492" s="13" t="str">
        <f aca="false">IF(OR($B492="",$F492=""),"",IF(OR($C492="Cobro",$C492="Nota de crédito"),$F492,0))</f>
        <v/>
      </c>
      <c r="I492" s="16" t="str">
        <f aca="false">IF(OR($A492="",N($G492)=0),"",$A492+IFERROR(INDEX(Clientes!$F$2:$F$81,MATCH($B492,Clientes!$B$2:$B$81,0)),0))</f>
        <v/>
      </c>
      <c r="J492" s="13" t="str">
        <f aca="false">IF($B492="","",SUMIFS($G$2:$G492,$B$2:$B492,$B492)-SUMIFS($H$2:$H492,$B$2:$B492,$B492))</f>
        <v/>
      </c>
      <c r="K492" s="10"/>
      <c r="L492" s="10"/>
      <c r="M492" s="18" t="str">
        <f aca="false">IF(AND($B492&lt;&gt;"",$B492='Estado de cuenta'!$C$4),COUNTIF($B$2:$B492,'Estado de cuenta'!$C$4),"")</f>
        <v/>
      </c>
    </row>
    <row r="493" customFormat="false" ht="15" hidden="false" customHeight="false" outlineLevel="0" collapsed="false">
      <c r="A493" s="17"/>
      <c r="B493" s="10"/>
      <c r="C493" s="10"/>
      <c r="D493" s="10"/>
      <c r="E493" s="10"/>
      <c r="F493" s="12"/>
      <c r="G493" s="13" t="str">
        <f aca="false">IF(OR($B493="",$F493=""),"",IF(OR($C493="Saldo inicial",$C493="Factura",$C493="Nota de débito"),$F493,0))</f>
        <v/>
      </c>
      <c r="H493" s="13" t="str">
        <f aca="false">IF(OR($B493="",$F493=""),"",IF(OR($C493="Cobro",$C493="Nota de crédito"),$F493,0))</f>
        <v/>
      </c>
      <c r="I493" s="16" t="str">
        <f aca="false">IF(OR($A493="",N($G493)=0),"",$A493+IFERROR(INDEX(Clientes!$F$2:$F$81,MATCH($B493,Clientes!$B$2:$B$81,0)),0))</f>
        <v/>
      </c>
      <c r="J493" s="13" t="str">
        <f aca="false">IF($B493="","",SUMIFS($G$2:$G493,$B$2:$B493,$B493)-SUMIFS($H$2:$H493,$B$2:$B493,$B493))</f>
        <v/>
      </c>
      <c r="K493" s="10"/>
      <c r="L493" s="10"/>
      <c r="M493" s="18" t="str">
        <f aca="false">IF(AND($B493&lt;&gt;"",$B493='Estado de cuenta'!$C$4),COUNTIF($B$2:$B493,'Estado de cuenta'!$C$4),"")</f>
        <v/>
      </c>
    </row>
    <row r="494" customFormat="false" ht="15" hidden="false" customHeight="false" outlineLevel="0" collapsed="false">
      <c r="A494" s="17"/>
      <c r="B494" s="10"/>
      <c r="C494" s="10"/>
      <c r="D494" s="10"/>
      <c r="E494" s="10"/>
      <c r="F494" s="12"/>
      <c r="G494" s="13" t="str">
        <f aca="false">IF(OR($B494="",$F494=""),"",IF(OR($C494="Saldo inicial",$C494="Factura",$C494="Nota de débito"),$F494,0))</f>
        <v/>
      </c>
      <c r="H494" s="13" t="str">
        <f aca="false">IF(OR($B494="",$F494=""),"",IF(OR($C494="Cobro",$C494="Nota de crédito"),$F494,0))</f>
        <v/>
      </c>
      <c r="I494" s="16" t="str">
        <f aca="false">IF(OR($A494="",N($G494)=0),"",$A494+IFERROR(INDEX(Clientes!$F$2:$F$81,MATCH($B494,Clientes!$B$2:$B$81,0)),0))</f>
        <v/>
      </c>
      <c r="J494" s="13" t="str">
        <f aca="false">IF($B494="","",SUMIFS($G$2:$G494,$B$2:$B494,$B494)-SUMIFS($H$2:$H494,$B$2:$B494,$B494))</f>
        <v/>
      </c>
      <c r="K494" s="10"/>
      <c r="L494" s="10"/>
      <c r="M494" s="18" t="str">
        <f aca="false">IF(AND($B494&lt;&gt;"",$B494='Estado de cuenta'!$C$4),COUNTIF($B$2:$B494,'Estado de cuenta'!$C$4),"")</f>
        <v/>
      </c>
    </row>
    <row r="495" customFormat="false" ht="15" hidden="false" customHeight="false" outlineLevel="0" collapsed="false">
      <c r="A495" s="17"/>
      <c r="B495" s="10"/>
      <c r="C495" s="10"/>
      <c r="D495" s="10"/>
      <c r="E495" s="10"/>
      <c r="F495" s="12"/>
      <c r="G495" s="13" t="str">
        <f aca="false">IF(OR($B495="",$F495=""),"",IF(OR($C495="Saldo inicial",$C495="Factura",$C495="Nota de débito"),$F495,0))</f>
        <v/>
      </c>
      <c r="H495" s="13" t="str">
        <f aca="false">IF(OR($B495="",$F495=""),"",IF(OR($C495="Cobro",$C495="Nota de crédito"),$F495,0))</f>
        <v/>
      </c>
      <c r="I495" s="16" t="str">
        <f aca="false">IF(OR($A495="",N($G495)=0),"",$A495+IFERROR(INDEX(Clientes!$F$2:$F$81,MATCH($B495,Clientes!$B$2:$B$81,0)),0))</f>
        <v/>
      </c>
      <c r="J495" s="13" t="str">
        <f aca="false">IF($B495="","",SUMIFS($G$2:$G495,$B$2:$B495,$B495)-SUMIFS($H$2:$H495,$B$2:$B495,$B495))</f>
        <v/>
      </c>
      <c r="K495" s="10"/>
      <c r="L495" s="10"/>
      <c r="M495" s="18" t="str">
        <f aca="false">IF(AND($B495&lt;&gt;"",$B495='Estado de cuenta'!$C$4),COUNTIF($B$2:$B495,'Estado de cuenta'!$C$4),"")</f>
        <v/>
      </c>
    </row>
    <row r="496" customFormat="false" ht="15" hidden="false" customHeight="false" outlineLevel="0" collapsed="false">
      <c r="A496" s="17"/>
      <c r="B496" s="10"/>
      <c r="C496" s="10"/>
      <c r="D496" s="10"/>
      <c r="E496" s="10"/>
      <c r="F496" s="12"/>
      <c r="G496" s="13" t="str">
        <f aca="false">IF(OR($B496="",$F496=""),"",IF(OR($C496="Saldo inicial",$C496="Factura",$C496="Nota de débito"),$F496,0))</f>
        <v/>
      </c>
      <c r="H496" s="13" t="str">
        <f aca="false">IF(OR($B496="",$F496=""),"",IF(OR($C496="Cobro",$C496="Nota de crédito"),$F496,0))</f>
        <v/>
      </c>
      <c r="I496" s="16" t="str">
        <f aca="false">IF(OR($A496="",N($G496)=0),"",$A496+IFERROR(INDEX(Clientes!$F$2:$F$81,MATCH($B496,Clientes!$B$2:$B$81,0)),0))</f>
        <v/>
      </c>
      <c r="J496" s="13" t="str">
        <f aca="false">IF($B496="","",SUMIFS($G$2:$G496,$B$2:$B496,$B496)-SUMIFS($H$2:$H496,$B$2:$B496,$B496))</f>
        <v/>
      </c>
      <c r="K496" s="10"/>
      <c r="L496" s="10"/>
      <c r="M496" s="18" t="str">
        <f aca="false">IF(AND($B496&lt;&gt;"",$B496='Estado de cuenta'!$C$4),COUNTIF($B$2:$B496,'Estado de cuenta'!$C$4),"")</f>
        <v/>
      </c>
    </row>
    <row r="497" customFormat="false" ht="15" hidden="false" customHeight="false" outlineLevel="0" collapsed="false">
      <c r="A497" s="17"/>
      <c r="B497" s="10"/>
      <c r="C497" s="10"/>
      <c r="D497" s="10"/>
      <c r="E497" s="10"/>
      <c r="F497" s="12"/>
      <c r="G497" s="13" t="str">
        <f aca="false">IF(OR($B497="",$F497=""),"",IF(OR($C497="Saldo inicial",$C497="Factura",$C497="Nota de débito"),$F497,0))</f>
        <v/>
      </c>
      <c r="H497" s="13" t="str">
        <f aca="false">IF(OR($B497="",$F497=""),"",IF(OR($C497="Cobro",$C497="Nota de crédito"),$F497,0))</f>
        <v/>
      </c>
      <c r="I497" s="16" t="str">
        <f aca="false">IF(OR($A497="",N($G497)=0),"",$A497+IFERROR(INDEX(Clientes!$F$2:$F$81,MATCH($B497,Clientes!$B$2:$B$81,0)),0))</f>
        <v/>
      </c>
      <c r="J497" s="13" t="str">
        <f aca="false">IF($B497="","",SUMIFS($G$2:$G497,$B$2:$B497,$B497)-SUMIFS($H$2:$H497,$B$2:$B497,$B497))</f>
        <v/>
      </c>
      <c r="K497" s="10"/>
      <c r="L497" s="10"/>
      <c r="M497" s="18" t="str">
        <f aca="false">IF(AND($B497&lt;&gt;"",$B497='Estado de cuenta'!$C$4),COUNTIF($B$2:$B497,'Estado de cuenta'!$C$4),"")</f>
        <v/>
      </c>
    </row>
    <row r="498" customFormat="false" ht="15" hidden="false" customHeight="false" outlineLevel="0" collapsed="false">
      <c r="A498" s="17"/>
      <c r="B498" s="10"/>
      <c r="C498" s="10"/>
      <c r="D498" s="10"/>
      <c r="E498" s="10"/>
      <c r="F498" s="12"/>
      <c r="G498" s="13" t="str">
        <f aca="false">IF(OR($B498="",$F498=""),"",IF(OR($C498="Saldo inicial",$C498="Factura",$C498="Nota de débito"),$F498,0))</f>
        <v/>
      </c>
      <c r="H498" s="13" t="str">
        <f aca="false">IF(OR($B498="",$F498=""),"",IF(OR($C498="Cobro",$C498="Nota de crédito"),$F498,0))</f>
        <v/>
      </c>
      <c r="I498" s="16" t="str">
        <f aca="false">IF(OR($A498="",N($G498)=0),"",$A498+IFERROR(INDEX(Clientes!$F$2:$F$81,MATCH($B498,Clientes!$B$2:$B$81,0)),0))</f>
        <v/>
      </c>
      <c r="J498" s="13" t="str">
        <f aca="false">IF($B498="","",SUMIFS($G$2:$G498,$B$2:$B498,$B498)-SUMIFS($H$2:$H498,$B$2:$B498,$B498))</f>
        <v/>
      </c>
      <c r="K498" s="10"/>
      <c r="L498" s="10"/>
      <c r="M498" s="18" t="str">
        <f aca="false">IF(AND($B498&lt;&gt;"",$B498='Estado de cuenta'!$C$4),COUNTIF($B$2:$B498,'Estado de cuenta'!$C$4),"")</f>
        <v/>
      </c>
    </row>
    <row r="499" customFormat="false" ht="15" hidden="false" customHeight="false" outlineLevel="0" collapsed="false">
      <c r="A499" s="17"/>
      <c r="B499" s="10"/>
      <c r="C499" s="10"/>
      <c r="D499" s="10"/>
      <c r="E499" s="10"/>
      <c r="F499" s="12"/>
      <c r="G499" s="13" t="str">
        <f aca="false">IF(OR($B499="",$F499=""),"",IF(OR($C499="Saldo inicial",$C499="Factura",$C499="Nota de débito"),$F499,0))</f>
        <v/>
      </c>
      <c r="H499" s="13" t="str">
        <f aca="false">IF(OR($B499="",$F499=""),"",IF(OR($C499="Cobro",$C499="Nota de crédito"),$F499,0))</f>
        <v/>
      </c>
      <c r="I499" s="16" t="str">
        <f aca="false">IF(OR($A499="",N($G499)=0),"",$A499+IFERROR(INDEX(Clientes!$F$2:$F$81,MATCH($B499,Clientes!$B$2:$B$81,0)),0))</f>
        <v/>
      </c>
      <c r="J499" s="13" t="str">
        <f aca="false">IF($B499="","",SUMIFS($G$2:$G499,$B$2:$B499,$B499)-SUMIFS($H$2:$H499,$B$2:$B499,$B499))</f>
        <v/>
      </c>
      <c r="K499" s="10"/>
      <c r="L499" s="10"/>
      <c r="M499" s="18" t="str">
        <f aca="false">IF(AND($B499&lt;&gt;"",$B499='Estado de cuenta'!$C$4),COUNTIF($B$2:$B499,'Estado de cuenta'!$C$4),"")</f>
        <v/>
      </c>
    </row>
    <row r="500" customFormat="false" ht="15" hidden="false" customHeight="false" outlineLevel="0" collapsed="false">
      <c r="A500" s="17"/>
      <c r="B500" s="10"/>
      <c r="C500" s="10"/>
      <c r="D500" s="10"/>
      <c r="E500" s="10"/>
      <c r="F500" s="12"/>
      <c r="G500" s="13" t="str">
        <f aca="false">IF(OR($B500="",$F500=""),"",IF(OR($C500="Saldo inicial",$C500="Factura",$C500="Nota de débito"),$F500,0))</f>
        <v/>
      </c>
      <c r="H500" s="13" t="str">
        <f aca="false">IF(OR($B500="",$F500=""),"",IF(OR($C500="Cobro",$C500="Nota de crédito"),$F500,0))</f>
        <v/>
      </c>
      <c r="I500" s="16" t="str">
        <f aca="false">IF(OR($A500="",N($G500)=0),"",$A500+IFERROR(INDEX(Clientes!$F$2:$F$81,MATCH($B500,Clientes!$B$2:$B$81,0)),0))</f>
        <v/>
      </c>
      <c r="J500" s="13" t="str">
        <f aca="false">IF($B500="","",SUMIFS($G$2:$G500,$B$2:$B500,$B500)-SUMIFS($H$2:$H500,$B$2:$B500,$B500))</f>
        <v/>
      </c>
      <c r="K500" s="10"/>
      <c r="L500" s="10"/>
      <c r="M500" s="18" t="str">
        <f aca="false">IF(AND($B500&lt;&gt;"",$B500='Estado de cuenta'!$C$4),COUNTIF($B$2:$B500,'Estado de cuenta'!$C$4),"")</f>
        <v/>
      </c>
    </row>
    <row r="501" customFormat="false" ht="15" hidden="false" customHeight="false" outlineLevel="0" collapsed="false">
      <c r="A501" s="17"/>
      <c r="B501" s="10"/>
      <c r="C501" s="10"/>
      <c r="D501" s="10"/>
      <c r="E501" s="10"/>
      <c r="F501" s="12"/>
      <c r="G501" s="13" t="str">
        <f aca="false">IF(OR($B501="",$F501=""),"",IF(OR($C501="Saldo inicial",$C501="Factura",$C501="Nota de débito"),$F501,0))</f>
        <v/>
      </c>
      <c r="H501" s="13" t="str">
        <f aca="false">IF(OR($B501="",$F501=""),"",IF(OR($C501="Cobro",$C501="Nota de crédito"),$F501,0))</f>
        <v/>
      </c>
      <c r="I501" s="16" t="str">
        <f aca="false">IF(OR($A501="",N($G501)=0),"",$A501+IFERROR(INDEX(Clientes!$F$2:$F$81,MATCH($B501,Clientes!$B$2:$B$81,0)),0))</f>
        <v/>
      </c>
      <c r="J501" s="13" t="str">
        <f aca="false">IF($B501="","",SUMIFS($G$2:$G501,$B$2:$B501,$B501)-SUMIFS($H$2:$H501,$B$2:$B501,$B501))</f>
        <v/>
      </c>
      <c r="K501" s="10"/>
      <c r="L501" s="10"/>
      <c r="M501" s="18" t="str">
        <f aca="false">IF(AND($B501&lt;&gt;"",$B501='Estado de cuenta'!$C$4),COUNTIF($B$2:$B501,'Estado de cuenta'!$C$4),"")</f>
        <v/>
      </c>
    </row>
  </sheetData>
  <dataValidations count="3">
    <dataValidation allowBlank="true" errorStyle="stop" operator="between" showDropDown="false" showErrorMessage="false" showInputMessage="false" sqref="B2:B501" type="list">
      <formula1>Clientes!$B$2:$B$81</formula1>
      <formula2>0</formula2>
    </dataValidation>
    <dataValidation allowBlank="true" errorStyle="stop" operator="between" showDropDown="false" showErrorMessage="false" showInputMessage="false" sqref="C2:C501" type="list">
      <formula1>"Saldo inicial,Factura,Nota de débito,Cobro,Nota de crédito"</formula1>
      <formula2>0</formula2>
    </dataValidation>
    <dataValidation allowBlank="true" errorStyle="stop" operator="between" showDropDown="false" showErrorMessage="false" showInputMessage="false" sqref="K2:K501" type="list">
      <formula1>"Efectivo,Transferencia,Cheque,Echeq,Tarjeta,Otro"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7" min="3" style="0" width="16"/>
    <col collapsed="false" customWidth="true" hidden="false" outlineLevel="0" max="8" min="8" style="0" width="20"/>
    <col collapsed="false" customWidth="true" hidden="false" outlineLevel="0" max="9" min="9" style="0" width="3"/>
  </cols>
  <sheetData>
    <row r="1" customFormat="false" ht="27.75" hidden="false" customHeight="true" outlineLevel="0" collapsed="false">
      <c r="B1" s="19" t="s">
        <v>90</v>
      </c>
      <c r="C1" s="20"/>
      <c r="D1" s="20"/>
      <c r="E1" s="20"/>
      <c r="F1" s="20"/>
      <c r="G1" s="20"/>
      <c r="H1" s="20"/>
    </row>
    <row r="2" customFormat="false" ht="15" hidden="false" customHeight="false" outlineLevel="0" collapsed="false">
      <c r="B2" s="21" t="s">
        <v>91</v>
      </c>
      <c r="C2" s="20"/>
      <c r="D2" s="20"/>
      <c r="E2" s="20"/>
      <c r="F2" s="20"/>
      <c r="G2" s="20"/>
      <c r="H2" s="20"/>
    </row>
    <row r="4" customFormat="false" ht="15" hidden="false" customHeight="false" outlineLevel="0" collapsed="false">
      <c r="B4" s="22" t="s">
        <v>92</v>
      </c>
      <c r="C4" s="23" t="n">
        <f aca="true">TODAY()</f>
        <v>46302</v>
      </c>
    </row>
    <row r="5" customFormat="false" ht="15" hidden="false" customHeight="false" outlineLevel="0" collapsed="false">
      <c r="B5" s="22" t="s">
        <v>93</v>
      </c>
      <c r="C5" s="24" t="n">
        <v>0.8</v>
      </c>
      <c r="D5" s="25" t="s">
        <v>94</v>
      </c>
    </row>
    <row r="7" customFormat="false" ht="15" hidden="false" customHeight="false" outlineLevel="0" collapsed="false">
      <c r="B7" s="26" t="s">
        <v>95</v>
      </c>
    </row>
    <row r="8" customFormat="false" ht="15" hidden="false" customHeight="false" outlineLevel="0" collapsed="false">
      <c r="B8" s="27" t="s">
        <v>96</v>
      </c>
      <c r="C8" s="28" t="n">
        <f aca="false">SUM(C21:C100)</f>
        <v>2465000</v>
      </c>
    </row>
    <row r="9" customFormat="false" ht="15" hidden="false" customHeight="false" outlineLevel="0" collapsed="false">
      <c r="B9" s="27" t="s">
        <v>97</v>
      </c>
      <c r="C9" s="28" t="n">
        <f aca="false">SUM(D21:D100)</f>
        <v>1470000</v>
      </c>
    </row>
    <row r="10" customFormat="false" ht="15" hidden="false" customHeight="false" outlineLevel="0" collapsed="false">
      <c r="B10" s="27" t="s">
        <v>98</v>
      </c>
      <c r="C10" s="28" t="n">
        <f aca="false">SUM(E21:E100)</f>
        <v>650000</v>
      </c>
    </row>
    <row r="11" customFormat="false" ht="15" hidden="false" customHeight="false" outlineLevel="0" collapsed="false">
      <c r="B11" s="27" t="s">
        <v>99</v>
      </c>
      <c r="C11" s="28" t="n">
        <f aca="false">SUM(F21:F100)</f>
        <v>345000</v>
      </c>
    </row>
    <row r="12" customFormat="false" ht="15" hidden="false" customHeight="false" outlineLevel="0" collapsed="false">
      <c r="B12" s="27" t="s">
        <v>100</v>
      </c>
      <c r="C12" s="28" t="n">
        <f aca="false">SUM(G21:G100)</f>
        <v>0</v>
      </c>
    </row>
    <row r="13" customFormat="false" ht="15" hidden="false" customHeight="false" outlineLevel="0" collapsed="false">
      <c r="B13" s="27" t="s">
        <v>101</v>
      </c>
      <c r="C13" s="29" t="n">
        <f aca="false">IF(C8=0,0,(C10+C11+C12)/C8)</f>
        <v>0.403651115618661</v>
      </c>
    </row>
    <row r="14" customFormat="false" ht="15" hidden="false" customHeight="false" outlineLevel="0" collapsed="false">
      <c r="B14" s="27" t="s">
        <v>102</v>
      </c>
      <c r="C14" s="30" t="n">
        <f aca="false">COUNTIF(Clientes!$L$2:$L$81,"Con deuda vencida")+COUNTIFS(Clientes!$L$2:$L$81,"Excedido",Clientes!$K$2:$K$81,"&gt;0")</f>
        <v>3</v>
      </c>
    </row>
    <row r="15" customFormat="false" ht="15" hidden="false" customHeight="false" outlineLevel="0" collapsed="false">
      <c r="B15" s="27" t="s">
        <v>103</v>
      </c>
      <c r="C15" s="30" t="n">
        <f aca="false">COUNTIF(Clientes!$L$2:$L$81,"Excedido")</f>
        <v>1</v>
      </c>
    </row>
    <row r="16" customFormat="false" ht="15" hidden="false" customHeight="false" outlineLevel="0" collapsed="false">
      <c r="B16" s="27" t="s">
        <v>104</v>
      </c>
      <c r="C16" s="28" t="n">
        <f aca="false">SUMIFS(Movimientos!$H$2:$H$501,Movimientos!$A$2:$A$501,"&gt;="&amp;(C4-30),Movimientos!$C$2:$C$501,"Cobro")</f>
        <v>200000</v>
      </c>
    </row>
    <row r="18" customFormat="false" ht="15" hidden="false" customHeight="false" outlineLevel="0" collapsed="false">
      <c r="B18" s="26" t="s">
        <v>105</v>
      </c>
    </row>
    <row r="19" customFormat="false" ht="15" hidden="false" customHeight="false" outlineLevel="0" collapsed="false">
      <c r="B19" s="25" t="s">
        <v>106</v>
      </c>
    </row>
    <row r="20" customFormat="false" ht="21.75" hidden="false" customHeight="true" outlineLevel="0" collapsed="false">
      <c r="B20" s="31" t="s">
        <v>21</v>
      </c>
      <c r="C20" s="31" t="s">
        <v>107</v>
      </c>
      <c r="D20" s="31" t="s">
        <v>97</v>
      </c>
      <c r="E20" s="31" t="s">
        <v>108</v>
      </c>
      <c r="F20" s="31" t="s">
        <v>109</v>
      </c>
      <c r="G20" s="31" t="s">
        <v>110</v>
      </c>
      <c r="H20" s="31" t="s">
        <v>31</v>
      </c>
    </row>
    <row r="21" customFormat="false" ht="15" hidden="false" customHeight="false" outlineLevel="0" collapsed="false">
      <c r="B21" s="32" t="str">
        <f aca="false">IF(Clientes!$B$2="","",Clientes!$B$2)</f>
        <v>Almacén Don Pepe</v>
      </c>
      <c r="C21" s="33" t="n">
        <f aca="false">IF($B21="","",MAX(0,Clientes!$H$2))</f>
        <v>590000</v>
      </c>
      <c r="D21" s="33" t="n">
        <f aca="false">IF($B21="","",MIN($C21,SUMIFS(Movimientos!$G$2:$G$501,Movimientos!$B$2:$B$501,$B21,Movimientos!$I$2:$I$501,"&gt;="&amp;($C$4-0))))</f>
        <v>380000</v>
      </c>
      <c r="E21" s="33" t="n">
        <f aca="false">IF($B21="","",MIN($C21,SUMIFS(Movimientos!$G$2:$G$501,Movimientos!$B$2:$B$501,$B21,Movimientos!$I$2:$I$501,"&gt;="&amp;($C$4-30)))-MIN($C21,SUMIFS(Movimientos!$G$2:$G$501,Movimientos!$B$2:$B$501,$B21,Movimientos!$I$2:$I$501,"&gt;="&amp;($C$4-0))))</f>
        <v>210000</v>
      </c>
      <c r="F21" s="33" t="n">
        <f aca="false">IF($B21="","",MIN($C21,SUMIFS(Movimientos!$G$2:$G$501,Movimientos!$B$2:$B$501,$B21,Movimientos!$I$2:$I$501,"&gt;="&amp;($C$4-60)))-MIN($C21,SUMIFS(Movimientos!$G$2:$G$501,Movimientos!$B$2:$B$501,$B21,Movimientos!$I$2:$I$501,"&gt;="&amp;($C$4-30))))</f>
        <v>0</v>
      </c>
      <c r="G21" s="33" t="n">
        <f aca="false">IF($B21="","",$C21-MIN($C21,SUMIFS(Movimientos!$G$2:$G$501,Movimientos!$B$2:$B$501,$B21,Movimientos!$I$2:$I$501,"&gt;="&amp;($C$4-60))))</f>
        <v>0</v>
      </c>
      <c r="H21" s="32" t="str">
        <f aca="false">IF($B21="","",Clientes!$L$2)</f>
        <v>Con deuda vencida</v>
      </c>
    </row>
    <row r="22" customFormat="false" ht="15" hidden="false" customHeight="false" outlineLevel="0" collapsed="false">
      <c r="B22" s="32" t="str">
        <f aca="false">IF(Clientes!$B$3="","",Clientes!$B$3)</f>
        <v>Kiosco La Esquina</v>
      </c>
      <c r="C22" s="33" t="n">
        <f aca="false">IF($B22="","",MAX(0,Clientes!$H$3))</f>
        <v>315000</v>
      </c>
      <c r="D22" s="33" t="n">
        <f aca="false">IF($B22="","",MIN($C22,SUMIFS(Movimientos!$G$2:$G$501,Movimientos!$B$2:$B$501,$B22,Movimientos!$I$2:$I$501,"&gt;="&amp;($C$4-0))))</f>
        <v>0</v>
      </c>
      <c r="E22" s="33" t="n">
        <f aca="false">IF($B22="","",MIN($C22,SUMIFS(Movimientos!$G$2:$G$501,Movimientos!$B$2:$B$501,$B22,Movimientos!$I$2:$I$501,"&gt;="&amp;($C$4-30)))-MIN($C22,SUMIFS(Movimientos!$G$2:$G$501,Movimientos!$B$2:$B$501,$B22,Movimientos!$I$2:$I$501,"&gt;="&amp;($C$4-0))))</f>
        <v>230000</v>
      </c>
      <c r="F22" s="33" t="n">
        <f aca="false">IF($B22="","",MIN($C22,SUMIFS(Movimientos!$G$2:$G$501,Movimientos!$B$2:$B$501,$B22,Movimientos!$I$2:$I$501,"&gt;="&amp;($C$4-60)))-MIN($C22,SUMIFS(Movimientos!$G$2:$G$501,Movimientos!$B$2:$B$501,$B22,Movimientos!$I$2:$I$501,"&gt;="&amp;($C$4-30))))</f>
        <v>85000</v>
      </c>
      <c r="G22" s="33" t="n">
        <f aca="false">IF($B22="","",$C22-MIN($C22,SUMIFS(Movimientos!$G$2:$G$501,Movimientos!$B$2:$B$501,$B22,Movimientos!$I$2:$I$501,"&gt;="&amp;($C$4-60))))</f>
        <v>0</v>
      </c>
      <c r="H22" s="32" t="str">
        <f aca="false">IF($B22="","",Clientes!$L$3)</f>
        <v>Con deuda vencida</v>
      </c>
    </row>
    <row r="23" customFormat="false" ht="15" hidden="false" customHeight="false" outlineLevel="0" collapsed="false">
      <c r="B23" s="32" t="str">
        <f aca="false">IF(Clientes!$B$4="","",Clientes!$B$4)</f>
        <v>Autoservicio El Sol</v>
      </c>
      <c r="C23" s="33" t="n">
        <f aca="false">IF($B23="","",MAX(0,Clientes!$H$4))</f>
        <v>1090000</v>
      </c>
      <c r="D23" s="33" t="n">
        <f aca="false">IF($B23="","",MIN($C23,SUMIFS(Movimientos!$G$2:$G$501,Movimientos!$B$2:$B$501,$B23,Movimientos!$I$2:$I$501,"&gt;="&amp;($C$4-0))))</f>
        <v>1090000</v>
      </c>
      <c r="E23" s="33" t="n">
        <f aca="false">IF($B23="","",MIN($C23,SUMIFS(Movimientos!$G$2:$G$501,Movimientos!$B$2:$B$501,$B23,Movimientos!$I$2:$I$501,"&gt;="&amp;($C$4-30)))-MIN($C23,SUMIFS(Movimientos!$G$2:$G$501,Movimientos!$B$2:$B$501,$B23,Movimientos!$I$2:$I$501,"&gt;="&amp;($C$4-0))))</f>
        <v>0</v>
      </c>
      <c r="F23" s="33" t="n">
        <f aca="false">IF($B23="","",MIN($C23,SUMIFS(Movimientos!$G$2:$G$501,Movimientos!$B$2:$B$501,$B23,Movimientos!$I$2:$I$501,"&gt;="&amp;($C$4-60)))-MIN($C23,SUMIFS(Movimientos!$G$2:$G$501,Movimientos!$B$2:$B$501,$B23,Movimientos!$I$2:$I$501,"&gt;="&amp;($C$4-30))))</f>
        <v>0</v>
      </c>
      <c r="G23" s="33" t="n">
        <f aca="false">IF($B23="","",$C23-MIN($C23,SUMIFS(Movimientos!$G$2:$G$501,Movimientos!$B$2:$B$501,$B23,Movimientos!$I$2:$I$501,"&gt;="&amp;($C$4-60))))</f>
        <v>0</v>
      </c>
      <c r="H23" s="32" t="str">
        <f aca="false">IF($B23="","",Clientes!$L$4)</f>
        <v>Al día</v>
      </c>
    </row>
    <row r="24" customFormat="false" ht="15" hidden="false" customHeight="false" outlineLevel="0" collapsed="false">
      <c r="B24" s="32" t="str">
        <f aca="false">IF(Clientes!$B$5="","",Clientes!$B$5)</f>
        <v>Maxikiosco Ruta 5</v>
      </c>
      <c r="C24" s="33" t="n">
        <f aca="false">IF($B24="","",MAX(0,Clientes!$H$5))</f>
        <v>470000</v>
      </c>
      <c r="D24" s="33" t="n">
        <f aca="false">IF($B24="","",MIN($C24,SUMIFS(Movimientos!$G$2:$G$501,Movimientos!$B$2:$B$501,$B24,Movimientos!$I$2:$I$501,"&gt;="&amp;($C$4-0))))</f>
        <v>0</v>
      </c>
      <c r="E24" s="33" t="n">
        <f aca="false">IF($B24="","",MIN($C24,SUMIFS(Movimientos!$G$2:$G$501,Movimientos!$B$2:$B$501,$B24,Movimientos!$I$2:$I$501,"&gt;="&amp;($C$4-30)))-MIN($C24,SUMIFS(Movimientos!$G$2:$G$501,Movimientos!$B$2:$B$501,$B24,Movimientos!$I$2:$I$501,"&gt;="&amp;($C$4-0))))</f>
        <v>210000</v>
      </c>
      <c r="F24" s="33" t="n">
        <f aca="false">IF($B24="","",MIN($C24,SUMIFS(Movimientos!$G$2:$G$501,Movimientos!$B$2:$B$501,$B24,Movimientos!$I$2:$I$501,"&gt;="&amp;($C$4-60)))-MIN($C24,SUMIFS(Movimientos!$G$2:$G$501,Movimientos!$B$2:$B$501,$B24,Movimientos!$I$2:$I$501,"&gt;="&amp;($C$4-30))))</f>
        <v>260000</v>
      </c>
      <c r="G24" s="33" t="n">
        <f aca="false">IF($B24="","",$C24-MIN($C24,SUMIFS(Movimientos!$G$2:$G$501,Movimientos!$B$2:$B$501,$B24,Movimientos!$I$2:$I$501,"&gt;="&amp;($C$4-60))))</f>
        <v>0</v>
      </c>
      <c r="H24" s="32" t="str">
        <f aca="false">IF($B24="","",Clientes!$L$5)</f>
        <v>Excedido</v>
      </c>
    </row>
    <row r="25" customFormat="false" ht="15" hidden="false" customHeight="false" outlineLevel="0" collapsed="false">
      <c r="B25" s="32" t="str">
        <f aca="false">IF(Clientes!$B$6="","",Clientes!$B$6)</f>
        <v/>
      </c>
      <c r="C25" s="33" t="str">
        <f aca="false">IF($B25="","",MAX(0,Clientes!$H$6))</f>
        <v/>
      </c>
      <c r="D25" s="33" t="str">
        <f aca="false">IF($B25="","",MIN($C25,SUMIFS(Movimientos!$G$2:$G$501,Movimientos!$B$2:$B$501,$B25,Movimientos!$I$2:$I$501,"&gt;="&amp;($C$4-0))))</f>
        <v/>
      </c>
      <c r="E25" s="33" t="str">
        <f aca="false">IF($B25="","",MIN($C25,SUMIFS(Movimientos!$G$2:$G$501,Movimientos!$B$2:$B$501,$B25,Movimientos!$I$2:$I$501,"&gt;="&amp;($C$4-30)))-MIN($C25,SUMIFS(Movimientos!$G$2:$G$501,Movimientos!$B$2:$B$501,$B25,Movimientos!$I$2:$I$501,"&gt;="&amp;($C$4-0))))</f>
        <v/>
      </c>
      <c r="F25" s="33" t="str">
        <f aca="false">IF($B25="","",MIN($C25,SUMIFS(Movimientos!$G$2:$G$501,Movimientos!$B$2:$B$501,$B25,Movimientos!$I$2:$I$501,"&gt;="&amp;($C$4-60)))-MIN($C25,SUMIFS(Movimientos!$G$2:$G$501,Movimientos!$B$2:$B$501,$B25,Movimientos!$I$2:$I$501,"&gt;="&amp;($C$4-30))))</f>
        <v/>
      </c>
      <c r="G25" s="33" t="str">
        <f aca="false">IF($B25="","",$C25-MIN($C25,SUMIFS(Movimientos!$G$2:$G$501,Movimientos!$B$2:$B$501,$B25,Movimientos!$I$2:$I$501,"&gt;="&amp;($C$4-60))))</f>
        <v/>
      </c>
      <c r="H25" s="32" t="str">
        <f aca="false">IF($B25="","",Clientes!$L$6)</f>
        <v/>
      </c>
    </row>
    <row r="26" customFormat="false" ht="15" hidden="false" customHeight="false" outlineLevel="0" collapsed="false">
      <c r="B26" s="32" t="str">
        <f aca="false">IF(Clientes!$B$7="","",Clientes!$B$7)</f>
        <v/>
      </c>
      <c r="C26" s="33" t="str">
        <f aca="false">IF($B26="","",MAX(0,Clientes!$H$7))</f>
        <v/>
      </c>
      <c r="D26" s="33" t="str">
        <f aca="false">IF($B26="","",MIN($C26,SUMIFS(Movimientos!$G$2:$G$501,Movimientos!$B$2:$B$501,$B26,Movimientos!$I$2:$I$501,"&gt;="&amp;($C$4-0))))</f>
        <v/>
      </c>
      <c r="E26" s="33" t="str">
        <f aca="false">IF($B26="","",MIN($C26,SUMIFS(Movimientos!$G$2:$G$501,Movimientos!$B$2:$B$501,$B26,Movimientos!$I$2:$I$501,"&gt;="&amp;($C$4-30)))-MIN($C26,SUMIFS(Movimientos!$G$2:$G$501,Movimientos!$B$2:$B$501,$B26,Movimientos!$I$2:$I$501,"&gt;="&amp;($C$4-0))))</f>
        <v/>
      </c>
      <c r="F26" s="33" t="str">
        <f aca="false">IF($B26="","",MIN($C26,SUMIFS(Movimientos!$G$2:$G$501,Movimientos!$B$2:$B$501,$B26,Movimientos!$I$2:$I$501,"&gt;="&amp;($C$4-60)))-MIN($C26,SUMIFS(Movimientos!$G$2:$G$501,Movimientos!$B$2:$B$501,$B26,Movimientos!$I$2:$I$501,"&gt;="&amp;($C$4-30))))</f>
        <v/>
      </c>
      <c r="G26" s="33" t="str">
        <f aca="false">IF($B26="","",$C26-MIN($C26,SUMIFS(Movimientos!$G$2:$G$501,Movimientos!$B$2:$B$501,$B26,Movimientos!$I$2:$I$501,"&gt;="&amp;($C$4-60))))</f>
        <v/>
      </c>
      <c r="H26" s="32" t="str">
        <f aca="false">IF($B26="","",Clientes!$L$7)</f>
        <v/>
      </c>
    </row>
    <row r="27" customFormat="false" ht="15" hidden="false" customHeight="false" outlineLevel="0" collapsed="false">
      <c r="B27" s="32" t="str">
        <f aca="false">IF(Clientes!$B$8="","",Clientes!$B$8)</f>
        <v/>
      </c>
      <c r="C27" s="33" t="str">
        <f aca="false">IF($B27="","",MAX(0,Clientes!$H$8))</f>
        <v/>
      </c>
      <c r="D27" s="33" t="str">
        <f aca="false">IF($B27="","",MIN($C27,SUMIFS(Movimientos!$G$2:$G$501,Movimientos!$B$2:$B$501,$B27,Movimientos!$I$2:$I$501,"&gt;="&amp;($C$4-0))))</f>
        <v/>
      </c>
      <c r="E27" s="33" t="str">
        <f aca="false">IF($B27="","",MIN($C27,SUMIFS(Movimientos!$G$2:$G$501,Movimientos!$B$2:$B$501,$B27,Movimientos!$I$2:$I$501,"&gt;="&amp;($C$4-30)))-MIN($C27,SUMIFS(Movimientos!$G$2:$G$501,Movimientos!$B$2:$B$501,$B27,Movimientos!$I$2:$I$501,"&gt;="&amp;($C$4-0))))</f>
        <v/>
      </c>
      <c r="F27" s="33" t="str">
        <f aca="false">IF($B27="","",MIN($C27,SUMIFS(Movimientos!$G$2:$G$501,Movimientos!$B$2:$B$501,$B27,Movimientos!$I$2:$I$501,"&gt;="&amp;($C$4-60)))-MIN($C27,SUMIFS(Movimientos!$G$2:$G$501,Movimientos!$B$2:$B$501,$B27,Movimientos!$I$2:$I$501,"&gt;="&amp;($C$4-30))))</f>
        <v/>
      </c>
      <c r="G27" s="33" t="str">
        <f aca="false">IF($B27="","",$C27-MIN($C27,SUMIFS(Movimientos!$G$2:$G$501,Movimientos!$B$2:$B$501,$B27,Movimientos!$I$2:$I$501,"&gt;="&amp;($C$4-60))))</f>
        <v/>
      </c>
      <c r="H27" s="32" t="str">
        <f aca="false">IF($B27="","",Clientes!$L$8)</f>
        <v/>
      </c>
    </row>
    <row r="28" customFormat="false" ht="15" hidden="false" customHeight="false" outlineLevel="0" collapsed="false">
      <c r="B28" s="32" t="str">
        <f aca="false">IF(Clientes!$B$9="","",Clientes!$B$9)</f>
        <v/>
      </c>
      <c r="C28" s="33" t="str">
        <f aca="false">IF($B28="","",MAX(0,Clientes!$H$9))</f>
        <v/>
      </c>
      <c r="D28" s="33" t="str">
        <f aca="false">IF($B28="","",MIN($C28,SUMIFS(Movimientos!$G$2:$G$501,Movimientos!$B$2:$B$501,$B28,Movimientos!$I$2:$I$501,"&gt;="&amp;($C$4-0))))</f>
        <v/>
      </c>
      <c r="E28" s="33" t="str">
        <f aca="false">IF($B28="","",MIN($C28,SUMIFS(Movimientos!$G$2:$G$501,Movimientos!$B$2:$B$501,$B28,Movimientos!$I$2:$I$501,"&gt;="&amp;($C$4-30)))-MIN($C28,SUMIFS(Movimientos!$G$2:$G$501,Movimientos!$B$2:$B$501,$B28,Movimientos!$I$2:$I$501,"&gt;="&amp;($C$4-0))))</f>
        <v/>
      </c>
      <c r="F28" s="33" t="str">
        <f aca="false">IF($B28="","",MIN($C28,SUMIFS(Movimientos!$G$2:$G$501,Movimientos!$B$2:$B$501,$B28,Movimientos!$I$2:$I$501,"&gt;="&amp;($C$4-60)))-MIN($C28,SUMIFS(Movimientos!$G$2:$G$501,Movimientos!$B$2:$B$501,$B28,Movimientos!$I$2:$I$501,"&gt;="&amp;($C$4-30))))</f>
        <v/>
      </c>
      <c r="G28" s="33" t="str">
        <f aca="false">IF($B28="","",$C28-MIN($C28,SUMIFS(Movimientos!$G$2:$G$501,Movimientos!$B$2:$B$501,$B28,Movimientos!$I$2:$I$501,"&gt;="&amp;($C$4-60))))</f>
        <v/>
      </c>
      <c r="H28" s="32" t="str">
        <f aca="false">IF($B28="","",Clientes!$L$9)</f>
        <v/>
      </c>
    </row>
    <row r="29" customFormat="false" ht="15" hidden="false" customHeight="false" outlineLevel="0" collapsed="false">
      <c r="B29" s="32" t="str">
        <f aca="false">IF(Clientes!$B$10="","",Clientes!$B$10)</f>
        <v/>
      </c>
      <c r="C29" s="33" t="str">
        <f aca="false">IF($B29="","",MAX(0,Clientes!$H$10))</f>
        <v/>
      </c>
      <c r="D29" s="33" t="str">
        <f aca="false">IF($B29="","",MIN($C29,SUMIFS(Movimientos!$G$2:$G$501,Movimientos!$B$2:$B$501,$B29,Movimientos!$I$2:$I$501,"&gt;="&amp;($C$4-0))))</f>
        <v/>
      </c>
      <c r="E29" s="33" t="str">
        <f aca="false">IF($B29="","",MIN($C29,SUMIFS(Movimientos!$G$2:$G$501,Movimientos!$B$2:$B$501,$B29,Movimientos!$I$2:$I$501,"&gt;="&amp;($C$4-30)))-MIN($C29,SUMIFS(Movimientos!$G$2:$G$501,Movimientos!$B$2:$B$501,$B29,Movimientos!$I$2:$I$501,"&gt;="&amp;($C$4-0))))</f>
        <v/>
      </c>
      <c r="F29" s="33" t="str">
        <f aca="false">IF($B29="","",MIN($C29,SUMIFS(Movimientos!$G$2:$G$501,Movimientos!$B$2:$B$501,$B29,Movimientos!$I$2:$I$501,"&gt;="&amp;($C$4-60)))-MIN($C29,SUMIFS(Movimientos!$G$2:$G$501,Movimientos!$B$2:$B$501,$B29,Movimientos!$I$2:$I$501,"&gt;="&amp;($C$4-30))))</f>
        <v/>
      </c>
      <c r="G29" s="33" t="str">
        <f aca="false">IF($B29="","",$C29-MIN($C29,SUMIFS(Movimientos!$G$2:$G$501,Movimientos!$B$2:$B$501,$B29,Movimientos!$I$2:$I$501,"&gt;="&amp;($C$4-60))))</f>
        <v/>
      </c>
      <c r="H29" s="32" t="str">
        <f aca="false">IF($B29="","",Clientes!$L$10)</f>
        <v/>
      </c>
    </row>
    <row r="30" customFormat="false" ht="15" hidden="false" customHeight="false" outlineLevel="0" collapsed="false">
      <c r="B30" s="32" t="str">
        <f aca="false">IF(Clientes!$B$11="","",Clientes!$B$11)</f>
        <v/>
      </c>
      <c r="C30" s="33" t="str">
        <f aca="false">IF($B30="","",MAX(0,Clientes!$H$11))</f>
        <v/>
      </c>
      <c r="D30" s="33" t="str">
        <f aca="false">IF($B30="","",MIN($C30,SUMIFS(Movimientos!$G$2:$G$501,Movimientos!$B$2:$B$501,$B30,Movimientos!$I$2:$I$501,"&gt;="&amp;($C$4-0))))</f>
        <v/>
      </c>
      <c r="E30" s="33" t="str">
        <f aca="false">IF($B30="","",MIN($C30,SUMIFS(Movimientos!$G$2:$G$501,Movimientos!$B$2:$B$501,$B30,Movimientos!$I$2:$I$501,"&gt;="&amp;($C$4-30)))-MIN($C30,SUMIFS(Movimientos!$G$2:$G$501,Movimientos!$B$2:$B$501,$B30,Movimientos!$I$2:$I$501,"&gt;="&amp;($C$4-0))))</f>
        <v/>
      </c>
      <c r="F30" s="33" t="str">
        <f aca="false">IF($B30="","",MIN($C30,SUMIFS(Movimientos!$G$2:$G$501,Movimientos!$B$2:$B$501,$B30,Movimientos!$I$2:$I$501,"&gt;="&amp;($C$4-60)))-MIN($C30,SUMIFS(Movimientos!$G$2:$G$501,Movimientos!$B$2:$B$501,$B30,Movimientos!$I$2:$I$501,"&gt;="&amp;($C$4-30))))</f>
        <v/>
      </c>
      <c r="G30" s="33" t="str">
        <f aca="false">IF($B30="","",$C30-MIN($C30,SUMIFS(Movimientos!$G$2:$G$501,Movimientos!$B$2:$B$501,$B30,Movimientos!$I$2:$I$501,"&gt;="&amp;($C$4-60))))</f>
        <v/>
      </c>
      <c r="H30" s="32" t="str">
        <f aca="false">IF($B30="","",Clientes!$L$11)</f>
        <v/>
      </c>
    </row>
    <row r="31" customFormat="false" ht="15" hidden="false" customHeight="false" outlineLevel="0" collapsed="false">
      <c r="B31" s="32" t="str">
        <f aca="false">IF(Clientes!$B$12="","",Clientes!$B$12)</f>
        <v/>
      </c>
      <c r="C31" s="33" t="str">
        <f aca="false">IF($B31="","",MAX(0,Clientes!$H$12))</f>
        <v/>
      </c>
      <c r="D31" s="33" t="str">
        <f aca="false">IF($B31="","",MIN($C31,SUMIFS(Movimientos!$G$2:$G$501,Movimientos!$B$2:$B$501,$B31,Movimientos!$I$2:$I$501,"&gt;="&amp;($C$4-0))))</f>
        <v/>
      </c>
      <c r="E31" s="33" t="str">
        <f aca="false">IF($B31="","",MIN($C31,SUMIFS(Movimientos!$G$2:$G$501,Movimientos!$B$2:$B$501,$B31,Movimientos!$I$2:$I$501,"&gt;="&amp;($C$4-30)))-MIN($C31,SUMIFS(Movimientos!$G$2:$G$501,Movimientos!$B$2:$B$501,$B31,Movimientos!$I$2:$I$501,"&gt;="&amp;($C$4-0))))</f>
        <v/>
      </c>
      <c r="F31" s="33" t="str">
        <f aca="false">IF($B31="","",MIN($C31,SUMIFS(Movimientos!$G$2:$G$501,Movimientos!$B$2:$B$501,$B31,Movimientos!$I$2:$I$501,"&gt;="&amp;($C$4-60)))-MIN($C31,SUMIFS(Movimientos!$G$2:$G$501,Movimientos!$B$2:$B$501,$B31,Movimientos!$I$2:$I$501,"&gt;="&amp;($C$4-30))))</f>
        <v/>
      </c>
      <c r="G31" s="33" t="str">
        <f aca="false">IF($B31="","",$C31-MIN($C31,SUMIFS(Movimientos!$G$2:$G$501,Movimientos!$B$2:$B$501,$B31,Movimientos!$I$2:$I$501,"&gt;="&amp;($C$4-60))))</f>
        <v/>
      </c>
      <c r="H31" s="32" t="str">
        <f aca="false">IF($B31="","",Clientes!$L$12)</f>
        <v/>
      </c>
    </row>
    <row r="32" customFormat="false" ht="15" hidden="false" customHeight="false" outlineLevel="0" collapsed="false">
      <c r="B32" s="32" t="str">
        <f aca="false">IF(Clientes!$B$13="","",Clientes!$B$13)</f>
        <v/>
      </c>
      <c r="C32" s="33" t="str">
        <f aca="false">IF($B32="","",MAX(0,Clientes!$H$13))</f>
        <v/>
      </c>
      <c r="D32" s="33" t="str">
        <f aca="false">IF($B32="","",MIN($C32,SUMIFS(Movimientos!$G$2:$G$501,Movimientos!$B$2:$B$501,$B32,Movimientos!$I$2:$I$501,"&gt;="&amp;($C$4-0))))</f>
        <v/>
      </c>
      <c r="E32" s="33" t="str">
        <f aca="false">IF($B32="","",MIN($C32,SUMIFS(Movimientos!$G$2:$G$501,Movimientos!$B$2:$B$501,$B32,Movimientos!$I$2:$I$501,"&gt;="&amp;($C$4-30)))-MIN($C32,SUMIFS(Movimientos!$G$2:$G$501,Movimientos!$B$2:$B$501,$B32,Movimientos!$I$2:$I$501,"&gt;="&amp;($C$4-0))))</f>
        <v/>
      </c>
      <c r="F32" s="33" t="str">
        <f aca="false">IF($B32="","",MIN($C32,SUMIFS(Movimientos!$G$2:$G$501,Movimientos!$B$2:$B$501,$B32,Movimientos!$I$2:$I$501,"&gt;="&amp;($C$4-60)))-MIN($C32,SUMIFS(Movimientos!$G$2:$G$501,Movimientos!$B$2:$B$501,$B32,Movimientos!$I$2:$I$501,"&gt;="&amp;($C$4-30))))</f>
        <v/>
      </c>
      <c r="G32" s="33" t="str">
        <f aca="false">IF($B32="","",$C32-MIN($C32,SUMIFS(Movimientos!$G$2:$G$501,Movimientos!$B$2:$B$501,$B32,Movimientos!$I$2:$I$501,"&gt;="&amp;($C$4-60))))</f>
        <v/>
      </c>
      <c r="H32" s="32" t="str">
        <f aca="false">IF($B32="","",Clientes!$L$13)</f>
        <v/>
      </c>
    </row>
    <row r="33" customFormat="false" ht="15" hidden="false" customHeight="false" outlineLevel="0" collapsed="false">
      <c r="B33" s="32" t="str">
        <f aca="false">IF(Clientes!$B$14="","",Clientes!$B$14)</f>
        <v/>
      </c>
      <c r="C33" s="33" t="str">
        <f aca="false">IF($B33="","",MAX(0,Clientes!$H$14))</f>
        <v/>
      </c>
      <c r="D33" s="33" t="str">
        <f aca="false">IF($B33="","",MIN($C33,SUMIFS(Movimientos!$G$2:$G$501,Movimientos!$B$2:$B$501,$B33,Movimientos!$I$2:$I$501,"&gt;="&amp;($C$4-0))))</f>
        <v/>
      </c>
      <c r="E33" s="33" t="str">
        <f aca="false">IF($B33="","",MIN($C33,SUMIFS(Movimientos!$G$2:$G$501,Movimientos!$B$2:$B$501,$B33,Movimientos!$I$2:$I$501,"&gt;="&amp;($C$4-30)))-MIN($C33,SUMIFS(Movimientos!$G$2:$G$501,Movimientos!$B$2:$B$501,$B33,Movimientos!$I$2:$I$501,"&gt;="&amp;($C$4-0))))</f>
        <v/>
      </c>
      <c r="F33" s="33" t="str">
        <f aca="false">IF($B33="","",MIN($C33,SUMIFS(Movimientos!$G$2:$G$501,Movimientos!$B$2:$B$501,$B33,Movimientos!$I$2:$I$501,"&gt;="&amp;($C$4-60)))-MIN($C33,SUMIFS(Movimientos!$G$2:$G$501,Movimientos!$B$2:$B$501,$B33,Movimientos!$I$2:$I$501,"&gt;="&amp;($C$4-30))))</f>
        <v/>
      </c>
      <c r="G33" s="33" t="str">
        <f aca="false">IF($B33="","",$C33-MIN($C33,SUMIFS(Movimientos!$G$2:$G$501,Movimientos!$B$2:$B$501,$B33,Movimientos!$I$2:$I$501,"&gt;="&amp;($C$4-60))))</f>
        <v/>
      </c>
      <c r="H33" s="32" t="str">
        <f aca="false">IF($B33="","",Clientes!$L$14)</f>
        <v/>
      </c>
    </row>
    <row r="34" customFormat="false" ht="15" hidden="false" customHeight="false" outlineLevel="0" collapsed="false">
      <c r="B34" s="32" t="str">
        <f aca="false">IF(Clientes!$B$15="","",Clientes!$B$15)</f>
        <v/>
      </c>
      <c r="C34" s="33" t="str">
        <f aca="false">IF($B34="","",MAX(0,Clientes!$H$15))</f>
        <v/>
      </c>
      <c r="D34" s="33" t="str">
        <f aca="false">IF($B34="","",MIN($C34,SUMIFS(Movimientos!$G$2:$G$501,Movimientos!$B$2:$B$501,$B34,Movimientos!$I$2:$I$501,"&gt;="&amp;($C$4-0))))</f>
        <v/>
      </c>
      <c r="E34" s="33" t="str">
        <f aca="false">IF($B34="","",MIN($C34,SUMIFS(Movimientos!$G$2:$G$501,Movimientos!$B$2:$B$501,$B34,Movimientos!$I$2:$I$501,"&gt;="&amp;($C$4-30)))-MIN($C34,SUMIFS(Movimientos!$G$2:$G$501,Movimientos!$B$2:$B$501,$B34,Movimientos!$I$2:$I$501,"&gt;="&amp;($C$4-0))))</f>
        <v/>
      </c>
      <c r="F34" s="33" t="str">
        <f aca="false">IF($B34="","",MIN($C34,SUMIFS(Movimientos!$G$2:$G$501,Movimientos!$B$2:$B$501,$B34,Movimientos!$I$2:$I$501,"&gt;="&amp;($C$4-60)))-MIN($C34,SUMIFS(Movimientos!$G$2:$G$501,Movimientos!$B$2:$B$501,$B34,Movimientos!$I$2:$I$501,"&gt;="&amp;($C$4-30))))</f>
        <v/>
      </c>
      <c r="G34" s="33" t="str">
        <f aca="false">IF($B34="","",$C34-MIN($C34,SUMIFS(Movimientos!$G$2:$G$501,Movimientos!$B$2:$B$501,$B34,Movimientos!$I$2:$I$501,"&gt;="&amp;($C$4-60))))</f>
        <v/>
      </c>
      <c r="H34" s="32" t="str">
        <f aca="false">IF($B34="","",Clientes!$L$15)</f>
        <v/>
      </c>
    </row>
    <row r="35" customFormat="false" ht="15" hidden="false" customHeight="false" outlineLevel="0" collapsed="false">
      <c r="B35" s="32" t="str">
        <f aca="false">IF(Clientes!$B$16="","",Clientes!$B$16)</f>
        <v/>
      </c>
      <c r="C35" s="33" t="str">
        <f aca="false">IF($B35="","",MAX(0,Clientes!$H$16))</f>
        <v/>
      </c>
      <c r="D35" s="33" t="str">
        <f aca="false">IF($B35="","",MIN($C35,SUMIFS(Movimientos!$G$2:$G$501,Movimientos!$B$2:$B$501,$B35,Movimientos!$I$2:$I$501,"&gt;="&amp;($C$4-0))))</f>
        <v/>
      </c>
      <c r="E35" s="33" t="str">
        <f aca="false">IF($B35="","",MIN($C35,SUMIFS(Movimientos!$G$2:$G$501,Movimientos!$B$2:$B$501,$B35,Movimientos!$I$2:$I$501,"&gt;="&amp;($C$4-30)))-MIN($C35,SUMIFS(Movimientos!$G$2:$G$501,Movimientos!$B$2:$B$501,$B35,Movimientos!$I$2:$I$501,"&gt;="&amp;($C$4-0))))</f>
        <v/>
      </c>
      <c r="F35" s="33" t="str">
        <f aca="false">IF($B35="","",MIN($C35,SUMIFS(Movimientos!$G$2:$G$501,Movimientos!$B$2:$B$501,$B35,Movimientos!$I$2:$I$501,"&gt;="&amp;($C$4-60)))-MIN($C35,SUMIFS(Movimientos!$G$2:$G$501,Movimientos!$B$2:$B$501,$B35,Movimientos!$I$2:$I$501,"&gt;="&amp;($C$4-30))))</f>
        <v/>
      </c>
      <c r="G35" s="33" t="str">
        <f aca="false">IF($B35="","",$C35-MIN($C35,SUMIFS(Movimientos!$G$2:$G$501,Movimientos!$B$2:$B$501,$B35,Movimientos!$I$2:$I$501,"&gt;="&amp;($C$4-60))))</f>
        <v/>
      </c>
      <c r="H35" s="32" t="str">
        <f aca="false">IF($B35="","",Clientes!$L$16)</f>
        <v/>
      </c>
    </row>
    <row r="36" customFormat="false" ht="15" hidden="false" customHeight="false" outlineLevel="0" collapsed="false">
      <c r="B36" s="32" t="str">
        <f aca="false">IF(Clientes!$B$17="","",Clientes!$B$17)</f>
        <v/>
      </c>
      <c r="C36" s="33" t="str">
        <f aca="false">IF($B36="","",MAX(0,Clientes!$H$17))</f>
        <v/>
      </c>
      <c r="D36" s="33" t="str">
        <f aca="false">IF($B36="","",MIN($C36,SUMIFS(Movimientos!$G$2:$G$501,Movimientos!$B$2:$B$501,$B36,Movimientos!$I$2:$I$501,"&gt;="&amp;($C$4-0))))</f>
        <v/>
      </c>
      <c r="E36" s="33" t="str">
        <f aca="false">IF($B36="","",MIN($C36,SUMIFS(Movimientos!$G$2:$G$501,Movimientos!$B$2:$B$501,$B36,Movimientos!$I$2:$I$501,"&gt;="&amp;($C$4-30)))-MIN($C36,SUMIFS(Movimientos!$G$2:$G$501,Movimientos!$B$2:$B$501,$B36,Movimientos!$I$2:$I$501,"&gt;="&amp;($C$4-0))))</f>
        <v/>
      </c>
      <c r="F36" s="33" t="str">
        <f aca="false">IF($B36="","",MIN($C36,SUMIFS(Movimientos!$G$2:$G$501,Movimientos!$B$2:$B$501,$B36,Movimientos!$I$2:$I$501,"&gt;="&amp;($C$4-60)))-MIN($C36,SUMIFS(Movimientos!$G$2:$G$501,Movimientos!$B$2:$B$501,$B36,Movimientos!$I$2:$I$501,"&gt;="&amp;($C$4-30))))</f>
        <v/>
      </c>
      <c r="G36" s="33" t="str">
        <f aca="false">IF($B36="","",$C36-MIN($C36,SUMIFS(Movimientos!$G$2:$G$501,Movimientos!$B$2:$B$501,$B36,Movimientos!$I$2:$I$501,"&gt;="&amp;($C$4-60))))</f>
        <v/>
      </c>
      <c r="H36" s="32" t="str">
        <f aca="false">IF($B36="","",Clientes!$L$17)</f>
        <v/>
      </c>
    </row>
    <row r="37" customFormat="false" ht="15" hidden="false" customHeight="false" outlineLevel="0" collapsed="false">
      <c r="B37" s="32" t="str">
        <f aca="false">IF(Clientes!$B$18="","",Clientes!$B$18)</f>
        <v/>
      </c>
      <c r="C37" s="33" t="str">
        <f aca="false">IF($B37="","",MAX(0,Clientes!$H$18))</f>
        <v/>
      </c>
      <c r="D37" s="33" t="str">
        <f aca="false">IF($B37="","",MIN($C37,SUMIFS(Movimientos!$G$2:$G$501,Movimientos!$B$2:$B$501,$B37,Movimientos!$I$2:$I$501,"&gt;="&amp;($C$4-0))))</f>
        <v/>
      </c>
      <c r="E37" s="33" t="str">
        <f aca="false">IF($B37="","",MIN($C37,SUMIFS(Movimientos!$G$2:$G$501,Movimientos!$B$2:$B$501,$B37,Movimientos!$I$2:$I$501,"&gt;="&amp;($C$4-30)))-MIN($C37,SUMIFS(Movimientos!$G$2:$G$501,Movimientos!$B$2:$B$501,$B37,Movimientos!$I$2:$I$501,"&gt;="&amp;($C$4-0))))</f>
        <v/>
      </c>
      <c r="F37" s="33" t="str">
        <f aca="false">IF($B37="","",MIN($C37,SUMIFS(Movimientos!$G$2:$G$501,Movimientos!$B$2:$B$501,$B37,Movimientos!$I$2:$I$501,"&gt;="&amp;($C$4-60)))-MIN($C37,SUMIFS(Movimientos!$G$2:$G$501,Movimientos!$B$2:$B$501,$B37,Movimientos!$I$2:$I$501,"&gt;="&amp;($C$4-30))))</f>
        <v/>
      </c>
      <c r="G37" s="33" t="str">
        <f aca="false">IF($B37="","",$C37-MIN($C37,SUMIFS(Movimientos!$G$2:$G$501,Movimientos!$B$2:$B$501,$B37,Movimientos!$I$2:$I$501,"&gt;="&amp;($C$4-60))))</f>
        <v/>
      </c>
      <c r="H37" s="32" t="str">
        <f aca="false">IF($B37="","",Clientes!$L$18)</f>
        <v/>
      </c>
    </row>
    <row r="38" customFormat="false" ht="15" hidden="false" customHeight="false" outlineLevel="0" collapsed="false">
      <c r="B38" s="32" t="str">
        <f aca="false">IF(Clientes!$B$19="","",Clientes!$B$19)</f>
        <v/>
      </c>
      <c r="C38" s="33" t="str">
        <f aca="false">IF($B38="","",MAX(0,Clientes!$H$19))</f>
        <v/>
      </c>
      <c r="D38" s="33" t="str">
        <f aca="false">IF($B38="","",MIN($C38,SUMIFS(Movimientos!$G$2:$G$501,Movimientos!$B$2:$B$501,$B38,Movimientos!$I$2:$I$501,"&gt;="&amp;($C$4-0))))</f>
        <v/>
      </c>
      <c r="E38" s="33" t="str">
        <f aca="false">IF($B38="","",MIN($C38,SUMIFS(Movimientos!$G$2:$G$501,Movimientos!$B$2:$B$501,$B38,Movimientos!$I$2:$I$501,"&gt;="&amp;($C$4-30)))-MIN($C38,SUMIFS(Movimientos!$G$2:$G$501,Movimientos!$B$2:$B$501,$B38,Movimientos!$I$2:$I$501,"&gt;="&amp;($C$4-0))))</f>
        <v/>
      </c>
      <c r="F38" s="33" t="str">
        <f aca="false">IF($B38="","",MIN($C38,SUMIFS(Movimientos!$G$2:$G$501,Movimientos!$B$2:$B$501,$B38,Movimientos!$I$2:$I$501,"&gt;="&amp;($C$4-60)))-MIN($C38,SUMIFS(Movimientos!$G$2:$G$501,Movimientos!$B$2:$B$501,$B38,Movimientos!$I$2:$I$501,"&gt;="&amp;($C$4-30))))</f>
        <v/>
      </c>
      <c r="G38" s="33" t="str">
        <f aca="false">IF($B38="","",$C38-MIN($C38,SUMIFS(Movimientos!$G$2:$G$501,Movimientos!$B$2:$B$501,$B38,Movimientos!$I$2:$I$501,"&gt;="&amp;($C$4-60))))</f>
        <v/>
      </c>
      <c r="H38" s="32" t="str">
        <f aca="false">IF($B38="","",Clientes!$L$19)</f>
        <v/>
      </c>
    </row>
    <row r="39" customFormat="false" ht="15" hidden="false" customHeight="false" outlineLevel="0" collapsed="false">
      <c r="B39" s="32" t="str">
        <f aca="false">IF(Clientes!$B$20="","",Clientes!$B$20)</f>
        <v/>
      </c>
      <c r="C39" s="33" t="str">
        <f aca="false">IF($B39="","",MAX(0,Clientes!$H$20))</f>
        <v/>
      </c>
      <c r="D39" s="33" t="str">
        <f aca="false">IF($B39="","",MIN($C39,SUMIFS(Movimientos!$G$2:$G$501,Movimientos!$B$2:$B$501,$B39,Movimientos!$I$2:$I$501,"&gt;="&amp;($C$4-0))))</f>
        <v/>
      </c>
      <c r="E39" s="33" t="str">
        <f aca="false">IF($B39="","",MIN($C39,SUMIFS(Movimientos!$G$2:$G$501,Movimientos!$B$2:$B$501,$B39,Movimientos!$I$2:$I$501,"&gt;="&amp;($C$4-30)))-MIN($C39,SUMIFS(Movimientos!$G$2:$G$501,Movimientos!$B$2:$B$501,$B39,Movimientos!$I$2:$I$501,"&gt;="&amp;($C$4-0))))</f>
        <v/>
      </c>
      <c r="F39" s="33" t="str">
        <f aca="false">IF($B39="","",MIN($C39,SUMIFS(Movimientos!$G$2:$G$501,Movimientos!$B$2:$B$501,$B39,Movimientos!$I$2:$I$501,"&gt;="&amp;($C$4-60)))-MIN($C39,SUMIFS(Movimientos!$G$2:$G$501,Movimientos!$B$2:$B$501,$B39,Movimientos!$I$2:$I$501,"&gt;="&amp;($C$4-30))))</f>
        <v/>
      </c>
      <c r="G39" s="33" t="str">
        <f aca="false">IF($B39="","",$C39-MIN($C39,SUMIFS(Movimientos!$G$2:$G$501,Movimientos!$B$2:$B$501,$B39,Movimientos!$I$2:$I$501,"&gt;="&amp;($C$4-60))))</f>
        <v/>
      </c>
      <c r="H39" s="32" t="str">
        <f aca="false">IF($B39="","",Clientes!$L$20)</f>
        <v/>
      </c>
    </row>
    <row r="40" customFormat="false" ht="15" hidden="false" customHeight="false" outlineLevel="0" collapsed="false">
      <c r="B40" s="32" t="str">
        <f aca="false">IF(Clientes!$B$21="","",Clientes!$B$21)</f>
        <v/>
      </c>
      <c r="C40" s="33" t="str">
        <f aca="false">IF($B40="","",MAX(0,Clientes!$H$21))</f>
        <v/>
      </c>
      <c r="D40" s="33" t="str">
        <f aca="false">IF($B40="","",MIN($C40,SUMIFS(Movimientos!$G$2:$G$501,Movimientos!$B$2:$B$501,$B40,Movimientos!$I$2:$I$501,"&gt;="&amp;($C$4-0))))</f>
        <v/>
      </c>
      <c r="E40" s="33" t="str">
        <f aca="false">IF($B40="","",MIN($C40,SUMIFS(Movimientos!$G$2:$G$501,Movimientos!$B$2:$B$501,$B40,Movimientos!$I$2:$I$501,"&gt;="&amp;($C$4-30)))-MIN($C40,SUMIFS(Movimientos!$G$2:$G$501,Movimientos!$B$2:$B$501,$B40,Movimientos!$I$2:$I$501,"&gt;="&amp;($C$4-0))))</f>
        <v/>
      </c>
      <c r="F40" s="33" t="str">
        <f aca="false">IF($B40="","",MIN($C40,SUMIFS(Movimientos!$G$2:$G$501,Movimientos!$B$2:$B$501,$B40,Movimientos!$I$2:$I$501,"&gt;="&amp;($C$4-60)))-MIN($C40,SUMIFS(Movimientos!$G$2:$G$501,Movimientos!$B$2:$B$501,$B40,Movimientos!$I$2:$I$501,"&gt;="&amp;($C$4-30))))</f>
        <v/>
      </c>
      <c r="G40" s="33" t="str">
        <f aca="false">IF($B40="","",$C40-MIN($C40,SUMIFS(Movimientos!$G$2:$G$501,Movimientos!$B$2:$B$501,$B40,Movimientos!$I$2:$I$501,"&gt;="&amp;($C$4-60))))</f>
        <v/>
      </c>
      <c r="H40" s="32" t="str">
        <f aca="false">IF($B40="","",Clientes!$L$21)</f>
        <v/>
      </c>
    </row>
    <row r="41" customFormat="false" ht="15" hidden="false" customHeight="false" outlineLevel="0" collapsed="false">
      <c r="B41" s="32" t="str">
        <f aca="false">IF(Clientes!$B$22="","",Clientes!$B$22)</f>
        <v/>
      </c>
      <c r="C41" s="33" t="str">
        <f aca="false">IF($B41="","",MAX(0,Clientes!$H$22))</f>
        <v/>
      </c>
      <c r="D41" s="33" t="str">
        <f aca="false">IF($B41="","",MIN($C41,SUMIFS(Movimientos!$G$2:$G$501,Movimientos!$B$2:$B$501,$B41,Movimientos!$I$2:$I$501,"&gt;="&amp;($C$4-0))))</f>
        <v/>
      </c>
      <c r="E41" s="33" t="str">
        <f aca="false">IF($B41="","",MIN($C41,SUMIFS(Movimientos!$G$2:$G$501,Movimientos!$B$2:$B$501,$B41,Movimientos!$I$2:$I$501,"&gt;="&amp;($C$4-30)))-MIN($C41,SUMIFS(Movimientos!$G$2:$G$501,Movimientos!$B$2:$B$501,$B41,Movimientos!$I$2:$I$501,"&gt;="&amp;($C$4-0))))</f>
        <v/>
      </c>
      <c r="F41" s="33" t="str">
        <f aca="false">IF($B41="","",MIN($C41,SUMIFS(Movimientos!$G$2:$G$501,Movimientos!$B$2:$B$501,$B41,Movimientos!$I$2:$I$501,"&gt;="&amp;($C$4-60)))-MIN($C41,SUMIFS(Movimientos!$G$2:$G$501,Movimientos!$B$2:$B$501,$B41,Movimientos!$I$2:$I$501,"&gt;="&amp;($C$4-30))))</f>
        <v/>
      </c>
      <c r="G41" s="33" t="str">
        <f aca="false">IF($B41="","",$C41-MIN($C41,SUMIFS(Movimientos!$G$2:$G$501,Movimientos!$B$2:$B$501,$B41,Movimientos!$I$2:$I$501,"&gt;="&amp;($C$4-60))))</f>
        <v/>
      </c>
      <c r="H41" s="32" t="str">
        <f aca="false">IF($B41="","",Clientes!$L$22)</f>
        <v/>
      </c>
    </row>
    <row r="42" customFormat="false" ht="15" hidden="false" customHeight="false" outlineLevel="0" collapsed="false">
      <c r="B42" s="32" t="str">
        <f aca="false">IF(Clientes!$B$23="","",Clientes!$B$23)</f>
        <v/>
      </c>
      <c r="C42" s="33" t="str">
        <f aca="false">IF($B42="","",MAX(0,Clientes!$H$23))</f>
        <v/>
      </c>
      <c r="D42" s="33" t="str">
        <f aca="false">IF($B42="","",MIN($C42,SUMIFS(Movimientos!$G$2:$G$501,Movimientos!$B$2:$B$501,$B42,Movimientos!$I$2:$I$501,"&gt;="&amp;($C$4-0))))</f>
        <v/>
      </c>
      <c r="E42" s="33" t="str">
        <f aca="false">IF($B42="","",MIN($C42,SUMIFS(Movimientos!$G$2:$G$501,Movimientos!$B$2:$B$501,$B42,Movimientos!$I$2:$I$501,"&gt;="&amp;($C$4-30)))-MIN($C42,SUMIFS(Movimientos!$G$2:$G$501,Movimientos!$B$2:$B$501,$B42,Movimientos!$I$2:$I$501,"&gt;="&amp;($C$4-0))))</f>
        <v/>
      </c>
      <c r="F42" s="33" t="str">
        <f aca="false">IF($B42="","",MIN($C42,SUMIFS(Movimientos!$G$2:$G$501,Movimientos!$B$2:$B$501,$B42,Movimientos!$I$2:$I$501,"&gt;="&amp;($C$4-60)))-MIN($C42,SUMIFS(Movimientos!$G$2:$G$501,Movimientos!$B$2:$B$501,$B42,Movimientos!$I$2:$I$501,"&gt;="&amp;($C$4-30))))</f>
        <v/>
      </c>
      <c r="G42" s="33" t="str">
        <f aca="false">IF($B42="","",$C42-MIN($C42,SUMIFS(Movimientos!$G$2:$G$501,Movimientos!$B$2:$B$501,$B42,Movimientos!$I$2:$I$501,"&gt;="&amp;($C$4-60))))</f>
        <v/>
      </c>
      <c r="H42" s="32" t="str">
        <f aca="false">IF($B42="","",Clientes!$L$23)</f>
        <v/>
      </c>
    </row>
    <row r="43" customFormat="false" ht="15" hidden="false" customHeight="false" outlineLevel="0" collapsed="false">
      <c r="B43" s="32" t="str">
        <f aca="false">IF(Clientes!$B$24="","",Clientes!$B$24)</f>
        <v/>
      </c>
      <c r="C43" s="33" t="str">
        <f aca="false">IF($B43="","",MAX(0,Clientes!$H$24))</f>
        <v/>
      </c>
      <c r="D43" s="33" t="str">
        <f aca="false">IF($B43="","",MIN($C43,SUMIFS(Movimientos!$G$2:$G$501,Movimientos!$B$2:$B$501,$B43,Movimientos!$I$2:$I$501,"&gt;="&amp;($C$4-0))))</f>
        <v/>
      </c>
      <c r="E43" s="33" t="str">
        <f aca="false">IF($B43="","",MIN($C43,SUMIFS(Movimientos!$G$2:$G$501,Movimientos!$B$2:$B$501,$B43,Movimientos!$I$2:$I$501,"&gt;="&amp;($C$4-30)))-MIN($C43,SUMIFS(Movimientos!$G$2:$G$501,Movimientos!$B$2:$B$501,$B43,Movimientos!$I$2:$I$501,"&gt;="&amp;($C$4-0))))</f>
        <v/>
      </c>
      <c r="F43" s="33" t="str">
        <f aca="false">IF($B43="","",MIN($C43,SUMIFS(Movimientos!$G$2:$G$501,Movimientos!$B$2:$B$501,$B43,Movimientos!$I$2:$I$501,"&gt;="&amp;($C$4-60)))-MIN($C43,SUMIFS(Movimientos!$G$2:$G$501,Movimientos!$B$2:$B$501,$B43,Movimientos!$I$2:$I$501,"&gt;="&amp;($C$4-30))))</f>
        <v/>
      </c>
      <c r="G43" s="33" t="str">
        <f aca="false">IF($B43="","",$C43-MIN($C43,SUMIFS(Movimientos!$G$2:$G$501,Movimientos!$B$2:$B$501,$B43,Movimientos!$I$2:$I$501,"&gt;="&amp;($C$4-60))))</f>
        <v/>
      </c>
      <c r="H43" s="32" t="str">
        <f aca="false">IF($B43="","",Clientes!$L$24)</f>
        <v/>
      </c>
    </row>
    <row r="44" customFormat="false" ht="15" hidden="false" customHeight="false" outlineLevel="0" collapsed="false">
      <c r="B44" s="32" t="str">
        <f aca="false">IF(Clientes!$B$25="","",Clientes!$B$25)</f>
        <v/>
      </c>
      <c r="C44" s="33" t="str">
        <f aca="false">IF($B44="","",MAX(0,Clientes!$H$25))</f>
        <v/>
      </c>
      <c r="D44" s="33" t="str">
        <f aca="false">IF($B44="","",MIN($C44,SUMIFS(Movimientos!$G$2:$G$501,Movimientos!$B$2:$B$501,$B44,Movimientos!$I$2:$I$501,"&gt;="&amp;($C$4-0))))</f>
        <v/>
      </c>
      <c r="E44" s="33" t="str">
        <f aca="false">IF($B44="","",MIN($C44,SUMIFS(Movimientos!$G$2:$G$501,Movimientos!$B$2:$B$501,$B44,Movimientos!$I$2:$I$501,"&gt;="&amp;($C$4-30)))-MIN($C44,SUMIFS(Movimientos!$G$2:$G$501,Movimientos!$B$2:$B$501,$B44,Movimientos!$I$2:$I$501,"&gt;="&amp;($C$4-0))))</f>
        <v/>
      </c>
      <c r="F44" s="33" t="str">
        <f aca="false">IF($B44="","",MIN($C44,SUMIFS(Movimientos!$G$2:$G$501,Movimientos!$B$2:$B$501,$B44,Movimientos!$I$2:$I$501,"&gt;="&amp;($C$4-60)))-MIN($C44,SUMIFS(Movimientos!$G$2:$G$501,Movimientos!$B$2:$B$501,$B44,Movimientos!$I$2:$I$501,"&gt;="&amp;($C$4-30))))</f>
        <v/>
      </c>
      <c r="G44" s="33" t="str">
        <f aca="false">IF($B44="","",$C44-MIN($C44,SUMIFS(Movimientos!$G$2:$G$501,Movimientos!$B$2:$B$501,$B44,Movimientos!$I$2:$I$501,"&gt;="&amp;($C$4-60))))</f>
        <v/>
      </c>
      <c r="H44" s="32" t="str">
        <f aca="false">IF($B44="","",Clientes!$L$25)</f>
        <v/>
      </c>
    </row>
    <row r="45" customFormat="false" ht="15" hidden="false" customHeight="false" outlineLevel="0" collapsed="false">
      <c r="B45" s="32" t="str">
        <f aca="false">IF(Clientes!$B$26="","",Clientes!$B$26)</f>
        <v/>
      </c>
      <c r="C45" s="33" t="str">
        <f aca="false">IF($B45="","",MAX(0,Clientes!$H$26))</f>
        <v/>
      </c>
      <c r="D45" s="33" t="str">
        <f aca="false">IF($B45="","",MIN($C45,SUMIFS(Movimientos!$G$2:$G$501,Movimientos!$B$2:$B$501,$B45,Movimientos!$I$2:$I$501,"&gt;="&amp;($C$4-0))))</f>
        <v/>
      </c>
      <c r="E45" s="33" t="str">
        <f aca="false">IF($B45="","",MIN($C45,SUMIFS(Movimientos!$G$2:$G$501,Movimientos!$B$2:$B$501,$B45,Movimientos!$I$2:$I$501,"&gt;="&amp;($C$4-30)))-MIN($C45,SUMIFS(Movimientos!$G$2:$G$501,Movimientos!$B$2:$B$501,$B45,Movimientos!$I$2:$I$501,"&gt;="&amp;($C$4-0))))</f>
        <v/>
      </c>
      <c r="F45" s="33" t="str">
        <f aca="false">IF($B45="","",MIN($C45,SUMIFS(Movimientos!$G$2:$G$501,Movimientos!$B$2:$B$501,$B45,Movimientos!$I$2:$I$501,"&gt;="&amp;($C$4-60)))-MIN($C45,SUMIFS(Movimientos!$G$2:$G$501,Movimientos!$B$2:$B$501,$B45,Movimientos!$I$2:$I$501,"&gt;="&amp;($C$4-30))))</f>
        <v/>
      </c>
      <c r="G45" s="33" t="str">
        <f aca="false">IF($B45="","",$C45-MIN($C45,SUMIFS(Movimientos!$G$2:$G$501,Movimientos!$B$2:$B$501,$B45,Movimientos!$I$2:$I$501,"&gt;="&amp;($C$4-60))))</f>
        <v/>
      </c>
      <c r="H45" s="32" t="str">
        <f aca="false">IF($B45="","",Clientes!$L$26)</f>
        <v/>
      </c>
    </row>
    <row r="46" customFormat="false" ht="15" hidden="false" customHeight="false" outlineLevel="0" collapsed="false">
      <c r="B46" s="32" t="str">
        <f aca="false">IF(Clientes!$B$27="","",Clientes!$B$27)</f>
        <v/>
      </c>
      <c r="C46" s="33" t="str">
        <f aca="false">IF($B46="","",MAX(0,Clientes!$H$27))</f>
        <v/>
      </c>
      <c r="D46" s="33" t="str">
        <f aca="false">IF($B46="","",MIN($C46,SUMIFS(Movimientos!$G$2:$G$501,Movimientos!$B$2:$B$501,$B46,Movimientos!$I$2:$I$501,"&gt;="&amp;($C$4-0))))</f>
        <v/>
      </c>
      <c r="E46" s="33" t="str">
        <f aca="false">IF($B46="","",MIN($C46,SUMIFS(Movimientos!$G$2:$G$501,Movimientos!$B$2:$B$501,$B46,Movimientos!$I$2:$I$501,"&gt;="&amp;($C$4-30)))-MIN($C46,SUMIFS(Movimientos!$G$2:$G$501,Movimientos!$B$2:$B$501,$B46,Movimientos!$I$2:$I$501,"&gt;="&amp;($C$4-0))))</f>
        <v/>
      </c>
      <c r="F46" s="33" t="str">
        <f aca="false">IF($B46="","",MIN($C46,SUMIFS(Movimientos!$G$2:$G$501,Movimientos!$B$2:$B$501,$B46,Movimientos!$I$2:$I$501,"&gt;="&amp;($C$4-60)))-MIN($C46,SUMIFS(Movimientos!$G$2:$G$501,Movimientos!$B$2:$B$501,$B46,Movimientos!$I$2:$I$501,"&gt;="&amp;($C$4-30))))</f>
        <v/>
      </c>
      <c r="G46" s="33" t="str">
        <f aca="false">IF($B46="","",$C46-MIN($C46,SUMIFS(Movimientos!$G$2:$G$501,Movimientos!$B$2:$B$501,$B46,Movimientos!$I$2:$I$501,"&gt;="&amp;($C$4-60))))</f>
        <v/>
      </c>
      <c r="H46" s="32" t="str">
        <f aca="false">IF($B46="","",Clientes!$L$27)</f>
        <v/>
      </c>
    </row>
    <row r="47" customFormat="false" ht="15" hidden="false" customHeight="false" outlineLevel="0" collapsed="false">
      <c r="B47" s="32" t="str">
        <f aca="false">IF(Clientes!$B$28="","",Clientes!$B$28)</f>
        <v/>
      </c>
      <c r="C47" s="33" t="str">
        <f aca="false">IF($B47="","",MAX(0,Clientes!$H$28))</f>
        <v/>
      </c>
      <c r="D47" s="33" t="str">
        <f aca="false">IF($B47="","",MIN($C47,SUMIFS(Movimientos!$G$2:$G$501,Movimientos!$B$2:$B$501,$B47,Movimientos!$I$2:$I$501,"&gt;="&amp;($C$4-0))))</f>
        <v/>
      </c>
      <c r="E47" s="33" t="str">
        <f aca="false">IF($B47="","",MIN($C47,SUMIFS(Movimientos!$G$2:$G$501,Movimientos!$B$2:$B$501,$B47,Movimientos!$I$2:$I$501,"&gt;="&amp;($C$4-30)))-MIN($C47,SUMIFS(Movimientos!$G$2:$G$501,Movimientos!$B$2:$B$501,$B47,Movimientos!$I$2:$I$501,"&gt;="&amp;($C$4-0))))</f>
        <v/>
      </c>
      <c r="F47" s="33" t="str">
        <f aca="false">IF($B47="","",MIN($C47,SUMIFS(Movimientos!$G$2:$G$501,Movimientos!$B$2:$B$501,$B47,Movimientos!$I$2:$I$501,"&gt;="&amp;($C$4-60)))-MIN($C47,SUMIFS(Movimientos!$G$2:$G$501,Movimientos!$B$2:$B$501,$B47,Movimientos!$I$2:$I$501,"&gt;="&amp;($C$4-30))))</f>
        <v/>
      </c>
      <c r="G47" s="33" t="str">
        <f aca="false">IF($B47="","",$C47-MIN($C47,SUMIFS(Movimientos!$G$2:$G$501,Movimientos!$B$2:$B$501,$B47,Movimientos!$I$2:$I$501,"&gt;="&amp;($C$4-60))))</f>
        <v/>
      </c>
      <c r="H47" s="32" t="str">
        <f aca="false">IF($B47="","",Clientes!$L$28)</f>
        <v/>
      </c>
    </row>
    <row r="48" customFormat="false" ht="15" hidden="false" customHeight="false" outlineLevel="0" collapsed="false">
      <c r="B48" s="32" t="str">
        <f aca="false">IF(Clientes!$B$29="","",Clientes!$B$29)</f>
        <v/>
      </c>
      <c r="C48" s="33" t="str">
        <f aca="false">IF($B48="","",MAX(0,Clientes!$H$29))</f>
        <v/>
      </c>
      <c r="D48" s="33" t="str">
        <f aca="false">IF($B48="","",MIN($C48,SUMIFS(Movimientos!$G$2:$G$501,Movimientos!$B$2:$B$501,$B48,Movimientos!$I$2:$I$501,"&gt;="&amp;($C$4-0))))</f>
        <v/>
      </c>
      <c r="E48" s="33" t="str">
        <f aca="false">IF($B48="","",MIN($C48,SUMIFS(Movimientos!$G$2:$G$501,Movimientos!$B$2:$B$501,$B48,Movimientos!$I$2:$I$501,"&gt;="&amp;($C$4-30)))-MIN($C48,SUMIFS(Movimientos!$G$2:$G$501,Movimientos!$B$2:$B$501,$B48,Movimientos!$I$2:$I$501,"&gt;="&amp;($C$4-0))))</f>
        <v/>
      </c>
      <c r="F48" s="33" t="str">
        <f aca="false">IF($B48="","",MIN($C48,SUMIFS(Movimientos!$G$2:$G$501,Movimientos!$B$2:$B$501,$B48,Movimientos!$I$2:$I$501,"&gt;="&amp;($C$4-60)))-MIN($C48,SUMIFS(Movimientos!$G$2:$G$501,Movimientos!$B$2:$B$501,$B48,Movimientos!$I$2:$I$501,"&gt;="&amp;($C$4-30))))</f>
        <v/>
      </c>
      <c r="G48" s="33" t="str">
        <f aca="false">IF($B48="","",$C48-MIN($C48,SUMIFS(Movimientos!$G$2:$G$501,Movimientos!$B$2:$B$501,$B48,Movimientos!$I$2:$I$501,"&gt;="&amp;($C$4-60))))</f>
        <v/>
      </c>
      <c r="H48" s="32" t="str">
        <f aca="false">IF($B48="","",Clientes!$L$29)</f>
        <v/>
      </c>
    </row>
    <row r="49" customFormat="false" ht="15" hidden="false" customHeight="false" outlineLevel="0" collapsed="false">
      <c r="B49" s="32" t="str">
        <f aca="false">IF(Clientes!$B$30="","",Clientes!$B$30)</f>
        <v/>
      </c>
      <c r="C49" s="33" t="str">
        <f aca="false">IF($B49="","",MAX(0,Clientes!$H$30))</f>
        <v/>
      </c>
      <c r="D49" s="33" t="str">
        <f aca="false">IF($B49="","",MIN($C49,SUMIFS(Movimientos!$G$2:$G$501,Movimientos!$B$2:$B$501,$B49,Movimientos!$I$2:$I$501,"&gt;="&amp;($C$4-0))))</f>
        <v/>
      </c>
      <c r="E49" s="33" t="str">
        <f aca="false">IF($B49="","",MIN($C49,SUMIFS(Movimientos!$G$2:$G$501,Movimientos!$B$2:$B$501,$B49,Movimientos!$I$2:$I$501,"&gt;="&amp;($C$4-30)))-MIN($C49,SUMIFS(Movimientos!$G$2:$G$501,Movimientos!$B$2:$B$501,$B49,Movimientos!$I$2:$I$501,"&gt;="&amp;($C$4-0))))</f>
        <v/>
      </c>
      <c r="F49" s="33" t="str">
        <f aca="false">IF($B49="","",MIN($C49,SUMIFS(Movimientos!$G$2:$G$501,Movimientos!$B$2:$B$501,$B49,Movimientos!$I$2:$I$501,"&gt;="&amp;($C$4-60)))-MIN($C49,SUMIFS(Movimientos!$G$2:$G$501,Movimientos!$B$2:$B$501,$B49,Movimientos!$I$2:$I$501,"&gt;="&amp;($C$4-30))))</f>
        <v/>
      </c>
      <c r="G49" s="33" t="str">
        <f aca="false">IF($B49="","",$C49-MIN($C49,SUMIFS(Movimientos!$G$2:$G$501,Movimientos!$B$2:$B$501,$B49,Movimientos!$I$2:$I$501,"&gt;="&amp;($C$4-60))))</f>
        <v/>
      </c>
      <c r="H49" s="32" t="str">
        <f aca="false">IF($B49="","",Clientes!$L$30)</f>
        <v/>
      </c>
    </row>
    <row r="50" customFormat="false" ht="15" hidden="false" customHeight="false" outlineLevel="0" collapsed="false">
      <c r="B50" s="32" t="str">
        <f aca="false">IF(Clientes!$B$31="","",Clientes!$B$31)</f>
        <v/>
      </c>
      <c r="C50" s="33" t="str">
        <f aca="false">IF($B50="","",MAX(0,Clientes!$H$31))</f>
        <v/>
      </c>
      <c r="D50" s="33" t="str">
        <f aca="false">IF($B50="","",MIN($C50,SUMIFS(Movimientos!$G$2:$G$501,Movimientos!$B$2:$B$501,$B50,Movimientos!$I$2:$I$501,"&gt;="&amp;($C$4-0))))</f>
        <v/>
      </c>
      <c r="E50" s="33" t="str">
        <f aca="false">IF($B50="","",MIN($C50,SUMIFS(Movimientos!$G$2:$G$501,Movimientos!$B$2:$B$501,$B50,Movimientos!$I$2:$I$501,"&gt;="&amp;($C$4-30)))-MIN($C50,SUMIFS(Movimientos!$G$2:$G$501,Movimientos!$B$2:$B$501,$B50,Movimientos!$I$2:$I$501,"&gt;="&amp;($C$4-0))))</f>
        <v/>
      </c>
      <c r="F50" s="33" t="str">
        <f aca="false">IF($B50="","",MIN($C50,SUMIFS(Movimientos!$G$2:$G$501,Movimientos!$B$2:$B$501,$B50,Movimientos!$I$2:$I$501,"&gt;="&amp;($C$4-60)))-MIN($C50,SUMIFS(Movimientos!$G$2:$G$501,Movimientos!$B$2:$B$501,$B50,Movimientos!$I$2:$I$501,"&gt;="&amp;($C$4-30))))</f>
        <v/>
      </c>
      <c r="G50" s="33" t="str">
        <f aca="false">IF($B50="","",$C50-MIN($C50,SUMIFS(Movimientos!$G$2:$G$501,Movimientos!$B$2:$B$501,$B50,Movimientos!$I$2:$I$501,"&gt;="&amp;($C$4-60))))</f>
        <v/>
      </c>
      <c r="H50" s="32" t="str">
        <f aca="false">IF($B50="","",Clientes!$L$31)</f>
        <v/>
      </c>
    </row>
    <row r="51" customFormat="false" ht="15" hidden="false" customHeight="false" outlineLevel="0" collapsed="false">
      <c r="B51" s="32" t="str">
        <f aca="false">IF(Clientes!$B$32="","",Clientes!$B$32)</f>
        <v/>
      </c>
      <c r="C51" s="33" t="str">
        <f aca="false">IF($B51="","",MAX(0,Clientes!$H$32))</f>
        <v/>
      </c>
      <c r="D51" s="33" t="str">
        <f aca="false">IF($B51="","",MIN($C51,SUMIFS(Movimientos!$G$2:$G$501,Movimientos!$B$2:$B$501,$B51,Movimientos!$I$2:$I$501,"&gt;="&amp;($C$4-0))))</f>
        <v/>
      </c>
      <c r="E51" s="33" t="str">
        <f aca="false">IF($B51="","",MIN($C51,SUMIFS(Movimientos!$G$2:$G$501,Movimientos!$B$2:$B$501,$B51,Movimientos!$I$2:$I$501,"&gt;="&amp;($C$4-30)))-MIN($C51,SUMIFS(Movimientos!$G$2:$G$501,Movimientos!$B$2:$B$501,$B51,Movimientos!$I$2:$I$501,"&gt;="&amp;($C$4-0))))</f>
        <v/>
      </c>
      <c r="F51" s="33" t="str">
        <f aca="false">IF($B51="","",MIN($C51,SUMIFS(Movimientos!$G$2:$G$501,Movimientos!$B$2:$B$501,$B51,Movimientos!$I$2:$I$501,"&gt;="&amp;($C$4-60)))-MIN($C51,SUMIFS(Movimientos!$G$2:$G$501,Movimientos!$B$2:$B$501,$B51,Movimientos!$I$2:$I$501,"&gt;="&amp;($C$4-30))))</f>
        <v/>
      </c>
      <c r="G51" s="33" t="str">
        <f aca="false">IF($B51="","",$C51-MIN($C51,SUMIFS(Movimientos!$G$2:$G$501,Movimientos!$B$2:$B$501,$B51,Movimientos!$I$2:$I$501,"&gt;="&amp;($C$4-60))))</f>
        <v/>
      </c>
      <c r="H51" s="32" t="str">
        <f aca="false">IF($B51="","",Clientes!$L$32)</f>
        <v/>
      </c>
    </row>
    <row r="52" customFormat="false" ht="15" hidden="false" customHeight="false" outlineLevel="0" collapsed="false">
      <c r="B52" s="32" t="str">
        <f aca="false">IF(Clientes!$B$33="","",Clientes!$B$33)</f>
        <v/>
      </c>
      <c r="C52" s="33" t="str">
        <f aca="false">IF($B52="","",MAX(0,Clientes!$H$33))</f>
        <v/>
      </c>
      <c r="D52" s="33" t="str">
        <f aca="false">IF($B52="","",MIN($C52,SUMIFS(Movimientos!$G$2:$G$501,Movimientos!$B$2:$B$501,$B52,Movimientos!$I$2:$I$501,"&gt;="&amp;($C$4-0))))</f>
        <v/>
      </c>
      <c r="E52" s="33" t="str">
        <f aca="false">IF($B52="","",MIN($C52,SUMIFS(Movimientos!$G$2:$G$501,Movimientos!$B$2:$B$501,$B52,Movimientos!$I$2:$I$501,"&gt;="&amp;($C$4-30)))-MIN($C52,SUMIFS(Movimientos!$G$2:$G$501,Movimientos!$B$2:$B$501,$B52,Movimientos!$I$2:$I$501,"&gt;="&amp;($C$4-0))))</f>
        <v/>
      </c>
      <c r="F52" s="33" t="str">
        <f aca="false">IF($B52="","",MIN($C52,SUMIFS(Movimientos!$G$2:$G$501,Movimientos!$B$2:$B$501,$B52,Movimientos!$I$2:$I$501,"&gt;="&amp;($C$4-60)))-MIN($C52,SUMIFS(Movimientos!$G$2:$G$501,Movimientos!$B$2:$B$501,$B52,Movimientos!$I$2:$I$501,"&gt;="&amp;($C$4-30))))</f>
        <v/>
      </c>
      <c r="G52" s="33" t="str">
        <f aca="false">IF($B52="","",$C52-MIN($C52,SUMIFS(Movimientos!$G$2:$G$501,Movimientos!$B$2:$B$501,$B52,Movimientos!$I$2:$I$501,"&gt;="&amp;($C$4-60))))</f>
        <v/>
      </c>
      <c r="H52" s="32" t="str">
        <f aca="false">IF($B52="","",Clientes!$L$33)</f>
        <v/>
      </c>
    </row>
    <row r="53" customFormat="false" ht="15" hidden="false" customHeight="false" outlineLevel="0" collapsed="false">
      <c r="B53" s="32" t="str">
        <f aca="false">IF(Clientes!$B$34="","",Clientes!$B$34)</f>
        <v/>
      </c>
      <c r="C53" s="33" t="str">
        <f aca="false">IF($B53="","",MAX(0,Clientes!$H$34))</f>
        <v/>
      </c>
      <c r="D53" s="33" t="str">
        <f aca="false">IF($B53="","",MIN($C53,SUMIFS(Movimientos!$G$2:$G$501,Movimientos!$B$2:$B$501,$B53,Movimientos!$I$2:$I$501,"&gt;="&amp;($C$4-0))))</f>
        <v/>
      </c>
      <c r="E53" s="33" t="str">
        <f aca="false">IF($B53="","",MIN($C53,SUMIFS(Movimientos!$G$2:$G$501,Movimientos!$B$2:$B$501,$B53,Movimientos!$I$2:$I$501,"&gt;="&amp;($C$4-30)))-MIN($C53,SUMIFS(Movimientos!$G$2:$G$501,Movimientos!$B$2:$B$501,$B53,Movimientos!$I$2:$I$501,"&gt;="&amp;($C$4-0))))</f>
        <v/>
      </c>
      <c r="F53" s="33" t="str">
        <f aca="false">IF($B53="","",MIN($C53,SUMIFS(Movimientos!$G$2:$G$501,Movimientos!$B$2:$B$501,$B53,Movimientos!$I$2:$I$501,"&gt;="&amp;($C$4-60)))-MIN($C53,SUMIFS(Movimientos!$G$2:$G$501,Movimientos!$B$2:$B$501,$B53,Movimientos!$I$2:$I$501,"&gt;="&amp;($C$4-30))))</f>
        <v/>
      </c>
      <c r="G53" s="33" t="str">
        <f aca="false">IF($B53="","",$C53-MIN($C53,SUMIFS(Movimientos!$G$2:$G$501,Movimientos!$B$2:$B$501,$B53,Movimientos!$I$2:$I$501,"&gt;="&amp;($C$4-60))))</f>
        <v/>
      </c>
      <c r="H53" s="32" t="str">
        <f aca="false">IF($B53="","",Clientes!$L$34)</f>
        <v/>
      </c>
    </row>
    <row r="54" customFormat="false" ht="15" hidden="false" customHeight="false" outlineLevel="0" collapsed="false">
      <c r="B54" s="32" t="str">
        <f aca="false">IF(Clientes!$B$35="","",Clientes!$B$35)</f>
        <v/>
      </c>
      <c r="C54" s="33" t="str">
        <f aca="false">IF($B54="","",MAX(0,Clientes!$H$35))</f>
        <v/>
      </c>
      <c r="D54" s="33" t="str">
        <f aca="false">IF($B54="","",MIN($C54,SUMIFS(Movimientos!$G$2:$G$501,Movimientos!$B$2:$B$501,$B54,Movimientos!$I$2:$I$501,"&gt;="&amp;($C$4-0))))</f>
        <v/>
      </c>
      <c r="E54" s="33" t="str">
        <f aca="false">IF($B54="","",MIN($C54,SUMIFS(Movimientos!$G$2:$G$501,Movimientos!$B$2:$B$501,$B54,Movimientos!$I$2:$I$501,"&gt;="&amp;($C$4-30)))-MIN($C54,SUMIFS(Movimientos!$G$2:$G$501,Movimientos!$B$2:$B$501,$B54,Movimientos!$I$2:$I$501,"&gt;="&amp;($C$4-0))))</f>
        <v/>
      </c>
      <c r="F54" s="33" t="str">
        <f aca="false">IF($B54="","",MIN($C54,SUMIFS(Movimientos!$G$2:$G$501,Movimientos!$B$2:$B$501,$B54,Movimientos!$I$2:$I$501,"&gt;="&amp;($C$4-60)))-MIN($C54,SUMIFS(Movimientos!$G$2:$G$501,Movimientos!$B$2:$B$501,$B54,Movimientos!$I$2:$I$501,"&gt;="&amp;($C$4-30))))</f>
        <v/>
      </c>
      <c r="G54" s="33" t="str">
        <f aca="false">IF($B54="","",$C54-MIN($C54,SUMIFS(Movimientos!$G$2:$G$501,Movimientos!$B$2:$B$501,$B54,Movimientos!$I$2:$I$501,"&gt;="&amp;($C$4-60))))</f>
        <v/>
      </c>
      <c r="H54" s="32" t="str">
        <f aca="false">IF($B54="","",Clientes!$L$35)</f>
        <v/>
      </c>
    </row>
    <row r="55" customFormat="false" ht="15" hidden="false" customHeight="false" outlineLevel="0" collapsed="false">
      <c r="B55" s="32" t="str">
        <f aca="false">IF(Clientes!$B$36="","",Clientes!$B$36)</f>
        <v/>
      </c>
      <c r="C55" s="33" t="str">
        <f aca="false">IF($B55="","",MAX(0,Clientes!$H$36))</f>
        <v/>
      </c>
      <c r="D55" s="33" t="str">
        <f aca="false">IF($B55="","",MIN($C55,SUMIFS(Movimientos!$G$2:$G$501,Movimientos!$B$2:$B$501,$B55,Movimientos!$I$2:$I$501,"&gt;="&amp;($C$4-0))))</f>
        <v/>
      </c>
      <c r="E55" s="33" t="str">
        <f aca="false">IF($B55="","",MIN($C55,SUMIFS(Movimientos!$G$2:$G$501,Movimientos!$B$2:$B$501,$B55,Movimientos!$I$2:$I$501,"&gt;="&amp;($C$4-30)))-MIN($C55,SUMIFS(Movimientos!$G$2:$G$501,Movimientos!$B$2:$B$501,$B55,Movimientos!$I$2:$I$501,"&gt;="&amp;($C$4-0))))</f>
        <v/>
      </c>
      <c r="F55" s="33" t="str">
        <f aca="false">IF($B55="","",MIN($C55,SUMIFS(Movimientos!$G$2:$G$501,Movimientos!$B$2:$B$501,$B55,Movimientos!$I$2:$I$501,"&gt;="&amp;($C$4-60)))-MIN($C55,SUMIFS(Movimientos!$G$2:$G$501,Movimientos!$B$2:$B$501,$B55,Movimientos!$I$2:$I$501,"&gt;="&amp;($C$4-30))))</f>
        <v/>
      </c>
      <c r="G55" s="33" t="str">
        <f aca="false">IF($B55="","",$C55-MIN($C55,SUMIFS(Movimientos!$G$2:$G$501,Movimientos!$B$2:$B$501,$B55,Movimientos!$I$2:$I$501,"&gt;="&amp;($C$4-60))))</f>
        <v/>
      </c>
      <c r="H55" s="32" t="str">
        <f aca="false">IF($B55="","",Clientes!$L$36)</f>
        <v/>
      </c>
    </row>
    <row r="56" customFormat="false" ht="15" hidden="false" customHeight="false" outlineLevel="0" collapsed="false">
      <c r="B56" s="32" t="str">
        <f aca="false">IF(Clientes!$B$37="","",Clientes!$B$37)</f>
        <v/>
      </c>
      <c r="C56" s="33" t="str">
        <f aca="false">IF($B56="","",MAX(0,Clientes!$H$37))</f>
        <v/>
      </c>
      <c r="D56" s="33" t="str">
        <f aca="false">IF($B56="","",MIN($C56,SUMIFS(Movimientos!$G$2:$G$501,Movimientos!$B$2:$B$501,$B56,Movimientos!$I$2:$I$501,"&gt;="&amp;($C$4-0))))</f>
        <v/>
      </c>
      <c r="E56" s="33" t="str">
        <f aca="false">IF($B56="","",MIN($C56,SUMIFS(Movimientos!$G$2:$G$501,Movimientos!$B$2:$B$501,$B56,Movimientos!$I$2:$I$501,"&gt;="&amp;($C$4-30)))-MIN($C56,SUMIFS(Movimientos!$G$2:$G$501,Movimientos!$B$2:$B$501,$B56,Movimientos!$I$2:$I$501,"&gt;="&amp;($C$4-0))))</f>
        <v/>
      </c>
      <c r="F56" s="33" t="str">
        <f aca="false">IF($B56="","",MIN($C56,SUMIFS(Movimientos!$G$2:$G$501,Movimientos!$B$2:$B$501,$B56,Movimientos!$I$2:$I$501,"&gt;="&amp;($C$4-60)))-MIN($C56,SUMIFS(Movimientos!$G$2:$G$501,Movimientos!$B$2:$B$501,$B56,Movimientos!$I$2:$I$501,"&gt;="&amp;($C$4-30))))</f>
        <v/>
      </c>
      <c r="G56" s="33" t="str">
        <f aca="false">IF($B56="","",$C56-MIN($C56,SUMIFS(Movimientos!$G$2:$G$501,Movimientos!$B$2:$B$501,$B56,Movimientos!$I$2:$I$501,"&gt;="&amp;($C$4-60))))</f>
        <v/>
      </c>
      <c r="H56" s="32" t="str">
        <f aca="false">IF($B56="","",Clientes!$L$37)</f>
        <v/>
      </c>
    </row>
    <row r="57" customFormat="false" ht="15" hidden="false" customHeight="false" outlineLevel="0" collapsed="false">
      <c r="B57" s="32" t="str">
        <f aca="false">IF(Clientes!$B$38="","",Clientes!$B$38)</f>
        <v/>
      </c>
      <c r="C57" s="33" t="str">
        <f aca="false">IF($B57="","",MAX(0,Clientes!$H$38))</f>
        <v/>
      </c>
      <c r="D57" s="33" t="str">
        <f aca="false">IF($B57="","",MIN($C57,SUMIFS(Movimientos!$G$2:$G$501,Movimientos!$B$2:$B$501,$B57,Movimientos!$I$2:$I$501,"&gt;="&amp;($C$4-0))))</f>
        <v/>
      </c>
      <c r="E57" s="33" t="str">
        <f aca="false">IF($B57="","",MIN($C57,SUMIFS(Movimientos!$G$2:$G$501,Movimientos!$B$2:$B$501,$B57,Movimientos!$I$2:$I$501,"&gt;="&amp;($C$4-30)))-MIN($C57,SUMIFS(Movimientos!$G$2:$G$501,Movimientos!$B$2:$B$501,$B57,Movimientos!$I$2:$I$501,"&gt;="&amp;($C$4-0))))</f>
        <v/>
      </c>
      <c r="F57" s="33" t="str">
        <f aca="false">IF($B57="","",MIN($C57,SUMIFS(Movimientos!$G$2:$G$501,Movimientos!$B$2:$B$501,$B57,Movimientos!$I$2:$I$501,"&gt;="&amp;($C$4-60)))-MIN($C57,SUMIFS(Movimientos!$G$2:$G$501,Movimientos!$B$2:$B$501,$B57,Movimientos!$I$2:$I$501,"&gt;="&amp;($C$4-30))))</f>
        <v/>
      </c>
      <c r="G57" s="33" t="str">
        <f aca="false">IF($B57="","",$C57-MIN($C57,SUMIFS(Movimientos!$G$2:$G$501,Movimientos!$B$2:$B$501,$B57,Movimientos!$I$2:$I$501,"&gt;="&amp;($C$4-60))))</f>
        <v/>
      </c>
      <c r="H57" s="32" t="str">
        <f aca="false">IF($B57="","",Clientes!$L$38)</f>
        <v/>
      </c>
    </row>
    <row r="58" customFormat="false" ht="15" hidden="false" customHeight="false" outlineLevel="0" collapsed="false">
      <c r="B58" s="32" t="str">
        <f aca="false">IF(Clientes!$B$39="","",Clientes!$B$39)</f>
        <v/>
      </c>
      <c r="C58" s="33" t="str">
        <f aca="false">IF($B58="","",MAX(0,Clientes!$H$39))</f>
        <v/>
      </c>
      <c r="D58" s="33" t="str">
        <f aca="false">IF($B58="","",MIN($C58,SUMIFS(Movimientos!$G$2:$G$501,Movimientos!$B$2:$B$501,$B58,Movimientos!$I$2:$I$501,"&gt;="&amp;($C$4-0))))</f>
        <v/>
      </c>
      <c r="E58" s="33" t="str">
        <f aca="false">IF($B58="","",MIN($C58,SUMIFS(Movimientos!$G$2:$G$501,Movimientos!$B$2:$B$501,$B58,Movimientos!$I$2:$I$501,"&gt;="&amp;($C$4-30)))-MIN($C58,SUMIFS(Movimientos!$G$2:$G$501,Movimientos!$B$2:$B$501,$B58,Movimientos!$I$2:$I$501,"&gt;="&amp;($C$4-0))))</f>
        <v/>
      </c>
      <c r="F58" s="33" t="str">
        <f aca="false">IF($B58="","",MIN($C58,SUMIFS(Movimientos!$G$2:$G$501,Movimientos!$B$2:$B$501,$B58,Movimientos!$I$2:$I$501,"&gt;="&amp;($C$4-60)))-MIN($C58,SUMIFS(Movimientos!$G$2:$G$501,Movimientos!$B$2:$B$501,$B58,Movimientos!$I$2:$I$501,"&gt;="&amp;($C$4-30))))</f>
        <v/>
      </c>
      <c r="G58" s="33" t="str">
        <f aca="false">IF($B58="","",$C58-MIN($C58,SUMIFS(Movimientos!$G$2:$G$501,Movimientos!$B$2:$B$501,$B58,Movimientos!$I$2:$I$501,"&gt;="&amp;($C$4-60))))</f>
        <v/>
      </c>
      <c r="H58" s="32" t="str">
        <f aca="false">IF($B58="","",Clientes!$L$39)</f>
        <v/>
      </c>
    </row>
    <row r="59" customFormat="false" ht="15" hidden="false" customHeight="false" outlineLevel="0" collapsed="false">
      <c r="B59" s="32" t="str">
        <f aca="false">IF(Clientes!$B$40="","",Clientes!$B$40)</f>
        <v/>
      </c>
      <c r="C59" s="33" t="str">
        <f aca="false">IF($B59="","",MAX(0,Clientes!$H$40))</f>
        <v/>
      </c>
      <c r="D59" s="33" t="str">
        <f aca="false">IF($B59="","",MIN($C59,SUMIFS(Movimientos!$G$2:$G$501,Movimientos!$B$2:$B$501,$B59,Movimientos!$I$2:$I$501,"&gt;="&amp;($C$4-0))))</f>
        <v/>
      </c>
      <c r="E59" s="33" t="str">
        <f aca="false">IF($B59="","",MIN($C59,SUMIFS(Movimientos!$G$2:$G$501,Movimientos!$B$2:$B$501,$B59,Movimientos!$I$2:$I$501,"&gt;="&amp;($C$4-30)))-MIN($C59,SUMIFS(Movimientos!$G$2:$G$501,Movimientos!$B$2:$B$501,$B59,Movimientos!$I$2:$I$501,"&gt;="&amp;($C$4-0))))</f>
        <v/>
      </c>
      <c r="F59" s="33" t="str">
        <f aca="false">IF($B59="","",MIN($C59,SUMIFS(Movimientos!$G$2:$G$501,Movimientos!$B$2:$B$501,$B59,Movimientos!$I$2:$I$501,"&gt;="&amp;($C$4-60)))-MIN($C59,SUMIFS(Movimientos!$G$2:$G$501,Movimientos!$B$2:$B$501,$B59,Movimientos!$I$2:$I$501,"&gt;="&amp;($C$4-30))))</f>
        <v/>
      </c>
      <c r="G59" s="33" t="str">
        <f aca="false">IF($B59="","",$C59-MIN($C59,SUMIFS(Movimientos!$G$2:$G$501,Movimientos!$B$2:$B$501,$B59,Movimientos!$I$2:$I$501,"&gt;="&amp;($C$4-60))))</f>
        <v/>
      </c>
      <c r="H59" s="32" t="str">
        <f aca="false">IF($B59="","",Clientes!$L$40)</f>
        <v/>
      </c>
    </row>
    <row r="60" customFormat="false" ht="15" hidden="false" customHeight="false" outlineLevel="0" collapsed="false">
      <c r="B60" s="32" t="str">
        <f aca="false">IF(Clientes!$B$41="","",Clientes!$B$41)</f>
        <v/>
      </c>
      <c r="C60" s="33" t="str">
        <f aca="false">IF($B60="","",MAX(0,Clientes!$H$41))</f>
        <v/>
      </c>
      <c r="D60" s="33" t="str">
        <f aca="false">IF($B60="","",MIN($C60,SUMIFS(Movimientos!$G$2:$G$501,Movimientos!$B$2:$B$501,$B60,Movimientos!$I$2:$I$501,"&gt;="&amp;($C$4-0))))</f>
        <v/>
      </c>
      <c r="E60" s="33" t="str">
        <f aca="false">IF($B60="","",MIN($C60,SUMIFS(Movimientos!$G$2:$G$501,Movimientos!$B$2:$B$501,$B60,Movimientos!$I$2:$I$501,"&gt;="&amp;($C$4-30)))-MIN($C60,SUMIFS(Movimientos!$G$2:$G$501,Movimientos!$B$2:$B$501,$B60,Movimientos!$I$2:$I$501,"&gt;="&amp;($C$4-0))))</f>
        <v/>
      </c>
      <c r="F60" s="33" t="str">
        <f aca="false">IF($B60="","",MIN($C60,SUMIFS(Movimientos!$G$2:$G$501,Movimientos!$B$2:$B$501,$B60,Movimientos!$I$2:$I$501,"&gt;="&amp;($C$4-60)))-MIN($C60,SUMIFS(Movimientos!$G$2:$G$501,Movimientos!$B$2:$B$501,$B60,Movimientos!$I$2:$I$501,"&gt;="&amp;($C$4-30))))</f>
        <v/>
      </c>
      <c r="G60" s="33" t="str">
        <f aca="false">IF($B60="","",$C60-MIN($C60,SUMIFS(Movimientos!$G$2:$G$501,Movimientos!$B$2:$B$501,$B60,Movimientos!$I$2:$I$501,"&gt;="&amp;($C$4-60))))</f>
        <v/>
      </c>
      <c r="H60" s="32" t="str">
        <f aca="false">IF($B60="","",Clientes!$L$41)</f>
        <v/>
      </c>
    </row>
    <row r="61" customFormat="false" ht="15" hidden="false" customHeight="false" outlineLevel="0" collapsed="false">
      <c r="B61" s="32" t="str">
        <f aca="false">IF(Clientes!$B$42="","",Clientes!$B$42)</f>
        <v/>
      </c>
      <c r="C61" s="33" t="str">
        <f aca="false">IF($B61="","",MAX(0,Clientes!$H$42))</f>
        <v/>
      </c>
      <c r="D61" s="33" t="str">
        <f aca="false">IF($B61="","",MIN($C61,SUMIFS(Movimientos!$G$2:$G$501,Movimientos!$B$2:$B$501,$B61,Movimientos!$I$2:$I$501,"&gt;="&amp;($C$4-0))))</f>
        <v/>
      </c>
      <c r="E61" s="33" t="str">
        <f aca="false">IF($B61="","",MIN($C61,SUMIFS(Movimientos!$G$2:$G$501,Movimientos!$B$2:$B$501,$B61,Movimientos!$I$2:$I$501,"&gt;="&amp;($C$4-30)))-MIN($C61,SUMIFS(Movimientos!$G$2:$G$501,Movimientos!$B$2:$B$501,$B61,Movimientos!$I$2:$I$501,"&gt;="&amp;($C$4-0))))</f>
        <v/>
      </c>
      <c r="F61" s="33" t="str">
        <f aca="false">IF($B61="","",MIN($C61,SUMIFS(Movimientos!$G$2:$G$501,Movimientos!$B$2:$B$501,$B61,Movimientos!$I$2:$I$501,"&gt;="&amp;($C$4-60)))-MIN($C61,SUMIFS(Movimientos!$G$2:$G$501,Movimientos!$B$2:$B$501,$B61,Movimientos!$I$2:$I$501,"&gt;="&amp;($C$4-30))))</f>
        <v/>
      </c>
      <c r="G61" s="33" t="str">
        <f aca="false">IF($B61="","",$C61-MIN($C61,SUMIFS(Movimientos!$G$2:$G$501,Movimientos!$B$2:$B$501,$B61,Movimientos!$I$2:$I$501,"&gt;="&amp;($C$4-60))))</f>
        <v/>
      </c>
      <c r="H61" s="32" t="str">
        <f aca="false">IF($B61="","",Clientes!$L$42)</f>
        <v/>
      </c>
    </row>
    <row r="62" customFormat="false" ht="15" hidden="false" customHeight="false" outlineLevel="0" collapsed="false">
      <c r="B62" s="32" t="str">
        <f aca="false">IF(Clientes!$B$43="","",Clientes!$B$43)</f>
        <v/>
      </c>
      <c r="C62" s="33" t="str">
        <f aca="false">IF($B62="","",MAX(0,Clientes!$H$43))</f>
        <v/>
      </c>
      <c r="D62" s="33" t="str">
        <f aca="false">IF($B62="","",MIN($C62,SUMIFS(Movimientos!$G$2:$G$501,Movimientos!$B$2:$B$501,$B62,Movimientos!$I$2:$I$501,"&gt;="&amp;($C$4-0))))</f>
        <v/>
      </c>
      <c r="E62" s="33" t="str">
        <f aca="false">IF($B62="","",MIN($C62,SUMIFS(Movimientos!$G$2:$G$501,Movimientos!$B$2:$B$501,$B62,Movimientos!$I$2:$I$501,"&gt;="&amp;($C$4-30)))-MIN($C62,SUMIFS(Movimientos!$G$2:$G$501,Movimientos!$B$2:$B$501,$B62,Movimientos!$I$2:$I$501,"&gt;="&amp;($C$4-0))))</f>
        <v/>
      </c>
      <c r="F62" s="33" t="str">
        <f aca="false">IF($B62="","",MIN($C62,SUMIFS(Movimientos!$G$2:$G$501,Movimientos!$B$2:$B$501,$B62,Movimientos!$I$2:$I$501,"&gt;="&amp;($C$4-60)))-MIN($C62,SUMIFS(Movimientos!$G$2:$G$501,Movimientos!$B$2:$B$501,$B62,Movimientos!$I$2:$I$501,"&gt;="&amp;($C$4-30))))</f>
        <v/>
      </c>
      <c r="G62" s="33" t="str">
        <f aca="false">IF($B62="","",$C62-MIN($C62,SUMIFS(Movimientos!$G$2:$G$501,Movimientos!$B$2:$B$501,$B62,Movimientos!$I$2:$I$501,"&gt;="&amp;($C$4-60))))</f>
        <v/>
      </c>
      <c r="H62" s="32" t="str">
        <f aca="false">IF($B62="","",Clientes!$L$43)</f>
        <v/>
      </c>
    </row>
    <row r="63" customFormat="false" ht="15" hidden="false" customHeight="false" outlineLevel="0" collapsed="false">
      <c r="B63" s="32" t="str">
        <f aca="false">IF(Clientes!$B$44="","",Clientes!$B$44)</f>
        <v/>
      </c>
      <c r="C63" s="33" t="str">
        <f aca="false">IF($B63="","",MAX(0,Clientes!$H$44))</f>
        <v/>
      </c>
      <c r="D63" s="33" t="str">
        <f aca="false">IF($B63="","",MIN($C63,SUMIFS(Movimientos!$G$2:$G$501,Movimientos!$B$2:$B$501,$B63,Movimientos!$I$2:$I$501,"&gt;="&amp;($C$4-0))))</f>
        <v/>
      </c>
      <c r="E63" s="33" t="str">
        <f aca="false">IF($B63="","",MIN($C63,SUMIFS(Movimientos!$G$2:$G$501,Movimientos!$B$2:$B$501,$B63,Movimientos!$I$2:$I$501,"&gt;="&amp;($C$4-30)))-MIN($C63,SUMIFS(Movimientos!$G$2:$G$501,Movimientos!$B$2:$B$501,$B63,Movimientos!$I$2:$I$501,"&gt;="&amp;($C$4-0))))</f>
        <v/>
      </c>
      <c r="F63" s="33" t="str">
        <f aca="false">IF($B63="","",MIN($C63,SUMIFS(Movimientos!$G$2:$G$501,Movimientos!$B$2:$B$501,$B63,Movimientos!$I$2:$I$501,"&gt;="&amp;($C$4-60)))-MIN($C63,SUMIFS(Movimientos!$G$2:$G$501,Movimientos!$B$2:$B$501,$B63,Movimientos!$I$2:$I$501,"&gt;="&amp;($C$4-30))))</f>
        <v/>
      </c>
      <c r="G63" s="33" t="str">
        <f aca="false">IF($B63="","",$C63-MIN($C63,SUMIFS(Movimientos!$G$2:$G$501,Movimientos!$B$2:$B$501,$B63,Movimientos!$I$2:$I$501,"&gt;="&amp;($C$4-60))))</f>
        <v/>
      </c>
      <c r="H63" s="32" t="str">
        <f aca="false">IF($B63="","",Clientes!$L$44)</f>
        <v/>
      </c>
    </row>
    <row r="64" customFormat="false" ht="15" hidden="false" customHeight="false" outlineLevel="0" collapsed="false">
      <c r="B64" s="32" t="str">
        <f aca="false">IF(Clientes!$B$45="","",Clientes!$B$45)</f>
        <v/>
      </c>
      <c r="C64" s="33" t="str">
        <f aca="false">IF($B64="","",MAX(0,Clientes!$H$45))</f>
        <v/>
      </c>
      <c r="D64" s="33" t="str">
        <f aca="false">IF($B64="","",MIN($C64,SUMIFS(Movimientos!$G$2:$G$501,Movimientos!$B$2:$B$501,$B64,Movimientos!$I$2:$I$501,"&gt;="&amp;($C$4-0))))</f>
        <v/>
      </c>
      <c r="E64" s="33" t="str">
        <f aca="false">IF($B64="","",MIN($C64,SUMIFS(Movimientos!$G$2:$G$501,Movimientos!$B$2:$B$501,$B64,Movimientos!$I$2:$I$501,"&gt;="&amp;($C$4-30)))-MIN($C64,SUMIFS(Movimientos!$G$2:$G$501,Movimientos!$B$2:$B$501,$B64,Movimientos!$I$2:$I$501,"&gt;="&amp;($C$4-0))))</f>
        <v/>
      </c>
      <c r="F64" s="33" t="str">
        <f aca="false">IF($B64="","",MIN($C64,SUMIFS(Movimientos!$G$2:$G$501,Movimientos!$B$2:$B$501,$B64,Movimientos!$I$2:$I$501,"&gt;="&amp;($C$4-60)))-MIN($C64,SUMIFS(Movimientos!$G$2:$G$501,Movimientos!$B$2:$B$501,$B64,Movimientos!$I$2:$I$501,"&gt;="&amp;($C$4-30))))</f>
        <v/>
      </c>
      <c r="G64" s="33" t="str">
        <f aca="false">IF($B64="","",$C64-MIN($C64,SUMIFS(Movimientos!$G$2:$G$501,Movimientos!$B$2:$B$501,$B64,Movimientos!$I$2:$I$501,"&gt;="&amp;($C$4-60))))</f>
        <v/>
      </c>
      <c r="H64" s="32" t="str">
        <f aca="false">IF($B64="","",Clientes!$L$45)</f>
        <v/>
      </c>
    </row>
    <row r="65" customFormat="false" ht="15" hidden="false" customHeight="false" outlineLevel="0" collapsed="false">
      <c r="B65" s="32" t="str">
        <f aca="false">IF(Clientes!$B$46="","",Clientes!$B$46)</f>
        <v/>
      </c>
      <c r="C65" s="33" t="str">
        <f aca="false">IF($B65="","",MAX(0,Clientes!$H$46))</f>
        <v/>
      </c>
      <c r="D65" s="33" t="str">
        <f aca="false">IF($B65="","",MIN($C65,SUMIFS(Movimientos!$G$2:$G$501,Movimientos!$B$2:$B$501,$B65,Movimientos!$I$2:$I$501,"&gt;="&amp;($C$4-0))))</f>
        <v/>
      </c>
      <c r="E65" s="33" t="str">
        <f aca="false">IF($B65="","",MIN($C65,SUMIFS(Movimientos!$G$2:$G$501,Movimientos!$B$2:$B$501,$B65,Movimientos!$I$2:$I$501,"&gt;="&amp;($C$4-30)))-MIN($C65,SUMIFS(Movimientos!$G$2:$G$501,Movimientos!$B$2:$B$501,$B65,Movimientos!$I$2:$I$501,"&gt;="&amp;($C$4-0))))</f>
        <v/>
      </c>
      <c r="F65" s="33" t="str">
        <f aca="false">IF($B65="","",MIN($C65,SUMIFS(Movimientos!$G$2:$G$501,Movimientos!$B$2:$B$501,$B65,Movimientos!$I$2:$I$501,"&gt;="&amp;($C$4-60)))-MIN($C65,SUMIFS(Movimientos!$G$2:$G$501,Movimientos!$B$2:$B$501,$B65,Movimientos!$I$2:$I$501,"&gt;="&amp;($C$4-30))))</f>
        <v/>
      </c>
      <c r="G65" s="33" t="str">
        <f aca="false">IF($B65="","",$C65-MIN($C65,SUMIFS(Movimientos!$G$2:$G$501,Movimientos!$B$2:$B$501,$B65,Movimientos!$I$2:$I$501,"&gt;="&amp;($C$4-60))))</f>
        <v/>
      </c>
      <c r="H65" s="32" t="str">
        <f aca="false">IF($B65="","",Clientes!$L$46)</f>
        <v/>
      </c>
    </row>
    <row r="66" customFormat="false" ht="15" hidden="false" customHeight="false" outlineLevel="0" collapsed="false">
      <c r="B66" s="32" t="str">
        <f aca="false">IF(Clientes!$B$47="","",Clientes!$B$47)</f>
        <v/>
      </c>
      <c r="C66" s="33" t="str">
        <f aca="false">IF($B66="","",MAX(0,Clientes!$H$47))</f>
        <v/>
      </c>
      <c r="D66" s="33" t="str">
        <f aca="false">IF($B66="","",MIN($C66,SUMIFS(Movimientos!$G$2:$G$501,Movimientos!$B$2:$B$501,$B66,Movimientos!$I$2:$I$501,"&gt;="&amp;($C$4-0))))</f>
        <v/>
      </c>
      <c r="E66" s="33" t="str">
        <f aca="false">IF($B66="","",MIN($C66,SUMIFS(Movimientos!$G$2:$G$501,Movimientos!$B$2:$B$501,$B66,Movimientos!$I$2:$I$501,"&gt;="&amp;($C$4-30)))-MIN($C66,SUMIFS(Movimientos!$G$2:$G$501,Movimientos!$B$2:$B$501,$B66,Movimientos!$I$2:$I$501,"&gt;="&amp;($C$4-0))))</f>
        <v/>
      </c>
      <c r="F66" s="33" t="str">
        <f aca="false">IF($B66="","",MIN($C66,SUMIFS(Movimientos!$G$2:$G$501,Movimientos!$B$2:$B$501,$B66,Movimientos!$I$2:$I$501,"&gt;="&amp;($C$4-60)))-MIN($C66,SUMIFS(Movimientos!$G$2:$G$501,Movimientos!$B$2:$B$501,$B66,Movimientos!$I$2:$I$501,"&gt;="&amp;($C$4-30))))</f>
        <v/>
      </c>
      <c r="G66" s="33" t="str">
        <f aca="false">IF($B66="","",$C66-MIN($C66,SUMIFS(Movimientos!$G$2:$G$501,Movimientos!$B$2:$B$501,$B66,Movimientos!$I$2:$I$501,"&gt;="&amp;($C$4-60))))</f>
        <v/>
      </c>
      <c r="H66" s="32" t="str">
        <f aca="false">IF($B66="","",Clientes!$L$47)</f>
        <v/>
      </c>
    </row>
    <row r="67" customFormat="false" ht="15" hidden="false" customHeight="false" outlineLevel="0" collapsed="false">
      <c r="B67" s="32" t="str">
        <f aca="false">IF(Clientes!$B$48="","",Clientes!$B$48)</f>
        <v/>
      </c>
      <c r="C67" s="33" t="str">
        <f aca="false">IF($B67="","",MAX(0,Clientes!$H$48))</f>
        <v/>
      </c>
      <c r="D67" s="33" t="str">
        <f aca="false">IF($B67="","",MIN($C67,SUMIFS(Movimientos!$G$2:$G$501,Movimientos!$B$2:$B$501,$B67,Movimientos!$I$2:$I$501,"&gt;="&amp;($C$4-0))))</f>
        <v/>
      </c>
      <c r="E67" s="33" t="str">
        <f aca="false">IF($B67="","",MIN($C67,SUMIFS(Movimientos!$G$2:$G$501,Movimientos!$B$2:$B$501,$B67,Movimientos!$I$2:$I$501,"&gt;="&amp;($C$4-30)))-MIN($C67,SUMIFS(Movimientos!$G$2:$G$501,Movimientos!$B$2:$B$501,$B67,Movimientos!$I$2:$I$501,"&gt;="&amp;($C$4-0))))</f>
        <v/>
      </c>
      <c r="F67" s="33" t="str">
        <f aca="false">IF($B67="","",MIN($C67,SUMIFS(Movimientos!$G$2:$G$501,Movimientos!$B$2:$B$501,$B67,Movimientos!$I$2:$I$501,"&gt;="&amp;($C$4-60)))-MIN($C67,SUMIFS(Movimientos!$G$2:$G$501,Movimientos!$B$2:$B$501,$B67,Movimientos!$I$2:$I$501,"&gt;="&amp;($C$4-30))))</f>
        <v/>
      </c>
      <c r="G67" s="33" t="str">
        <f aca="false">IF($B67="","",$C67-MIN($C67,SUMIFS(Movimientos!$G$2:$G$501,Movimientos!$B$2:$B$501,$B67,Movimientos!$I$2:$I$501,"&gt;="&amp;($C$4-60))))</f>
        <v/>
      </c>
      <c r="H67" s="32" t="str">
        <f aca="false">IF($B67="","",Clientes!$L$48)</f>
        <v/>
      </c>
    </row>
    <row r="68" customFormat="false" ht="15" hidden="false" customHeight="false" outlineLevel="0" collapsed="false">
      <c r="B68" s="32" t="str">
        <f aca="false">IF(Clientes!$B$49="","",Clientes!$B$49)</f>
        <v/>
      </c>
      <c r="C68" s="33" t="str">
        <f aca="false">IF($B68="","",MAX(0,Clientes!$H$49))</f>
        <v/>
      </c>
      <c r="D68" s="33" t="str">
        <f aca="false">IF($B68="","",MIN($C68,SUMIFS(Movimientos!$G$2:$G$501,Movimientos!$B$2:$B$501,$B68,Movimientos!$I$2:$I$501,"&gt;="&amp;($C$4-0))))</f>
        <v/>
      </c>
      <c r="E68" s="33" t="str">
        <f aca="false">IF($B68="","",MIN($C68,SUMIFS(Movimientos!$G$2:$G$501,Movimientos!$B$2:$B$501,$B68,Movimientos!$I$2:$I$501,"&gt;="&amp;($C$4-30)))-MIN($C68,SUMIFS(Movimientos!$G$2:$G$501,Movimientos!$B$2:$B$501,$B68,Movimientos!$I$2:$I$501,"&gt;="&amp;($C$4-0))))</f>
        <v/>
      </c>
      <c r="F68" s="33" t="str">
        <f aca="false">IF($B68="","",MIN($C68,SUMIFS(Movimientos!$G$2:$G$501,Movimientos!$B$2:$B$501,$B68,Movimientos!$I$2:$I$501,"&gt;="&amp;($C$4-60)))-MIN($C68,SUMIFS(Movimientos!$G$2:$G$501,Movimientos!$B$2:$B$501,$B68,Movimientos!$I$2:$I$501,"&gt;="&amp;($C$4-30))))</f>
        <v/>
      </c>
      <c r="G68" s="33" t="str">
        <f aca="false">IF($B68="","",$C68-MIN($C68,SUMIFS(Movimientos!$G$2:$G$501,Movimientos!$B$2:$B$501,$B68,Movimientos!$I$2:$I$501,"&gt;="&amp;($C$4-60))))</f>
        <v/>
      </c>
      <c r="H68" s="32" t="str">
        <f aca="false">IF($B68="","",Clientes!$L$49)</f>
        <v/>
      </c>
    </row>
    <row r="69" customFormat="false" ht="15" hidden="false" customHeight="false" outlineLevel="0" collapsed="false">
      <c r="B69" s="32" t="str">
        <f aca="false">IF(Clientes!$B$50="","",Clientes!$B$50)</f>
        <v/>
      </c>
      <c r="C69" s="33" t="str">
        <f aca="false">IF($B69="","",MAX(0,Clientes!$H$50))</f>
        <v/>
      </c>
      <c r="D69" s="33" t="str">
        <f aca="false">IF($B69="","",MIN($C69,SUMIFS(Movimientos!$G$2:$G$501,Movimientos!$B$2:$B$501,$B69,Movimientos!$I$2:$I$501,"&gt;="&amp;($C$4-0))))</f>
        <v/>
      </c>
      <c r="E69" s="33" t="str">
        <f aca="false">IF($B69="","",MIN($C69,SUMIFS(Movimientos!$G$2:$G$501,Movimientos!$B$2:$B$501,$B69,Movimientos!$I$2:$I$501,"&gt;="&amp;($C$4-30)))-MIN($C69,SUMIFS(Movimientos!$G$2:$G$501,Movimientos!$B$2:$B$501,$B69,Movimientos!$I$2:$I$501,"&gt;="&amp;($C$4-0))))</f>
        <v/>
      </c>
      <c r="F69" s="33" t="str">
        <f aca="false">IF($B69="","",MIN($C69,SUMIFS(Movimientos!$G$2:$G$501,Movimientos!$B$2:$B$501,$B69,Movimientos!$I$2:$I$501,"&gt;="&amp;($C$4-60)))-MIN($C69,SUMIFS(Movimientos!$G$2:$G$501,Movimientos!$B$2:$B$501,$B69,Movimientos!$I$2:$I$501,"&gt;="&amp;($C$4-30))))</f>
        <v/>
      </c>
      <c r="G69" s="33" t="str">
        <f aca="false">IF($B69="","",$C69-MIN($C69,SUMIFS(Movimientos!$G$2:$G$501,Movimientos!$B$2:$B$501,$B69,Movimientos!$I$2:$I$501,"&gt;="&amp;($C$4-60))))</f>
        <v/>
      </c>
      <c r="H69" s="32" t="str">
        <f aca="false">IF($B69="","",Clientes!$L$50)</f>
        <v/>
      </c>
    </row>
    <row r="70" customFormat="false" ht="15" hidden="false" customHeight="false" outlineLevel="0" collapsed="false">
      <c r="B70" s="32" t="str">
        <f aca="false">IF(Clientes!$B$51="","",Clientes!$B$51)</f>
        <v/>
      </c>
      <c r="C70" s="33" t="str">
        <f aca="false">IF($B70="","",MAX(0,Clientes!$H$51))</f>
        <v/>
      </c>
      <c r="D70" s="33" t="str">
        <f aca="false">IF($B70="","",MIN($C70,SUMIFS(Movimientos!$G$2:$G$501,Movimientos!$B$2:$B$501,$B70,Movimientos!$I$2:$I$501,"&gt;="&amp;($C$4-0))))</f>
        <v/>
      </c>
      <c r="E70" s="33" t="str">
        <f aca="false">IF($B70="","",MIN($C70,SUMIFS(Movimientos!$G$2:$G$501,Movimientos!$B$2:$B$501,$B70,Movimientos!$I$2:$I$501,"&gt;="&amp;($C$4-30)))-MIN($C70,SUMIFS(Movimientos!$G$2:$G$501,Movimientos!$B$2:$B$501,$B70,Movimientos!$I$2:$I$501,"&gt;="&amp;($C$4-0))))</f>
        <v/>
      </c>
      <c r="F70" s="33" t="str">
        <f aca="false">IF($B70="","",MIN($C70,SUMIFS(Movimientos!$G$2:$G$501,Movimientos!$B$2:$B$501,$B70,Movimientos!$I$2:$I$501,"&gt;="&amp;($C$4-60)))-MIN($C70,SUMIFS(Movimientos!$G$2:$G$501,Movimientos!$B$2:$B$501,$B70,Movimientos!$I$2:$I$501,"&gt;="&amp;($C$4-30))))</f>
        <v/>
      </c>
      <c r="G70" s="33" t="str">
        <f aca="false">IF($B70="","",$C70-MIN($C70,SUMIFS(Movimientos!$G$2:$G$501,Movimientos!$B$2:$B$501,$B70,Movimientos!$I$2:$I$501,"&gt;="&amp;($C$4-60))))</f>
        <v/>
      </c>
      <c r="H70" s="32" t="str">
        <f aca="false">IF($B70="","",Clientes!$L$51)</f>
        <v/>
      </c>
    </row>
    <row r="71" customFormat="false" ht="15" hidden="false" customHeight="false" outlineLevel="0" collapsed="false">
      <c r="B71" s="32" t="str">
        <f aca="false">IF(Clientes!$B$52="","",Clientes!$B$52)</f>
        <v/>
      </c>
      <c r="C71" s="33" t="str">
        <f aca="false">IF($B71="","",MAX(0,Clientes!$H$52))</f>
        <v/>
      </c>
      <c r="D71" s="33" t="str">
        <f aca="false">IF($B71="","",MIN($C71,SUMIFS(Movimientos!$G$2:$G$501,Movimientos!$B$2:$B$501,$B71,Movimientos!$I$2:$I$501,"&gt;="&amp;($C$4-0))))</f>
        <v/>
      </c>
      <c r="E71" s="33" t="str">
        <f aca="false">IF($B71="","",MIN($C71,SUMIFS(Movimientos!$G$2:$G$501,Movimientos!$B$2:$B$501,$B71,Movimientos!$I$2:$I$501,"&gt;="&amp;($C$4-30)))-MIN($C71,SUMIFS(Movimientos!$G$2:$G$501,Movimientos!$B$2:$B$501,$B71,Movimientos!$I$2:$I$501,"&gt;="&amp;($C$4-0))))</f>
        <v/>
      </c>
      <c r="F71" s="33" t="str">
        <f aca="false">IF($B71="","",MIN($C71,SUMIFS(Movimientos!$G$2:$G$501,Movimientos!$B$2:$B$501,$B71,Movimientos!$I$2:$I$501,"&gt;="&amp;($C$4-60)))-MIN($C71,SUMIFS(Movimientos!$G$2:$G$501,Movimientos!$B$2:$B$501,$B71,Movimientos!$I$2:$I$501,"&gt;="&amp;($C$4-30))))</f>
        <v/>
      </c>
      <c r="G71" s="33" t="str">
        <f aca="false">IF($B71="","",$C71-MIN($C71,SUMIFS(Movimientos!$G$2:$G$501,Movimientos!$B$2:$B$501,$B71,Movimientos!$I$2:$I$501,"&gt;="&amp;($C$4-60))))</f>
        <v/>
      </c>
      <c r="H71" s="32" t="str">
        <f aca="false">IF($B71="","",Clientes!$L$52)</f>
        <v/>
      </c>
    </row>
    <row r="72" customFormat="false" ht="15" hidden="false" customHeight="false" outlineLevel="0" collapsed="false">
      <c r="B72" s="32" t="str">
        <f aca="false">IF(Clientes!$B$53="","",Clientes!$B$53)</f>
        <v/>
      </c>
      <c r="C72" s="33" t="str">
        <f aca="false">IF($B72="","",MAX(0,Clientes!$H$53))</f>
        <v/>
      </c>
      <c r="D72" s="33" t="str">
        <f aca="false">IF($B72="","",MIN($C72,SUMIFS(Movimientos!$G$2:$G$501,Movimientos!$B$2:$B$501,$B72,Movimientos!$I$2:$I$501,"&gt;="&amp;($C$4-0))))</f>
        <v/>
      </c>
      <c r="E72" s="33" t="str">
        <f aca="false">IF($B72="","",MIN($C72,SUMIFS(Movimientos!$G$2:$G$501,Movimientos!$B$2:$B$501,$B72,Movimientos!$I$2:$I$501,"&gt;="&amp;($C$4-30)))-MIN($C72,SUMIFS(Movimientos!$G$2:$G$501,Movimientos!$B$2:$B$501,$B72,Movimientos!$I$2:$I$501,"&gt;="&amp;($C$4-0))))</f>
        <v/>
      </c>
      <c r="F72" s="33" t="str">
        <f aca="false">IF($B72="","",MIN($C72,SUMIFS(Movimientos!$G$2:$G$501,Movimientos!$B$2:$B$501,$B72,Movimientos!$I$2:$I$501,"&gt;="&amp;($C$4-60)))-MIN($C72,SUMIFS(Movimientos!$G$2:$G$501,Movimientos!$B$2:$B$501,$B72,Movimientos!$I$2:$I$501,"&gt;="&amp;($C$4-30))))</f>
        <v/>
      </c>
      <c r="G72" s="33" t="str">
        <f aca="false">IF($B72="","",$C72-MIN($C72,SUMIFS(Movimientos!$G$2:$G$501,Movimientos!$B$2:$B$501,$B72,Movimientos!$I$2:$I$501,"&gt;="&amp;($C$4-60))))</f>
        <v/>
      </c>
      <c r="H72" s="32" t="str">
        <f aca="false">IF($B72="","",Clientes!$L$53)</f>
        <v/>
      </c>
    </row>
    <row r="73" customFormat="false" ht="15" hidden="false" customHeight="false" outlineLevel="0" collapsed="false">
      <c r="B73" s="32" t="str">
        <f aca="false">IF(Clientes!$B$54="","",Clientes!$B$54)</f>
        <v/>
      </c>
      <c r="C73" s="33" t="str">
        <f aca="false">IF($B73="","",MAX(0,Clientes!$H$54))</f>
        <v/>
      </c>
      <c r="D73" s="33" t="str">
        <f aca="false">IF($B73="","",MIN($C73,SUMIFS(Movimientos!$G$2:$G$501,Movimientos!$B$2:$B$501,$B73,Movimientos!$I$2:$I$501,"&gt;="&amp;($C$4-0))))</f>
        <v/>
      </c>
      <c r="E73" s="33" t="str">
        <f aca="false">IF($B73="","",MIN($C73,SUMIFS(Movimientos!$G$2:$G$501,Movimientos!$B$2:$B$501,$B73,Movimientos!$I$2:$I$501,"&gt;="&amp;($C$4-30)))-MIN($C73,SUMIFS(Movimientos!$G$2:$G$501,Movimientos!$B$2:$B$501,$B73,Movimientos!$I$2:$I$501,"&gt;="&amp;($C$4-0))))</f>
        <v/>
      </c>
      <c r="F73" s="33" t="str">
        <f aca="false">IF($B73="","",MIN($C73,SUMIFS(Movimientos!$G$2:$G$501,Movimientos!$B$2:$B$501,$B73,Movimientos!$I$2:$I$501,"&gt;="&amp;($C$4-60)))-MIN($C73,SUMIFS(Movimientos!$G$2:$G$501,Movimientos!$B$2:$B$501,$B73,Movimientos!$I$2:$I$501,"&gt;="&amp;($C$4-30))))</f>
        <v/>
      </c>
      <c r="G73" s="33" t="str">
        <f aca="false">IF($B73="","",$C73-MIN($C73,SUMIFS(Movimientos!$G$2:$G$501,Movimientos!$B$2:$B$501,$B73,Movimientos!$I$2:$I$501,"&gt;="&amp;($C$4-60))))</f>
        <v/>
      </c>
      <c r="H73" s="32" t="str">
        <f aca="false">IF($B73="","",Clientes!$L$54)</f>
        <v/>
      </c>
    </row>
    <row r="74" customFormat="false" ht="15" hidden="false" customHeight="false" outlineLevel="0" collapsed="false">
      <c r="B74" s="32" t="str">
        <f aca="false">IF(Clientes!$B$55="","",Clientes!$B$55)</f>
        <v/>
      </c>
      <c r="C74" s="33" t="str">
        <f aca="false">IF($B74="","",MAX(0,Clientes!$H$55))</f>
        <v/>
      </c>
      <c r="D74" s="33" t="str">
        <f aca="false">IF($B74="","",MIN($C74,SUMIFS(Movimientos!$G$2:$G$501,Movimientos!$B$2:$B$501,$B74,Movimientos!$I$2:$I$501,"&gt;="&amp;($C$4-0))))</f>
        <v/>
      </c>
      <c r="E74" s="33" t="str">
        <f aca="false">IF($B74="","",MIN($C74,SUMIFS(Movimientos!$G$2:$G$501,Movimientos!$B$2:$B$501,$B74,Movimientos!$I$2:$I$501,"&gt;="&amp;($C$4-30)))-MIN($C74,SUMIFS(Movimientos!$G$2:$G$501,Movimientos!$B$2:$B$501,$B74,Movimientos!$I$2:$I$501,"&gt;="&amp;($C$4-0))))</f>
        <v/>
      </c>
      <c r="F74" s="33" t="str">
        <f aca="false">IF($B74="","",MIN($C74,SUMIFS(Movimientos!$G$2:$G$501,Movimientos!$B$2:$B$501,$B74,Movimientos!$I$2:$I$501,"&gt;="&amp;($C$4-60)))-MIN($C74,SUMIFS(Movimientos!$G$2:$G$501,Movimientos!$B$2:$B$501,$B74,Movimientos!$I$2:$I$501,"&gt;="&amp;($C$4-30))))</f>
        <v/>
      </c>
      <c r="G74" s="33" t="str">
        <f aca="false">IF($B74="","",$C74-MIN($C74,SUMIFS(Movimientos!$G$2:$G$501,Movimientos!$B$2:$B$501,$B74,Movimientos!$I$2:$I$501,"&gt;="&amp;($C$4-60))))</f>
        <v/>
      </c>
      <c r="H74" s="32" t="str">
        <f aca="false">IF($B74="","",Clientes!$L$55)</f>
        <v/>
      </c>
    </row>
    <row r="75" customFormat="false" ht="15" hidden="false" customHeight="false" outlineLevel="0" collapsed="false">
      <c r="B75" s="32" t="str">
        <f aca="false">IF(Clientes!$B$56="","",Clientes!$B$56)</f>
        <v/>
      </c>
      <c r="C75" s="33" t="str">
        <f aca="false">IF($B75="","",MAX(0,Clientes!$H$56))</f>
        <v/>
      </c>
      <c r="D75" s="33" t="str">
        <f aca="false">IF($B75="","",MIN($C75,SUMIFS(Movimientos!$G$2:$G$501,Movimientos!$B$2:$B$501,$B75,Movimientos!$I$2:$I$501,"&gt;="&amp;($C$4-0))))</f>
        <v/>
      </c>
      <c r="E75" s="33" t="str">
        <f aca="false">IF($B75="","",MIN($C75,SUMIFS(Movimientos!$G$2:$G$501,Movimientos!$B$2:$B$501,$B75,Movimientos!$I$2:$I$501,"&gt;="&amp;($C$4-30)))-MIN($C75,SUMIFS(Movimientos!$G$2:$G$501,Movimientos!$B$2:$B$501,$B75,Movimientos!$I$2:$I$501,"&gt;="&amp;($C$4-0))))</f>
        <v/>
      </c>
      <c r="F75" s="33" t="str">
        <f aca="false">IF($B75="","",MIN($C75,SUMIFS(Movimientos!$G$2:$G$501,Movimientos!$B$2:$B$501,$B75,Movimientos!$I$2:$I$501,"&gt;="&amp;($C$4-60)))-MIN($C75,SUMIFS(Movimientos!$G$2:$G$501,Movimientos!$B$2:$B$501,$B75,Movimientos!$I$2:$I$501,"&gt;="&amp;($C$4-30))))</f>
        <v/>
      </c>
      <c r="G75" s="33" t="str">
        <f aca="false">IF($B75="","",$C75-MIN($C75,SUMIFS(Movimientos!$G$2:$G$501,Movimientos!$B$2:$B$501,$B75,Movimientos!$I$2:$I$501,"&gt;="&amp;($C$4-60))))</f>
        <v/>
      </c>
      <c r="H75" s="32" t="str">
        <f aca="false">IF($B75="","",Clientes!$L$56)</f>
        <v/>
      </c>
    </row>
    <row r="76" customFormat="false" ht="15" hidden="false" customHeight="false" outlineLevel="0" collapsed="false">
      <c r="B76" s="32" t="str">
        <f aca="false">IF(Clientes!$B$57="","",Clientes!$B$57)</f>
        <v/>
      </c>
      <c r="C76" s="33" t="str">
        <f aca="false">IF($B76="","",MAX(0,Clientes!$H$57))</f>
        <v/>
      </c>
      <c r="D76" s="33" t="str">
        <f aca="false">IF($B76="","",MIN($C76,SUMIFS(Movimientos!$G$2:$G$501,Movimientos!$B$2:$B$501,$B76,Movimientos!$I$2:$I$501,"&gt;="&amp;($C$4-0))))</f>
        <v/>
      </c>
      <c r="E76" s="33" t="str">
        <f aca="false">IF($B76="","",MIN($C76,SUMIFS(Movimientos!$G$2:$G$501,Movimientos!$B$2:$B$501,$B76,Movimientos!$I$2:$I$501,"&gt;="&amp;($C$4-30)))-MIN($C76,SUMIFS(Movimientos!$G$2:$G$501,Movimientos!$B$2:$B$501,$B76,Movimientos!$I$2:$I$501,"&gt;="&amp;($C$4-0))))</f>
        <v/>
      </c>
      <c r="F76" s="33" t="str">
        <f aca="false">IF($B76="","",MIN($C76,SUMIFS(Movimientos!$G$2:$G$501,Movimientos!$B$2:$B$501,$B76,Movimientos!$I$2:$I$501,"&gt;="&amp;($C$4-60)))-MIN($C76,SUMIFS(Movimientos!$G$2:$G$501,Movimientos!$B$2:$B$501,$B76,Movimientos!$I$2:$I$501,"&gt;="&amp;($C$4-30))))</f>
        <v/>
      </c>
      <c r="G76" s="33" t="str">
        <f aca="false">IF($B76="","",$C76-MIN($C76,SUMIFS(Movimientos!$G$2:$G$501,Movimientos!$B$2:$B$501,$B76,Movimientos!$I$2:$I$501,"&gt;="&amp;($C$4-60))))</f>
        <v/>
      </c>
      <c r="H76" s="32" t="str">
        <f aca="false">IF($B76="","",Clientes!$L$57)</f>
        <v/>
      </c>
    </row>
    <row r="77" customFormat="false" ht="15" hidden="false" customHeight="false" outlineLevel="0" collapsed="false">
      <c r="B77" s="32" t="str">
        <f aca="false">IF(Clientes!$B$58="","",Clientes!$B$58)</f>
        <v/>
      </c>
      <c r="C77" s="33" t="str">
        <f aca="false">IF($B77="","",MAX(0,Clientes!$H$58))</f>
        <v/>
      </c>
      <c r="D77" s="33" t="str">
        <f aca="false">IF($B77="","",MIN($C77,SUMIFS(Movimientos!$G$2:$G$501,Movimientos!$B$2:$B$501,$B77,Movimientos!$I$2:$I$501,"&gt;="&amp;($C$4-0))))</f>
        <v/>
      </c>
      <c r="E77" s="33" t="str">
        <f aca="false">IF($B77="","",MIN($C77,SUMIFS(Movimientos!$G$2:$G$501,Movimientos!$B$2:$B$501,$B77,Movimientos!$I$2:$I$501,"&gt;="&amp;($C$4-30)))-MIN($C77,SUMIFS(Movimientos!$G$2:$G$501,Movimientos!$B$2:$B$501,$B77,Movimientos!$I$2:$I$501,"&gt;="&amp;($C$4-0))))</f>
        <v/>
      </c>
      <c r="F77" s="33" t="str">
        <f aca="false">IF($B77="","",MIN($C77,SUMIFS(Movimientos!$G$2:$G$501,Movimientos!$B$2:$B$501,$B77,Movimientos!$I$2:$I$501,"&gt;="&amp;($C$4-60)))-MIN($C77,SUMIFS(Movimientos!$G$2:$G$501,Movimientos!$B$2:$B$501,$B77,Movimientos!$I$2:$I$501,"&gt;="&amp;($C$4-30))))</f>
        <v/>
      </c>
      <c r="G77" s="33" t="str">
        <f aca="false">IF($B77="","",$C77-MIN($C77,SUMIFS(Movimientos!$G$2:$G$501,Movimientos!$B$2:$B$501,$B77,Movimientos!$I$2:$I$501,"&gt;="&amp;($C$4-60))))</f>
        <v/>
      </c>
      <c r="H77" s="32" t="str">
        <f aca="false">IF($B77="","",Clientes!$L$58)</f>
        <v/>
      </c>
    </row>
    <row r="78" customFormat="false" ht="15" hidden="false" customHeight="false" outlineLevel="0" collapsed="false">
      <c r="B78" s="32" t="str">
        <f aca="false">IF(Clientes!$B$59="","",Clientes!$B$59)</f>
        <v/>
      </c>
      <c r="C78" s="33" t="str">
        <f aca="false">IF($B78="","",MAX(0,Clientes!$H$59))</f>
        <v/>
      </c>
      <c r="D78" s="33" t="str">
        <f aca="false">IF($B78="","",MIN($C78,SUMIFS(Movimientos!$G$2:$G$501,Movimientos!$B$2:$B$501,$B78,Movimientos!$I$2:$I$501,"&gt;="&amp;($C$4-0))))</f>
        <v/>
      </c>
      <c r="E78" s="33" t="str">
        <f aca="false">IF($B78="","",MIN($C78,SUMIFS(Movimientos!$G$2:$G$501,Movimientos!$B$2:$B$501,$B78,Movimientos!$I$2:$I$501,"&gt;="&amp;($C$4-30)))-MIN($C78,SUMIFS(Movimientos!$G$2:$G$501,Movimientos!$B$2:$B$501,$B78,Movimientos!$I$2:$I$501,"&gt;="&amp;($C$4-0))))</f>
        <v/>
      </c>
      <c r="F78" s="33" t="str">
        <f aca="false">IF($B78="","",MIN($C78,SUMIFS(Movimientos!$G$2:$G$501,Movimientos!$B$2:$B$501,$B78,Movimientos!$I$2:$I$501,"&gt;="&amp;($C$4-60)))-MIN($C78,SUMIFS(Movimientos!$G$2:$G$501,Movimientos!$B$2:$B$501,$B78,Movimientos!$I$2:$I$501,"&gt;="&amp;($C$4-30))))</f>
        <v/>
      </c>
      <c r="G78" s="33" t="str">
        <f aca="false">IF($B78="","",$C78-MIN($C78,SUMIFS(Movimientos!$G$2:$G$501,Movimientos!$B$2:$B$501,$B78,Movimientos!$I$2:$I$501,"&gt;="&amp;($C$4-60))))</f>
        <v/>
      </c>
      <c r="H78" s="32" t="str">
        <f aca="false">IF($B78="","",Clientes!$L$59)</f>
        <v/>
      </c>
    </row>
    <row r="79" customFormat="false" ht="15" hidden="false" customHeight="false" outlineLevel="0" collapsed="false">
      <c r="B79" s="32" t="str">
        <f aca="false">IF(Clientes!$B$60="","",Clientes!$B$60)</f>
        <v/>
      </c>
      <c r="C79" s="33" t="str">
        <f aca="false">IF($B79="","",MAX(0,Clientes!$H$60))</f>
        <v/>
      </c>
      <c r="D79" s="33" t="str">
        <f aca="false">IF($B79="","",MIN($C79,SUMIFS(Movimientos!$G$2:$G$501,Movimientos!$B$2:$B$501,$B79,Movimientos!$I$2:$I$501,"&gt;="&amp;($C$4-0))))</f>
        <v/>
      </c>
      <c r="E79" s="33" t="str">
        <f aca="false">IF($B79="","",MIN($C79,SUMIFS(Movimientos!$G$2:$G$501,Movimientos!$B$2:$B$501,$B79,Movimientos!$I$2:$I$501,"&gt;="&amp;($C$4-30)))-MIN($C79,SUMIFS(Movimientos!$G$2:$G$501,Movimientos!$B$2:$B$501,$B79,Movimientos!$I$2:$I$501,"&gt;="&amp;($C$4-0))))</f>
        <v/>
      </c>
      <c r="F79" s="33" t="str">
        <f aca="false">IF($B79="","",MIN($C79,SUMIFS(Movimientos!$G$2:$G$501,Movimientos!$B$2:$B$501,$B79,Movimientos!$I$2:$I$501,"&gt;="&amp;($C$4-60)))-MIN($C79,SUMIFS(Movimientos!$G$2:$G$501,Movimientos!$B$2:$B$501,$B79,Movimientos!$I$2:$I$501,"&gt;="&amp;($C$4-30))))</f>
        <v/>
      </c>
      <c r="G79" s="33" t="str">
        <f aca="false">IF($B79="","",$C79-MIN($C79,SUMIFS(Movimientos!$G$2:$G$501,Movimientos!$B$2:$B$501,$B79,Movimientos!$I$2:$I$501,"&gt;="&amp;($C$4-60))))</f>
        <v/>
      </c>
      <c r="H79" s="32" t="str">
        <f aca="false">IF($B79="","",Clientes!$L$60)</f>
        <v/>
      </c>
    </row>
    <row r="80" customFormat="false" ht="15" hidden="false" customHeight="false" outlineLevel="0" collapsed="false">
      <c r="B80" s="32" t="str">
        <f aca="false">IF(Clientes!$B$61="","",Clientes!$B$61)</f>
        <v/>
      </c>
      <c r="C80" s="33" t="str">
        <f aca="false">IF($B80="","",MAX(0,Clientes!$H$61))</f>
        <v/>
      </c>
      <c r="D80" s="33" t="str">
        <f aca="false">IF($B80="","",MIN($C80,SUMIFS(Movimientos!$G$2:$G$501,Movimientos!$B$2:$B$501,$B80,Movimientos!$I$2:$I$501,"&gt;="&amp;($C$4-0))))</f>
        <v/>
      </c>
      <c r="E80" s="33" t="str">
        <f aca="false">IF($B80="","",MIN($C80,SUMIFS(Movimientos!$G$2:$G$501,Movimientos!$B$2:$B$501,$B80,Movimientos!$I$2:$I$501,"&gt;="&amp;($C$4-30)))-MIN($C80,SUMIFS(Movimientos!$G$2:$G$501,Movimientos!$B$2:$B$501,$B80,Movimientos!$I$2:$I$501,"&gt;="&amp;($C$4-0))))</f>
        <v/>
      </c>
      <c r="F80" s="33" t="str">
        <f aca="false">IF($B80="","",MIN($C80,SUMIFS(Movimientos!$G$2:$G$501,Movimientos!$B$2:$B$501,$B80,Movimientos!$I$2:$I$501,"&gt;="&amp;($C$4-60)))-MIN($C80,SUMIFS(Movimientos!$G$2:$G$501,Movimientos!$B$2:$B$501,$B80,Movimientos!$I$2:$I$501,"&gt;="&amp;($C$4-30))))</f>
        <v/>
      </c>
      <c r="G80" s="33" t="str">
        <f aca="false">IF($B80="","",$C80-MIN($C80,SUMIFS(Movimientos!$G$2:$G$501,Movimientos!$B$2:$B$501,$B80,Movimientos!$I$2:$I$501,"&gt;="&amp;($C$4-60))))</f>
        <v/>
      </c>
      <c r="H80" s="32" t="str">
        <f aca="false">IF($B80="","",Clientes!$L$61)</f>
        <v/>
      </c>
    </row>
    <row r="81" customFormat="false" ht="15" hidden="false" customHeight="false" outlineLevel="0" collapsed="false">
      <c r="B81" s="32" t="str">
        <f aca="false">IF(Clientes!$B$62="","",Clientes!$B$62)</f>
        <v/>
      </c>
      <c r="C81" s="33" t="str">
        <f aca="false">IF($B81="","",MAX(0,Clientes!$H$62))</f>
        <v/>
      </c>
      <c r="D81" s="33" t="str">
        <f aca="false">IF($B81="","",MIN($C81,SUMIFS(Movimientos!$G$2:$G$501,Movimientos!$B$2:$B$501,$B81,Movimientos!$I$2:$I$501,"&gt;="&amp;($C$4-0))))</f>
        <v/>
      </c>
      <c r="E81" s="33" t="str">
        <f aca="false">IF($B81="","",MIN($C81,SUMIFS(Movimientos!$G$2:$G$501,Movimientos!$B$2:$B$501,$B81,Movimientos!$I$2:$I$501,"&gt;="&amp;($C$4-30)))-MIN($C81,SUMIFS(Movimientos!$G$2:$G$501,Movimientos!$B$2:$B$501,$B81,Movimientos!$I$2:$I$501,"&gt;="&amp;($C$4-0))))</f>
        <v/>
      </c>
      <c r="F81" s="33" t="str">
        <f aca="false">IF($B81="","",MIN($C81,SUMIFS(Movimientos!$G$2:$G$501,Movimientos!$B$2:$B$501,$B81,Movimientos!$I$2:$I$501,"&gt;="&amp;($C$4-60)))-MIN($C81,SUMIFS(Movimientos!$G$2:$G$501,Movimientos!$B$2:$B$501,$B81,Movimientos!$I$2:$I$501,"&gt;="&amp;($C$4-30))))</f>
        <v/>
      </c>
      <c r="G81" s="33" t="str">
        <f aca="false">IF($B81="","",$C81-MIN($C81,SUMIFS(Movimientos!$G$2:$G$501,Movimientos!$B$2:$B$501,$B81,Movimientos!$I$2:$I$501,"&gt;="&amp;($C$4-60))))</f>
        <v/>
      </c>
      <c r="H81" s="32" t="str">
        <f aca="false">IF($B81="","",Clientes!$L$62)</f>
        <v/>
      </c>
    </row>
    <row r="82" customFormat="false" ht="15" hidden="false" customHeight="false" outlineLevel="0" collapsed="false">
      <c r="B82" s="32" t="str">
        <f aca="false">IF(Clientes!$B$63="","",Clientes!$B$63)</f>
        <v/>
      </c>
      <c r="C82" s="33" t="str">
        <f aca="false">IF($B82="","",MAX(0,Clientes!$H$63))</f>
        <v/>
      </c>
      <c r="D82" s="33" t="str">
        <f aca="false">IF($B82="","",MIN($C82,SUMIFS(Movimientos!$G$2:$G$501,Movimientos!$B$2:$B$501,$B82,Movimientos!$I$2:$I$501,"&gt;="&amp;($C$4-0))))</f>
        <v/>
      </c>
      <c r="E82" s="33" t="str">
        <f aca="false">IF($B82="","",MIN($C82,SUMIFS(Movimientos!$G$2:$G$501,Movimientos!$B$2:$B$501,$B82,Movimientos!$I$2:$I$501,"&gt;="&amp;($C$4-30)))-MIN($C82,SUMIFS(Movimientos!$G$2:$G$501,Movimientos!$B$2:$B$501,$B82,Movimientos!$I$2:$I$501,"&gt;="&amp;($C$4-0))))</f>
        <v/>
      </c>
      <c r="F82" s="33" t="str">
        <f aca="false">IF($B82="","",MIN($C82,SUMIFS(Movimientos!$G$2:$G$501,Movimientos!$B$2:$B$501,$B82,Movimientos!$I$2:$I$501,"&gt;="&amp;($C$4-60)))-MIN($C82,SUMIFS(Movimientos!$G$2:$G$501,Movimientos!$B$2:$B$501,$B82,Movimientos!$I$2:$I$501,"&gt;="&amp;($C$4-30))))</f>
        <v/>
      </c>
      <c r="G82" s="33" t="str">
        <f aca="false">IF($B82="","",$C82-MIN($C82,SUMIFS(Movimientos!$G$2:$G$501,Movimientos!$B$2:$B$501,$B82,Movimientos!$I$2:$I$501,"&gt;="&amp;($C$4-60))))</f>
        <v/>
      </c>
      <c r="H82" s="32" t="str">
        <f aca="false">IF($B82="","",Clientes!$L$63)</f>
        <v/>
      </c>
    </row>
    <row r="83" customFormat="false" ht="15" hidden="false" customHeight="false" outlineLevel="0" collapsed="false">
      <c r="B83" s="32" t="str">
        <f aca="false">IF(Clientes!$B$64="","",Clientes!$B$64)</f>
        <v/>
      </c>
      <c r="C83" s="33" t="str">
        <f aca="false">IF($B83="","",MAX(0,Clientes!$H$64))</f>
        <v/>
      </c>
      <c r="D83" s="33" t="str">
        <f aca="false">IF($B83="","",MIN($C83,SUMIFS(Movimientos!$G$2:$G$501,Movimientos!$B$2:$B$501,$B83,Movimientos!$I$2:$I$501,"&gt;="&amp;($C$4-0))))</f>
        <v/>
      </c>
      <c r="E83" s="33" t="str">
        <f aca="false">IF($B83="","",MIN($C83,SUMIFS(Movimientos!$G$2:$G$501,Movimientos!$B$2:$B$501,$B83,Movimientos!$I$2:$I$501,"&gt;="&amp;($C$4-30)))-MIN($C83,SUMIFS(Movimientos!$G$2:$G$501,Movimientos!$B$2:$B$501,$B83,Movimientos!$I$2:$I$501,"&gt;="&amp;($C$4-0))))</f>
        <v/>
      </c>
      <c r="F83" s="33" t="str">
        <f aca="false">IF($B83="","",MIN($C83,SUMIFS(Movimientos!$G$2:$G$501,Movimientos!$B$2:$B$501,$B83,Movimientos!$I$2:$I$501,"&gt;="&amp;($C$4-60)))-MIN($C83,SUMIFS(Movimientos!$G$2:$G$501,Movimientos!$B$2:$B$501,$B83,Movimientos!$I$2:$I$501,"&gt;="&amp;($C$4-30))))</f>
        <v/>
      </c>
      <c r="G83" s="33" t="str">
        <f aca="false">IF($B83="","",$C83-MIN($C83,SUMIFS(Movimientos!$G$2:$G$501,Movimientos!$B$2:$B$501,$B83,Movimientos!$I$2:$I$501,"&gt;="&amp;($C$4-60))))</f>
        <v/>
      </c>
      <c r="H83" s="32" t="str">
        <f aca="false">IF($B83="","",Clientes!$L$64)</f>
        <v/>
      </c>
    </row>
    <row r="84" customFormat="false" ht="15" hidden="false" customHeight="false" outlineLevel="0" collapsed="false">
      <c r="B84" s="32" t="str">
        <f aca="false">IF(Clientes!$B$65="","",Clientes!$B$65)</f>
        <v/>
      </c>
      <c r="C84" s="33" t="str">
        <f aca="false">IF($B84="","",MAX(0,Clientes!$H$65))</f>
        <v/>
      </c>
      <c r="D84" s="33" t="str">
        <f aca="false">IF($B84="","",MIN($C84,SUMIFS(Movimientos!$G$2:$G$501,Movimientos!$B$2:$B$501,$B84,Movimientos!$I$2:$I$501,"&gt;="&amp;($C$4-0))))</f>
        <v/>
      </c>
      <c r="E84" s="33" t="str">
        <f aca="false">IF($B84="","",MIN($C84,SUMIFS(Movimientos!$G$2:$G$501,Movimientos!$B$2:$B$501,$B84,Movimientos!$I$2:$I$501,"&gt;="&amp;($C$4-30)))-MIN($C84,SUMIFS(Movimientos!$G$2:$G$501,Movimientos!$B$2:$B$501,$B84,Movimientos!$I$2:$I$501,"&gt;="&amp;($C$4-0))))</f>
        <v/>
      </c>
      <c r="F84" s="33" t="str">
        <f aca="false">IF($B84="","",MIN($C84,SUMIFS(Movimientos!$G$2:$G$501,Movimientos!$B$2:$B$501,$B84,Movimientos!$I$2:$I$501,"&gt;="&amp;($C$4-60)))-MIN($C84,SUMIFS(Movimientos!$G$2:$G$501,Movimientos!$B$2:$B$501,$B84,Movimientos!$I$2:$I$501,"&gt;="&amp;($C$4-30))))</f>
        <v/>
      </c>
      <c r="G84" s="33" t="str">
        <f aca="false">IF($B84="","",$C84-MIN($C84,SUMIFS(Movimientos!$G$2:$G$501,Movimientos!$B$2:$B$501,$B84,Movimientos!$I$2:$I$501,"&gt;="&amp;($C$4-60))))</f>
        <v/>
      </c>
      <c r="H84" s="32" t="str">
        <f aca="false">IF($B84="","",Clientes!$L$65)</f>
        <v/>
      </c>
    </row>
    <row r="85" customFormat="false" ht="15" hidden="false" customHeight="false" outlineLevel="0" collapsed="false">
      <c r="B85" s="32" t="str">
        <f aca="false">IF(Clientes!$B$66="","",Clientes!$B$66)</f>
        <v/>
      </c>
      <c r="C85" s="33" t="str">
        <f aca="false">IF($B85="","",MAX(0,Clientes!$H$66))</f>
        <v/>
      </c>
      <c r="D85" s="33" t="str">
        <f aca="false">IF($B85="","",MIN($C85,SUMIFS(Movimientos!$G$2:$G$501,Movimientos!$B$2:$B$501,$B85,Movimientos!$I$2:$I$501,"&gt;="&amp;($C$4-0))))</f>
        <v/>
      </c>
      <c r="E85" s="33" t="str">
        <f aca="false">IF($B85="","",MIN($C85,SUMIFS(Movimientos!$G$2:$G$501,Movimientos!$B$2:$B$501,$B85,Movimientos!$I$2:$I$501,"&gt;="&amp;($C$4-30)))-MIN($C85,SUMIFS(Movimientos!$G$2:$G$501,Movimientos!$B$2:$B$501,$B85,Movimientos!$I$2:$I$501,"&gt;="&amp;($C$4-0))))</f>
        <v/>
      </c>
      <c r="F85" s="33" t="str">
        <f aca="false">IF($B85="","",MIN($C85,SUMIFS(Movimientos!$G$2:$G$501,Movimientos!$B$2:$B$501,$B85,Movimientos!$I$2:$I$501,"&gt;="&amp;($C$4-60)))-MIN($C85,SUMIFS(Movimientos!$G$2:$G$501,Movimientos!$B$2:$B$501,$B85,Movimientos!$I$2:$I$501,"&gt;="&amp;($C$4-30))))</f>
        <v/>
      </c>
      <c r="G85" s="33" t="str">
        <f aca="false">IF($B85="","",$C85-MIN($C85,SUMIFS(Movimientos!$G$2:$G$501,Movimientos!$B$2:$B$501,$B85,Movimientos!$I$2:$I$501,"&gt;="&amp;($C$4-60))))</f>
        <v/>
      </c>
      <c r="H85" s="32" t="str">
        <f aca="false">IF($B85="","",Clientes!$L$66)</f>
        <v/>
      </c>
    </row>
    <row r="86" customFormat="false" ht="15" hidden="false" customHeight="false" outlineLevel="0" collapsed="false">
      <c r="B86" s="32" t="str">
        <f aca="false">IF(Clientes!$B$67="","",Clientes!$B$67)</f>
        <v/>
      </c>
      <c r="C86" s="33" t="str">
        <f aca="false">IF($B86="","",MAX(0,Clientes!$H$67))</f>
        <v/>
      </c>
      <c r="D86" s="33" t="str">
        <f aca="false">IF($B86="","",MIN($C86,SUMIFS(Movimientos!$G$2:$G$501,Movimientos!$B$2:$B$501,$B86,Movimientos!$I$2:$I$501,"&gt;="&amp;($C$4-0))))</f>
        <v/>
      </c>
      <c r="E86" s="33" t="str">
        <f aca="false">IF($B86="","",MIN($C86,SUMIFS(Movimientos!$G$2:$G$501,Movimientos!$B$2:$B$501,$B86,Movimientos!$I$2:$I$501,"&gt;="&amp;($C$4-30)))-MIN($C86,SUMIFS(Movimientos!$G$2:$G$501,Movimientos!$B$2:$B$501,$B86,Movimientos!$I$2:$I$501,"&gt;="&amp;($C$4-0))))</f>
        <v/>
      </c>
      <c r="F86" s="33" t="str">
        <f aca="false">IF($B86="","",MIN($C86,SUMIFS(Movimientos!$G$2:$G$501,Movimientos!$B$2:$B$501,$B86,Movimientos!$I$2:$I$501,"&gt;="&amp;($C$4-60)))-MIN($C86,SUMIFS(Movimientos!$G$2:$G$501,Movimientos!$B$2:$B$501,$B86,Movimientos!$I$2:$I$501,"&gt;="&amp;($C$4-30))))</f>
        <v/>
      </c>
      <c r="G86" s="33" t="str">
        <f aca="false">IF($B86="","",$C86-MIN($C86,SUMIFS(Movimientos!$G$2:$G$501,Movimientos!$B$2:$B$501,$B86,Movimientos!$I$2:$I$501,"&gt;="&amp;($C$4-60))))</f>
        <v/>
      </c>
      <c r="H86" s="32" t="str">
        <f aca="false">IF($B86="","",Clientes!$L$67)</f>
        <v/>
      </c>
    </row>
    <row r="87" customFormat="false" ht="15" hidden="false" customHeight="false" outlineLevel="0" collapsed="false">
      <c r="B87" s="32" t="str">
        <f aca="false">IF(Clientes!$B$68="","",Clientes!$B$68)</f>
        <v/>
      </c>
      <c r="C87" s="33" t="str">
        <f aca="false">IF($B87="","",MAX(0,Clientes!$H$68))</f>
        <v/>
      </c>
      <c r="D87" s="33" t="str">
        <f aca="false">IF($B87="","",MIN($C87,SUMIFS(Movimientos!$G$2:$G$501,Movimientos!$B$2:$B$501,$B87,Movimientos!$I$2:$I$501,"&gt;="&amp;($C$4-0))))</f>
        <v/>
      </c>
      <c r="E87" s="33" t="str">
        <f aca="false">IF($B87="","",MIN($C87,SUMIFS(Movimientos!$G$2:$G$501,Movimientos!$B$2:$B$501,$B87,Movimientos!$I$2:$I$501,"&gt;="&amp;($C$4-30)))-MIN($C87,SUMIFS(Movimientos!$G$2:$G$501,Movimientos!$B$2:$B$501,$B87,Movimientos!$I$2:$I$501,"&gt;="&amp;($C$4-0))))</f>
        <v/>
      </c>
      <c r="F87" s="33" t="str">
        <f aca="false">IF($B87="","",MIN($C87,SUMIFS(Movimientos!$G$2:$G$501,Movimientos!$B$2:$B$501,$B87,Movimientos!$I$2:$I$501,"&gt;="&amp;($C$4-60)))-MIN($C87,SUMIFS(Movimientos!$G$2:$G$501,Movimientos!$B$2:$B$501,$B87,Movimientos!$I$2:$I$501,"&gt;="&amp;($C$4-30))))</f>
        <v/>
      </c>
      <c r="G87" s="33" t="str">
        <f aca="false">IF($B87="","",$C87-MIN($C87,SUMIFS(Movimientos!$G$2:$G$501,Movimientos!$B$2:$B$501,$B87,Movimientos!$I$2:$I$501,"&gt;="&amp;($C$4-60))))</f>
        <v/>
      </c>
      <c r="H87" s="32" t="str">
        <f aca="false">IF($B87="","",Clientes!$L$68)</f>
        <v/>
      </c>
    </row>
    <row r="88" customFormat="false" ht="15" hidden="false" customHeight="false" outlineLevel="0" collapsed="false">
      <c r="B88" s="32" t="str">
        <f aca="false">IF(Clientes!$B$69="","",Clientes!$B$69)</f>
        <v/>
      </c>
      <c r="C88" s="33" t="str">
        <f aca="false">IF($B88="","",MAX(0,Clientes!$H$69))</f>
        <v/>
      </c>
      <c r="D88" s="33" t="str">
        <f aca="false">IF($B88="","",MIN($C88,SUMIFS(Movimientos!$G$2:$G$501,Movimientos!$B$2:$B$501,$B88,Movimientos!$I$2:$I$501,"&gt;="&amp;($C$4-0))))</f>
        <v/>
      </c>
      <c r="E88" s="33" t="str">
        <f aca="false">IF($B88="","",MIN($C88,SUMIFS(Movimientos!$G$2:$G$501,Movimientos!$B$2:$B$501,$B88,Movimientos!$I$2:$I$501,"&gt;="&amp;($C$4-30)))-MIN($C88,SUMIFS(Movimientos!$G$2:$G$501,Movimientos!$B$2:$B$501,$B88,Movimientos!$I$2:$I$501,"&gt;="&amp;($C$4-0))))</f>
        <v/>
      </c>
      <c r="F88" s="33" t="str">
        <f aca="false">IF($B88="","",MIN($C88,SUMIFS(Movimientos!$G$2:$G$501,Movimientos!$B$2:$B$501,$B88,Movimientos!$I$2:$I$501,"&gt;="&amp;($C$4-60)))-MIN($C88,SUMIFS(Movimientos!$G$2:$G$501,Movimientos!$B$2:$B$501,$B88,Movimientos!$I$2:$I$501,"&gt;="&amp;($C$4-30))))</f>
        <v/>
      </c>
      <c r="G88" s="33" t="str">
        <f aca="false">IF($B88="","",$C88-MIN($C88,SUMIFS(Movimientos!$G$2:$G$501,Movimientos!$B$2:$B$501,$B88,Movimientos!$I$2:$I$501,"&gt;="&amp;($C$4-60))))</f>
        <v/>
      </c>
      <c r="H88" s="32" t="str">
        <f aca="false">IF($B88="","",Clientes!$L$69)</f>
        <v/>
      </c>
    </row>
    <row r="89" customFormat="false" ht="15" hidden="false" customHeight="false" outlineLevel="0" collapsed="false">
      <c r="B89" s="32" t="str">
        <f aca="false">IF(Clientes!$B$70="","",Clientes!$B$70)</f>
        <v/>
      </c>
      <c r="C89" s="33" t="str">
        <f aca="false">IF($B89="","",MAX(0,Clientes!$H$70))</f>
        <v/>
      </c>
      <c r="D89" s="33" t="str">
        <f aca="false">IF($B89="","",MIN($C89,SUMIFS(Movimientos!$G$2:$G$501,Movimientos!$B$2:$B$501,$B89,Movimientos!$I$2:$I$501,"&gt;="&amp;($C$4-0))))</f>
        <v/>
      </c>
      <c r="E89" s="33" t="str">
        <f aca="false">IF($B89="","",MIN($C89,SUMIFS(Movimientos!$G$2:$G$501,Movimientos!$B$2:$B$501,$B89,Movimientos!$I$2:$I$501,"&gt;="&amp;($C$4-30)))-MIN($C89,SUMIFS(Movimientos!$G$2:$G$501,Movimientos!$B$2:$B$501,$B89,Movimientos!$I$2:$I$501,"&gt;="&amp;($C$4-0))))</f>
        <v/>
      </c>
      <c r="F89" s="33" t="str">
        <f aca="false">IF($B89="","",MIN($C89,SUMIFS(Movimientos!$G$2:$G$501,Movimientos!$B$2:$B$501,$B89,Movimientos!$I$2:$I$501,"&gt;="&amp;($C$4-60)))-MIN($C89,SUMIFS(Movimientos!$G$2:$G$501,Movimientos!$B$2:$B$501,$B89,Movimientos!$I$2:$I$501,"&gt;="&amp;($C$4-30))))</f>
        <v/>
      </c>
      <c r="G89" s="33" t="str">
        <f aca="false">IF($B89="","",$C89-MIN($C89,SUMIFS(Movimientos!$G$2:$G$501,Movimientos!$B$2:$B$501,$B89,Movimientos!$I$2:$I$501,"&gt;="&amp;($C$4-60))))</f>
        <v/>
      </c>
      <c r="H89" s="32" t="str">
        <f aca="false">IF($B89="","",Clientes!$L$70)</f>
        <v/>
      </c>
    </row>
    <row r="90" customFormat="false" ht="15" hidden="false" customHeight="false" outlineLevel="0" collapsed="false">
      <c r="B90" s="32" t="str">
        <f aca="false">IF(Clientes!$B$71="","",Clientes!$B$71)</f>
        <v/>
      </c>
      <c r="C90" s="33" t="str">
        <f aca="false">IF($B90="","",MAX(0,Clientes!$H$71))</f>
        <v/>
      </c>
      <c r="D90" s="33" t="str">
        <f aca="false">IF($B90="","",MIN($C90,SUMIFS(Movimientos!$G$2:$G$501,Movimientos!$B$2:$B$501,$B90,Movimientos!$I$2:$I$501,"&gt;="&amp;($C$4-0))))</f>
        <v/>
      </c>
      <c r="E90" s="33" t="str">
        <f aca="false">IF($B90="","",MIN($C90,SUMIFS(Movimientos!$G$2:$G$501,Movimientos!$B$2:$B$501,$B90,Movimientos!$I$2:$I$501,"&gt;="&amp;($C$4-30)))-MIN($C90,SUMIFS(Movimientos!$G$2:$G$501,Movimientos!$B$2:$B$501,$B90,Movimientos!$I$2:$I$501,"&gt;="&amp;($C$4-0))))</f>
        <v/>
      </c>
      <c r="F90" s="33" t="str">
        <f aca="false">IF($B90="","",MIN($C90,SUMIFS(Movimientos!$G$2:$G$501,Movimientos!$B$2:$B$501,$B90,Movimientos!$I$2:$I$501,"&gt;="&amp;($C$4-60)))-MIN($C90,SUMIFS(Movimientos!$G$2:$G$501,Movimientos!$B$2:$B$501,$B90,Movimientos!$I$2:$I$501,"&gt;="&amp;($C$4-30))))</f>
        <v/>
      </c>
      <c r="G90" s="33" t="str">
        <f aca="false">IF($B90="","",$C90-MIN($C90,SUMIFS(Movimientos!$G$2:$G$501,Movimientos!$B$2:$B$501,$B90,Movimientos!$I$2:$I$501,"&gt;="&amp;($C$4-60))))</f>
        <v/>
      </c>
      <c r="H90" s="32" t="str">
        <f aca="false">IF($B90="","",Clientes!$L$71)</f>
        <v/>
      </c>
    </row>
    <row r="91" customFormat="false" ht="15" hidden="false" customHeight="false" outlineLevel="0" collapsed="false">
      <c r="B91" s="32" t="str">
        <f aca="false">IF(Clientes!$B$72="","",Clientes!$B$72)</f>
        <v/>
      </c>
      <c r="C91" s="33" t="str">
        <f aca="false">IF($B91="","",MAX(0,Clientes!$H$72))</f>
        <v/>
      </c>
      <c r="D91" s="33" t="str">
        <f aca="false">IF($B91="","",MIN($C91,SUMIFS(Movimientos!$G$2:$G$501,Movimientos!$B$2:$B$501,$B91,Movimientos!$I$2:$I$501,"&gt;="&amp;($C$4-0))))</f>
        <v/>
      </c>
      <c r="E91" s="33" t="str">
        <f aca="false">IF($B91="","",MIN($C91,SUMIFS(Movimientos!$G$2:$G$501,Movimientos!$B$2:$B$501,$B91,Movimientos!$I$2:$I$501,"&gt;="&amp;($C$4-30)))-MIN($C91,SUMIFS(Movimientos!$G$2:$G$501,Movimientos!$B$2:$B$501,$B91,Movimientos!$I$2:$I$501,"&gt;="&amp;($C$4-0))))</f>
        <v/>
      </c>
      <c r="F91" s="33" t="str">
        <f aca="false">IF($B91="","",MIN($C91,SUMIFS(Movimientos!$G$2:$G$501,Movimientos!$B$2:$B$501,$B91,Movimientos!$I$2:$I$501,"&gt;="&amp;($C$4-60)))-MIN($C91,SUMIFS(Movimientos!$G$2:$G$501,Movimientos!$B$2:$B$501,$B91,Movimientos!$I$2:$I$501,"&gt;="&amp;($C$4-30))))</f>
        <v/>
      </c>
      <c r="G91" s="33" t="str">
        <f aca="false">IF($B91="","",$C91-MIN($C91,SUMIFS(Movimientos!$G$2:$G$501,Movimientos!$B$2:$B$501,$B91,Movimientos!$I$2:$I$501,"&gt;="&amp;($C$4-60))))</f>
        <v/>
      </c>
      <c r="H91" s="32" t="str">
        <f aca="false">IF($B91="","",Clientes!$L$72)</f>
        <v/>
      </c>
    </row>
    <row r="92" customFormat="false" ht="15" hidden="false" customHeight="false" outlineLevel="0" collapsed="false">
      <c r="B92" s="32" t="str">
        <f aca="false">IF(Clientes!$B$73="","",Clientes!$B$73)</f>
        <v/>
      </c>
      <c r="C92" s="33" t="str">
        <f aca="false">IF($B92="","",MAX(0,Clientes!$H$73))</f>
        <v/>
      </c>
      <c r="D92" s="33" t="str">
        <f aca="false">IF($B92="","",MIN($C92,SUMIFS(Movimientos!$G$2:$G$501,Movimientos!$B$2:$B$501,$B92,Movimientos!$I$2:$I$501,"&gt;="&amp;($C$4-0))))</f>
        <v/>
      </c>
      <c r="E92" s="33" t="str">
        <f aca="false">IF($B92="","",MIN($C92,SUMIFS(Movimientos!$G$2:$G$501,Movimientos!$B$2:$B$501,$B92,Movimientos!$I$2:$I$501,"&gt;="&amp;($C$4-30)))-MIN($C92,SUMIFS(Movimientos!$G$2:$G$501,Movimientos!$B$2:$B$501,$B92,Movimientos!$I$2:$I$501,"&gt;="&amp;($C$4-0))))</f>
        <v/>
      </c>
      <c r="F92" s="33" t="str">
        <f aca="false">IF($B92="","",MIN($C92,SUMIFS(Movimientos!$G$2:$G$501,Movimientos!$B$2:$B$501,$B92,Movimientos!$I$2:$I$501,"&gt;="&amp;($C$4-60)))-MIN($C92,SUMIFS(Movimientos!$G$2:$G$501,Movimientos!$B$2:$B$501,$B92,Movimientos!$I$2:$I$501,"&gt;="&amp;($C$4-30))))</f>
        <v/>
      </c>
      <c r="G92" s="33" t="str">
        <f aca="false">IF($B92="","",$C92-MIN($C92,SUMIFS(Movimientos!$G$2:$G$501,Movimientos!$B$2:$B$501,$B92,Movimientos!$I$2:$I$501,"&gt;="&amp;($C$4-60))))</f>
        <v/>
      </c>
      <c r="H92" s="32" t="str">
        <f aca="false">IF($B92="","",Clientes!$L$73)</f>
        <v/>
      </c>
    </row>
    <row r="93" customFormat="false" ht="15" hidden="false" customHeight="false" outlineLevel="0" collapsed="false">
      <c r="B93" s="32" t="str">
        <f aca="false">IF(Clientes!$B$74="","",Clientes!$B$74)</f>
        <v/>
      </c>
      <c r="C93" s="33" t="str">
        <f aca="false">IF($B93="","",MAX(0,Clientes!$H$74))</f>
        <v/>
      </c>
      <c r="D93" s="33" t="str">
        <f aca="false">IF($B93="","",MIN($C93,SUMIFS(Movimientos!$G$2:$G$501,Movimientos!$B$2:$B$501,$B93,Movimientos!$I$2:$I$501,"&gt;="&amp;($C$4-0))))</f>
        <v/>
      </c>
      <c r="E93" s="33" t="str">
        <f aca="false">IF($B93="","",MIN($C93,SUMIFS(Movimientos!$G$2:$G$501,Movimientos!$B$2:$B$501,$B93,Movimientos!$I$2:$I$501,"&gt;="&amp;($C$4-30)))-MIN($C93,SUMIFS(Movimientos!$G$2:$G$501,Movimientos!$B$2:$B$501,$B93,Movimientos!$I$2:$I$501,"&gt;="&amp;($C$4-0))))</f>
        <v/>
      </c>
      <c r="F93" s="33" t="str">
        <f aca="false">IF($B93="","",MIN($C93,SUMIFS(Movimientos!$G$2:$G$501,Movimientos!$B$2:$B$501,$B93,Movimientos!$I$2:$I$501,"&gt;="&amp;($C$4-60)))-MIN($C93,SUMIFS(Movimientos!$G$2:$G$501,Movimientos!$B$2:$B$501,$B93,Movimientos!$I$2:$I$501,"&gt;="&amp;($C$4-30))))</f>
        <v/>
      </c>
      <c r="G93" s="33" t="str">
        <f aca="false">IF($B93="","",$C93-MIN($C93,SUMIFS(Movimientos!$G$2:$G$501,Movimientos!$B$2:$B$501,$B93,Movimientos!$I$2:$I$501,"&gt;="&amp;($C$4-60))))</f>
        <v/>
      </c>
      <c r="H93" s="32" t="str">
        <f aca="false">IF($B93="","",Clientes!$L$74)</f>
        <v/>
      </c>
    </row>
    <row r="94" customFormat="false" ht="15" hidden="false" customHeight="false" outlineLevel="0" collapsed="false">
      <c r="B94" s="32" t="str">
        <f aca="false">IF(Clientes!$B$75="","",Clientes!$B$75)</f>
        <v/>
      </c>
      <c r="C94" s="33" t="str">
        <f aca="false">IF($B94="","",MAX(0,Clientes!$H$75))</f>
        <v/>
      </c>
      <c r="D94" s="33" t="str">
        <f aca="false">IF($B94="","",MIN($C94,SUMIFS(Movimientos!$G$2:$G$501,Movimientos!$B$2:$B$501,$B94,Movimientos!$I$2:$I$501,"&gt;="&amp;($C$4-0))))</f>
        <v/>
      </c>
      <c r="E94" s="33" t="str">
        <f aca="false">IF($B94="","",MIN($C94,SUMIFS(Movimientos!$G$2:$G$501,Movimientos!$B$2:$B$501,$B94,Movimientos!$I$2:$I$501,"&gt;="&amp;($C$4-30)))-MIN($C94,SUMIFS(Movimientos!$G$2:$G$501,Movimientos!$B$2:$B$501,$B94,Movimientos!$I$2:$I$501,"&gt;="&amp;($C$4-0))))</f>
        <v/>
      </c>
      <c r="F94" s="33" t="str">
        <f aca="false">IF($B94="","",MIN($C94,SUMIFS(Movimientos!$G$2:$G$501,Movimientos!$B$2:$B$501,$B94,Movimientos!$I$2:$I$501,"&gt;="&amp;($C$4-60)))-MIN($C94,SUMIFS(Movimientos!$G$2:$G$501,Movimientos!$B$2:$B$501,$B94,Movimientos!$I$2:$I$501,"&gt;="&amp;($C$4-30))))</f>
        <v/>
      </c>
      <c r="G94" s="33" t="str">
        <f aca="false">IF($B94="","",$C94-MIN($C94,SUMIFS(Movimientos!$G$2:$G$501,Movimientos!$B$2:$B$501,$B94,Movimientos!$I$2:$I$501,"&gt;="&amp;($C$4-60))))</f>
        <v/>
      </c>
      <c r="H94" s="32" t="str">
        <f aca="false">IF($B94="","",Clientes!$L$75)</f>
        <v/>
      </c>
    </row>
    <row r="95" customFormat="false" ht="15" hidden="false" customHeight="false" outlineLevel="0" collapsed="false">
      <c r="B95" s="32" t="str">
        <f aca="false">IF(Clientes!$B$76="","",Clientes!$B$76)</f>
        <v/>
      </c>
      <c r="C95" s="33" t="str">
        <f aca="false">IF($B95="","",MAX(0,Clientes!$H$76))</f>
        <v/>
      </c>
      <c r="D95" s="33" t="str">
        <f aca="false">IF($B95="","",MIN($C95,SUMIFS(Movimientos!$G$2:$G$501,Movimientos!$B$2:$B$501,$B95,Movimientos!$I$2:$I$501,"&gt;="&amp;($C$4-0))))</f>
        <v/>
      </c>
      <c r="E95" s="33" t="str">
        <f aca="false">IF($B95="","",MIN($C95,SUMIFS(Movimientos!$G$2:$G$501,Movimientos!$B$2:$B$501,$B95,Movimientos!$I$2:$I$501,"&gt;="&amp;($C$4-30)))-MIN($C95,SUMIFS(Movimientos!$G$2:$G$501,Movimientos!$B$2:$B$501,$B95,Movimientos!$I$2:$I$501,"&gt;="&amp;($C$4-0))))</f>
        <v/>
      </c>
      <c r="F95" s="33" t="str">
        <f aca="false">IF($B95="","",MIN($C95,SUMIFS(Movimientos!$G$2:$G$501,Movimientos!$B$2:$B$501,$B95,Movimientos!$I$2:$I$501,"&gt;="&amp;($C$4-60)))-MIN($C95,SUMIFS(Movimientos!$G$2:$G$501,Movimientos!$B$2:$B$501,$B95,Movimientos!$I$2:$I$501,"&gt;="&amp;($C$4-30))))</f>
        <v/>
      </c>
      <c r="G95" s="33" t="str">
        <f aca="false">IF($B95="","",$C95-MIN($C95,SUMIFS(Movimientos!$G$2:$G$501,Movimientos!$B$2:$B$501,$B95,Movimientos!$I$2:$I$501,"&gt;="&amp;($C$4-60))))</f>
        <v/>
      </c>
      <c r="H95" s="32" t="str">
        <f aca="false">IF($B95="","",Clientes!$L$76)</f>
        <v/>
      </c>
    </row>
    <row r="96" customFormat="false" ht="15" hidden="false" customHeight="false" outlineLevel="0" collapsed="false">
      <c r="B96" s="32" t="str">
        <f aca="false">IF(Clientes!$B$77="","",Clientes!$B$77)</f>
        <v/>
      </c>
      <c r="C96" s="33" t="str">
        <f aca="false">IF($B96="","",MAX(0,Clientes!$H$77))</f>
        <v/>
      </c>
      <c r="D96" s="33" t="str">
        <f aca="false">IF($B96="","",MIN($C96,SUMIFS(Movimientos!$G$2:$G$501,Movimientos!$B$2:$B$501,$B96,Movimientos!$I$2:$I$501,"&gt;="&amp;($C$4-0))))</f>
        <v/>
      </c>
      <c r="E96" s="33" t="str">
        <f aca="false">IF($B96="","",MIN($C96,SUMIFS(Movimientos!$G$2:$G$501,Movimientos!$B$2:$B$501,$B96,Movimientos!$I$2:$I$501,"&gt;="&amp;($C$4-30)))-MIN($C96,SUMIFS(Movimientos!$G$2:$G$501,Movimientos!$B$2:$B$501,$B96,Movimientos!$I$2:$I$501,"&gt;="&amp;($C$4-0))))</f>
        <v/>
      </c>
      <c r="F96" s="33" t="str">
        <f aca="false">IF($B96="","",MIN($C96,SUMIFS(Movimientos!$G$2:$G$501,Movimientos!$B$2:$B$501,$B96,Movimientos!$I$2:$I$501,"&gt;="&amp;($C$4-60)))-MIN($C96,SUMIFS(Movimientos!$G$2:$G$501,Movimientos!$B$2:$B$501,$B96,Movimientos!$I$2:$I$501,"&gt;="&amp;($C$4-30))))</f>
        <v/>
      </c>
      <c r="G96" s="33" t="str">
        <f aca="false">IF($B96="","",$C96-MIN($C96,SUMIFS(Movimientos!$G$2:$G$501,Movimientos!$B$2:$B$501,$B96,Movimientos!$I$2:$I$501,"&gt;="&amp;($C$4-60))))</f>
        <v/>
      </c>
      <c r="H96" s="32" t="str">
        <f aca="false">IF($B96="","",Clientes!$L$77)</f>
        <v/>
      </c>
    </row>
    <row r="97" customFormat="false" ht="15" hidden="false" customHeight="false" outlineLevel="0" collapsed="false">
      <c r="B97" s="32" t="str">
        <f aca="false">IF(Clientes!$B$78="","",Clientes!$B$78)</f>
        <v/>
      </c>
      <c r="C97" s="33" t="str">
        <f aca="false">IF($B97="","",MAX(0,Clientes!$H$78))</f>
        <v/>
      </c>
      <c r="D97" s="33" t="str">
        <f aca="false">IF($B97="","",MIN($C97,SUMIFS(Movimientos!$G$2:$G$501,Movimientos!$B$2:$B$501,$B97,Movimientos!$I$2:$I$501,"&gt;="&amp;($C$4-0))))</f>
        <v/>
      </c>
      <c r="E97" s="33" t="str">
        <f aca="false">IF($B97="","",MIN($C97,SUMIFS(Movimientos!$G$2:$G$501,Movimientos!$B$2:$B$501,$B97,Movimientos!$I$2:$I$501,"&gt;="&amp;($C$4-30)))-MIN($C97,SUMIFS(Movimientos!$G$2:$G$501,Movimientos!$B$2:$B$501,$B97,Movimientos!$I$2:$I$501,"&gt;="&amp;($C$4-0))))</f>
        <v/>
      </c>
      <c r="F97" s="33" t="str">
        <f aca="false">IF($B97="","",MIN($C97,SUMIFS(Movimientos!$G$2:$G$501,Movimientos!$B$2:$B$501,$B97,Movimientos!$I$2:$I$501,"&gt;="&amp;($C$4-60)))-MIN($C97,SUMIFS(Movimientos!$G$2:$G$501,Movimientos!$B$2:$B$501,$B97,Movimientos!$I$2:$I$501,"&gt;="&amp;($C$4-30))))</f>
        <v/>
      </c>
      <c r="G97" s="33" t="str">
        <f aca="false">IF($B97="","",$C97-MIN($C97,SUMIFS(Movimientos!$G$2:$G$501,Movimientos!$B$2:$B$501,$B97,Movimientos!$I$2:$I$501,"&gt;="&amp;($C$4-60))))</f>
        <v/>
      </c>
      <c r="H97" s="32" t="str">
        <f aca="false">IF($B97="","",Clientes!$L$78)</f>
        <v/>
      </c>
    </row>
    <row r="98" customFormat="false" ht="15" hidden="false" customHeight="false" outlineLevel="0" collapsed="false">
      <c r="B98" s="32" t="str">
        <f aca="false">IF(Clientes!$B$79="","",Clientes!$B$79)</f>
        <v/>
      </c>
      <c r="C98" s="33" t="str">
        <f aca="false">IF($B98="","",MAX(0,Clientes!$H$79))</f>
        <v/>
      </c>
      <c r="D98" s="33" t="str">
        <f aca="false">IF($B98="","",MIN($C98,SUMIFS(Movimientos!$G$2:$G$501,Movimientos!$B$2:$B$501,$B98,Movimientos!$I$2:$I$501,"&gt;="&amp;($C$4-0))))</f>
        <v/>
      </c>
      <c r="E98" s="33" t="str">
        <f aca="false">IF($B98="","",MIN($C98,SUMIFS(Movimientos!$G$2:$G$501,Movimientos!$B$2:$B$501,$B98,Movimientos!$I$2:$I$501,"&gt;="&amp;($C$4-30)))-MIN($C98,SUMIFS(Movimientos!$G$2:$G$501,Movimientos!$B$2:$B$501,$B98,Movimientos!$I$2:$I$501,"&gt;="&amp;($C$4-0))))</f>
        <v/>
      </c>
      <c r="F98" s="33" t="str">
        <f aca="false">IF($B98="","",MIN($C98,SUMIFS(Movimientos!$G$2:$G$501,Movimientos!$B$2:$B$501,$B98,Movimientos!$I$2:$I$501,"&gt;="&amp;($C$4-60)))-MIN($C98,SUMIFS(Movimientos!$G$2:$G$501,Movimientos!$B$2:$B$501,$B98,Movimientos!$I$2:$I$501,"&gt;="&amp;($C$4-30))))</f>
        <v/>
      </c>
      <c r="G98" s="33" t="str">
        <f aca="false">IF($B98="","",$C98-MIN($C98,SUMIFS(Movimientos!$G$2:$G$501,Movimientos!$B$2:$B$501,$B98,Movimientos!$I$2:$I$501,"&gt;="&amp;($C$4-60))))</f>
        <v/>
      </c>
      <c r="H98" s="32" t="str">
        <f aca="false">IF($B98="","",Clientes!$L$79)</f>
        <v/>
      </c>
    </row>
    <row r="99" customFormat="false" ht="15" hidden="false" customHeight="false" outlineLevel="0" collapsed="false">
      <c r="B99" s="32" t="str">
        <f aca="false">IF(Clientes!$B$80="","",Clientes!$B$80)</f>
        <v/>
      </c>
      <c r="C99" s="33" t="str">
        <f aca="false">IF($B99="","",MAX(0,Clientes!$H$80))</f>
        <v/>
      </c>
      <c r="D99" s="33" t="str">
        <f aca="false">IF($B99="","",MIN($C99,SUMIFS(Movimientos!$G$2:$G$501,Movimientos!$B$2:$B$501,$B99,Movimientos!$I$2:$I$501,"&gt;="&amp;($C$4-0))))</f>
        <v/>
      </c>
      <c r="E99" s="33" t="str">
        <f aca="false">IF($B99="","",MIN($C99,SUMIFS(Movimientos!$G$2:$G$501,Movimientos!$B$2:$B$501,$B99,Movimientos!$I$2:$I$501,"&gt;="&amp;($C$4-30)))-MIN($C99,SUMIFS(Movimientos!$G$2:$G$501,Movimientos!$B$2:$B$501,$B99,Movimientos!$I$2:$I$501,"&gt;="&amp;($C$4-0))))</f>
        <v/>
      </c>
      <c r="F99" s="33" t="str">
        <f aca="false">IF($B99="","",MIN($C99,SUMIFS(Movimientos!$G$2:$G$501,Movimientos!$B$2:$B$501,$B99,Movimientos!$I$2:$I$501,"&gt;="&amp;($C$4-60)))-MIN($C99,SUMIFS(Movimientos!$G$2:$G$501,Movimientos!$B$2:$B$501,$B99,Movimientos!$I$2:$I$501,"&gt;="&amp;($C$4-30))))</f>
        <v/>
      </c>
      <c r="G99" s="33" t="str">
        <f aca="false">IF($B99="","",$C99-MIN($C99,SUMIFS(Movimientos!$G$2:$G$501,Movimientos!$B$2:$B$501,$B99,Movimientos!$I$2:$I$501,"&gt;="&amp;($C$4-60))))</f>
        <v/>
      </c>
      <c r="H99" s="32" t="str">
        <f aca="false">IF($B99="","",Clientes!$L$80)</f>
        <v/>
      </c>
    </row>
    <row r="100" customFormat="false" ht="15" hidden="false" customHeight="false" outlineLevel="0" collapsed="false">
      <c r="B100" s="32" t="str">
        <f aca="false">IF(Clientes!$B$81="","",Clientes!$B$81)</f>
        <v/>
      </c>
      <c r="C100" s="33" t="str">
        <f aca="false">IF($B100="","",MAX(0,Clientes!$H$81))</f>
        <v/>
      </c>
      <c r="D100" s="33" t="str">
        <f aca="false">IF($B100="","",MIN($C100,SUMIFS(Movimientos!$G$2:$G$501,Movimientos!$B$2:$B$501,$B100,Movimientos!$I$2:$I$501,"&gt;="&amp;($C$4-0))))</f>
        <v/>
      </c>
      <c r="E100" s="33" t="str">
        <f aca="false">IF($B100="","",MIN($C100,SUMIFS(Movimientos!$G$2:$G$501,Movimientos!$B$2:$B$501,$B100,Movimientos!$I$2:$I$501,"&gt;="&amp;($C$4-30)))-MIN($C100,SUMIFS(Movimientos!$G$2:$G$501,Movimientos!$B$2:$B$501,$B100,Movimientos!$I$2:$I$501,"&gt;="&amp;($C$4-0))))</f>
        <v/>
      </c>
      <c r="F100" s="33" t="str">
        <f aca="false">IF($B100="","",MIN($C100,SUMIFS(Movimientos!$G$2:$G$501,Movimientos!$B$2:$B$501,$B100,Movimientos!$I$2:$I$501,"&gt;="&amp;($C$4-60)))-MIN($C100,SUMIFS(Movimientos!$G$2:$G$501,Movimientos!$B$2:$B$501,$B100,Movimientos!$I$2:$I$501,"&gt;="&amp;($C$4-30))))</f>
        <v/>
      </c>
      <c r="G100" s="33" t="str">
        <f aca="false">IF($B100="","",$C100-MIN($C100,SUMIFS(Movimientos!$G$2:$G$501,Movimientos!$B$2:$B$501,$B100,Movimientos!$I$2:$I$501,"&gt;="&amp;($C$4-60))))</f>
        <v/>
      </c>
      <c r="H100" s="32" t="str">
        <f aca="false">IF($B100="","",Clientes!$L$81)</f>
        <v/>
      </c>
    </row>
  </sheetData>
  <conditionalFormatting sqref="H21:H100">
    <cfRule type="expression" priority="2" aboveAverage="0" equalAverage="0" bottom="0" percent="0" rank="0" text="" dxfId="0">
      <formula>$H21="Excedido"</formula>
    </cfRule>
    <cfRule type="expression" priority="3" aboveAverage="0" equalAverage="0" bottom="0" percent="0" rank="0" text="" dxfId="1">
      <formula>$H21="Con deuda vencida"</formula>
    </cfRule>
    <cfRule type="expression" priority="4" aboveAverage="0" equalAverage="0" bottom="0" percent="0" rank="0" text="" dxfId="2">
      <formula>$H21="Cerca del límite"</formula>
    </cfRule>
    <cfRule type="expression" priority="5" aboveAverage="0" equalAverage="0" bottom="0" percent="0" rank="0" text="" dxfId="3">
      <formula>$H21="Al día"</formula>
    </cfRule>
    <cfRule type="expression" priority="6" aboveAverage="0" equalAverage="0" bottom="0" percent="0" rank="0" text="" dxfId="4">
      <formula>$H21="Sin deuda"</formula>
    </cfRule>
  </conditionalFormatting>
  <conditionalFormatting sqref="G21:G100">
    <cfRule type="expression" priority="7" aboveAverage="0" equalAverage="0" bottom="0" percent="0" rank="0" text="" dxfId="5">
      <formula>N($G21)&gt;0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19"/>
    <col collapsed="false" customWidth="true" hidden="false" outlineLevel="0" max="6" min="6" style="0" width="15"/>
    <col collapsed="false" customWidth="true" hidden="false" outlineLevel="0" max="7" min="7" style="0" width="16"/>
    <col collapsed="false" customWidth="true" hidden="false" outlineLevel="0" max="8" min="8" style="0" width="3"/>
  </cols>
  <sheetData>
    <row r="1" customFormat="false" ht="27.75" hidden="false" customHeight="true" outlineLevel="0" collapsed="false">
      <c r="B1" s="19" t="s">
        <v>111</v>
      </c>
      <c r="C1" s="20"/>
      <c r="D1" s="20"/>
      <c r="E1" s="20"/>
      <c r="F1" s="20"/>
      <c r="G1" s="20"/>
    </row>
    <row r="2" customFormat="false" ht="15" hidden="false" customHeight="false" outlineLevel="0" collapsed="false">
      <c r="B2" s="21" t="s">
        <v>112</v>
      </c>
      <c r="C2" s="20"/>
      <c r="D2" s="20"/>
      <c r="E2" s="20"/>
      <c r="F2" s="20"/>
      <c r="G2" s="20"/>
    </row>
    <row r="4" customFormat="false" ht="15" hidden="false" customHeight="false" outlineLevel="0" collapsed="false">
      <c r="B4" s="22" t="s">
        <v>21</v>
      </c>
      <c r="C4" s="34" t="s">
        <v>35</v>
      </c>
      <c r="E4" s="22" t="s">
        <v>113</v>
      </c>
      <c r="F4" s="35" t="n">
        <f aca="true">TODAY()</f>
        <v>46302</v>
      </c>
    </row>
    <row r="5" customFormat="false" ht="16.15" hidden="false" customHeight="false" outlineLevel="0" collapsed="false">
      <c r="B5" s="22" t="s">
        <v>22</v>
      </c>
      <c r="C5" s="0" t="str">
        <f aca="false">IFERROR(INDEX(Clientes!$C$2:$C$81,MATCH($C$4,Clientes!$B$2:$B$81,0))&amp;"","")</f>
        <v/>
      </c>
      <c r="E5" s="36" t="s">
        <v>114</v>
      </c>
      <c r="F5" s="37" t="n">
        <f aca="false">IFERROR(INDEX(Clientes!$H$2:$H$81,MATCH($C$4,Clientes!$B$2:$B$81,0)),0)</f>
        <v>590000</v>
      </c>
    </row>
    <row r="6" customFormat="false" ht="15" hidden="false" customHeight="false" outlineLevel="0" collapsed="false">
      <c r="B6" s="22" t="s">
        <v>23</v>
      </c>
      <c r="C6" s="0" t="str">
        <f aca="false">IFERROR(INDEX(Clientes!$D$2:$D$81,MATCH($C$4,Clientes!$B$2:$B$81,0))&amp;"","")</f>
        <v>11 5555-0101</v>
      </c>
      <c r="E6" s="22" t="s">
        <v>115</v>
      </c>
      <c r="F6" s="38" t="n">
        <f aca="false">IFERROR(INDEX(Clientes!$K$2:$K$81,MATCH($C$4,Clientes!$B$2:$B$81,0)),0)</f>
        <v>210000</v>
      </c>
    </row>
    <row r="7" customFormat="false" ht="15" hidden="false" customHeight="false" outlineLevel="0" collapsed="false">
      <c r="B7" s="22" t="s">
        <v>25</v>
      </c>
      <c r="C7" s="39" t="n">
        <f aca="false">IFERROR(INDEX(Clientes!$F$2:$F$81,MATCH($C$4,Clientes!$B$2:$B$81,0)),"")</f>
        <v>30</v>
      </c>
      <c r="E7" s="22" t="s">
        <v>97</v>
      </c>
      <c r="F7" s="40" t="n">
        <f aca="false">MAX(0,F5)-F6</f>
        <v>380000</v>
      </c>
    </row>
    <row r="8" customFormat="false" ht="15" hidden="false" customHeight="false" outlineLevel="0" collapsed="false">
      <c r="B8" s="22" t="s">
        <v>26</v>
      </c>
      <c r="C8" s="40" t="n">
        <f aca="false">IFERROR(INDEX(Clientes!$G$2:$G$81,MATCH($C$4,Clientes!$B$2:$B$81,0)),"")</f>
        <v>1500000</v>
      </c>
    </row>
    <row r="10" customFormat="false" ht="15" hidden="false" customHeight="false" outlineLevel="0" collapsed="false">
      <c r="B10" s="26" t="s">
        <v>116</v>
      </c>
      <c r="E10" s="25" t="s">
        <v>117</v>
      </c>
      <c r="G10" s="25" t="n">
        <f aca="false">COUNTIF(Movimientos!$B$2:$B$501,$C$4)</f>
        <v>5</v>
      </c>
    </row>
    <row r="11" customFormat="false" ht="15" hidden="false" customHeight="false" outlineLevel="0" collapsed="false">
      <c r="B11" s="41" t="s">
        <v>50</v>
      </c>
      <c r="C11" s="41" t="s">
        <v>118</v>
      </c>
      <c r="D11" s="41" t="s">
        <v>51</v>
      </c>
      <c r="E11" s="41" t="s">
        <v>119</v>
      </c>
      <c r="F11" s="41" t="s">
        <v>120</v>
      </c>
      <c r="G11" s="41" t="s">
        <v>107</v>
      </c>
    </row>
    <row r="12" customFormat="false" ht="15" hidden="false" customHeight="false" outlineLevel="0" collapsed="false">
      <c r="B12" s="42" t="n">
        <f aca="false">IF((MAX(0,$G$10-40)+1)&gt;$G$10,"",INDEX(Movimientos!$A$2:$A$501,MATCH((MAX(0,$G$10-40)+1),Movimientos!$M$2:$M$501,0)))</f>
        <v>46235</v>
      </c>
      <c r="C12" s="43" t="str">
        <f aca="false">IF((MAX(0,$G$10-40)+1)&gt;$G$10,"",INDEX(Movimientos!$D$2:$D$501,MATCH((MAX(0,$G$10-40)+1),Movimientos!$M$2:$M$501,0))&amp;"")</f>
        <v/>
      </c>
      <c r="D12" s="43" t="str">
        <f aca="false">IF((MAX(0,$G$10-40)+1)&gt;$G$10,"",INDEX(Movimientos!$C$2:$C$501,MATCH((MAX(0,$G$10-40)+1),Movimientos!$M$2:$M$501,0))&amp;"")</f>
        <v>Saldo inicial</v>
      </c>
      <c r="E12" s="44" t="n">
        <f aca="false">IF((MAX(0,$G$10-40)+1)&gt;$G$10,"",INDEX(Movimientos!$G$2:$G$501,MATCH((MAX(0,$G$10-40)+1),Movimientos!$M$2:$M$501,0)))</f>
        <v>320000</v>
      </c>
      <c r="F12" s="44" t="n">
        <f aca="false">IF((MAX(0,$G$10-40)+1)&gt;$G$10,"",INDEX(Movimientos!$H$2:$H$501,MATCH((MAX(0,$G$10-40)+1),Movimientos!$M$2:$M$501,0)))</f>
        <v>0</v>
      </c>
      <c r="G12" s="44" t="n">
        <f aca="false">IF((MAX(0,$G$10-40)+1)&gt;$G$10,"",INDEX(Movimientos!$J$2:$J$501,MATCH((MAX(0,$G$10-40)+1),Movimientos!$M$2:$M$501,0)))</f>
        <v>320000</v>
      </c>
    </row>
    <row r="13" customFormat="false" ht="15" hidden="false" customHeight="false" outlineLevel="0" collapsed="false">
      <c r="B13" s="42" t="n">
        <f aca="false">IF((MAX(0,$G$10-40)+2)&gt;$G$10,"",INDEX(Movimientos!$A$2:$A$501,MATCH((MAX(0,$G$10-40)+2),Movimientos!$M$2:$M$501,0)))</f>
        <v>46246</v>
      </c>
      <c r="C13" s="43" t="str">
        <f aca="false">IF((MAX(0,$G$10-40)+2)&gt;$G$10,"",INDEX(Movimientos!$D$2:$D$501,MATCH((MAX(0,$G$10-40)+2),Movimientos!$M$2:$M$501,0))&amp;"")</f>
        <v>A 0001-00001240</v>
      </c>
      <c r="D13" s="43" t="str">
        <f aca="false">IF((MAX(0,$G$10-40)+2)&gt;$G$10,"",INDEX(Movimientos!$C$2:$C$501,MATCH((MAX(0,$G$10-40)+2),Movimientos!$M$2:$M$501,0))&amp;"")</f>
        <v>Factura</v>
      </c>
      <c r="E13" s="44" t="n">
        <f aca="false">IF((MAX(0,$G$10-40)+2)&gt;$G$10,"",INDEX(Movimientos!$G$2:$G$501,MATCH((MAX(0,$G$10-40)+2),Movimientos!$M$2:$M$501,0)))</f>
        <v>410000</v>
      </c>
      <c r="F13" s="44" t="n">
        <f aca="false">IF((MAX(0,$G$10-40)+2)&gt;$G$10,"",INDEX(Movimientos!$H$2:$H$501,MATCH((MAX(0,$G$10-40)+2),Movimientos!$M$2:$M$501,0)))</f>
        <v>0</v>
      </c>
      <c r="G13" s="44" t="n">
        <f aca="false">IF((MAX(0,$G$10-40)+2)&gt;$G$10,"",INDEX(Movimientos!$J$2:$J$501,MATCH((MAX(0,$G$10-40)+2),Movimientos!$M$2:$M$501,0)))</f>
        <v>730000</v>
      </c>
    </row>
    <row r="14" customFormat="false" ht="15" hidden="false" customHeight="false" outlineLevel="0" collapsed="false">
      <c r="B14" s="42" t="n">
        <f aca="false">IF((MAX(0,$G$10-40)+3)&gt;$G$10,"",INDEX(Movimientos!$A$2:$A$501,MATCH((MAX(0,$G$10-40)+3),Movimientos!$M$2:$M$501,0)))</f>
        <v>46265</v>
      </c>
      <c r="C14" s="43" t="str">
        <f aca="false">IF((MAX(0,$G$10-40)+3)&gt;$G$10,"",INDEX(Movimientos!$D$2:$D$501,MATCH((MAX(0,$G$10-40)+3),Movimientos!$M$2:$M$501,0))&amp;"")</f>
        <v>REC 0001-00000310</v>
      </c>
      <c r="D14" s="43" t="str">
        <f aca="false">IF((MAX(0,$G$10-40)+3)&gt;$G$10,"",INDEX(Movimientos!$C$2:$C$501,MATCH((MAX(0,$G$10-40)+3),Movimientos!$M$2:$M$501,0))&amp;"")</f>
        <v>Cobro</v>
      </c>
      <c r="E14" s="44" t="n">
        <f aca="false">IF((MAX(0,$G$10-40)+3)&gt;$G$10,"",INDEX(Movimientos!$G$2:$G$501,MATCH((MAX(0,$G$10-40)+3),Movimientos!$M$2:$M$501,0)))</f>
        <v>0</v>
      </c>
      <c r="F14" s="44" t="n">
        <f aca="false">IF((MAX(0,$G$10-40)+3)&gt;$G$10,"",INDEX(Movimientos!$H$2:$H$501,MATCH((MAX(0,$G$10-40)+3),Movimientos!$M$2:$M$501,0)))</f>
        <v>320000</v>
      </c>
      <c r="G14" s="44" t="n">
        <f aca="false">IF((MAX(0,$G$10-40)+3)&gt;$G$10,"",INDEX(Movimientos!$J$2:$J$501,MATCH((MAX(0,$G$10-40)+3),Movimientos!$M$2:$M$501,0)))</f>
        <v>410000</v>
      </c>
    </row>
    <row r="15" customFormat="false" ht="15" hidden="false" customHeight="false" outlineLevel="0" collapsed="false">
      <c r="B15" s="42" t="n">
        <f aca="false">IF((MAX(0,$G$10-40)+4)&gt;$G$10,"",INDEX(Movimientos!$A$2:$A$501,MATCH((MAX(0,$G$10-40)+4),Movimientos!$M$2:$M$501,0)))</f>
        <v>46293</v>
      </c>
      <c r="C15" s="43" t="str">
        <f aca="false">IF((MAX(0,$G$10-40)+4)&gt;$G$10,"",INDEX(Movimientos!$D$2:$D$501,MATCH((MAX(0,$G$10-40)+4),Movimientos!$M$2:$M$501,0))&amp;"")</f>
        <v>REC 0001-00000330</v>
      </c>
      <c r="D15" s="43" t="str">
        <f aca="false">IF((MAX(0,$G$10-40)+4)&gt;$G$10,"",INDEX(Movimientos!$C$2:$C$501,MATCH((MAX(0,$G$10-40)+4),Movimientos!$M$2:$M$501,0))&amp;"")</f>
        <v>Cobro</v>
      </c>
      <c r="E15" s="44" t="n">
        <f aca="false">IF((MAX(0,$G$10-40)+4)&gt;$G$10,"",INDEX(Movimientos!$G$2:$G$501,MATCH((MAX(0,$G$10-40)+4),Movimientos!$M$2:$M$501,0)))</f>
        <v>0</v>
      </c>
      <c r="F15" s="44" t="n">
        <f aca="false">IF((MAX(0,$G$10-40)+4)&gt;$G$10,"",INDEX(Movimientos!$H$2:$H$501,MATCH((MAX(0,$G$10-40)+4),Movimientos!$M$2:$M$501,0)))</f>
        <v>200000</v>
      </c>
      <c r="G15" s="44" t="n">
        <f aca="false">IF((MAX(0,$G$10-40)+4)&gt;$G$10,"",INDEX(Movimientos!$J$2:$J$501,MATCH((MAX(0,$G$10-40)+4),Movimientos!$M$2:$M$501,0)))</f>
        <v>210000</v>
      </c>
    </row>
    <row r="16" customFormat="false" ht="15" hidden="false" customHeight="false" outlineLevel="0" collapsed="false">
      <c r="B16" s="42" t="n">
        <f aca="false">IF((MAX(0,$G$10-40)+5)&gt;$G$10,"",INDEX(Movimientos!$A$2:$A$501,MATCH((MAX(0,$G$10-40)+5),Movimientos!$M$2:$M$501,0)))</f>
        <v>46296</v>
      </c>
      <c r="C16" s="43" t="str">
        <f aca="false">IF((MAX(0,$G$10-40)+5)&gt;$G$10,"",INDEX(Movimientos!$D$2:$D$501,MATCH((MAX(0,$G$10-40)+5),Movimientos!$M$2:$M$501,0))&amp;"")</f>
        <v>A 0001-00001301</v>
      </c>
      <c r="D16" s="43" t="str">
        <f aca="false">IF((MAX(0,$G$10-40)+5)&gt;$G$10,"",INDEX(Movimientos!$C$2:$C$501,MATCH((MAX(0,$G$10-40)+5),Movimientos!$M$2:$M$501,0))&amp;"")</f>
        <v>Factura</v>
      </c>
      <c r="E16" s="44" t="n">
        <f aca="false">IF((MAX(0,$G$10-40)+5)&gt;$G$10,"",INDEX(Movimientos!$G$2:$G$501,MATCH((MAX(0,$G$10-40)+5),Movimientos!$M$2:$M$501,0)))</f>
        <v>380000</v>
      </c>
      <c r="F16" s="44" t="n">
        <f aca="false">IF((MAX(0,$G$10-40)+5)&gt;$G$10,"",INDEX(Movimientos!$H$2:$H$501,MATCH((MAX(0,$G$10-40)+5),Movimientos!$M$2:$M$501,0)))</f>
        <v>0</v>
      </c>
      <c r="G16" s="44" t="n">
        <f aca="false">IF((MAX(0,$G$10-40)+5)&gt;$G$10,"",INDEX(Movimientos!$J$2:$J$501,MATCH((MAX(0,$G$10-40)+5),Movimientos!$M$2:$M$501,0)))</f>
        <v>590000</v>
      </c>
    </row>
    <row r="17" customFormat="false" ht="15" hidden="false" customHeight="false" outlineLevel="0" collapsed="false">
      <c r="B17" s="42" t="str">
        <f aca="false">IF((MAX(0,$G$10-40)+6)&gt;$G$10,"",INDEX(Movimientos!$A$2:$A$501,MATCH((MAX(0,$G$10-40)+6),Movimientos!$M$2:$M$501,0)))</f>
        <v/>
      </c>
      <c r="C17" s="43" t="str">
        <f aca="false">IF((MAX(0,$G$10-40)+6)&gt;$G$10,"",INDEX(Movimientos!$D$2:$D$501,MATCH((MAX(0,$G$10-40)+6),Movimientos!$M$2:$M$501,0))&amp;"")</f>
        <v/>
      </c>
      <c r="D17" s="43" t="str">
        <f aca="false">IF((MAX(0,$G$10-40)+6)&gt;$G$10,"",INDEX(Movimientos!$C$2:$C$501,MATCH((MAX(0,$G$10-40)+6),Movimientos!$M$2:$M$501,0))&amp;"")</f>
        <v/>
      </c>
      <c r="E17" s="44" t="str">
        <f aca="false">IF((MAX(0,$G$10-40)+6)&gt;$G$10,"",INDEX(Movimientos!$G$2:$G$501,MATCH((MAX(0,$G$10-40)+6),Movimientos!$M$2:$M$501,0)))</f>
        <v/>
      </c>
      <c r="F17" s="44" t="str">
        <f aca="false">IF((MAX(0,$G$10-40)+6)&gt;$G$10,"",INDEX(Movimientos!$H$2:$H$501,MATCH((MAX(0,$G$10-40)+6),Movimientos!$M$2:$M$501,0)))</f>
        <v/>
      </c>
      <c r="G17" s="44" t="str">
        <f aca="false">IF((MAX(0,$G$10-40)+6)&gt;$G$10,"",INDEX(Movimientos!$J$2:$J$501,MATCH((MAX(0,$G$10-40)+6),Movimientos!$M$2:$M$501,0)))</f>
        <v/>
      </c>
    </row>
    <row r="18" customFormat="false" ht="15" hidden="false" customHeight="false" outlineLevel="0" collapsed="false">
      <c r="B18" s="42" t="str">
        <f aca="false">IF((MAX(0,$G$10-40)+7)&gt;$G$10,"",INDEX(Movimientos!$A$2:$A$501,MATCH((MAX(0,$G$10-40)+7),Movimientos!$M$2:$M$501,0)))</f>
        <v/>
      </c>
      <c r="C18" s="43" t="str">
        <f aca="false">IF((MAX(0,$G$10-40)+7)&gt;$G$10,"",INDEX(Movimientos!$D$2:$D$501,MATCH((MAX(0,$G$10-40)+7),Movimientos!$M$2:$M$501,0))&amp;"")</f>
        <v/>
      </c>
      <c r="D18" s="43" t="str">
        <f aca="false">IF((MAX(0,$G$10-40)+7)&gt;$G$10,"",INDEX(Movimientos!$C$2:$C$501,MATCH((MAX(0,$G$10-40)+7),Movimientos!$M$2:$M$501,0))&amp;"")</f>
        <v/>
      </c>
      <c r="E18" s="44" t="str">
        <f aca="false">IF((MAX(0,$G$10-40)+7)&gt;$G$10,"",INDEX(Movimientos!$G$2:$G$501,MATCH((MAX(0,$G$10-40)+7),Movimientos!$M$2:$M$501,0)))</f>
        <v/>
      </c>
      <c r="F18" s="44" t="str">
        <f aca="false">IF((MAX(0,$G$10-40)+7)&gt;$G$10,"",INDEX(Movimientos!$H$2:$H$501,MATCH((MAX(0,$G$10-40)+7),Movimientos!$M$2:$M$501,0)))</f>
        <v/>
      </c>
      <c r="G18" s="44" t="str">
        <f aca="false">IF((MAX(0,$G$10-40)+7)&gt;$G$10,"",INDEX(Movimientos!$J$2:$J$501,MATCH((MAX(0,$G$10-40)+7),Movimientos!$M$2:$M$501,0)))</f>
        <v/>
      </c>
    </row>
    <row r="19" customFormat="false" ht="15" hidden="false" customHeight="false" outlineLevel="0" collapsed="false">
      <c r="B19" s="42" t="str">
        <f aca="false">IF((MAX(0,$G$10-40)+8)&gt;$G$10,"",INDEX(Movimientos!$A$2:$A$501,MATCH((MAX(0,$G$10-40)+8),Movimientos!$M$2:$M$501,0)))</f>
        <v/>
      </c>
      <c r="C19" s="43" t="str">
        <f aca="false">IF((MAX(0,$G$10-40)+8)&gt;$G$10,"",INDEX(Movimientos!$D$2:$D$501,MATCH((MAX(0,$G$10-40)+8),Movimientos!$M$2:$M$501,0))&amp;"")</f>
        <v/>
      </c>
      <c r="D19" s="43" t="str">
        <f aca="false">IF((MAX(0,$G$10-40)+8)&gt;$G$10,"",INDEX(Movimientos!$C$2:$C$501,MATCH((MAX(0,$G$10-40)+8),Movimientos!$M$2:$M$501,0))&amp;"")</f>
        <v/>
      </c>
      <c r="E19" s="44" t="str">
        <f aca="false">IF((MAX(0,$G$10-40)+8)&gt;$G$10,"",INDEX(Movimientos!$G$2:$G$501,MATCH((MAX(0,$G$10-40)+8),Movimientos!$M$2:$M$501,0)))</f>
        <v/>
      </c>
      <c r="F19" s="44" t="str">
        <f aca="false">IF((MAX(0,$G$10-40)+8)&gt;$G$10,"",INDEX(Movimientos!$H$2:$H$501,MATCH((MAX(0,$G$10-40)+8),Movimientos!$M$2:$M$501,0)))</f>
        <v/>
      </c>
      <c r="G19" s="44" t="str">
        <f aca="false">IF((MAX(0,$G$10-40)+8)&gt;$G$10,"",INDEX(Movimientos!$J$2:$J$501,MATCH((MAX(0,$G$10-40)+8),Movimientos!$M$2:$M$501,0)))</f>
        <v/>
      </c>
    </row>
    <row r="20" customFormat="false" ht="15" hidden="false" customHeight="false" outlineLevel="0" collapsed="false">
      <c r="B20" s="42" t="str">
        <f aca="false">IF((MAX(0,$G$10-40)+9)&gt;$G$10,"",INDEX(Movimientos!$A$2:$A$501,MATCH((MAX(0,$G$10-40)+9),Movimientos!$M$2:$M$501,0)))</f>
        <v/>
      </c>
      <c r="C20" s="43" t="str">
        <f aca="false">IF((MAX(0,$G$10-40)+9)&gt;$G$10,"",INDEX(Movimientos!$D$2:$D$501,MATCH((MAX(0,$G$10-40)+9),Movimientos!$M$2:$M$501,0))&amp;"")</f>
        <v/>
      </c>
      <c r="D20" s="43" t="str">
        <f aca="false">IF((MAX(0,$G$10-40)+9)&gt;$G$10,"",INDEX(Movimientos!$C$2:$C$501,MATCH((MAX(0,$G$10-40)+9),Movimientos!$M$2:$M$501,0))&amp;"")</f>
        <v/>
      </c>
      <c r="E20" s="44" t="str">
        <f aca="false">IF((MAX(0,$G$10-40)+9)&gt;$G$10,"",INDEX(Movimientos!$G$2:$G$501,MATCH((MAX(0,$G$10-40)+9),Movimientos!$M$2:$M$501,0)))</f>
        <v/>
      </c>
      <c r="F20" s="44" t="str">
        <f aca="false">IF((MAX(0,$G$10-40)+9)&gt;$G$10,"",INDEX(Movimientos!$H$2:$H$501,MATCH((MAX(0,$G$10-40)+9),Movimientos!$M$2:$M$501,0)))</f>
        <v/>
      </c>
      <c r="G20" s="44" t="str">
        <f aca="false">IF((MAX(0,$G$10-40)+9)&gt;$G$10,"",INDEX(Movimientos!$J$2:$J$501,MATCH((MAX(0,$G$10-40)+9),Movimientos!$M$2:$M$501,0)))</f>
        <v/>
      </c>
    </row>
    <row r="21" customFormat="false" ht="15" hidden="false" customHeight="false" outlineLevel="0" collapsed="false">
      <c r="B21" s="42" t="str">
        <f aca="false">IF((MAX(0,$G$10-40)+10)&gt;$G$10,"",INDEX(Movimientos!$A$2:$A$501,MATCH((MAX(0,$G$10-40)+10),Movimientos!$M$2:$M$501,0)))</f>
        <v/>
      </c>
      <c r="C21" s="43" t="str">
        <f aca="false">IF((MAX(0,$G$10-40)+10)&gt;$G$10,"",INDEX(Movimientos!$D$2:$D$501,MATCH((MAX(0,$G$10-40)+10),Movimientos!$M$2:$M$501,0))&amp;"")</f>
        <v/>
      </c>
      <c r="D21" s="43" t="str">
        <f aca="false">IF((MAX(0,$G$10-40)+10)&gt;$G$10,"",INDEX(Movimientos!$C$2:$C$501,MATCH((MAX(0,$G$10-40)+10),Movimientos!$M$2:$M$501,0))&amp;"")</f>
        <v/>
      </c>
      <c r="E21" s="44" t="str">
        <f aca="false">IF((MAX(0,$G$10-40)+10)&gt;$G$10,"",INDEX(Movimientos!$G$2:$G$501,MATCH((MAX(0,$G$10-40)+10),Movimientos!$M$2:$M$501,0)))</f>
        <v/>
      </c>
      <c r="F21" s="44" t="str">
        <f aca="false">IF((MAX(0,$G$10-40)+10)&gt;$G$10,"",INDEX(Movimientos!$H$2:$H$501,MATCH((MAX(0,$G$10-40)+10),Movimientos!$M$2:$M$501,0)))</f>
        <v/>
      </c>
      <c r="G21" s="44" t="str">
        <f aca="false">IF((MAX(0,$G$10-40)+10)&gt;$G$10,"",INDEX(Movimientos!$J$2:$J$501,MATCH((MAX(0,$G$10-40)+10),Movimientos!$M$2:$M$501,0)))</f>
        <v/>
      </c>
    </row>
    <row r="22" customFormat="false" ht="15" hidden="false" customHeight="false" outlineLevel="0" collapsed="false">
      <c r="B22" s="42" t="str">
        <f aca="false">IF((MAX(0,$G$10-40)+11)&gt;$G$10,"",INDEX(Movimientos!$A$2:$A$501,MATCH((MAX(0,$G$10-40)+11),Movimientos!$M$2:$M$501,0)))</f>
        <v/>
      </c>
      <c r="C22" s="43" t="str">
        <f aca="false">IF((MAX(0,$G$10-40)+11)&gt;$G$10,"",INDEX(Movimientos!$D$2:$D$501,MATCH((MAX(0,$G$10-40)+11),Movimientos!$M$2:$M$501,0))&amp;"")</f>
        <v/>
      </c>
      <c r="D22" s="43" t="str">
        <f aca="false">IF((MAX(0,$G$10-40)+11)&gt;$G$10,"",INDEX(Movimientos!$C$2:$C$501,MATCH((MAX(0,$G$10-40)+11),Movimientos!$M$2:$M$501,0))&amp;"")</f>
        <v/>
      </c>
      <c r="E22" s="44" t="str">
        <f aca="false">IF((MAX(0,$G$10-40)+11)&gt;$G$10,"",INDEX(Movimientos!$G$2:$G$501,MATCH((MAX(0,$G$10-40)+11),Movimientos!$M$2:$M$501,0)))</f>
        <v/>
      </c>
      <c r="F22" s="44" t="str">
        <f aca="false">IF((MAX(0,$G$10-40)+11)&gt;$G$10,"",INDEX(Movimientos!$H$2:$H$501,MATCH((MAX(0,$G$10-40)+11),Movimientos!$M$2:$M$501,0)))</f>
        <v/>
      </c>
      <c r="G22" s="44" t="str">
        <f aca="false">IF((MAX(0,$G$10-40)+11)&gt;$G$10,"",INDEX(Movimientos!$J$2:$J$501,MATCH((MAX(0,$G$10-40)+11),Movimientos!$M$2:$M$501,0)))</f>
        <v/>
      </c>
    </row>
    <row r="23" customFormat="false" ht="15" hidden="false" customHeight="false" outlineLevel="0" collapsed="false">
      <c r="B23" s="42" t="str">
        <f aca="false">IF((MAX(0,$G$10-40)+12)&gt;$G$10,"",INDEX(Movimientos!$A$2:$A$501,MATCH((MAX(0,$G$10-40)+12),Movimientos!$M$2:$M$501,0)))</f>
        <v/>
      </c>
      <c r="C23" s="43" t="str">
        <f aca="false">IF((MAX(0,$G$10-40)+12)&gt;$G$10,"",INDEX(Movimientos!$D$2:$D$501,MATCH((MAX(0,$G$10-40)+12),Movimientos!$M$2:$M$501,0))&amp;"")</f>
        <v/>
      </c>
      <c r="D23" s="43" t="str">
        <f aca="false">IF((MAX(0,$G$10-40)+12)&gt;$G$10,"",INDEX(Movimientos!$C$2:$C$501,MATCH((MAX(0,$G$10-40)+12),Movimientos!$M$2:$M$501,0))&amp;"")</f>
        <v/>
      </c>
      <c r="E23" s="44" t="str">
        <f aca="false">IF((MAX(0,$G$10-40)+12)&gt;$G$10,"",INDEX(Movimientos!$G$2:$G$501,MATCH((MAX(0,$G$10-40)+12),Movimientos!$M$2:$M$501,0)))</f>
        <v/>
      </c>
      <c r="F23" s="44" t="str">
        <f aca="false">IF((MAX(0,$G$10-40)+12)&gt;$G$10,"",INDEX(Movimientos!$H$2:$H$501,MATCH((MAX(0,$G$10-40)+12),Movimientos!$M$2:$M$501,0)))</f>
        <v/>
      </c>
      <c r="G23" s="44" t="str">
        <f aca="false">IF((MAX(0,$G$10-40)+12)&gt;$G$10,"",INDEX(Movimientos!$J$2:$J$501,MATCH((MAX(0,$G$10-40)+12),Movimientos!$M$2:$M$501,0)))</f>
        <v/>
      </c>
    </row>
    <row r="24" customFormat="false" ht="15" hidden="false" customHeight="false" outlineLevel="0" collapsed="false">
      <c r="B24" s="42" t="str">
        <f aca="false">IF((MAX(0,$G$10-40)+13)&gt;$G$10,"",INDEX(Movimientos!$A$2:$A$501,MATCH((MAX(0,$G$10-40)+13),Movimientos!$M$2:$M$501,0)))</f>
        <v/>
      </c>
      <c r="C24" s="43" t="str">
        <f aca="false">IF((MAX(0,$G$10-40)+13)&gt;$G$10,"",INDEX(Movimientos!$D$2:$D$501,MATCH((MAX(0,$G$10-40)+13),Movimientos!$M$2:$M$501,0))&amp;"")</f>
        <v/>
      </c>
      <c r="D24" s="43" t="str">
        <f aca="false">IF((MAX(0,$G$10-40)+13)&gt;$G$10,"",INDEX(Movimientos!$C$2:$C$501,MATCH((MAX(0,$G$10-40)+13),Movimientos!$M$2:$M$501,0))&amp;"")</f>
        <v/>
      </c>
      <c r="E24" s="44" t="str">
        <f aca="false">IF((MAX(0,$G$10-40)+13)&gt;$G$10,"",INDEX(Movimientos!$G$2:$G$501,MATCH((MAX(0,$G$10-40)+13),Movimientos!$M$2:$M$501,0)))</f>
        <v/>
      </c>
      <c r="F24" s="44" t="str">
        <f aca="false">IF((MAX(0,$G$10-40)+13)&gt;$G$10,"",INDEX(Movimientos!$H$2:$H$501,MATCH((MAX(0,$G$10-40)+13),Movimientos!$M$2:$M$501,0)))</f>
        <v/>
      </c>
      <c r="G24" s="44" t="str">
        <f aca="false">IF((MAX(0,$G$10-40)+13)&gt;$G$10,"",INDEX(Movimientos!$J$2:$J$501,MATCH((MAX(0,$G$10-40)+13),Movimientos!$M$2:$M$501,0)))</f>
        <v/>
      </c>
    </row>
    <row r="25" customFormat="false" ht="15" hidden="false" customHeight="false" outlineLevel="0" collapsed="false">
      <c r="B25" s="42" t="str">
        <f aca="false">IF((MAX(0,$G$10-40)+14)&gt;$G$10,"",INDEX(Movimientos!$A$2:$A$501,MATCH((MAX(0,$G$10-40)+14),Movimientos!$M$2:$M$501,0)))</f>
        <v/>
      </c>
      <c r="C25" s="43" t="str">
        <f aca="false">IF((MAX(0,$G$10-40)+14)&gt;$G$10,"",INDEX(Movimientos!$D$2:$D$501,MATCH((MAX(0,$G$10-40)+14),Movimientos!$M$2:$M$501,0))&amp;"")</f>
        <v/>
      </c>
      <c r="D25" s="43" t="str">
        <f aca="false">IF((MAX(0,$G$10-40)+14)&gt;$G$10,"",INDEX(Movimientos!$C$2:$C$501,MATCH((MAX(0,$G$10-40)+14),Movimientos!$M$2:$M$501,0))&amp;"")</f>
        <v/>
      </c>
      <c r="E25" s="44" t="str">
        <f aca="false">IF((MAX(0,$G$10-40)+14)&gt;$G$10,"",INDEX(Movimientos!$G$2:$G$501,MATCH((MAX(0,$G$10-40)+14),Movimientos!$M$2:$M$501,0)))</f>
        <v/>
      </c>
      <c r="F25" s="44" t="str">
        <f aca="false">IF((MAX(0,$G$10-40)+14)&gt;$G$10,"",INDEX(Movimientos!$H$2:$H$501,MATCH((MAX(0,$G$10-40)+14),Movimientos!$M$2:$M$501,0)))</f>
        <v/>
      </c>
      <c r="G25" s="44" t="str">
        <f aca="false">IF((MAX(0,$G$10-40)+14)&gt;$G$10,"",INDEX(Movimientos!$J$2:$J$501,MATCH((MAX(0,$G$10-40)+14),Movimientos!$M$2:$M$501,0)))</f>
        <v/>
      </c>
    </row>
    <row r="26" customFormat="false" ht="15" hidden="false" customHeight="false" outlineLevel="0" collapsed="false">
      <c r="B26" s="42" t="str">
        <f aca="false">IF((MAX(0,$G$10-40)+15)&gt;$G$10,"",INDEX(Movimientos!$A$2:$A$501,MATCH((MAX(0,$G$10-40)+15),Movimientos!$M$2:$M$501,0)))</f>
        <v/>
      </c>
      <c r="C26" s="43" t="str">
        <f aca="false">IF((MAX(0,$G$10-40)+15)&gt;$G$10,"",INDEX(Movimientos!$D$2:$D$501,MATCH((MAX(0,$G$10-40)+15),Movimientos!$M$2:$M$501,0))&amp;"")</f>
        <v/>
      </c>
      <c r="D26" s="43" t="str">
        <f aca="false">IF((MAX(0,$G$10-40)+15)&gt;$G$10,"",INDEX(Movimientos!$C$2:$C$501,MATCH((MAX(0,$G$10-40)+15),Movimientos!$M$2:$M$501,0))&amp;"")</f>
        <v/>
      </c>
      <c r="E26" s="44" t="str">
        <f aca="false">IF((MAX(0,$G$10-40)+15)&gt;$G$10,"",INDEX(Movimientos!$G$2:$G$501,MATCH((MAX(0,$G$10-40)+15),Movimientos!$M$2:$M$501,0)))</f>
        <v/>
      </c>
      <c r="F26" s="44" t="str">
        <f aca="false">IF((MAX(0,$G$10-40)+15)&gt;$G$10,"",INDEX(Movimientos!$H$2:$H$501,MATCH((MAX(0,$G$10-40)+15),Movimientos!$M$2:$M$501,0)))</f>
        <v/>
      </c>
      <c r="G26" s="44" t="str">
        <f aca="false">IF((MAX(0,$G$10-40)+15)&gt;$G$10,"",INDEX(Movimientos!$J$2:$J$501,MATCH((MAX(0,$G$10-40)+15),Movimientos!$M$2:$M$501,0)))</f>
        <v/>
      </c>
    </row>
    <row r="27" customFormat="false" ht="15" hidden="false" customHeight="false" outlineLevel="0" collapsed="false">
      <c r="B27" s="42" t="str">
        <f aca="false">IF((MAX(0,$G$10-40)+16)&gt;$G$10,"",INDEX(Movimientos!$A$2:$A$501,MATCH((MAX(0,$G$10-40)+16),Movimientos!$M$2:$M$501,0)))</f>
        <v/>
      </c>
      <c r="C27" s="43" t="str">
        <f aca="false">IF((MAX(0,$G$10-40)+16)&gt;$G$10,"",INDEX(Movimientos!$D$2:$D$501,MATCH((MAX(0,$G$10-40)+16),Movimientos!$M$2:$M$501,0))&amp;"")</f>
        <v/>
      </c>
      <c r="D27" s="43" t="str">
        <f aca="false">IF((MAX(0,$G$10-40)+16)&gt;$G$10,"",INDEX(Movimientos!$C$2:$C$501,MATCH((MAX(0,$G$10-40)+16),Movimientos!$M$2:$M$501,0))&amp;"")</f>
        <v/>
      </c>
      <c r="E27" s="44" t="str">
        <f aca="false">IF((MAX(0,$G$10-40)+16)&gt;$G$10,"",INDEX(Movimientos!$G$2:$G$501,MATCH((MAX(0,$G$10-40)+16),Movimientos!$M$2:$M$501,0)))</f>
        <v/>
      </c>
      <c r="F27" s="44" t="str">
        <f aca="false">IF((MAX(0,$G$10-40)+16)&gt;$G$10,"",INDEX(Movimientos!$H$2:$H$501,MATCH((MAX(0,$G$10-40)+16),Movimientos!$M$2:$M$501,0)))</f>
        <v/>
      </c>
      <c r="G27" s="44" t="str">
        <f aca="false">IF((MAX(0,$G$10-40)+16)&gt;$G$10,"",INDEX(Movimientos!$J$2:$J$501,MATCH((MAX(0,$G$10-40)+16),Movimientos!$M$2:$M$501,0)))</f>
        <v/>
      </c>
    </row>
    <row r="28" customFormat="false" ht="15" hidden="false" customHeight="false" outlineLevel="0" collapsed="false">
      <c r="B28" s="42" t="str">
        <f aca="false">IF((MAX(0,$G$10-40)+17)&gt;$G$10,"",INDEX(Movimientos!$A$2:$A$501,MATCH((MAX(0,$G$10-40)+17),Movimientos!$M$2:$M$501,0)))</f>
        <v/>
      </c>
      <c r="C28" s="43" t="str">
        <f aca="false">IF((MAX(0,$G$10-40)+17)&gt;$G$10,"",INDEX(Movimientos!$D$2:$D$501,MATCH((MAX(0,$G$10-40)+17),Movimientos!$M$2:$M$501,0))&amp;"")</f>
        <v/>
      </c>
      <c r="D28" s="43" t="str">
        <f aca="false">IF((MAX(0,$G$10-40)+17)&gt;$G$10,"",INDEX(Movimientos!$C$2:$C$501,MATCH((MAX(0,$G$10-40)+17),Movimientos!$M$2:$M$501,0))&amp;"")</f>
        <v/>
      </c>
      <c r="E28" s="44" t="str">
        <f aca="false">IF((MAX(0,$G$10-40)+17)&gt;$G$10,"",INDEX(Movimientos!$G$2:$G$501,MATCH((MAX(0,$G$10-40)+17),Movimientos!$M$2:$M$501,0)))</f>
        <v/>
      </c>
      <c r="F28" s="44" t="str">
        <f aca="false">IF((MAX(0,$G$10-40)+17)&gt;$G$10,"",INDEX(Movimientos!$H$2:$H$501,MATCH((MAX(0,$G$10-40)+17),Movimientos!$M$2:$M$501,0)))</f>
        <v/>
      </c>
      <c r="G28" s="44" t="str">
        <f aca="false">IF((MAX(0,$G$10-40)+17)&gt;$G$10,"",INDEX(Movimientos!$J$2:$J$501,MATCH((MAX(0,$G$10-40)+17),Movimientos!$M$2:$M$501,0)))</f>
        <v/>
      </c>
    </row>
    <row r="29" customFormat="false" ht="15" hidden="false" customHeight="false" outlineLevel="0" collapsed="false">
      <c r="B29" s="42" t="str">
        <f aca="false">IF((MAX(0,$G$10-40)+18)&gt;$G$10,"",INDEX(Movimientos!$A$2:$A$501,MATCH((MAX(0,$G$10-40)+18),Movimientos!$M$2:$M$501,0)))</f>
        <v/>
      </c>
      <c r="C29" s="43" t="str">
        <f aca="false">IF((MAX(0,$G$10-40)+18)&gt;$G$10,"",INDEX(Movimientos!$D$2:$D$501,MATCH((MAX(0,$G$10-40)+18),Movimientos!$M$2:$M$501,0))&amp;"")</f>
        <v/>
      </c>
      <c r="D29" s="43" t="str">
        <f aca="false">IF((MAX(0,$G$10-40)+18)&gt;$G$10,"",INDEX(Movimientos!$C$2:$C$501,MATCH((MAX(0,$G$10-40)+18),Movimientos!$M$2:$M$501,0))&amp;"")</f>
        <v/>
      </c>
      <c r="E29" s="44" t="str">
        <f aca="false">IF((MAX(0,$G$10-40)+18)&gt;$G$10,"",INDEX(Movimientos!$G$2:$G$501,MATCH((MAX(0,$G$10-40)+18),Movimientos!$M$2:$M$501,0)))</f>
        <v/>
      </c>
      <c r="F29" s="44" t="str">
        <f aca="false">IF((MAX(0,$G$10-40)+18)&gt;$G$10,"",INDEX(Movimientos!$H$2:$H$501,MATCH((MAX(0,$G$10-40)+18),Movimientos!$M$2:$M$501,0)))</f>
        <v/>
      </c>
      <c r="G29" s="44" t="str">
        <f aca="false">IF((MAX(0,$G$10-40)+18)&gt;$G$10,"",INDEX(Movimientos!$J$2:$J$501,MATCH((MAX(0,$G$10-40)+18),Movimientos!$M$2:$M$501,0)))</f>
        <v/>
      </c>
    </row>
    <row r="30" customFormat="false" ht="15" hidden="false" customHeight="false" outlineLevel="0" collapsed="false">
      <c r="B30" s="42" t="str">
        <f aca="false">IF((MAX(0,$G$10-40)+19)&gt;$G$10,"",INDEX(Movimientos!$A$2:$A$501,MATCH((MAX(0,$G$10-40)+19),Movimientos!$M$2:$M$501,0)))</f>
        <v/>
      </c>
      <c r="C30" s="43" t="str">
        <f aca="false">IF((MAX(0,$G$10-40)+19)&gt;$G$10,"",INDEX(Movimientos!$D$2:$D$501,MATCH((MAX(0,$G$10-40)+19),Movimientos!$M$2:$M$501,0))&amp;"")</f>
        <v/>
      </c>
      <c r="D30" s="43" t="str">
        <f aca="false">IF((MAX(0,$G$10-40)+19)&gt;$G$10,"",INDEX(Movimientos!$C$2:$C$501,MATCH((MAX(0,$G$10-40)+19),Movimientos!$M$2:$M$501,0))&amp;"")</f>
        <v/>
      </c>
      <c r="E30" s="44" t="str">
        <f aca="false">IF((MAX(0,$G$10-40)+19)&gt;$G$10,"",INDEX(Movimientos!$G$2:$G$501,MATCH((MAX(0,$G$10-40)+19),Movimientos!$M$2:$M$501,0)))</f>
        <v/>
      </c>
      <c r="F30" s="44" t="str">
        <f aca="false">IF((MAX(0,$G$10-40)+19)&gt;$G$10,"",INDEX(Movimientos!$H$2:$H$501,MATCH((MAX(0,$G$10-40)+19),Movimientos!$M$2:$M$501,0)))</f>
        <v/>
      </c>
      <c r="G30" s="44" t="str">
        <f aca="false">IF((MAX(0,$G$10-40)+19)&gt;$G$10,"",INDEX(Movimientos!$J$2:$J$501,MATCH((MAX(0,$G$10-40)+19),Movimientos!$M$2:$M$501,0)))</f>
        <v/>
      </c>
    </row>
    <row r="31" customFormat="false" ht="15" hidden="false" customHeight="false" outlineLevel="0" collapsed="false">
      <c r="B31" s="42" t="str">
        <f aca="false">IF((MAX(0,$G$10-40)+20)&gt;$G$10,"",INDEX(Movimientos!$A$2:$A$501,MATCH((MAX(0,$G$10-40)+20),Movimientos!$M$2:$M$501,0)))</f>
        <v/>
      </c>
      <c r="C31" s="43" t="str">
        <f aca="false">IF((MAX(0,$G$10-40)+20)&gt;$G$10,"",INDEX(Movimientos!$D$2:$D$501,MATCH((MAX(0,$G$10-40)+20),Movimientos!$M$2:$M$501,0))&amp;"")</f>
        <v/>
      </c>
      <c r="D31" s="43" t="str">
        <f aca="false">IF((MAX(0,$G$10-40)+20)&gt;$G$10,"",INDEX(Movimientos!$C$2:$C$501,MATCH((MAX(0,$G$10-40)+20),Movimientos!$M$2:$M$501,0))&amp;"")</f>
        <v/>
      </c>
      <c r="E31" s="44" t="str">
        <f aca="false">IF((MAX(0,$G$10-40)+20)&gt;$G$10,"",INDEX(Movimientos!$G$2:$G$501,MATCH((MAX(0,$G$10-40)+20),Movimientos!$M$2:$M$501,0)))</f>
        <v/>
      </c>
      <c r="F31" s="44" t="str">
        <f aca="false">IF((MAX(0,$G$10-40)+20)&gt;$G$10,"",INDEX(Movimientos!$H$2:$H$501,MATCH((MAX(0,$G$10-40)+20),Movimientos!$M$2:$M$501,0)))</f>
        <v/>
      </c>
      <c r="G31" s="44" t="str">
        <f aca="false">IF((MAX(0,$G$10-40)+20)&gt;$G$10,"",INDEX(Movimientos!$J$2:$J$501,MATCH((MAX(0,$G$10-40)+20),Movimientos!$M$2:$M$501,0)))</f>
        <v/>
      </c>
    </row>
    <row r="32" customFormat="false" ht="15" hidden="false" customHeight="false" outlineLevel="0" collapsed="false">
      <c r="B32" s="42" t="str">
        <f aca="false">IF((MAX(0,$G$10-40)+21)&gt;$G$10,"",INDEX(Movimientos!$A$2:$A$501,MATCH((MAX(0,$G$10-40)+21),Movimientos!$M$2:$M$501,0)))</f>
        <v/>
      </c>
      <c r="C32" s="43" t="str">
        <f aca="false">IF((MAX(0,$G$10-40)+21)&gt;$G$10,"",INDEX(Movimientos!$D$2:$D$501,MATCH((MAX(0,$G$10-40)+21),Movimientos!$M$2:$M$501,0))&amp;"")</f>
        <v/>
      </c>
      <c r="D32" s="43" t="str">
        <f aca="false">IF((MAX(0,$G$10-40)+21)&gt;$G$10,"",INDEX(Movimientos!$C$2:$C$501,MATCH((MAX(0,$G$10-40)+21),Movimientos!$M$2:$M$501,0))&amp;"")</f>
        <v/>
      </c>
      <c r="E32" s="44" t="str">
        <f aca="false">IF((MAX(0,$G$10-40)+21)&gt;$G$10,"",INDEX(Movimientos!$G$2:$G$501,MATCH((MAX(0,$G$10-40)+21),Movimientos!$M$2:$M$501,0)))</f>
        <v/>
      </c>
      <c r="F32" s="44" t="str">
        <f aca="false">IF((MAX(0,$G$10-40)+21)&gt;$G$10,"",INDEX(Movimientos!$H$2:$H$501,MATCH((MAX(0,$G$10-40)+21),Movimientos!$M$2:$M$501,0)))</f>
        <v/>
      </c>
      <c r="G32" s="44" t="str">
        <f aca="false">IF((MAX(0,$G$10-40)+21)&gt;$G$10,"",INDEX(Movimientos!$J$2:$J$501,MATCH((MAX(0,$G$10-40)+21),Movimientos!$M$2:$M$501,0)))</f>
        <v/>
      </c>
    </row>
    <row r="33" customFormat="false" ht="15" hidden="false" customHeight="false" outlineLevel="0" collapsed="false">
      <c r="B33" s="42" t="str">
        <f aca="false">IF((MAX(0,$G$10-40)+22)&gt;$G$10,"",INDEX(Movimientos!$A$2:$A$501,MATCH((MAX(0,$G$10-40)+22),Movimientos!$M$2:$M$501,0)))</f>
        <v/>
      </c>
      <c r="C33" s="43" t="str">
        <f aca="false">IF((MAX(0,$G$10-40)+22)&gt;$G$10,"",INDEX(Movimientos!$D$2:$D$501,MATCH((MAX(0,$G$10-40)+22),Movimientos!$M$2:$M$501,0))&amp;"")</f>
        <v/>
      </c>
      <c r="D33" s="43" t="str">
        <f aca="false">IF((MAX(0,$G$10-40)+22)&gt;$G$10,"",INDEX(Movimientos!$C$2:$C$501,MATCH((MAX(0,$G$10-40)+22),Movimientos!$M$2:$M$501,0))&amp;"")</f>
        <v/>
      </c>
      <c r="E33" s="44" t="str">
        <f aca="false">IF((MAX(0,$G$10-40)+22)&gt;$G$10,"",INDEX(Movimientos!$G$2:$G$501,MATCH((MAX(0,$G$10-40)+22),Movimientos!$M$2:$M$501,0)))</f>
        <v/>
      </c>
      <c r="F33" s="44" t="str">
        <f aca="false">IF((MAX(0,$G$10-40)+22)&gt;$G$10,"",INDEX(Movimientos!$H$2:$H$501,MATCH((MAX(0,$G$10-40)+22),Movimientos!$M$2:$M$501,0)))</f>
        <v/>
      </c>
      <c r="G33" s="44" t="str">
        <f aca="false">IF((MAX(0,$G$10-40)+22)&gt;$G$10,"",INDEX(Movimientos!$J$2:$J$501,MATCH((MAX(0,$G$10-40)+22),Movimientos!$M$2:$M$501,0)))</f>
        <v/>
      </c>
    </row>
    <row r="34" customFormat="false" ht="15" hidden="false" customHeight="false" outlineLevel="0" collapsed="false">
      <c r="B34" s="42" t="str">
        <f aca="false">IF((MAX(0,$G$10-40)+23)&gt;$G$10,"",INDEX(Movimientos!$A$2:$A$501,MATCH((MAX(0,$G$10-40)+23),Movimientos!$M$2:$M$501,0)))</f>
        <v/>
      </c>
      <c r="C34" s="43" t="str">
        <f aca="false">IF((MAX(0,$G$10-40)+23)&gt;$G$10,"",INDEX(Movimientos!$D$2:$D$501,MATCH((MAX(0,$G$10-40)+23),Movimientos!$M$2:$M$501,0))&amp;"")</f>
        <v/>
      </c>
      <c r="D34" s="43" t="str">
        <f aca="false">IF((MAX(0,$G$10-40)+23)&gt;$G$10,"",INDEX(Movimientos!$C$2:$C$501,MATCH((MAX(0,$G$10-40)+23),Movimientos!$M$2:$M$501,0))&amp;"")</f>
        <v/>
      </c>
      <c r="E34" s="44" t="str">
        <f aca="false">IF((MAX(0,$G$10-40)+23)&gt;$G$10,"",INDEX(Movimientos!$G$2:$G$501,MATCH((MAX(0,$G$10-40)+23),Movimientos!$M$2:$M$501,0)))</f>
        <v/>
      </c>
      <c r="F34" s="44" t="str">
        <f aca="false">IF((MAX(0,$G$10-40)+23)&gt;$G$10,"",INDEX(Movimientos!$H$2:$H$501,MATCH((MAX(0,$G$10-40)+23),Movimientos!$M$2:$M$501,0)))</f>
        <v/>
      </c>
      <c r="G34" s="44" t="str">
        <f aca="false">IF((MAX(0,$G$10-40)+23)&gt;$G$10,"",INDEX(Movimientos!$J$2:$J$501,MATCH((MAX(0,$G$10-40)+23),Movimientos!$M$2:$M$501,0)))</f>
        <v/>
      </c>
    </row>
    <row r="35" customFormat="false" ht="15" hidden="false" customHeight="false" outlineLevel="0" collapsed="false">
      <c r="B35" s="42" t="str">
        <f aca="false">IF((MAX(0,$G$10-40)+24)&gt;$G$10,"",INDEX(Movimientos!$A$2:$A$501,MATCH((MAX(0,$G$10-40)+24),Movimientos!$M$2:$M$501,0)))</f>
        <v/>
      </c>
      <c r="C35" s="43" t="str">
        <f aca="false">IF((MAX(0,$G$10-40)+24)&gt;$G$10,"",INDEX(Movimientos!$D$2:$D$501,MATCH((MAX(0,$G$10-40)+24),Movimientos!$M$2:$M$501,0))&amp;"")</f>
        <v/>
      </c>
      <c r="D35" s="43" t="str">
        <f aca="false">IF((MAX(0,$G$10-40)+24)&gt;$G$10,"",INDEX(Movimientos!$C$2:$C$501,MATCH((MAX(0,$G$10-40)+24),Movimientos!$M$2:$M$501,0))&amp;"")</f>
        <v/>
      </c>
      <c r="E35" s="44" t="str">
        <f aca="false">IF((MAX(0,$G$10-40)+24)&gt;$G$10,"",INDEX(Movimientos!$G$2:$G$501,MATCH((MAX(0,$G$10-40)+24),Movimientos!$M$2:$M$501,0)))</f>
        <v/>
      </c>
      <c r="F35" s="44" t="str">
        <f aca="false">IF((MAX(0,$G$10-40)+24)&gt;$G$10,"",INDEX(Movimientos!$H$2:$H$501,MATCH((MAX(0,$G$10-40)+24),Movimientos!$M$2:$M$501,0)))</f>
        <v/>
      </c>
      <c r="G35" s="44" t="str">
        <f aca="false">IF((MAX(0,$G$10-40)+24)&gt;$G$10,"",INDEX(Movimientos!$J$2:$J$501,MATCH((MAX(0,$G$10-40)+24),Movimientos!$M$2:$M$501,0)))</f>
        <v/>
      </c>
    </row>
    <row r="36" customFormat="false" ht="15" hidden="false" customHeight="false" outlineLevel="0" collapsed="false">
      <c r="B36" s="42" t="str">
        <f aca="false">IF((MAX(0,$G$10-40)+25)&gt;$G$10,"",INDEX(Movimientos!$A$2:$A$501,MATCH((MAX(0,$G$10-40)+25),Movimientos!$M$2:$M$501,0)))</f>
        <v/>
      </c>
      <c r="C36" s="43" t="str">
        <f aca="false">IF((MAX(0,$G$10-40)+25)&gt;$G$10,"",INDEX(Movimientos!$D$2:$D$501,MATCH((MAX(0,$G$10-40)+25),Movimientos!$M$2:$M$501,0))&amp;"")</f>
        <v/>
      </c>
      <c r="D36" s="43" t="str">
        <f aca="false">IF((MAX(0,$G$10-40)+25)&gt;$G$10,"",INDEX(Movimientos!$C$2:$C$501,MATCH((MAX(0,$G$10-40)+25),Movimientos!$M$2:$M$501,0))&amp;"")</f>
        <v/>
      </c>
      <c r="E36" s="44" t="str">
        <f aca="false">IF((MAX(0,$G$10-40)+25)&gt;$G$10,"",INDEX(Movimientos!$G$2:$G$501,MATCH((MAX(0,$G$10-40)+25),Movimientos!$M$2:$M$501,0)))</f>
        <v/>
      </c>
      <c r="F36" s="44" t="str">
        <f aca="false">IF((MAX(0,$G$10-40)+25)&gt;$G$10,"",INDEX(Movimientos!$H$2:$H$501,MATCH((MAX(0,$G$10-40)+25),Movimientos!$M$2:$M$501,0)))</f>
        <v/>
      </c>
      <c r="G36" s="44" t="str">
        <f aca="false">IF((MAX(0,$G$10-40)+25)&gt;$G$10,"",INDEX(Movimientos!$J$2:$J$501,MATCH((MAX(0,$G$10-40)+25),Movimientos!$M$2:$M$501,0)))</f>
        <v/>
      </c>
    </row>
    <row r="37" customFormat="false" ht="15" hidden="false" customHeight="false" outlineLevel="0" collapsed="false">
      <c r="B37" s="42" t="str">
        <f aca="false">IF((MAX(0,$G$10-40)+26)&gt;$G$10,"",INDEX(Movimientos!$A$2:$A$501,MATCH((MAX(0,$G$10-40)+26),Movimientos!$M$2:$M$501,0)))</f>
        <v/>
      </c>
      <c r="C37" s="43" t="str">
        <f aca="false">IF((MAX(0,$G$10-40)+26)&gt;$G$10,"",INDEX(Movimientos!$D$2:$D$501,MATCH((MAX(0,$G$10-40)+26),Movimientos!$M$2:$M$501,0))&amp;"")</f>
        <v/>
      </c>
      <c r="D37" s="43" t="str">
        <f aca="false">IF((MAX(0,$G$10-40)+26)&gt;$G$10,"",INDEX(Movimientos!$C$2:$C$501,MATCH((MAX(0,$G$10-40)+26),Movimientos!$M$2:$M$501,0))&amp;"")</f>
        <v/>
      </c>
      <c r="E37" s="44" t="str">
        <f aca="false">IF((MAX(0,$G$10-40)+26)&gt;$G$10,"",INDEX(Movimientos!$G$2:$G$501,MATCH((MAX(0,$G$10-40)+26),Movimientos!$M$2:$M$501,0)))</f>
        <v/>
      </c>
      <c r="F37" s="44" t="str">
        <f aca="false">IF((MAX(0,$G$10-40)+26)&gt;$G$10,"",INDEX(Movimientos!$H$2:$H$501,MATCH((MAX(0,$G$10-40)+26),Movimientos!$M$2:$M$501,0)))</f>
        <v/>
      </c>
      <c r="G37" s="44" t="str">
        <f aca="false">IF((MAX(0,$G$10-40)+26)&gt;$G$10,"",INDEX(Movimientos!$J$2:$J$501,MATCH((MAX(0,$G$10-40)+26),Movimientos!$M$2:$M$501,0)))</f>
        <v/>
      </c>
    </row>
    <row r="38" customFormat="false" ht="15" hidden="false" customHeight="false" outlineLevel="0" collapsed="false">
      <c r="B38" s="42" t="str">
        <f aca="false">IF((MAX(0,$G$10-40)+27)&gt;$G$10,"",INDEX(Movimientos!$A$2:$A$501,MATCH((MAX(0,$G$10-40)+27),Movimientos!$M$2:$M$501,0)))</f>
        <v/>
      </c>
      <c r="C38" s="43" t="str">
        <f aca="false">IF((MAX(0,$G$10-40)+27)&gt;$G$10,"",INDEX(Movimientos!$D$2:$D$501,MATCH((MAX(0,$G$10-40)+27),Movimientos!$M$2:$M$501,0))&amp;"")</f>
        <v/>
      </c>
      <c r="D38" s="43" t="str">
        <f aca="false">IF((MAX(0,$G$10-40)+27)&gt;$G$10,"",INDEX(Movimientos!$C$2:$C$501,MATCH((MAX(0,$G$10-40)+27),Movimientos!$M$2:$M$501,0))&amp;"")</f>
        <v/>
      </c>
      <c r="E38" s="44" t="str">
        <f aca="false">IF((MAX(0,$G$10-40)+27)&gt;$G$10,"",INDEX(Movimientos!$G$2:$G$501,MATCH((MAX(0,$G$10-40)+27),Movimientos!$M$2:$M$501,0)))</f>
        <v/>
      </c>
      <c r="F38" s="44" t="str">
        <f aca="false">IF((MAX(0,$G$10-40)+27)&gt;$G$10,"",INDEX(Movimientos!$H$2:$H$501,MATCH((MAX(0,$G$10-40)+27),Movimientos!$M$2:$M$501,0)))</f>
        <v/>
      </c>
      <c r="G38" s="44" t="str">
        <f aca="false">IF((MAX(0,$G$10-40)+27)&gt;$G$10,"",INDEX(Movimientos!$J$2:$J$501,MATCH((MAX(0,$G$10-40)+27),Movimientos!$M$2:$M$501,0)))</f>
        <v/>
      </c>
    </row>
    <row r="39" customFormat="false" ht="15" hidden="false" customHeight="false" outlineLevel="0" collapsed="false">
      <c r="B39" s="42" t="str">
        <f aca="false">IF((MAX(0,$G$10-40)+28)&gt;$G$10,"",INDEX(Movimientos!$A$2:$A$501,MATCH((MAX(0,$G$10-40)+28),Movimientos!$M$2:$M$501,0)))</f>
        <v/>
      </c>
      <c r="C39" s="43" t="str">
        <f aca="false">IF((MAX(0,$G$10-40)+28)&gt;$G$10,"",INDEX(Movimientos!$D$2:$D$501,MATCH((MAX(0,$G$10-40)+28),Movimientos!$M$2:$M$501,0))&amp;"")</f>
        <v/>
      </c>
      <c r="D39" s="43" t="str">
        <f aca="false">IF((MAX(0,$G$10-40)+28)&gt;$G$10,"",INDEX(Movimientos!$C$2:$C$501,MATCH((MAX(0,$G$10-40)+28),Movimientos!$M$2:$M$501,0))&amp;"")</f>
        <v/>
      </c>
      <c r="E39" s="44" t="str">
        <f aca="false">IF((MAX(0,$G$10-40)+28)&gt;$G$10,"",INDEX(Movimientos!$G$2:$G$501,MATCH((MAX(0,$G$10-40)+28),Movimientos!$M$2:$M$501,0)))</f>
        <v/>
      </c>
      <c r="F39" s="44" t="str">
        <f aca="false">IF((MAX(0,$G$10-40)+28)&gt;$G$10,"",INDEX(Movimientos!$H$2:$H$501,MATCH((MAX(0,$G$10-40)+28),Movimientos!$M$2:$M$501,0)))</f>
        <v/>
      </c>
      <c r="G39" s="44" t="str">
        <f aca="false">IF((MAX(0,$G$10-40)+28)&gt;$G$10,"",INDEX(Movimientos!$J$2:$J$501,MATCH((MAX(0,$G$10-40)+28),Movimientos!$M$2:$M$501,0)))</f>
        <v/>
      </c>
    </row>
    <row r="40" customFormat="false" ht="15" hidden="false" customHeight="false" outlineLevel="0" collapsed="false">
      <c r="B40" s="42" t="str">
        <f aca="false">IF((MAX(0,$G$10-40)+29)&gt;$G$10,"",INDEX(Movimientos!$A$2:$A$501,MATCH((MAX(0,$G$10-40)+29),Movimientos!$M$2:$M$501,0)))</f>
        <v/>
      </c>
      <c r="C40" s="43" t="str">
        <f aca="false">IF((MAX(0,$G$10-40)+29)&gt;$G$10,"",INDEX(Movimientos!$D$2:$D$501,MATCH((MAX(0,$G$10-40)+29),Movimientos!$M$2:$M$501,0))&amp;"")</f>
        <v/>
      </c>
      <c r="D40" s="43" t="str">
        <f aca="false">IF((MAX(0,$G$10-40)+29)&gt;$G$10,"",INDEX(Movimientos!$C$2:$C$501,MATCH((MAX(0,$G$10-40)+29),Movimientos!$M$2:$M$501,0))&amp;"")</f>
        <v/>
      </c>
      <c r="E40" s="44" t="str">
        <f aca="false">IF((MAX(0,$G$10-40)+29)&gt;$G$10,"",INDEX(Movimientos!$G$2:$G$501,MATCH((MAX(0,$G$10-40)+29),Movimientos!$M$2:$M$501,0)))</f>
        <v/>
      </c>
      <c r="F40" s="44" t="str">
        <f aca="false">IF((MAX(0,$G$10-40)+29)&gt;$G$10,"",INDEX(Movimientos!$H$2:$H$501,MATCH((MAX(0,$G$10-40)+29),Movimientos!$M$2:$M$501,0)))</f>
        <v/>
      </c>
      <c r="G40" s="44" t="str">
        <f aca="false">IF((MAX(0,$G$10-40)+29)&gt;$G$10,"",INDEX(Movimientos!$J$2:$J$501,MATCH((MAX(0,$G$10-40)+29),Movimientos!$M$2:$M$501,0)))</f>
        <v/>
      </c>
    </row>
    <row r="41" customFormat="false" ht="15" hidden="false" customHeight="false" outlineLevel="0" collapsed="false">
      <c r="B41" s="42" t="str">
        <f aca="false">IF((MAX(0,$G$10-40)+30)&gt;$G$10,"",INDEX(Movimientos!$A$2:$A$501,MATCH((MAX(0,$G$10-40)+30),Movimientos!$M$2:$M$501,0)))</f>
        <v/>
      </c>
      <c r="C41" s="43" t="str">
        <f aca="false">IF((MAX(0,$G$10-40)+30)&gt;$G$10,"",INDEX(Movimientos!$D$2:$D$501,MATCH((MAX(0,$G$10-40)+30),Movimientos!$M$2:$M$501,0))&amp;"")</f>
        <v/>
      </c>
      <c r="D41" s="43" t="str">
        <f aca="false">IF((MAX(0,$G$10-40)+30)&gt;$G$10,"",INDEX(Movimientos!$C$2:$C$501,MATCH((MAX(0,$G$10-40)+30),Movimientos!$M$2:$M$501,0))&amp;"")</f>
        <v/>
      </c>
      <c r="E41" s="44" t="str">
        <f aca="false">IF((MAX(0,$G$10-40)+30)&gt;$G$10,"",INDEX(Movimientos!$G$2:$G$501,MATCH((MAX(0,$G$10-40)+30),Movimientos!$M$2:$M$501,0)))</f>
        <v/>
      </c>
      <c r="F41" s="44" t="str">
        <f aca="false">IF((MAX(0,$G$10-40)+30)&gt;$G$10,"",INDEX(Movimientos!$H$2:$H$501,MATCH((MAX(0,$G$10-40)+30),Movimientos!$M$2:$M$501,0)))</f>
        <v/>
      </c>
      <c r="G41" s="44" t="str">
        <f aca="false">IF((MAX(0,$G$10-40)+30)&gt;$G$10,"",INDEX(Movimientos!$J$2:$J$501,MATCH((MAX(0,$G$10-40)+30),Movimientos!$M$2:$M$501,0)))</f>
        <v/>
      </c>
    </row>
    <row r="42" customFormat="false" ht="15" hidden="false" customHeight="false" outlineLevel="0" collapsed="false">
      <c r="B42" s="42" t="str">
        <f aca="false">IF((MAX(0,$G$10-40)+31)&gt;$G$10,"",INDEX(Movimientos!$A$2:$A$501,MATCH((MAX(0,$G$10-40)+31),Movimientos!$M$2:$M$501,0)))</f>
        <v/>
      </c>
      <c r="C42" s="43" t="str">
        <f aca="false">IF((MAX(0,$G$10-40)+31)&gt;$G$10,"",INDEX(Movimientos!$D$2:$D$501,MATCH((MAX(0,$G$10-40)+31),Movimientos!$M$2:$M$501,0))&amp;"")</f>
        <v/>
      </c>
      <c r="D42" s="43" t="str">
        <f aca="false">IF((MAX(0,$G$10-40)+31)&gt;$G$10,"",INDEX(Movimientos!$C$2:$C$501,MATCH((MAX(0,$G$10-40)+31),Movimientos!$M$2:$M$501,0))&amp;"")</f>
        <v/>
      </c>
      <c r="E42" s="44" t="str">
        <f aca="false">IF((MAX(0,$G$10-40)+31)&gt;$G$10,"",INDEX(Movimientos!$G$2:$G$501,MATCH((MAX(0,$G$10-40)+31),Movimientos!$M$2:$M$501,0)))</f>
        <v/>
      </c>
      <c r="F42" s="44" t="str">
        <f aca="false">IF((MAX(0,$G$10-40)+31)&gt;$G$10,"",INDEX(Movimientos!$H$2:$H$501,MATCH((MAX(0,$G$10-40)+31),Movimientos!$M$2:$M$501,0)))</f>
        <v/>
      </c>
      <c r="G42" s="44" t="str">
        <f aca="false">IF((MAX(0,$G$10-40)+31)&gt;$G$10,"",INDEX(Movimientos!$J$2:$J$501,MATCH((MAX(0,$G$10-40)+31),Movimientos!$M$2:$M$501,0)))</f>
        <v/>
      </c>
    </row>
    <row r="43" customFormat="false" ht="15" hidden="false" customHeight="false" outlineLevel="0" collapsed="false">
      <c r="B43" s="42" t="str">
        <f aca="false">IF((MAX(0,$G$10-40)+32)&gt;$G$10,"",INDEX(Movimientos!$A$2:$A$501,MATCH((MAX(0,$G$10-40)+32),Movimientos!$M$2:$M$501,0)))</f>
        <v/>
      </c>
      <c r="C43" s="43" t="str">
        <f aca="false">IF((MAX(0,$G$10-40)+32)&gt;$G$10,"",INDEX(Movimientos!$D$2:$D$501,MATCH((MAX(0,$G$10-40)+32),Movimientos!$M$2:$M$501,0))&amp;"")</f>
        <v/>
      </c>
      <c r="D43" s="43" t="str">
        <f aca="false">IF((MAX(0,$G$10-40)+32)&gt;$G$10,"",INDEX(Movimientos!$C$2:$C$501,MATCH((MAX(0,$G$10-40)+32),Movimientos!$M$2:$M$501,0))&amp;"")</f>
        <v/>
      </c>
      <c r="E43" s="44" t="str">
        <f aca="false">IF((MAX(0,$G$10-40)+32)&gt;$G$10,"",INDEX(Movimientos!$G$2:$G$501,MATCH((MAX(0,$G$10-40)+32),Movimientos!$M$2:$M$501,0)))</f>
        <v/>
      </c>
      <c r="F43" s="44" t="str">
        <f aca="false">IF((MAX(0,$G$10-40)+32)&gt;$G$10,"",INDEX(Movimientos!$H$2:$H$501,MATCH((MAX(0,$G$10-40)+32),Movimientos!$M$2:$M$501,0)))</f>
        <v/>
      </c>
      <c r="G43" s="44" t="str">
        <f aca="false">IF((MAX(0,$G$10-40)+32)&gt;$G$10,"",INDEX(Movimientos!$J$2:$J$501,MATCH((MAX(0,$G$10-40)+32),Movimientos!$M$2:$M$501,0)))</f>
        <v/>
      </c>
    </row>
    <row r="44" customFormat="false" ht="15" hidden="false" customHeight="false" outlineLevel="0" collapsed="false">
      <c r="B44" s="42" t="str">
        <f aca="false">IF((MAX(0,$G$10-40)+33)&gt;$G$10,"",INDEX(Movimientos!$A$2:$A$501,MATCH((MAX(0,$G$10-40)+33),Movimientos!$M$2:$M$501,0)))</f>
        <v/>
      </c>
      <c r="C44" s="43" t="str">
        <f aca="false">IF((MAX(0,$G$10-40)+33)&gt;$G$10,"",INDEX(Movimientos!$D$2:$D$501,MATCH((MAX(0,$G$10-40)+33),Movimientos!$M$2:$M$501,0))&amp;"")</f>
        <v/>
      </c>
      <c r="D44" s="43" t="str">
        <f aca="false">IF((MAX(0,$G$10-40)+33)&gt;$G$10,"",INDEX(Movimientos!$C$2:$C$501,MATCH((MAX(0,$G$10-40)+33),Movimientos!$M$2:$M$501,0))&amp;"")</f>
        <v/>
      </c>
      <c r="E44" s="44" t="str">
        <f aca="false">IF((MAX(0,$G$10-40)+33)&gt;$G$10,"",INDEX(Movimientos!$G$2:$G$501,MATCH((MAX(0,$G$10-40)+33),Movimientos!$M$2:$M$501,0)))</f>
        <v/>
      </c>
      <c r="F44" s="44" t="str">
        <f aca="false">IF((MAX(0,$G$10-40)+33)&gt;$G$10,"",INDEX(Movimientos!$H$2:$H$501,MATCH((MAX(0,$G$10-40)+33),Movimientos!$M$2:$M$501,0)))</f>
        <v/>
      </c>
      <c r="G44" s="44" t="str">
        <f aca="false">IF((MAX(0,$G$10-40)+33)&gt;$G$10,"",INDEX(Movimientos!$J$2:$J$501,MATCH((MAX(0,$G$10-40)+33),Movimientos!$M$2:$M$501,0)))</f>
        <v/>
      </c>
    </row>
    <row r="45" customFormat="false" ht="15" hidden="false" customHeight="false" outlineLevel="0" collapsed="false">
      <c r="B45" s="42" t="str">
        <f aca="false">IF((MAX(0,$G$10-40)+34)&gt;$G$10,"",INDEX(Movimientos!$A$2:$A$501,MATCH((MAX(0,$G$10-40)+34),Movimientos!$M$2:$M$501,0)))</f>
        <v/>
      </c>
      <c r="C45" s="43" t="str">
        <f aca="false">IF((MAX(0,$G$10-40)+34)&gt;$G$10,"",INDEX(Movimientos!$D$2:$D$501,MATCH((MAX(0,$G$10-40)+34),Movimientos!$M$2:$M$501,0))&amp;"")</f>
        <v/>
      </c>
      <c r="D45" s="43" t="str">
        <f aca="false">IF((MAX(0,$G$10-40)+34)&gt;$G$10,"",INDEX(Movimientos!$C$2:$C$501,MATCH((MAX(0,$G$10-40)+34),Movimientos!$M$2:$M$501,0))&amp;"")</f>
        <v/>
      </c>
      <c r="E45" s="44" t="str">
        <f aca="false">IF((MAX(0,$G$10-40)+34)&gt;$G$10,"",INDEX(Movimientos!$G$2:$G$501,MATCH((MAX(0,$G$10-40)+34),Movimientos!$M$2:$M$501,0)))</f>
        <v/>
      </c>
      <c r="F45" s="44" t="str">
        <f aca="false">IF((MAX(0,$G$10-40)+34)&gt;$G$10,"",INDEX(Movimientos!$H$2:$H$501,MATCH((MAX(0,$G$10-40)+34),Movimientos!$M$2:$M$501,0)))</f>
        <v/>
      </c>
      <c r="G45" s="44" t="str">
        <f aca="false">IF((MAX(0,$G$10-40)+34)&gt;$G$10,"",INDEX(Movimientos!$J$2:$J$501,MATCH((MAX(0,$G$10-40)+34),Movimientos!$M$2:$M$501,0)))</f>
        <v/>
      </c>
    </row>
    <row r="46" customFormat="false" ht="15" hidden="false" customHeight="false" outlineLevel="0" collapsed="false">
      <c r="B46" s="42" t="str">
        <f aca="false">IF((MAX(0,$G$10-40)+35)&gt;$G$10,"",INDEX(Movimientos!$A$2:$A$501,MATCH((MAX(0,$G$10-40)+35),Movimientos!$M$2:$M$501,0)))</f>
        <v/>
      </c>
      <c r="C46" s="43" t="str">
        <f aca="false">IF((MAX(0,$G$10-40)+35)&gt;$G$10,"",INDEX(Movimientos!$D$2:$D$501,MATCH((MAX(0,$G$10-40)+35),Movimientos!$M$2:$M$501,0))&amp;"")</f>
        <v/>
      </c>
      <c r="D46" s="43" t="str">
        <f aca="false">IF((MAX(0,$G$10-40)+35)&gt;$G$10,"",INDEX(Movimientos!$C$2:$C$501,MATCH((MAX(0,$G$10-40)+35),Movimientos!$M$2:$M$501,0))&amp;"")</f>
        <v/>
      </c>
      <c r="E46" s="44" t="str">
        <f aca="false">IF((MAX(0,$G$10-40)+35)&gt;$G$10,"",INDEX(Movimientos!$G$2:$G$501,MATCH((MAX(0,$G$10-40)+35),Movimientos!$M$2:$M$501,0)))</f>
        <v/>
      </c>
      <c r="F46" s="44" t="str">
        <f aca="false">IF((MAX(0,$G$10-40)+35)&gt;$G$10,"",INDEX(Movimientos!$H$2:$H$501,MATCH((MAX(0,$G$10-40)+35),Movimientos!$M$2:$M$501,0)))</f>
        <v/>
      </c>
      <c r="G46" s="44" t="str">
        <f aca="false">IF((MAX(0,$G$10-40)+35)&gt;$G$10,"",INDEX(Movimientos!$J$2:$J$501,MATCH((MAX(0,$G$10-40)+35),Movimientos!$M$2:$M$501,0)))</f>
        <v/>
      </c>
    </row>
    <row r="47" customFormat="false" ht="15" hidden="false" customHeight="false" outlineLevel="0" collapsed="false">
      <c r="B47" s="42" t="str">
        <f aca="false">IF((MAX(0,$G$10-40)+36)&gt;$G$10,"",INDEX(Movimientos!$A$2:$A$501,MATCH((MAX(0,$G$10-40)+36),Movimientos!$M$2:$M$501,0)))</f>
        <v/>
      </c>
      <c r="C47" s="43" t="str">
        <f aca="false">IF((MAX(0,$G$10-40)+36)&gt;$G$10,"",INDEX(Movimientos!$D$2:$D$501,MATCH((MAX(0,$G$10-40)+36),Movimientos!$M$2:$M$501,0))&amp;"")</f>
        <v/>
      </c>
      <c r="D47" s="43" t="str">
        <f aca="false">IF((MAX(0,$G$10-40)+36)&gt;$G$10,"",INDEX(Movimientos!$C$2:$C$501,MATCH((MAX(0,$G$10-40)+36),Movimientos!$M$2:$M$501,0))&amp;"")</f>
        <v/>
      </c>
      <c r="E47" s="44" t="str">
        <f aca="false">IF((MAX(0,$G$10-40)+36)&gt;$G$10,"",INDEX(Movimientos!$G$2:$G$501,MATCH((MAX(0,$G$10-40)+36),Movimientos!$M$2:$M$501,0)))</f>
        <v/>
      </c>
      <c r="F47" s="44" t="str">
        <f aca="false">IF((MAX(0,$G$10-40)+36)&gt;$G$10,"",INDEX(Movimientos!$H$2:$H$501,MATCH((MAX(0,$G$10-40)+36),Movimientos!$M$2:$M$501,0)))</f>
        <v/>
      </c>
      <c r="G47" s="44" t="str">
        <f aca="false">IF((MAX(0,$G$10-40)+36)&gt;$G$10,"",INDEX(Movimientos!$J$2:$J$501,MATCH((MAX(0,$G$10-40)+36),Movimientos!$M$2:$M$501,0)))</f>
        <v/>
      </c>
    </row>
    <row r="48" customFormat="false" ht="15" hidden="false" customHeight="false" outlineLevel="0" collapsed="false">
      <c r="B48" s="42" t="str">
        <f aca="false">IF((MAX(0,$G$10-40)+37)&gt;$G$10,"",INDEX(Movimientos!$A$2:$A$501,MATCH((MAX(0,$G$10-40)+37),Movimientos!$M$2:$M$501,0)))</f>
        <v/>
      </c>
      <c r="C48" s="43" t="str">
        <f aca="false">IF((MAX(0,$G$10-40)+37)&gt;$G$10,"",INDEX(Movimientos!$D$2:$D$501,MATCH((MAX(0,$G$10-40)+37),Movimientos!$M$2:$M$501,0))&amp;"")</f>
        <v/>
      </c>
      <c r="D48" s="43" t="str">
        <f aca="false">IF((MAX(0,$G$10-40)+37)&gt;$G$10,"",INDEX(Movimientos!$C$2:$C$501,MATCH((MAX(0,$G$10-40)+37),Movimientos!$M$2:$M$501,0))&amp;"")</f>
        <v/>
      </c>
      <c r="E48" s="44" t="str">
        <f aca="false">IF((MAX(0,$G$10-40)+37)&gt;$G$10,"",INDEX(Movimientos!$G$2:$G$501,MATCH((MAX(0,$G$10-40)+37),Movimientos!$M$2:$M$501,0)))</f>
        <v/>
      </c>
      <c r="F48" s="44" t="str">
        <f aca="false">IF((MAX(0,$G$10-40)+37)&gt;$G$10,"",INDEX(Movimientos!$H$2:$H$501,MATCH((MAX(0,$G$10-40)+37),Movimientos!$M$2:$M$501,0)))</f>
        <v/>
      </c>
      <c r="G48" s="44" t="str">
        <f aca="false">IF((MAX(0,$G$10-40)+37)&gt;$G$10,"",INDEX(Movimientos!$J$2:$J$501,MATCH((MAX(0,$G$10-40)+37),Movimientos!$M$2:$M$501,0)))</f>
        <v/>
      </c>
    </row>
    <row r="49" customFormat="false" ht="15" hidden="false" customHeight="false" outlineLevel="0" collapsed="false">
      <c r="B49" s="42" t="str">
        <f aca="false">IF((MAX(0,$G$10-40)+38)&gt;$G$10,"",INDEX(Movimientos!$A$2:$A$501,MATCH((MAX(0,$G$10-40)+38),Movimientos!$M$2:$M$501,0)))</f>
        <v/>
      </c>
      <c r="C49" s="43" t="str">
        <f aca="false">IF((MAX(0,$G$10-40)+38)&gt;$G$10,"",INDEX(Movimientos!$D$2:$D$501,MATCH((MAX(0,$G$10-40)+38),Movimientos!$M$2:$M$501,0))&amp;"")</f>
        <v/>
      </c>
      <c r="D49" s="43" t="str">
        <f aca="false">IF((MAX(0,$G$10-40)+38)&gt;$G$10,"",INDEX(Movimientos!$C$2:$C$501,MATCH((MAX(0,$G$10-40)+38),Movimientos!$M$2:$M$501,0))&amp;"")</f>
        <v/>
      </c>
      <c r="E49" s="44" t="str">
        <f aca="false">IF((MAX(0,$G$10-40)+38)&gt;$G$10,"",INDEX(Movimientos!$G$2:$G$501,MATCH((MAX(0,$G$10-40)+38),Movimientos!$M$2:$M$501,0)))</f>
        <v/>
      </c>
      <c r="F49" s="44" t="str">
        <f aca="false">IF((MAX(0,$G$10-40)+38)&gt;$G$10,"",INDEX(Movimientos!$H$2:$H$501,MATCH((MAX(0,$G$10-40)+38),Movimientos!$M$2:$M$501,0)))</f>
        <v/>
      </c>
      <c r="G49" s="44" t="str">
        <f aca="false">IF((MAX(0,$G$10-40)+38)&gt;$G$10,"",INDEX(Movimientos!$J$2:$J$501,MATCH((MAX(0,$G$10-40)+38),Movimientos!$M$2:$M$501,0)))</f>
        <v/>
      </c>
    </row>
    <row r="50" customFormat="false" ht="15" hidden="false" customHeight="false" outlineLevel="0" collapsed="false">
      <c r="B50" s="42" t="str">
        <f aca="false">IF((MAX(0,$G$10-40)+39)&gt;$G$10,"",INDEX(Movimientos!$A$2:$A$501,MATCH((MAX(0,$G$10-40)+39),Movimientos!$M$2:$M$501,0)))</f>
        <v/>
      </c>
      <c r="C50" s="43" t="str">
        <f aca="false">IF((MAX(0,$G$10-40)+39)&gt;$G$10,"",INDEX(Movimientos!$D$2:$D$501,MATCH((MAX(0,$G$10-40)+39),Movimientos!$M$2:$M$501,0))&amp;"")</f>
        <v/>
      </c>
      <c r="D50" s="43" t="str">
        <f aca="false">IF((MAX(0,$G$10-40)+39)&gt;$G$10,"",INDEX(Movimientos!$C$2:$C$501,MATCH((MAX(0,$G$10-40)+39),Movimientos!$M$2:$M$501,0))&amp;"")</f>
        <v/>
      </c>
      <c r="E50" s="44" t="str">
        <f aca="false">IF((MAX(0,$G$10-40)+39)&gt;$G$10,"",INDEX(Movimientos!$G$2:$G$501,MATCH((MAX(0,$G$10-40)+39),Movimientos!$M$2:$M$501,0)))</f>
        <v/>
      </c>
      <c r="F50" s="44" t="str">
        <f aca="false">IF((MAX(0,$G$10-40)+39)&gt;$G$10,"",INDEX(Movimientos!$H$2:$H$501,MATCH((MAX(0,$G$10-40)+39),Movimientos!$M$2:$M$501,0)))</f>
        <v/>
      </c>
      <c r="G50" s="44" t="str">
        <f aca="false">IF((MAX(0,$G$10-40)+39)&gt;$G$10,"",INDEX(Movimientos!$J$2:$J$501,MATCH((MAX(0,$G$10-40)+39),Movimientos!$M$2:$M$501,0)))</f>
        <v/>
      </c>
    </row>
    <row r="51" customFormat="false" ht="15" hidden="false" customHeight="false" outlineLevel="0" collapsed="false">
      <c r="B51" s="42" t="str">
        <f aca="false">IF((MAX(0,$G$10-40)+40)&gt;$G$10,"",INDEX(Movimientos!$A$2:$A$501,MATCH((MAX(0,$G$10-40)+40),Movimientos!$M$2:$M$501,0)))</f>
        <v/>
      </c>
      <c r="C51" s="43" t="str">
        <f aca="false">IF((MAX(0,$G$10-40)+40)&gt;$G$10,"",INDEX(Movimientos!$D$2:$D$501,MATCH((MAX(0,$G$10-40)+40),Movimientos!$M$2:$M$501,0))&amp;"")</f>
        <v/>
      </c>
      <c r="D51" s="43" t="str">
        <f aca="false">IF((MAX(0,$G$10-40)+40)&gt;$G$10,"",INDEX(Movimientos!$C$2:$C$501,MATCH((MAX(0,$G$10-40)+40),Movimientos!$M$2:$M$501,0))&amp;"")</f>
        <v/>
      </c>
      <c r="E51" s="44" t="str">
        <f aca="false">IF((MAX(0,$G$10-40)+40)&gt;$G$10,"",INDEX(Movimientos!$G$2:$G$501,MATCH((MAX(0,$G$10-40)+40),Movimientos!$M$2:$M$501,0)))</f>
        <v/>
      </c>
      <c r="F51" s="44" t="str">
        <f aca="false">IF((MAX(0,$G$10-40)+40)&gt;$G$10,"",INDEX(Movimientos!$H$2:$H$501,MATCH((MAX(0,$G$10-40)+40),Movimientos!$M$2:$M$501,0)))</f>
        <v/>
      </c>
      <c r="G51" s="44" t="str">
        <f aca="false">IF((MAX(0,$G$10-40)+40)&gt;$G$10,"",INDEX(Movimientos!$J$2:$J$501,MATCH((MAX(0,$G$10-40)+40),Movimientos!$M$2:$M$501,0)))</f>
        <v/>
      </c>
    </row>
    <row r="53" customFormat="false" ht="15" hidden="false" customHeight="false" outlineLevel="0" collapsed="false">
      <c r="B53" s="25" t="s">
        <v>121</v>
      </c>
    </row>
  </sheetData>
  <dataValidations count="1">
    <dataValidation allowBlank="false" errorStyle="stop" operator="between" showDropDown="false" showErrorMessage="false" showInputMessage="false" sqref="C4" type="list">
      <formula1>Clientes!$B$2:$B$81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2026-10-07T21:06:09Z</dcterms:created>
  <dc:creator>openpyxl</dc:creator>
  <dc:description/>
  <dc:language>en-US</dc:language>
  <cp:lastModifiedBy/>
  <dcterms:modified xsi:type="dcterms:W3CDTF">2026-10-07T21:06:10Z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