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onfiguración" sheetId="2" state="visible" r:id="rId2"/>
    <sheet xmlns:r="http://schemas.openxmlformats.org/officeDocument/2006/relationships" name="Vinos" sheetId="3" state="visible" r:id="rId3"/>
    <sheet xmlns:r="http://schemas.openxmlformats.org/officeDocument/2006/relationships" name="Conteo de inventario" sheetId="4" state="visible" r:id="rId4"/>
    <sheet xmlns:r="http://schemas.openxmlformats.org/officeDocument/2006/relationships" name="Resumen del inventario" sheetId="5" state="visible" r:id="rId5"/>
  </sheets>
  <definedNames>
    <definedName name="_xlnm.Print_Area" localSheetId="4">'Resumen del inventario'!$B$1:$I$85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 #,##0;-&quot;$&quot; #,##0;&quot;-&quot;"/>
    <numFmt numFmtId="165" formatCode="0.0%"/>
    <numFmt numFmtId="166" formatCode="#,##0;-#,##0;&quot;0&quot;"/>
    <numFmt numFmtId="167" formatCode="yyyy-mm-dd"/>
    <numFmt numFmtId="168" formatCode="dd/mm/yyyy"/>
  </numFmts>
  <fonts count="10">
    <font>
      <name val="Calibri"/>
      <family val="2"/>
      <color theme="1"/>
      <sz val="11"/>
      <scheme val="minor"/>
    </font>
    <font>
      <name val="Arial"/>
      <b val="1"/>
      <color rgb="FFFFAF22"/>
      <sz val="12"/>
    </font>
    <font>
      <name val="Arial"/>
      <b val="1"/>
      <color rgb="FFFFFFFF"/>
      <sz val="15"/>
    </font>
    <font>
      <name val="Arial"/>
      <color rgb="FFFFAF22"/>
      <sz val="10"/>
    </font>
    <font>
      <name val="Arial"/>
      <b val="1"/>
      <color rgb="FF222036"/>
      <sz val="10"/>
    </font>
    <font>
      <name val="Arial"/>
      <color rgb="FF333333"/>
      <sz val="10"/>
    </font>
    <font>
      <name val="Arial"/>
      <color rgb="FF999999"/>
      <sz val="9"/>
    </font>
    <font>
      <name val="Arial"/>
      <b val="1"/>
      <color rgb="FF222036"/>
      <sz val="14"/>
    </font>
    <font>
      <name val="Arial"/>
      <b val="1"/>
      <color rgb="FFFFFFFF"/>
      <sz val="10"/>
    </font>
    <font>
      <name val="Arial"/>
      <b val="1"/>
      <color rgb="FF333333"/>
      <sz val="10"/>
    </font>
  </fonts>
  <fills count="5">
    <fill>
      <patternFill/>
    </fill>
    <fill>
      <patternFill patternType="gray125"/>
    </fill>
    <fill>
      <patternFill patternType="solid">
        <fgColor rgb="FF222036"/>
      </patternFill>
    </fill>
    <fill>
      <patternFill patternType="solid">
        <fgColor rgb="FFFFF3D6"/>
      </patternFill>
    </fill>
    <fill>
      <patternFill patternType="solid">
        <fgColor rgb="FFF7F7F7"/>
      </patternFill>
    </fill>
  </fills>
  <borders count="2">
    <border>
      <left/>
      <right/>
      <top/>
      <bottom/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0" fontId="7" fillId="0" borderId="0" pivotButton="0" quotePrefix="0" xfId="0"/>
    <xf numFmtId="0" fontId="8" fillId="2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8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5" fillId="0" borderId="1" pivotButton="0" quotePrefix="0" xfId="0"/>
    <xf numFmtId="164" fontId="5" fillId="4" borderId="1" pivotButton="0" quotePrefix="0" xfId="0"/>
    <xf numFmtId="165" fontId="5" fillId="4" borderId="1" pivotButton="0" quotePrefix="0" xfId="0"/>
    <xf numFmtId="166" fontId="5" fillId="0" borderId="1" pivotButton="0" quotePrefix="0" xfId="0"/>
    <xf numFmtId="168" fontId="5" fillId="0" borderId="1" pivotButton="0" quotePrefix="0" xfId="0"/>
    <xf numFmtId="0" fontId="5" fillId="4" borderId="1" pivotButton="0" quotePrefix="0" xfId="0"/>
    <xf numFmtId="166" fontId="5" fillId="4" borderId="1" pivotButton="0" quotePrefix="0" xfId="0"/>
    <xf numFmtId="168" fontId="0" fillId="0" borderId="1" pivotButton="0" quotePrefix="0" xfId="0"/>
    <xf numFmtId="166" fontId="9" fillId="4" borderId="1" pivotButton="0" quotePrefix="0" xfId="0"/>
    <xf numFmtId="164" fontId="9" fillId="4" borderId="1" pivotButton="0" quotePrefix="0" xfId="0"/>
    <xf numFmtId="0" fontId="8" fillId="2" borderId="1" applyAlignment="1" pivotButton="0" quotePrefix="0" xfId="0">
      <alignment horizontal="center" wrapText="1"/>
    </xf>
  </cellXfs>
  <cellStyles count="1">
    <cellStyle name="Normal" xfId="0" builtinId="0" hidden="0"/>
  </cellStyles>
  <dxfs count="4">
    <dxf>
      <font>
        <b val="1"/>
        <color rgb="FF1D9E75"/>
      </font>
      <fill>
        <patternFill patternType="solid">
          <fgColor rgb="FFD9F2E9"/>
        </patternFill>
      </fill>
    </dxf>
    <dxf>
      <font>
        <b val="1"/>
        <color rgb="FFB57A0B"/>
      </font>
      <fill>
        <patternFill patternType="solid">
          <fgColor rgb="FFFCEFD2"/>
        </patternFill>
      </fill>
    </dxf>
    <dxf>
      <font>
        <b val="1"/>
        <color rgb="FFD85A30"/>
      </font>
      <fill>
        <patternFill patternType="solid">
          <fgColor rgb="FFFADBD0"/>
        </patternFill>
      </fill>
    </dxf>
    <dxf>
      <font>
        <b val="1"/>
        <color rgb="FFD85A3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a.me/5491128654468" TargetMode="External" Id="rId1"/></Relationships>
</file>

<file path=xl/worksheets/sheet1.xml><?xml version="1.0" encoding="utf-8"?>
<worksheet xmlns="http://schemas.openxmlformats.org/spreadsheetml/2006/main">
  <sheetPr>
    <tabColor rgb="00222036"/>
    <outlinePr summaryBelow="1" summaryRight="1"/>
    <pageSetUpPr/>
  </sheetPr>
  <dimension ref="B2:B3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4" customWidth="1" min="2" max="2"/>
  </cols>
  <sheetData>
    <row r="2" ht="22" customHeight="1">
      <c r="B2" s="1" t="inlineStr">
        <is>
          <t>bcnsoft  ·  CENTRO DE RECURSOS</t>
        </is>
      </c>
    </row>
    <row r="3" ht="30" customHeight="1">
      <c r="B3" s="2" t="inlineStr">
        <is>
          <t>Planilla de inventario de vinos para vinoteca</t>
        </is>
      </c>
    </row>
    <row r="4" ht="18" customHeight="1">
      <c r="B4" s="3" t="inlineStr">
        <is>
          <t>Por botella y por caja cerrada, con costo, precio, margen, stock mínimo y lista para reponer</t>
        </is>
      </c>
    </row>
    <row r="6" ht="34" customHeight="1">
      <c r="B6" s="4" t="inlineStr">
        <is>
          <t>En una vinoteca el stock vive en dos formas: cajas cerradas en el depósito y botellas sueltas en la góndola. Si las contás mezcladas, el inventario nunca cierra y te enterás de que falta un vino cuando un cliente lo pide.</t>
        </is>
      </c>
    </row>
    <row r="8">
      <c r="B8" s="4" t="inlineStr">
        <is>
          <t>CÓMO HACER EL INVENTARIO DE VINOS CON ESTA PLANILLA</t>
        </is>
      </c>
    </row>
    <row r="9" ht="32" customHeight="1">
      <c r="B9" s="5" t="inlineStr">
        <is>
          <t>1.  En «Configuración», revisá los tipos de vino, las ubicaciones (góndola, depósito, heladera) y tus proveedores.</t>
        </is>
      </c>
    </row>
    <row r="10" ht="32" customHeight="1">
      <c r="B10" s="5" t="inlineStr">
        <is>
          <t>2.  En «Vinos», cargá cada etiqueta una sola vez: tipo, varietal, añada, región, proveedor, cuántas botellas trae la caja, el costo de la caja, el precio por botella y el stock mínimo en botellas. La planilla calcula costo por botella, margen y markup.</t>
        </is>
      </c>
    </row>
    <row r="11" ht="32" customHeight="1">
      <c r="B11" s="5" t="inlineStr">
        <is>
          <t>3.  En «Conteo de inventario», contá por ubicación: cajas cerradas por un lado y botellas sueltas por el otro. La planilla las pasa a botellas, suma todas las ubicaciones del mismo vino y lo compara con el mínimo.</t>
        </is>
      </c>
    </row>
    <row r="12" ht="32" customHeight="1">
      <c r="B12" s="5" t="inlineStr">
        <is>
          <t>4.  Si querés controlar faltantes, cargá también el stock que dice tu sistema o tu registro: la planilla te marca la diferencia vino por vino.</t>
        </is>
      </c>
    </row>
    <row r="13" ht="32" customHeight="1">
      <c r="B13" s="5" t="inlineStr">
        <is>
          <t>5.  En «Resumen del inventario» elegís la fecha y ves botellas, valor al costo y a precio de venta, el total por tipo de vino y la lista de lo que hay que reponer, en cajas.</t>
        </is>
      </c>
    </row>
    <row r="15">
      <c r="B15" s="4" t="inlineStr">
        <is>
          <t>QUÉ EDITÁS VOS Y QUÉ SE CALCULA SOLO</t>
        </is>
      </c>
    </row>
    <row r="16" ht="20" customHeight="1">
      <c r="B16" s="5" t="inlineStr">
        <is>
          <t>•  Editás: las celdas blancas (configuración, datos de cada vino, conteos y observaciones).</t>
        </is>
      </c>
    </row>
    <row r="17" ht="20" customHeight="1">
      <c r="B17" s="5" t="inlineStr">
        <is>
          <t>•  No toques: las celdas grises con fórmula (costo por botella, margen, markup, totales, estado y el resumen).</t>
        </is>
      </c>
    </row>
    <row r="18" ht="30" customHeight="1">
      <c r="B18" s="5" t="inlineStr">
        <is>
          <t>•  Margen = ganancia ÷ precio de venta. Markup = ganancia ÷ costo. Cargá costo y precio en la misma base (los dos con IVA o los dos sin IVA).</t>
        </is>
      </c>
    </row>
    <row r="19" ht="20" customHeight="1">
      <c r="B19" s="5" t="inlineStr">
        <is>
          <t>•  Una añada nueva de la misma etiqueta es otro vino: cargala con otro código para no mezclar costos ni stock.</t>
        </is>
      </c>
    </row>
    <row r="20" ht="20" customHeight="1">
      <c r="B20" s="5" t="inlineStr">
        <is>
          <t>•  Los vinos, cantidades y precios son de ejemplo (sin marcas), para que veas cómo funciona. Borralos (solo las celdas blancas) y cargá los tuyos.</t>
        </is>
      </c>
    </row>
    <row r="22">
      <c r="B22" s="4" t="inlineStr">
        <is>
          <t>TIPS PARA QUE EL INVENTARIO CIERRE</t>
        </is>
      </c>
    </row>
    <row r="23" ht="20" customHeight="1">
      <c r="B23" s="5" t="inlineStr">
        <is>
          <t>•  Contá con el local cerrado o en un horario tranquilo, una ubicación por vez.</t>
        </is>
      </c>
    </row>
    <row r="24" ht="20" customHeight="1">
      <c r="B24" s="5" t="inlineStr">
        <is>
          <t>•  Primero las cajas cerradas (sin abrir), después las botellas sueltas. Una caja abierta se cuenta como botellas sueltas.</t>
        </is>
      </c>
    </row>
    <row r="25" ht="20" customHeight="1">
      <c r="B25" s="5" t="inlineStr">
        <is>
          <t>•  Antes de las fiestas subí el stock mínimo de espumantes y de los vinos de regalo: noviembre y diciembre se venden distinto.</t>
        </is>
      </c>
    </row>
    <row r="26" ht="20" customHeight="1">
      <c r="B26" s="5" t="inlineStr">
        <is>
          <t>•  Las botellas rotas o vencidas se sacan del stock con su motivo, no se «pierden» en el conteo.</t>
        </is>
      </c>
    </row>
    <row r="28" ht="20" customHeight="1">
      <c r="B28" s="6" t="inlineStr">
        <is>
          <t>Esto te ordena el inventario de la vinoteca hoy.</t>
        </is>
      </c>
    </row>
    <row r="29" ht="30" customHeight="1">
      <c r="B29" s="7" t="inlineStr">
        <is>
          <t>En bcnsoft vendés por botella o por caja cerrada, el sistema te avisa cuando un vino llega al stock mínimo y actualizás precios importando la lista de tu proveedor.</t>
        </is>
      </c>
    </row>
    <row r="30" ht="20" customHeight="1">
      <c r="B30" s="7" t="inlineStr">
        <is>
          <t>¿Lo querés ver con tus vinos? Escribinos por WhatsApp: +54 9 11 2865-4468 — te atiende una persona, no un bot.</t>
        </is>
      </c>
    </row>
    <row r="32">
      <c r="B32" s="8" t="inlineStr">
        <is>
          <t>Centro de Recursos bcnsoft · Recurso gratuito para vinotecas y comercios · bcnsoft.com.ar</t>
        </is>
      </c>
    </row>
  </sheetData>
  <hyperlinks>
    <hyperlink xmlns:r="http://schemas.openxmlformats.org/officeDocument/2006/relationships" ref="B30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22036"/>
    <outlinePr summaryBelow="1" summaryRight="1"/>
    <pageSetUpPr/>
  </sheetPr>
  <dimension ref="B1:C4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8" customWidth="1" min="3" max="3"/>
  </cols>
  <sheetData>
    <row r="1">
      <c r="B1" s="9" t="inlineStr">
        <is>
          <t>Configuración</t>
        </is>
      </c>
    </row>
    <row r="3">
      <c r="B3" s="10" t="inlineStr">
        <is>
          <t>Tipos de vino</t>
        </is>
      </c>
    </row>
    <row r="4">
      <c r="B4" s="11" t="inlineStr">
        <is>
          <t>Tinto</t>
        </is>
      </c>
    </row>
    <row r="5">
      <c r="B5" s="11" t="inlineStr">
        <is>
          <t>Blanco</t>
        </is>
      </c>
    </row>
    <row r="6">
      <c r="B6" s="11" t="inlineStr">
        <is>
          <t>Rosado</t>
        </is>
      </c>
    </row>
    <row r="7">
      <c r="B7" s="11" t="inlineStr">
        <is>
          <t>Espumante</t>
        </is>
      </c>
    </row>
    <row r="8">
      <c r="B8" s="11" t="inlineStr">
        <is>
          <t>Dulce / fortificado</t>
        </is>
      </c>
    </row>
    <row r="9">
      <c r="B9" s="11" t="n"/>
    </row>
    <row r="10">
      <c r="B10" s="11" t="n"/>
    </row>
    <row r="11">
      <c r="B11" s="11" t="n"/>
    </row>
    <row r="12">
      <c r="B12" s="11" t="n"/>
    </row>
    <row r="13">
      <c r="B13" s="11" t="n"/>
    </row>
    <row r="15">
      <c r="B15" s="10" t="inlineStr">
        <is>
          <t>Ubicaciones</t>
        </is>
      </c>
    </row>
    <row r="16">
      <c r="B16" s="11" t="inlineStr">
        <is>
          <t>Góndola</t>
        </is>
      </c>
    </row>
    <row r="17">
      <c r="B17" s="11" t="inlineStr">
        <is>
          <t>Depósito</t>
        </is>
      </c>
    </row>
    <row r="18">
      <c r="B18" s="11" t="inlineStr">
        <is>
          <t>Heladera</t>
        </is>
      </c>
    </row>
    <row r="19">
      <c r="B19" s="11" t="inlineStr">
        <is>
          <t>Exhibidor</t>
        </is>
      </c>
    </row>
    <row r="20">
      <c r="B20" s="11" t="n"/>
    </row>
    <row r="21">
      <c r="B21" s="11" t="n"/>
    </row>
    <row r="22">
      <c r="B22" s="11" t="n"/>
    </row>
    <row r="23">
      <c r="B23" s="11" t="n"/>
    </row>
    <row r="25">
      <c r="B25" s="10" t="inlineStr">
        <is>
          <t>Proveedores</t>
        </is>
      </c>
    </row>
    <row r="26">
      <c r="B26" s="11" t="inlineStr">
        <is>
          <t>Proveedor A</t>
        </is>
      </c>
    </row>
    <row r="27">
      <c r="B27" s="11" t="inlineStr">
        <is>
          <t>Proveedor B</t>
        </is>
      </c>
    </row>
    <row r="28">
      <c r="B28" s="11" t="inlineStr">
        <is>
          <t>Proveedor C</t>
        </is>
      </c>
    </row>
    <row r="29">
      <c r="B29" s="11" t="n"/>
    </row>
    <row r="30">
      <c r="B30" s="11" t="n"/>
    </row>
    <row r="31">
      <c r="B31" s="11" t="n"/>
    </row>
    <row r="32">
      <c r="B32" s="11" t="n"/>
    </row>
    <row r="33">
      <c r="B33" s="11" t="n"/>
    </row>
    <row r="34">
      <c r="B34" s="11" t="n"/>
    </row>
    <row r="35">
      <c r="B35" s="11" t="n"/>
    </row>
    <row r="36">
      <c r="B36" s="11" t="n"/>
    </row>
    <row r="37">
      <c r="B37" s="11" t="n"/>
    </row>
    <row r="38">
      <c r="B38" s="11" t="n"/>
    </row>
    <row r="39">
      <c r="B39" s="11" t="n"/>
    </row>
    <row r="40">
      <c r="B40" s="11" t="n"/>
    </row>
    <row r="41">
      <c r="B41" s="11" t="n"/>
    </row>
    <row r="42">
      <c r="B42" s="11" t="n"/>
    </row>
    <row r="43">
      <c r="B43" s="11" t="n"/>
    </row>
    <row r="44">
      <c r="B44" s="11" t="n"/>
    </row>
    <row r="45">
      <c r="B45" s="11" t="n"/>
    </row>
    <row r="47">
      <c r="B47" s="12" t="inlineStr">
        <is>
          <t>Nombre del local (opcional)</t>
        </is>
      </c>
      <c r="C47" s="11" t="inlineStr">
        <is>
          <t>Mi vinoteca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22036"/>
    <outlinePr summaryBelow="1" summaryRight="1"/>
    <pageSetUpPr/>
  </sheetPr>
  <dimension ref="A1:P3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6" customWidth="1" min="2" max="2"/>
    <col width="13" customWidth="1" min="3" max="3"/>
    <col width="18" customWidth="1" min="4" max="4"/>
    <col width="8" customWidth="1" min="5" max="5"/>
    <col width="14" customWidth="1" min="6" max="6"/>
    <col width="14" customWidth="1" min="7" max="7"/>
    <col width="10" customWidth="1" min="8" max="8"/>
    <col width="13" customWidth="1" min="9" max="9"/>
    <col width="13" customWidth="1" min="10" max="10"/>
    <col width="13" customWidth="1" min="11" max="11"/>
    <col width="9" customWidth="1" min="12" max="12"/>
    <col width="9" customWidth="1" min="13" max="13"/>
    <col width="11" customWidth="1" min="14" max="14"/>
    <col width="13" customWidth="1" min="15" max="15"/>
    <col width="26" customWidth="1" min="16" max="16"/>
  </cols>
  <sheetData>
    <row r="1" ht="48" customHeight="1">
      <c r="A1" s="13" t="inlineStr">
        <is>
          <t>Código</t>
        </is>
      </c>
      <c r="B1" s="13" t="inlineStr">
        <is>
          <t>Vino</t>
        </is>
      </c>
      <c r="C1" s="13" t="inlineStr">
        <is>
          <t>Tipo</t>
        </is>
      </c>
      <c r="D1" s="13" t="inlineStr">
        <is>
          <t>Varietal</t>
        </is>
      </c>
      <c r="E1" s="13" t="inlineStr">
        <is>
          <t>Añada</t>
        </is>
      </c>
      <c r="F1" s="13" t="inlineStr">
        <is>
          <t>Región</t>
        </is>
      </c>
      <c r="G1" s="13" t="inlineStr">
        <is>
          <t>Proveedor</t>
        </is>
      </c>
      <c r="H1" s="13" t="inlineStr">
        <is>
          <t>Botellas por caja</t>
        </is>
      </c>
      <c r="I1" s="13" t="inlineStr">
        <is>
          <t>Costo de la caja ($)</t>
        </is>
      </c>
      <c r="J1" s="13" t="inlineStr">
        <is>
          <t>Costo por botella ($)</t>
        </is>
      </c>
      <c r="K1" s="13" t="inlineStr">
        <is>
          <t>Precio por botella ($)</t>
        </is>
      </c>
      <c r="L1" s="13" t="inlineStr">
        <is>
          <t>Margen</t>
        </is>
      </c>
      <c r="M1" s="13" t="inlineStr">
        <is>
          <t>Markup</t>
        </is>
      </c>
      <c r="N1" s="13" t="inlineStr">
        <is>
          <t>Stock mínimo (botellas)</t>
        </is>
      </c>
      <c r="O1" s="13" t="inlineStr">
        <is>
          <t>Ubicación habitual</t>
        </is>
      </c>
      <c r="P1" s="13" t="inlineStr">
        <is>
          <t>Observaciones</t>
        </is>
      </c>
    </row>
    <row r="2">
      <c r="A2" s="14" t="inlineStr">
        <is>
          <t>V-01</t>
        </is>
      </c>
      <c r="B2" s="14" t="inlineStr">
        <is>
          <t>Malbec joven</t>
        </is>
      </c>
      <c r="C2" s="14" t="inlineStr">
        <is>
          <t>Tinto</t>
        </is>
      </c>
      <c r="D2" s="14" t="inlineStr">
        <is>
          <t>Malbec</t>
        </is>
      </c>
      <c r="E2" s="14" t="n">
        <v>2025</v>
      </c>
      <c r="F2" s="14" t="inlineStr">
        <is>
          <t>Mendoza</t>
        </is>
      </c>
      <c r="G2" s="14" t="inlineStr">
        <is>
          <t>Proveedor A</t>
        </is>
      </c>
      <c r="H2" s="14" t="n">
        <v>6</v>
      </c>
      <c r="I2" s="15" t="n">
        <v>27000</v>
      </c>
      <c r="J2" s="16">
        <f>IF(OR($I2="",N($H2)&lt;=0),"",$I2/$H2)</f>
        <v/>
      </c>
      <c r="K2" s="15" t="n">
        <v>7500</v>
      </c>
      <c r="L2" s="17">
        <f>IF(OR($J2="",N($K2)&lt;=0),"",($K2-$J2)/$K2)</f>
        <v/>
      </c>
      <c r="M2" s="17">
        <f>IF(OR($J2="",N($K2)&lt;=0,N($J2)&lt;=0),"",($K2-$J2)/$J2)</f>
        <v/>
      </c>
      <c r="N2" s="18" t="n">
        <v>12</v>
      </c>
      <c r="O2" s="14" t="inlineStr">
        <is>
          <t>Góndola</t>
        </is>
      </c>
      <c r="P2" s="14" t="n"/>
    </row>
    <row r="3">
      <c r="A3" s="14" t="inlineStr">
        <is>
          <t>V-02</t>
        </is>
      </c>
      <c r="B3" s="14" t="inlineStr">
        <is>
          <t>Malbec reserva</t>
        </is>
      </c>
      <c r="C3" s="14" t="inlineStr">
        <is>
          <t>Tinto</t>
        </is>
      </c>
      <c r="D3" s="14" t="inlineStr">
        <is>
          <t>Malbec</t>
        </is>
      </c>
      <c r="E3" s="14" t="n">
        <v>2023</v>
      </c>
      <c r="F3" s="14" t="inlineStr">
        <is>
          <t>Mendoza</t>
        </is>
      </c>
      <c r="G3" s="14" t="inlineStr">
        <is>
          <t>Proveedor A</t>
        </is>
      </c>
      <c r="H3" s="14" t="n">
        <v>6</v>
      </c>
      <c r="I3" s="15" t="n">
        <v>54000</v>
      </c>
      <c r="J3" s="16">
        <f>IF(OR($I3="",N($H3)&lt;=0),"",$I3/$H3)</f>
        <v/>
      </c>
      <c r="K3" s="15" t="n">
        <v>14500</v>
      </c>
      <c r="L3" s="17">
        <f>IF(OR($J3="",N($K3)&lt;=0),"",($K3-$J3)/$K3)</f>
        <v/>
      </c>
      <c r="M3" s="17">
        <f>IF(OR($J3="",N($K3)&lt;=0,N($J3)&lt;=0),"",($K3-$J3)/$J3)</f>
        <v/>
      </c>
      <c r="N3" s="18" t="n">
        <v>6</v>
      </c>
      <c r="O3" s="14" t="inlineStr">
        <is>
          <t>Góndola</t>
        </is>
      </c>
      <c r="P3" s="14" t="n"/>
    </row>
    <row r="4">
      <c r="A4" s="14" t="inlineStr">
        <is>
          <t>V-03</t>
        </is>
      </c>
      <c r="B4" s="14" t="inlineStr">
        <is>
          <t>Cabernet Sauvignon</t>
        </is>
      </c>
      <c r="C4" s="14" t="inlineStr">
        <is>
          <t>Tinto</t>
        </is>
      </c>
      <c r="D4" s="14" t="inlineStr">
        <is>
          <t>Cabernet Sauvignon</t>
        </is>
      </c>
      <c r="E4" s="14" t="n">
        <v>2024</v>
      </c>
      <c r="F4" s="14" t="inlineStr">
        <is>
          <t>San Juan</t>
        </is>
      </c>
      <c r="G4" s="14" t="inlineStr">
        <is>
          <t>Proveedor B</t>
        </is>
      </c>
      <c r="H4" s="14" t="n">
        <v>6</v>
      </c>
      <c r="I4" s="15" t="n">
        <v>33000</v>
      </c>
      <c r="J4" s="16">
        <f>IF(OR($I4="",N($H4)&lt;=0),"",$I4/$H4)</f>
        <v/>
      </c>
      <c r="K4" s="15" t="n">
        <v>8900</v>
      </c>
      <c r="L4" s="17">
        <f>IF(OR($J4="",N($K4)&lt;=0),"",($K4-$J4)/$K4)</f>
        <v/>
      </c>
      <c r="M4" s="17">
        <f>IF(OR($J4="",N($K4)&lt;=0,N($J4)&lt;=0),"",($K4-$J4)/$J4)</f>
        <v/>
      </c>
      <c r="N4" s="18" t="n">
        <v>6</v>
      </c>
      <c r="O4" s="14" t="inlineStr">
        <is>
          <t>Góndola</t>
        </is>
      </c>
      <c r="P4" s="14" t="n"/>
    </row>
    <row r="5">
      <c r="A5" s="14" t="inlineStr">
        <is>
          <t>V-04</t>
        </is>
      </c>
      <c r="B5" s="14" t="inlineStr">
        <is>
          <t>Blend tinto de altura</t>
        </is>
      </c>
      <c r="C5" s="14" t="inlineStr">
        <is>
          <t>Tinto</t>
        </is>
      </c>
      <c r="D5" s="14" t="inlineStr">
        <is>
          <t>Blend</t>
        </is>
      </c>
      <c r="E5" s="14" t="n">
        <v>2023</v>
      </c>
      <c r="F5" s="14" t="inlineStr">
        <is>
          <t>Valle de Uco</t>
        </is>
      </c>
      <c r="G5" s="14" t="inlineStr">
        <is>
          <t>Proveedor B</t>
        </is>
      </c>
      <c r="H5" s="14" t="n">
        <v>6</v>
      </c>
      <c r="I5" s="15" t="n">
        <v>60000</v>
      </c>
      <c r="J5" s="16">
        <f>IF(OR($I5="",N($H5)&lt;=0),"",$I5/$H5)</f>
        <v/>
      </c>
      <c r="K5" s="15" t="n">
        <v>16000</v>
      </c>
      <c r="L5" s="17">
        <f>IF(OR($J5="",N($K5)&lt;=0),"",($K5-$J5)/$K5)</f>
        <v/>
      </c>
      <c r="M5" s="17">
        <f>IF(OR($J5="",N($K5)&lt;=0,N($J5)&lt;=0),"",($K5-$J5)/$J5)</f>
        <v/>
      </c>
      <c r="N5" s="18" t="n">
        <v>4</v>
      </c>
      <c r="O5" s="14" t="inlineStr">
        <is>
          <t>Exhibidor</t>
        </is>
      </c>
      <c r="P5" s="14" t="n"/>
    </row>
    <row r="6">
      <c r="A6" s="14" t="inlineStr">
        <is>
          <t>V-05</t>
        </is>
      </c>
      <c r="B6" s="14" t="inlineStr">
        <is>
          <t>Torrontés</t>
        </is>
      </c>
      <c r="C6" s="14" t="inlineStr">
        <is>
          <t>Blanco</t>
        </is>
      </c>
      <c r="D6" s="14" t="inlineStr">
        <is>
          <t>Torrontés</t>
        </is>
      </c>
      <c r="E6" s="14" t="n">
        <v>2025</v>
      </c>
      <c r="F6" s="14" t="inlineStr">
        <is>
          <t>Salta</t>
        </is>
      </c>
      <c r="G6" s="14" t="inlineStr">
        <is>
          <t>Proveedor C</t>
        </is>
      </c>
      <c r="H6" s="14" t="n">
        <v>6</v>
      </c>
      <c r="I6" s="15" t="n">
        <v>25200</v>
      </c>
      <c r="J6" s="16">
        <f>IF(OR($I6="",N($H6)&lt;=0),"",$I6/$H6)</f>
        <v/>
      </c>
      <c r="K6" s="15" t="n">
        <v>6900</v>
      </c>
      <c r="L6" s="17">
        <f>IF(OR($J6="",N($K6)&lt;=0),"",($K6-$J6)/$K6)</f>
        <v/>
      </c>
      <c r="M6" s="17">
        <f>IF(OR($J6="",N($K6)&lt;=0,N($J6)&lt;=0),"",($K6-$J6)/$J6)</f>
        <v/>
      </c>
      <c r="N6" s="18" t="n">
        <v>6</v>
      </c>
      <c r="O6" s="14" t="inlineStr">
        <is>
          <t>Heladera</t>
        </is>
      </c>
      <c r="P6" s="14" t="n"/>
    </row>
    <row r="7">
      <c r="A7" s="14" t="inlineStr">
        <is>
          <t>V-06</t>
        </is>
      </c>
      <c r="B7" s="14" t="inlineStr">
        <is>
          <t>Chardonnay</t>
        </is>
      </c>
      <c r="C7" s="14" t="inlineStr">
        <is>
          <t>Blanco</t>
        </is>
      </c>
      <c r="D7" s="14" t="inlineStr">
        <is>
          <t>Chardonnay</t>
        </is>
      </c>
      <c r="E7" s="14" t="n">
        <v>2024</v>
      </c>
      <c r="F7" s="14" t="inlineStr">
        <is>
          <t>Mendoza</t>
        </is>
      </c>
      <c r="G7" s="14" t="inlineStr">
        <is>
          <t>Proveedor A</t>
        </is>
      </c>
      <c r="H7" s="14" t="n">
        <v>6</v>
      </c>
      <c r="I7" s="15" t="n">
        <v>36000</v>
      </c>
      <c r="J7" s="16">
        <f>IF(OR($I7="",N($H7)&lt;=0),"",$I7/$H7)</f>
        <v/>
      </c>
      <c r="K7" s="15" t="n">
        <v>9800</v>
      </c>
      <c r="L7" s="17">
        <f>IF(OR($J7="",N($K7)&lt;=0),"",($K7-$J7)/$K7)</f>
        <v/>
      </c>
      <c r="M7" s="17">
        <f>IF(OR($J7="",N($K7)&lt;=0,N($J7)&lt;=0),"",($K7-$J7)/$J7)</f>
        <v/>
      </c>
      <c r="N7" s="18" t="n">
        <v>6</v>
      </c>
      <c r="O7" s="14" t="inlineStr">
        <is>
          <t>Heladera</t>
        </is>
      </c>
      <c r="P7" s="14" t="n"/>
    </row>
    <row r="8">
      <c r="A8" s="14" t="inlineStr">
        <is>
          <t>V-07</t>
        </is>
      </c>
      <c r="B8" s="14" t="inlineStr">
        <is>
          <t>Rosado de Malbec</t>
        </is>
      </c>
      <c r="C8" s="14" t="inlineStr">
        <is>
          <t>Rosado</t>
        </is>
      </c>
      <c r="D8" s="14" t="inlineStr">
        <is>
          <t>Malbec</t>
        </is>
      </c>
      <c r="E8" s="14" t="n">
        <v>2025</v>
      </c>
      <c r="F8" s="14" t="inlineStr">
        <is>
          <t>Mendoza</t>
        </is>
      </c>
      <c r="G8" s="14" t="inlineStr">
        <is>
          <t>Proveedor C</t>
        </is>
      </c>
      <c r="H8" s="14" t="n">
        <v>6</v>
      </c>
      <c r="I8" s="15" t="n">
        <v>24000</v>
      </c>
      <c r="J8" s="16">
        <f>IF(OR($I8="",N($H8)&lt;=0),"",$I8/$H8)</f>
        <v/>
      </c>
      <c r="K8" s="15" t="n">
        <v>6500</v>
      </c>
      <c r="L8" s="17">
        <f>IF(OR($J8="",N($K8)&lt;=0),"",($K8-$J8)/$K8)</f>
        <v/>
      </c>
      <c r="M8" s="17">
        <f>IF(OR($J8="",N($K8)&lt;=0,N($J8)&lt;=0),"",($K8-$J8)/$J8)</f>
        <v/>
      </c>
      <c r="N8" s="18" t="n">
        <v>6</v>
      </c>
      <c r="O8" s="14" t="inlineStr">
        <is>
          <t>Heladera</t>
        </is>
      </c>
      <c r="P8" s="14" t="n"/>
    </row>
    <row r="9">
      <c r="A9" s="14" t="inlineStr">
        <is>
          <t>V-08</t>
        </is>
      </c>
      <c r="B9" s="14" t="inlineStr">
        <is>
          <t>Espumante extra brut</t>
        </is>
      </c>
      <c r="C9" s="14" t="inlineStr">
        <is>
          <t>Espumante</t>
        </is>
      </c>
      <c r="D9" s="14" t="inlineStr">
        <is>
          <t>Chardonnay y Pinot Noir</t>
        </is>
      </c>
      <c r="E9" s="14" t="n"/>
      <c r="F9" s="14" t="inlineStr">
        <is>
          <t>Mendoza</t>
        </is>
      </c>
      <c r="G9" s="14" t="inlineStr">
        <is>
          <t>Proveedor B</t>
        </is>
      </c>
      <c r="H9" s="14" t="n">
        <v>6</v>
      </c>
      <c r="I9" s="15" t="n">
        <v>39000</v>
      </c>
      <c r="J9" s="16">
        <f>IF(OR($I9="",N($H9)&lt;=0),"",$I9/$H9)</f>
        <v/>
      </c>
      <c r="K9" s="15" t="n">
        <v>10500</v>
      </c>
      <c r="L9" s="17">
        <f>IF(OR($J9="",N($K9)&lt;=0),"",($K9-$J9)/$K9)</f>
        <v/>
      </c>
      <c r="M9" s="17">
        <f>IF(OR($J9="",N($K9)&lt;=0,N($J9)&lt;=0),"",($K9-$J9)/$J9)</f>
        <v/>
      </c>
      <c r="N9" s="18" t="n">
        <v>12</v>
      </c>
      <c r="O9" s="14" t="inlineStr">
        <is>
          <t>Heladera</t>
        </is>
      </c>
      <c r="P9" s="14" t="n"/>
    </row>
    <row r="10">
      <c r="A10" s="14" t="inlineStr">
        <is>
          <t>V-09</t>
        </is>
      </c>
      <c r="B10" s="14" t="inlineStr">
        <is>
          <t>Bonarda</t>
        </is>
      </c>
      <c r="C10" s="14" t="inlineStr">
        <is>
          <t>Tinto</t>
        </is>
      </c>
      <c r="D10" s="14" t="inlineStr">
        <is>
          <t>Bonarda</t>
        </is>
      </c>
      <c r="E10" s="14" t="n">
        <v>2024</v>
      </c>
      <c r="F10" s="14" t="inlineStr">
        <is>
          <t>Mendoza</t>
        </is>
      </c>
      <c r="G10" s="14" t="inlineStr">
        <is>
          <t>Proveedor C</t>
        </is>
      </c>
      <c r="H10" s="14" t="n">
        <v>12</v>
      </c>
      <c r="I10" s="15" t="n">
        <v>42000</v>
      </c>
      <c r="J10" s="16">
        <f>IF(OR($I10="",N($H10)&lt;=0),"",$I10/$H10)</f>
        <v/>
      </c>
      <c r="K10" s="15" t="n">
        <v>5900</v>
      </c>
      <c r="L10" s="17">
        <f>IF(OR($J10="",N($K10)&lt;=0),"",($K10-$J10)/$K10)</f>
        <v/>
      </c>
      <c r="M10" s="17">
        <f>IF(OR($J10="",N($K10)&lt;=0,N($J10)&lt;=0),"",($K10-$J10)/$J10)</f>
        <v/>
      </c>
      <c r="N10" s="18" t="n">
        <v>12</v>
      </c>
      <c r="O10" s="14" t="inlineStr">
        <is>
          <t>Góndola</t>
        </is>
      </c>
      <c r="P10" s="14" t="n"/>
    </row>
    <row r="11">
      <c r="A11" s="14" t="inlineStr">
        <is>
          <t>V-10</t>
        </is>
      </c>
      <c r="B11" s="14" t="inlineStr">
        <is>
          <t>Vino dulce natural</t>
        </is>
      </c>
      <c r="C11" s="14" t="inlineStr">
        <is>
          <t>Dulce / fortificado</t>
        </is>
      </c>
      <c r="D11" s="14" t="inlineStr">
        <is>
          <t>Moscatel</t>
        </is>
      </c>
      <c r="E11" s="14" t="n">
        <v>2024</v>
      </c>
      <c r="F11" s="14" t="inlineStr">
        <is>
          <t>San Juan</t>
        </is>
      </c>
      <c r="G11" s="14" t="inlineStr">
        <is>
          <t>Proveedor A</t>
        </is>
      </c>
      <c r="H11" s="14" t="n">
        <v>6</v>
      </c>
      <c r="I11" s="15" t="n">
        <v>21000</v>
      </c>
      <c r="J11" s="16">
        <f>IF(OR($I11="",N($H11)&lt;=0),"",$I11/$H11)</f>
        <v/>
      </c>
      <c r="K11" s="15" t="n">
        <v>5800</v>
      </c>
      <c r="L11" s="17">
        <f>IF(OR($J11="",N($K11)&lt;=0),"",($K11-$J11)/$K11)</f>
        <v/>
      </c>
      <c r="M11" s="17">
        <f>IF(OR($J11="",N($K11)&lt;=0,N($J11)&lt;=0),"",($K11-$J11)/$J11)</f>
        <v/>
      </c>
      <c r="N11" s="18" t="n">
        <v>4</v>
      </c>
      <c r="O11" s="14" t="inlineStr">
        <is>
          <t>Góndola</t>
        </is>
      </c>
      <c r="P11" s="14" t="n"/>
    </row>
    <row r="12">
      <c r="A12" s="14" t="n"/>
      <c r="B12" s="14" t="n"/>
      <c r="C12" s="14" t="n"/>
      <c r="D12" s="14" t="n"/>
      <c r="E12" s="14" t="n"/>
      <c r="F12" s="14" t="n"/>
      <c r="G12" s="14" t="n"/>
      <c r="H12" s="14" t="n"/>
      <c r="I12" s="15" t="n"/>
      <c r="J12" s="16">
        <f>IF(OR($I12="",N($H12)&lt;=0),"",$I12/$H12)</f>
        <v/>
      </c>
      <c r="K12" s="15" t="n"/>
      <c r="L12" s="17">
        <f>IF(OR($J12="",N($K12)&lt;=0),"",($K12-$J12)/$K12)</f>
        <v/>
      </c>
      <c r="M12" s="17">
        <f>IF(OR($J12="",N($K12)&lt;=0,N($J12)&lt;=0),"",($K12-$J12)/$J12)</f>
        <v/>
      </c>
      <c r="N12" s="18" t="n"/>
      <c r="O12" s="14" t="n"/>
      <c r="P12" s="14" t="n"/>
    </row>
    <row r="13">
      <c r="A13" s="14" t="n"/>
      <c r="B13" s="14" t="n"/>
      <c r="C13" s="14" t="n"/>
      <c r="D13" s="14" t="n"/>
      <c r="E13" s="14" t="n"/>
      <c r="F13" s="14" t="n"/>
      <c r="G13" s="14" t="n"/>
      <c r="H13" s="14" t="n"/>
      <c r="I13" s="15" t="n"/>
      <c r="J13" s="16">
        <f>IF(OR($I13="",N($H13)&lt;=0),"",$I13/$H13)</f>
        <v/>
      </c>
      <c r="K13" s="15" t="n"/>
      <c r="L13" s="17">
        <f>IF(OR($J13="",N($K13)&lt;=0),"",($K13-$J13)/$K13)</f>
        <v/>
      </c>
      <c r="M13" s="17">
        <f>IF(OR($J13="",N($K13)&lt;=0,N($J13)&lt;=0),"",($K13-$J13)/$J13)</f>
        <v/>
      </c>
      <c r="N13" s="18" t="n"/>
      <c r="O13" s="14" t="n"/>
      <c r="P13" s="14" t="n"/>
    </row>
    <row r="14">
      <c r="A14" s="14" t="n"/>
      <c r="B14" s="14" t="n"/>
      <c r="C14" s="14" t="n"/>
      <c r="D14" s="14" t="n"/>
      <c r="E14" s="14" t="n"/>
      <c r="F14" s="14" t="n"/>
      <c r="G14" s="14" t="n"/>
      <c r="H14" s="14" t="n"/>
      <c r="I14" s="15" t="n"/>
      <c r="J14" s="16">
        <f>IF(OR($I14="",N($H14)&lt;=0),"",$I14/$H14)</f>
        <v/>
      </c>
      <c r="K14" s="15" t="n"/>
      <c r="L14" s="17">
        <f>IF(OR($J14="",N($K14)&lt;=0),"",($K14-$J14)/$K14)</f>
        <v/>
      </c>
      <c r="M14" s="17">
        <f>IF(OR($J14="",N($K14)&lt;=0,N($J14)&lt;=0),"",($K14-$J14)/$J14)</f>
        <v/>
      </c>
      <c r="N14" s="18" t="n"/>
      <c r="O14" s="14" t="n"/>
      <c r="P14" s="14" t="n"/>
    </row>
    <row r="15">
      <c r="A15" s="14" t="n"/>
      <c r="B15" s="14" t="n"/>
      <c r="C15" s="14" t="n"/>
      <c r="D15" s="14" t="n"/>
      <c r="E15" s="14" t="n"/>
      <c r="F15" s="14" t="n"/>
      <c r="G15" s="14" t="n"/>
      <c r="H15" s="14" t="n"/>
      <c r="I15" s="15" t="n"/>
      <c r="J15" s="16">
        <f>IF(OR($I15="",N($H15)&lt;=0),"",$I15/$H15)</f>
        <v/>
      </c>
      <c r="K15" s="15" t="n"/>
      <c r="L15" s="17">
        <f>IF(OR($J15="",N($K15)&lt;=0),"",($K15-$J15)/$K15)</f>
        <v/>
      </c>
      <c r="M15" s="17">
        <f>IF(OR($J15="",N($K15)&lt;=0,N($J15)&lt;=0),"",($K15-$J15)/$J15)</f>
        <v/>
      </c>
      <c r="N15" s="18" t="n"/>
      <c r="O15" s="14" t="n"/>
      <c r="P15" s="14" t="n"/>
    </row>
    <row r="16">
      <c r="A16" s="14" t="n"/>
      <c r="B16" s="14" t="n"/>
      <c r="C16" s="14" t="n"/>
      <c r="D16" s="14" t="n"/>
      <c r="E16" s="14" t="n"/>
      <c r="F16" s="14" t="n"/>
      <c r="G16" s="14" t="n"/>
      <c r="H16" s="14" t="n"/>
      <c r="I16" s="15" t="n"/>
      <c r="J16" s="16">
        <f>IF(OR($I16="",N($H16)&lt;=0),"",$I16/$H16)</f>
        <v/>
      </c>
      <c r="K16" s="15" t="n"/>
      <c r="L16" s="17">
        <f>IF(OR($J16="",N($K16)&lt;=0),"",($K16-$J16)/$K16)</f>
        <v/>
      </c>
      <c r="M16" s="17">
        <f>IF(OR($J16="",N($K16)&lt;=0,N($J16)&lt;=0),"",($K16-$J16)/$J16)</f>
        <v/>
      </c>
      <c r="N16" s="18" t="n"/>
      <c r="O16" s="14" t="n"/>
      <c r="P16" s="14" t="n"/>
    </row>
    <row r="17">
      <c r="A17" s="14" t="n"/>
      <c r="B17" s="14" t="n"/>
      <c r="C17" s="14" t="n"/>
      <c r="D17" s="14" t="n"/>
      <c r="E17" s="14" t="n"/>
      <c r="F17" s="14" t="n"/>
      <c r="G17" s="14" t="n"/>
      <c r="H17" s="14" t="n"/>
      <c r="I17" s="15" t="n"/>
      <c r="J17" s="16">
        <f>IF(OR($I17="",N($H17)&lt;=0),"",$I17/$H17)</f>
        <v/>
      </c>
      <c r="K17" s="15" t="n"/>
      <c r="L17" s="17">
        <f>IF(OR($J17="",N($K17)&lt;=0),"",($K17-$J17)/$K17)</f>
        <v/>
      </c>
      <c r="M17" s="17">
        <f>IF(OR($J17="",N($K17)&lt;=0,N($J17)&lt;=0),"",($K17-$J17)/$J17)</f>
        <v/>
      </c>
      <c r="N17" s="18" t="n"/>
      <c r="O17" s="14" t="n"/>
      <c r="P17" s="14" t="n"/>
    </row>
    <row r="18">
      <c r="A18" s="14" t="n"/>
      <c r="B18" s="14" t="n"/>
      <c r="C18" s="14" t="n"/>
      <c r="D18" s="14" t="n"/>
      <c r="E18" s="14" t="n"/>
      <c r="F18" s="14" t="n"/>
      <c r="G18" s="14" t="n"/>
      <c r="H18" s="14" t="n"/>
      <c r="I18" s="15" t="n"/>
      <c r="J18" s="16">
        <f>IF(OR($I18="",N($H18)&lt;=0),"",$I18/$H18)</f>
        <v/>
      </c>
      <c r="K18" s="15" t="n"/>
      <c r="L18" s="17">
        <f>IF(OR($J18="",N($K18)&lt;=0),"",($K18-$J18)/$K18)</f>
        <v/>
      </c>
      <c r="M18" s="17">
        <f>IF(OR($J18="",N($K18)&lt;=0,N($J18)&lt;=0),"",($K18-$J18)/$J18)</f>
        <v/>
      </c>
      <c r="N18" s="18" t="n"/>
      <c r="O18" s="14" t="n"/>
      <c r="P18" s="14" t="n"/>
    </row>
    <row r="19">
      <c r="A19" s="14" t="n"/>
      <c r="B19" s="14" t="n"/>
      <c r="C19" s="14" t="n"/>
      <c r="D19" s="14" t="n"/>
      <c r="E19" s="14" t="n"/>
      <c r="F19" s="14" t="n"/>
      <c r="G19" s="14" t="n"/>
      <c r="H19" s="14" t="n"/>
      <c r="I19" s="15" t="n"/>
      <c r="J19" s="16">
        <f>IF(OR($I19="",N($H19)&lt;=0),"",$I19/$H19)</f>
        <v/>
      </c>
      <c r="K19" s="15" t="n"/>
      <c r="L19" s="17">
        <f>IF(OR($J19="",N($K19)&lt;=0),"",($K19-$J19)/$K19)</f>
        <v/>
      </c>
      <c r="M19" s="17">
        <f>IF(OR($J19="",N($K19)&lt;=0,N($J19)&lt;=0),"",($K19-$J19)/$J19)</f>
        <v/>
      </c>
      <c r="N19" s="18" t="n"/>
      <c r="O19" s="14" t="n"/>
      <c r="P19" s="14" t="n"/>
    </row>
    <row r="20">
      <c r="A20" s="14" t="n"/>
      <c r="B20" s="14" t="n"/>
      <c r="C20" s="14" t="n"/>
      <c r="D20" s="14" t="n"/>
      <c r="E20" s="14" t="n"/>
      <c r="F20" s="14" t="n"/>
      <c r="G20" s="14" t="n"/>
      <c r="H20" s="14" t="n"/>
      <c r="I20" s="15" t="n"/>
      <c r="J20" s="16">
        <f>IF(OR($I20="",N($H20)&lt;=0),"",$I20/$H20)</f>
        <v/>
      </c>
      <c r="K20" s="15" t="n"/>
      <c r="L20" s="17">
        <f>IF(OR($J20="",N($K20)&lt;=0),"",($K20-$J20)/$K20)</f>
        <v/>
      </c>
      <c r="M20" s="17">
        <f>IF(OR($J20="",N($K20)&lt;=0,N($J20)&lt;=0),"",($K20-$J20)/$J20)</f>
        <v/>
      </c>
      <c r="N20" s="18" t="n"/>
      <c r="O20" s="14" t="n"/>
      <c r="P20" s="14" t="n"/>
    </row>
    <row r="21">
      <c r="A21" s="14" t="n"/>
      <c r="B21" s="14" t="n"/>
      <c r="C21" s="14" t="n"/>
      <c r="D21" s="14" t="n"/>
      <c r="E21" s="14" t="n"/>
      <c r="F21" s="14" t="n"/>
      <c r="G21" s="14" t="n"/>
      <c r="H21" s="14" t="n"/>
      <c r="I21" s="15" t="n"/>
      <c r="J21" s="16">
        <f>IF(OR($I21="",N($H21)&lt;=0),"",$I21/$H21)</f>
        <v/>
      </c>
      <c r="K21" s="15" t="n"/>
      <c r="L21" s="17">
        <f>IF(OR($J21="",N($K21)&lt;=0),"",($K21-$J21)/$K21)</f>
        <v/>
      </c>
      <c r="M21" s="17">
        <f>IF(OR($J21="",N($K21)&lt;=0,N($J21)&lt;=0),"",($K21-$J21)/$J21)</f>
        <v/>
      </c>
      <c r="N21" s="18" t="n"/>
      <c r="O21" s="14" t="n"/>
      <c r="P21" s="14" t="n"/>
    </row>
    <row r="22">
      <c r="A22" s="14" t="n"/>
      <c r="B22" s="14" t="n"/>
      <c r="C22" s="14" t="n"/>
      <c r="D22" s="14" t="n"/>
      <c r="E22" s="14" t="n"/>
      <c r="F22" s="14" t="n"/>
      <c r="G22" s="14" t="n"/>
      <c r="H22" s="14" t="n"/>
      <c r="I22" s="15" t="n"/>
      <c r="J22" s="16">
        <f>IF(OR($I22="",N($H22)&lt;=0),"",$I22/$H22)</f>
        <v/>
      </c>
      <c r="K22" s="15" t="n"/>
      <c r="L22" s="17">
        <f>IF(OR($J22="",N($K22)&lt;=0),"",($K22-$J22)/$K22)</f>
        <v/>
      </c>
      <c r="M22" s="17">
        <f>IF(OR($J22="",N($K22)&lt;=0,N($J22)&lt;=0),"",($K22-$J22)/$J22)</f>
        <v/>
      </c>
      <c r="N22" s="18" t="n"/>
      <c r="O22" s="14" t="n"/>
      <c r="P22" s="14" t="n"/>
    </row>
    <row r="23">
      <c r="A23" s="14" t="n"/>
      <c r="B23" s="14" t="n"/>
      <c r="C23" s="14" t="n"/>
      <c r="D23" s="14" t="n"/>
      <c r="E23" s="14" t="n"/>
      <c r="F23" s="14" t="n"/>
      <c r="G23" s="14" t="n"/>
      <c r="H23" s="14" t="n"/>
      <c r="I23" s="15" t="n"/>
      <c r="J23" s="16">
        <f>IF(OR($I23="",N($H23)&lt;=0),"",$I23/$H23)</f>
        <v/>
      </c>
      <c r="K23" s="15" t="n"/>
      <c r="L23" s="17">
        <f>IF(OR($J23="",N($K23)&lt;=0),"",($K23-$J23)/$K23)</f>
        <v/>
      </c>
      <c r="M23" s="17">
        <f>IF(OR($J23="",N($K23)&lt;=0,N($J23)&lt;=0),"",($K23-$J23)/$J23)</f>
        <v/>
      </c>
      <c r="N23" s="18" t="n"/>
      <c r="O23" s="14" t="n"/>
      <c r="P23" s="14" t="n"/>
    </row>
    <row r="24">
      <c r="A24" s="14" t="n"/>
      <c r="B24" s="14" t="n"/>
      <c r="C24" s="14" t="n"/>
      <c r="D24" s="14" t="n"/>
      <c r="E24" s="14" t="n"/>
      <c r="F24" s="14" t="n"/>
      <c r="G24" s="14" t="n"/>
      <c r="H24" s="14" t="n"/>
      <c r="I24" s="15" t="n"/>
      <c r="J24" s="16">
        <f>IF(OR($I24="",N($H24)&lt;=0),"",$I24/$H24)</f>
        <v/>
      </c>
      <c r="K24" s="15" t="n"/>
      <c r="L24" s="17">
        <f>IF(OR($J24="",N($K24)&lt;=0),"",($K24-$J24)/$K24)</f>
        <v/>
      </c>
      <c r="M24" s="17">
        <f>IF(OR($J24="",N($K24)&lt;=0,N($J24)&lt;=0),"",($K24-$J24)/$J24)</f>
        <v/>
      </c>
      <c r="N24" s="18" t="n"/>
      <c r="O24" s="14" t="n"/>
      <c r="P24" s="14" t="n"/>
    </row>
    <row r="25">
      <c r="A25" s="14" t="n"/>
      <c r="B25" s="14" t="n"/>
      <c r="C25" s="14" t="n"/>
      <c r="D25" s="14" t="n"/>
      <c r="E25" s="14" t="n"/>
      <c r="F25" s="14" t="n"/>
      <c r="G25" s="14" t="n"/>
      <c r="H25" s="14" t="n"/>
      <c r="I25" s="15" t="n"/>
      <c r="J25" s="16">
        <f>IF(OR($I25="",N($H25)&lt;=0),"",$I25/$H25)</f>
        <v/>
      </c>
      <c r="K25" s="15" t="n"/>
      <c r="L25" s="17">
        <f>IF(OR($J25="",N($K25)&lt;=0),"",($K25-$J25)/$K25)</f>
        <v/>
      </c>
      <c r="M25" s="17">
        <f>IF(OR($J25="",N($K25)&lt;=0,N($J25)&lt;=0),"",($K25-$J25)/$J25)</f>
        <v/>
      </c>
      <c r="N25" s="18" t="n"/>
      <c r="O25" s="14" t="n"/>
      <c r="P25" s="14" t="n"/>
    </row>
    <row r="26">
      <c r="A26" s="14" t="n"/>
      <c r="B26" s="14" t="n"/>
      <c r="C26" s="14" t="n"/>
      <c r="D26" s="14" t="n"/>
      <c r="E26" s="14" t="n"/>
      <c r="F26" s="14" t="n"/>
      <c r="G26" s="14" t="n"/>
      <c r="H26" s="14" t="n"/>
      <c r="I26" s="15" t="n"/>
      <c r="J26" s="16">
        <f>IF(OR($I26="",N($H26)&lt;=0),"",$I26/$H26)</f>
        <v/>
      </c>
      <c r="K26" s="15" t="n"/>
      <c r="L26" s="17">
        <f>IF(OR($J26="",N($K26)&lt;=0),"",($K26-$J26)/$K26)</f>
        <v/>
      </c>
      <c r="M26" s="17">
        <f>IF(OR($J26="",N($K26)&lt;=0,N($J26)&lt;=0),"",($K26-$J26)/$J26)</f>
        <v/>
      </c>
      <c r="N26" s="18" t="n"/>
      <c r="O26" s="14" t="n"/>
      <c r="P26" s="14" t="n"/>
    </row>
    <row r="27">
      <c r="A27" s="14" t="n"/>
      <c r="B27" s="14" t="n"/>
      <c r="C27" s="14" t="n"/>
      <c r="D27" s="14" t="n"/>
      <c r="E27" s="14" t="n"/>
      <c r="F27" s="14" t="n"/>
      <c r="G27" s="14" t="n"/>
      <c r="H27" s="14" t="n"/>
      <c r="I27" s="15" t="n"/>
      <c r="J27" s="16">
        <f>IF(OR($I27="",N($H27)&lt;=0),"",$I27/$H27)</f>
        <v/>
      </c>
      <c r="K27" s="15" t="n"/>
      <c r="L27" s="17">
        <f>IF(OR($J27="",N($K27)&lt;=0),"",($K27-$J27)/$K27)</f>
        <v/>
      </c>
      <c r="M27" s="17">
        <f>IF(OR($J27="",N($K27)&lt;=0,N($J27)&lt;=0),"",($K27-$J27)/$J27)</f>
        <v/>
      </c>
      <c r="N27" s="18" t="n"/>
      <c r="O27" s="14" t="n"/>
      <c r="P27" s="14" t="n"/>
    </row>
    <row r="28">
      <c r="A28" s="14" t="n"/>
      <c r="B28" s="14" t="n"/>
      <c r="C28" s="14" t="n"/>
      <c r="D28" s="14" t="n"/>
      <c r="E28" s="14" t="n"/>
      <c r="F28" s="14" t="n"/>
      <c r="G28" s="14" t="n"/>
      <c r="H28" s="14" t="n"/>
      <c r="I28" s="15" t="n"/>
      <c r="J28" s="16">
        <f>IF(OR($I28="",N($H28)&lt;=0),"",$I28/$H28)</f>
        <v/>
      </c>
      <c r="K28" s="15" t="n"/>
      <c r="L28" s="17">
        <f>IF(OR($J28="",N($K28)&lt;=0),"",($K28-$J28)/$K28)</f>
        <v/>
      </c>
      <c r="M28" s="17">
        <f>IF(OR($J28="",N($K28)&lt;=0,N($J28)&lt;=0),"",($K28-$J28)/$J28)</f>
        <v/>
      </c>
      <c r="N28" s="18" t="n"/>
      <c r="O28" s="14" t="n"/>
      <c r="P28" s="14" t="n"/>
    </row>
    <row r="29">
      <c r="A29" s="14" t="n"/>
      <c r="B29" s="14" t="n"/>
      <c r="C29" s="14" t="n"/>
      <c r="D29" s="14" t="n"/>
      <c r="E29" s="14" t="n"/>
      <c r="F29" s="14" t="n"/>
      <c r="G29" s="14" t="n"/>
      <c r="H29" s="14" t="n"/>
      <c r="I29" s="15" t="n"/>
      <c r="J29" s="16">
        <f>IF(OR($I29="",N($H29)&lt;=0),"",$I29/$H29)</f>
        <v/>
      </c>
      <c r="K29" s="15" t="n"/>
      <c r="L29" s="17">
        <f>IF(OR($J29="",N($K29)&lt;=0),"",($K29-$J29)/$K29)</f>
        <v/>
      </c>
      <c r="M29" s="17">
        <f>IF(OR($J29="",N($K29)&lt;=0,N($J29)&lt;=0),"",($K29-$J29)/$J29)</f>
        <v/>
      </c>
      <c r="N29" s="18" t="n"/>
      <c r="O29" s="14" t="n"/>
      <c r="P29" s="14" t="n"/>
    </row>
    <row r="30">
      <c r="A30" s="14" t="n"/>
      <c r="B30" s="14" t="n"/>
      <c r="C30" s="14" t="n"/>
      <c r="D30" s="14" t="n"/>
      <c r="E30" s="14" t="n"/>
      <c r="F30" s="14" t="n"/>
      <c r="G30" s="14" t="n"/>
      <c r="H30" s="14" t="n"/>
      <c r="I30" s="15" t="n"/>
      <c r="J30" s="16">
        <f>IF(OR($I30="",N($H30)&lt;=0),"",$I30/$H30)</f>
        <v/>
      </c>
      <c r="K30" s="15" t="n"/>
      <c r="L30" s="17">
        <f>IF(OR($J30="",N($K30)&lt;=0),"",($K30-$J30)/$K30)</f>
        <v/>
      </c>
      <c r="M30" s="17">
        <f>IF(OR($J30="",N($K30)&lt;=0,N($J30)&lt;=0),"",($K30-$J30)/$J30)</f>
        <v/>
      </c>
      <c r="N30" s="18" t="n"/>
      <c r="O30" s="14" t="n"/>
      <c r="P30" s="14" t="n"/>
    </row>
    <row r="31">
      <c r="A31" s="14" t="n"/>
      <c r="B31" s="14" t="n"/>
      <c r="C31" s="14" t="n"/>
      <c r="D31" s="14" t="n"/>
      <c r="E31" s="14" t="n"/>
      <c r="F31" s="14" t="n"/>
      <c r="G31" s="14" t="n"/>
      <c r="H31" s="14" t="n"/>
      <c r="I31" s="15" t="n"/>
      <c r="J31" s="16">
        <f>IF(OR($I31="",N($H31)&lt;=0),"",$I31/$H31)</f>
        <v/>
      </c>
      <c r="K31" s="15" t="n"/>
      <c r="L31" s="17">
        <f>IF(OR($J31="",N($K31)&lt;=0),"",($K31-$J31)/$K31)</f>
        <v/>
      </c>
      <c r="M31" s="17">
        <f>IF(OR($J31="",N($K31)&lt;=0,N($J31)&lt;=0),"",($K31-$J31)/$J31)</f>
        <v/>
      </c>
      <c r="N31" s="18" t="n"/>
      <c r="O31" s="14" t="n"/>
      <c r="P31" s="14" t="n"/>
    </row>
    <row r="32">
      <c r="A32" s="14" t="n"/>
      <c r="B32" s="14" t="n"/>
      <c r="C32" s="14" t="n"/>
      <c r="D32" s="14" t="n"/>
      <c r="E32" s="14" t="n"/>
      <c r="F32" s="14" t="n"/>
      <c r="G32" s="14" t="n"/>
      <c r="H32" s="14" t="n"/>
      <c r="I32" s="15" t="n"/>
      <c r="J32" s="16">
        <f>IF(OR($I32="",N($H32)&lt;=0),"",$I32/$H32)</f>
        <v/>
      </c>
      <c r="K32" s="15" t="n"/>
      <c r="L32" s="17">
        <f>IF(OR($J32="",N($K32)&lt;=0),"",($K32-$J32)/$K32)</f>
        <v/>
      </c>
      <c r="M32" s="17">
        <f>IF(OR($J32="",N($K32)&lt;=0,N($J32)&lt;=0),"",($K32-$J32)/$J32)</f>
        <v/>
      </c>
      <c r="N32" s="18" t="n"/>
      <c r="O32" s="14" t="n"/>
      <c r="P32" s="14" t="n"/>
    </row>
    <row r="33">
      <c r="A33" s="14" t="n"/>
      <c r="B33" s="14" t="n"/>
      <c r="C33" s="14" t="n"/>
      <c r="D33" s="14" t="n"/>
      <c r="E33" s="14" t="n"/>
      <c r="F33" s="14" t="n"/>
      <c r="G33" s="14" t="n"/>
      <c r="H33" s="14" t="n"/>
      <c r="I33" s="15" t="n"/>
      <c r="J33" s="16">
        <f>IF(OR($I33="",N($H33)&lt;=0),"",$I33/$H33)</f>
        <v/>
      </c>
      <c r="K33" s="15" t="n"/>
      <c r="L33" s="17">
        <f>IF(OR($J33="",N($K33)&lt;=0),"",($K33-$J33)/$K33)</f>
        <v/>
      </c>
      <c r="M33" s="17">
        <f>IF(OR($J33="",N($K33)&lt;=0,N($J33)&lt;=0),"",($K33-$J33)/$J33)</f>
        <v/>
      </c>
      <c r="N33" s="18" t="n"/>
      <c r="O33" s="14" t="n"/>
      <c r="P33" s="14" t="n"/>
    </row>
    <row r="34">
      <c r="A34" s="14" t="n"/>
      <c r="B34" s="14" t="n"/>
      <c r="C34" s="14" t="n"/>
      <c r="D34" s="14" t="n"/>
      <c r="E34" s="14" t="n"/>
      <c r="F34" s="14" t="n"/>
      <c r="G34" s="14" t="n"/>
      <c r="H34" s="14" t="n"/>
      <c r="I34" s="15" t="n"/>
      <c r="J34" s="16">
        <f>IF(OR($I34="",N($H34)&lt;=0),"",$I34/$H34)</f>
        <v/>
      </c>
      <c r="K34" s="15" t="n"/>
      <c r="L34" s="17">
        <f>IF(OR($J34="",N($K34)&lt;=0),"",($K34-$J34)/$K34)</f>
        <v/>
      </c>
      <c r="M34" s="17">
        <f>IF(OR($J34="",N($K34)&lt;=0,N($J34)&lt;=0),"",($K34-$J34)/$J34)</f>
        <v/>
      </c>
      <c r="N34" s="18" t="n"/>
      <c r="O34" s="14" t="n"/>
      <c r="P34" s="14" t="n"/>
    </row>
    <row r="35">
      <c r="A35" s="14" t="n"/>
      <c r="B35" s="14" t="n"/>
      <c r="C35" s="14" t="n"/>
      <c r="D35" s="14" t="n"/>
      <c r="E35" s="14" t="n"/>
      <c r="F35" s="14" t="n"/>
      <c r="G35" s="14" t="n"/>
      <c r="H35" s="14" t="n"/>
      <c r="I35" s="15" t="n"/>
      <c r="J35" s="16">
        <f>IF(OR($I35="",N($H35)&lt;=0),"",$I35/$H35)</f>
        <v/>
      </c>
      <c r="K35" s="15" t="n"/>
      <c r="L35" s="17">
        <f>IF(OR($J35="",N($K35)&lt;=0),"",($K35-$J35)/$K35)</f>
        <v/>
      </c>
      <c r="M35" s="17">
        <f>IF(OR($J35="",N($K35)&lt;=0,N($J35)&lt;=0),"",($K35-$J35)/$J35)</f>
        <v/>
      </c>
      <c r="N35" s="18" t="n"/>
      <c r="O35" s="14" t="n"/>
      <c r="P35" s="14" t="n"/>
    </row>
    <row r="36">
      <c r="A36" s="14" t="n"/>
      <c r="B36" s="14" t="n"/>
      <c r="C36" s="14" t="n"/>
      <c r="D36" s="14" t="n"/>
      <c r="E36" s="14" t="n"/>
      <c r="F36" s="14" t="n"/>
      <c r="G36" s="14" t="n"/>
      <c r="H36" s="14" t="n"/>
      <c r="I36" s="15" t="n"/>
      <c r="J36" s="16">
        <f>IF(OR($I36="",N($H36)&lt;=0),"",$I36/$H36)</f>
        <v/>
      </c>
      <c r="K36" s="15" t="n"/>
      <c r="L36" s="17">
        <f>IF(OR($J36="",N($K36)&lt;=0),"",($K36-$J36)/$K36)</f>
        <v/>
      </c>
      <c r="M36" s="17">
        <f>IF(OR($J36="",N($K36)&lt;=0,N($J36)&lt;=0),"",($K36-$J36)/$J36)</f>
        <v/>
      </c>
      <c r="N36" s="18" t="n"/>
      <c r="O36" s="14" t="n"/>
      <c r="P36" s="14" t="n"/>
    </row>
    <row r="37">
      <c r="A37" s="14" t="n"/>
      <c r="B37" s="14" t="n"/>
      <c r="C37" s="14" t="n"/>
      <c r="D37" s="14" t="n"/>
      <c r="E37" s="14" t="n"/>
      <c r="F37" s="14" t="n"/>
      <c r="G37" s="14" t="n"/>
      <c r="H37" s="14" t="n"/>
      <c r="I37" s="15" t="n"/>
      <c r="J37" s="16">
        <f>IF(OR($I37="",N($H37)&lt;=0),"",$I37/$H37)</f>
        <v/>
      </c>
      <c r="K37" s="15" t="n"/>
      <c r="L37" s="17">
        <f>IF(OR($J37="",N($K37)&lt;=0),"",($K37-$J37)/$K37)</f>
        <v/>
      </c>
      <c r="M37" s="17">
        <f>IF(OR($J37="",N($K37)&lt;=0,N($J37)&lt;=0),"",($K37-$J37)/$J37)</f>
        <v/>
      </c>
      <c r="N37" s="18" t="n"/>
      <c r="O37" s="14" t="n"/>
      <c r="P37" s="14" t="n"/>
    </row>
    <row r="38">
      <c r="A38" s="14" t="n"/>
      <c r="B38" s="14" t="n"/>
      <c r="C38" s="14" t="n"/>
      <c r="D38" s="14" t="n"/>
      <c r="E38" s="14" t="n"/>
      <c r="F38" s="14" t="n"/>
      <c r="G38" s="14" t="n"/>
      <c r="H38" s="14" t="n"/>
      <c r="I38" s="15" t="n"/>
      <c r="J38" s="16">
        <f>IF(OR($I38="",N($H38)&lt;=0),"",$I38/$H38)</f>
        <v/>
      </c>
      <c r="K38" s="15" t="n"/>
      <c r="L38" s="17">
        <f>IF(OR($J38="",N($K38)&lt;=0),"",($K38-$J38)/$K38)</f>
        <v/>
      </c>
      <c r="M38" s="17">
        <f>IF(OR($J38="",N($K38)&lt;=0,N($J38)&lt;=0),"",($K38-$J38)/$J38)</f>
        <v/>
      </c>
      <c r="N38" s="18" t="n"/>
      <c r="O38" s="14" t="n"/>
      <c r="P38" s="14" t="n"/>
    </row>
    <row r="39">
      <c r="A39" s="14" t="n"/>
      <c r="B39" s="14" t="n"/>
      <c r="C39" s="14" t="n"/>
      <c r="D39" s="14" t="n"/>
      <c r="E39" s="14" t="n"/>
      <c r="F39" s="14" t="n"/>
      <c r="G39" s="14" t="n"/>
      <c r="H39" s="14" t="n"/>
      <c r="I39" s="15" t="n"/>
      <c r="J39" s="16">
        <f>IF(OR($I39="",N($H39)&lt;=0),"",$I39/$H39)</f>
        <v/>
      </c>
      <c r="K39" s="15" t="n"/>
      <c r="L39" s="17">
        <f>IF(OR($J39="",N($K39)&lt;=0),"",($K39-$J39)/$K39)</f>
        <v/>
      </c>
      <c r="M39" s="17">
        <f>IF(OR($J39="",N($K39)&lt;=0,N($J39)&lt;=0),"",($K39-$J39)/$J39)</f>
        <v/>
      </c>
      <c r="N39" s="18" t="n"/>
      <c r="O39" s="14" t="n"/>
      <c r="P39" s="14" t="n"/>
    </row>
    <row r="40">
      <c r="A40" s="14" t="n"/>
      <c r="B40" s="14" t="n"/>
      <c r="C40" s="14" t="n"/>
      <c r="D40" s="14" t="n"/>
      <c r="E40" s="14" t="n"/>
      <c r="F40" s="14" t="n"/>
      <c r="G40" s="14" t="n"/>
      <c r="H40" s="14" t="n"/>
      <c r="I40" s="15" t="n"/>
      <c r="J40" s="16">
        <f>IF(OR($I40="",N($H40)&lt;=0),"",$I40/$H40)</f>
        <v/>
      </c>
      <c r="K40" s="15" t="n"/>
      <c r="L40" s="17">
        <f>IF(OR($J40="",N($K40)&lt;=0),"",($K40-$J40)/$K40)</f>
        <v/>
      </c>
      <c r="M40" s="17">
        <f>IF(OR($J40="",N($K40)&lt;=0,N($J40)&lt;=0),"",($K40-$J40)/$J40)</f>
        <v/>
      </c>
      <c r="N40" s="18" t="n"/>
      <c r="O40" s="14" t="n"/>
      <c r="P40" s="14" t="n"/>
    </row>
    <row r="41">
      <c r="A41" s="14" t="n"/>
      <c r="B41" s="14" t="n"/>
      <c r="C41" s="14" t="n"/>
      <c r="D41" s="14" t="n"/>
      <c r="E41" s="14" t="n"/>
      <c r="F41" s="14" t="n"/>
      <c r="G41" s="14" t="n"/>
      <c r="H41" s="14" t="n"/>
      <c r="I41" s="15" t="n"/>
      <c r="J41" s="16">
        <f>IF(OR($I41="",N($H41)&lt;=0),"",$I41/$H41)</f>
        <v/>
      </c>
      <c r="K41" s="15" t="n"/>
      <c r="L41" s="17">
        <f>IF(OR($J41="",N($K41)&lt;=0),"",($K41-$J41)/$K41)</f>
        <v/>
      </c>
      <c r="M41" s="17">
        <f>IF(OR($J41="",N($K41)&lt;=0,N($J41)&lt;=0),"",($K41-$J41)/$J41)</f>
        <v/>
      </c>
      <c r="N41" s="18" t="n"/>
      <c r="O41" s="14" t="n"/>
      <c r="P41" s="14" t="n"/>
    </row>
    <row r="42">
      <c r="A42" s="14" t="n"/>
      <c r="B42" s="14" t="n"/>
      <c r="C42" s="14" t="n"/>
      <c r="D42" s="14" t="n"/>
      <c r="E42" s="14" t="n"/>
      <c r="F42" s="14" t="n"/>
      <c r="G42" s="14" t="n"/>
      <c r="H42" s="14" t="n"/>
      <c r="I42" s="15" t="n"/>
      <c r="J42" s="16">
        <f>IF(OR($I42="",N($H42)&lt;=0),"",$I42/$H42)</f>
        <v/>
      </c>
      <c r="K42" s="15" t="n"/>
      <c r="L42" s="17">
        <f>IF(OR($J42="",N($K42)&lt;=0),"",($K42-$J42)/$K42)</f>
        <v/>
      </c>
      <c r="M42" s="17">
        <f>IF(OR($J42="",N($K42)&lt;=0,N($J42)&lt;=0),"",($K42-$J42)/$J42)</f>
        <v/>
      </c>
      <c r="N42" s="18" t="n"/>
      <c r="O42" s="14" t="n"/>
      <c r="P42" s="14" t="n"/>
    </row>
    <row r="43">
      <c r="A43" s="14" t="n"/>
      <c r="B43" s="14" t="n"/>
      <c r="C43" s="14" t="n"/>
      <c r="D43" s="14" t="n"/>
      <c r="E43" s="14" t="n"/>
      <c r="F43" s="14" t="n"/>
      <c r="G43" s="14" t="n"/>
      <c r="H43" s="14" t="n"/>
      <c r="I43" s="15" t="n"/>
      <c r="J43" s="16">
        <f>IF(OR($I43="",N($H43)&lt;=0),"",$I43/$H43)</f>
        <v/>
      </c>
      <c r="K43" s="15" t="n"/>
      <c r="L43" s="17">
        <f>IF(OR($J43="",N($K43)&lt;=0),"",($K43-$J43)/$K43)</f>
        <v/>
      </c>
      <c r="M43" s="17">
        <f>IF(OR($J43="",N($K43)&lt;=0,N($J43)&lt;=0),"",($K43-$J43)/$J43)</f>
        <v/>
      </c>
      <c r="N43" s="18" t="n"/>
      <c r="O43" s="14" t="n"/>
      <c r="P43" s="14" t="n"/>
    </row>
    <row r="44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5" t="n"/>
      <c r="J44" s="16">
        <f>IF(OR($I44="",N($H44)&lt;=0),"",$I44/$H44)</f>
        <v/>
      </c>
      <c r="K44" s="15" t="n"/>
      <c r="L44" s="17">
        <f>IF(OR($J44="",N($K44)&lt;=0),"",($K44-$J44)/$K44)</f>
        <v/>
      </c>
      <c r="M44" s="17">
        <f>IF(OR($J44="",N($K44)&lt;=0,N($J44)&lt;=0),"",($K44-$J44)/$J44)</f>
        <v/>
      </c>
      <c r="N44" s="18" t="n"/>
      <c r="O44" s="14" t="n"/>
      <c r="P44" s="14" t="n"/>
    </row>
    <row r="45">
      <c r="A45" s="14" t="n"/>
      <c r="B45" s="14" t="n"/>
      <c r="C45" s="14" t="n"/>
      <c r="D45" s="14" t="n"/>
      <c r="E45" s="14" t="n"/>
      <c r="F45" s="14" t="n"/>
      <c r="G45" s="14" t="n"/>
      <c r="H45" s="14" t="n"/>
      <c r="I45" s="15" t="n"/>
      <c r="J45" s="16">
        <f>IF(OR($I45="",N($H45)&lt;=0),"",$I45/$H45)</f>
        <v/>
      </c>
      <c r="K45" s="15" t="n"/>
      <c r="L45" s="17">
        <f>IF(OR($J45="",N($K45)&lt;=0),"",($K45-$J45)/$K45)</f>
        <v/>
      </c>
      <c r="M45" s="17">
        <f>IF(OR($J45="",N($K45)&lt;=0,N($J45)&lt;=0),"",($K45-$J45)/$J45)</f>
        <v/>
      </c>
      <c r="N45" s="18" t="n"/>
      <c r="O45" s="14" t="n"/>
      <c r="P45" s="14" t="n"/>
    </row>
    <row r="46">
      <c r="A46" s="14" t="n"/>
      <c r="B46" s="14" t="n"/>
      <c r="C46" s="14" t="n"/>
      <c r="D46" s="14" t="n"/>
      <c r="E46" s="14" t="n"/>
      <c r="F46" s="14" t="n"/>
      <c r="G46" s="14" t="n"/>
      <c r="H46" s="14" t="n"/>
      <c r="I46" s="15" t="n"/>
      <c r="J46" s="16">
        <f>IF(OR($I46="",N($H46)&lt;=0),"",$I46/$H46)</f>
        <v/>
      </c>
      <c r="K46" s="15" t="n"/>
      <c r="L46" s="17">
        <f>IF(OR($J46="",N($K46)&lt;=0),"",($K46-$J46)/$K46)</f>
        <v/>
      </c>
      <c r="M46" s="17">
        <f>IF(OR($J46="",N($K46)&lt;=0,N($J46)&lt;=0),"",($K46-$J46)/$J46)</f>
        <v/>
      </c>
      <c r="N46" s="18" t="n"/>
      <c r="O46" s="14" t="n"/>
      <c r="P46" s="14" t="n"/>
    </row>
    <row r="47">
      <c r="A47" s="14" t="n"/>
      <c r="B47" s="14" t="n"/>
      <c r="C47" s="14" t="n"/>
      <c r="D47" s="14" t="n"/>
      <c r="E47" s="14" t="n"/>
      <c r="F47" s="14" t="n"/>
      <c r="G47" s="14" t="n"/>
      <c r="H47" s="14" t="n"/>
      <c r="I47" s="15" t="n"/>
      <c r="J47" s="16">
        <f>IF(OR($I47="",N($H47)&lt;=0),"",$I47/$H47)</f>
        <v/>
      </c>
      <c r="K47" s="15" t="n"/>
      <c r="L47" s="17">
        <f>IF(OR($J47="",N($K47)&lt;=0),"",($K47-$J47)/$K47)</f>
        <v/>
      </c>
      <c r="M47" s="17">
        <f>IF(OR($J47="",N($K47)&lt;=0,N($J47)&lt;=0),"",($K47-$J47)/$J47)</f>
        <v/>
      </c>
      <c r="N47" s="18" t="n"/>
      <c r="O47" s="14" t="n"/>
      <c r="P47" s="14" t="n"/>
    </row>
    <row r="48">
      <c r="A48" s="14" t="n"/>
      <c r="B48" s="14" t="n"/>
      <c r="C48" s="14" t="n"/>
      <c r="D48" s="14" t="n"/>
      <c r="E48" s="14" t="n"/>
      <c r="F48" s="14" t="n"/>
      <c r="G48" s="14" t="n"/>
      <c r="H48" s="14" t="n"/>
      <c r="I48" s="15" t="n"/>
      <c r="J48" s="16">
        <f>IF(OR($I48="",N($H48)&lt;=0),"",$I48/$H48)</f>
        <v/>
      </c>
      <c r="K48" s="15" t="n"/>
      <c r="L48" s="17">
        <f>IF(OR($J48="",N($K48)&lt;=0),"",($K48-$J48)/$K48)</f>
        <v/>
      </c>
      <c r="M48" s="17">
        <f>IF(OR($J48="",N($K48)&lt;=0,N($J48)&lt;=0),"",($K48-$J48)/$J48)</f>
        <v/>
      </c>
      <c r="N48" s="18" t="n"/>
      <c r="O48" s="14" t="n"/>
      <c r="P48" s="14" t="n"/>
    </row>
    <row r="49">
      <c r="A49" s="14" t="n"/>
      <c r="B49" s="14" t="n"/>
      <c r="C49" s="14" t="n"/>
      <c r="D49" s="14" t="n"/>
      <c r="E49" s="14" t="n"/>
      <c r="F49" s="14" t="n"/>
      <c r="G49" s="14" t="n"/>
      <c r="H49" s="14" t="n"/>
      <c r="I49" s="15" t="n"/>
      <c r="J49" s="16">
        <f>IF(OR($I49="",N($H49)&lt;=0),"",$I49/$H49)</f>
        <v/>
      </c>
      <c r="K49" s="15" t="n"/>
      <c r="L49" s="17">
        <f>IF(OR($J49="",N($K49)&lt;=0),"",($K49-$J49)/$K49)</f>
        <v/>
      </c>
      <c r="M49" s="17">
        <f>IF(OR($J49="",N($K49)&lt;=0,N($J49)&lt;=0),"",($K49-$J49)/$J49)</f>
        <v/>
      </c>
      <c r="N49" s="18" t="n"/>
      <c r="O49" s="14" t="n"/>
      <c r="P49" s="14" t="n"/>
    </row>
    <row r="50">
      <c r="A50" s="14" t="n"/>
      <c r="B50" s="14" t="n"/>
      <c r="C50" s="14" t="n"/>
      <c r="D50" s="14" t="n"/>
      <c r="E50" s="14" t="n"/>
      <c r="F50" s="14" t="n"/>
      <c r="G50" s="14" t="n"/>
      <c r="H50" s="14" t="n"/>
      <c r="I50" s="15" t="n"/>
      <c r="J50" s="16">
        <f>IF(OR($I50="",N($H50)&lt;=0),"",$I50/$H50)</f>
        <v/>
      </c>
      <c r="K50" s="15" t="n"/>
      <c r="L50" s="17">
        <f>IF(OR($J50="",N($K50)&lt;=0),"",($K50-$J50)/$K50)</f>
        <v/>
      </c>
      <c r="M50" s="17">
        <f>IF(OR($J50="",N($K50)&lt;=0,N($J50)&lt;=0),"",($K50-$J50)/$J50)</f>
        <v/>
      </c>
      <c r="N50" s="18" t="n"/>
      <c r="O50" s="14" t="n"/>
      <c r="P50" s="14" t="n"/>
    </row>
    <row r="51">
      <c r="A51" s="14" t="n"/>
      <c r="B51" s="14" t="n"/>
      <c r="C51" s="14" t="n"/>
      <c r="D51" s="14" t="n"/>
      <c r="E51" s="14" t="n"/>
      <c r="F51" s="14" t="n"/>
      <c r="G51" s="14" t="n"/>
      <c r="H51" s="14" t="n"/>
      <c r="I51" s="15" t="n"/>
      <c r="J51" s="16">
        <f>IF(OR($I51="",N($H51)&lt;=0),"",$I51/$H51)</f>
        <v/>
      </c>
      <c r="K51" s="15" t="n"/>
      <c r="L51" s="17">
        <f>IF(OR($J51="",N($K51)&lt;=0),"",($K51-$J51)/$K51)</f>
        <v/>
      </c>
      <c r="M51" s="17">
        <f>IF(OR($J51="",N($K51)&lt;=0,N($J51)&lt;=0),"",($K51-$J51)/$J51)</f>
        <v/>
      </c>
      <c r="N51" s="18" t="n"/>
      <c r="O51" s="14" t="n"/>
      <c r="P51" s="14" t="n"/>
    </row>
    <row r="52">
      <c r="A52" s="14" t="n"/>
      <c r="B52" s="14" t="n"/>
      <c r="C52" s="14" t="n"/>
      <c r="D52" s="14" t="n"/>
      <c r="E52" s="14" t="n"/>
      <c r="F52" s="14" t="n"/>
      <c r="G52" s="14" t="n"/>
      <c r="H52" s="14" t="n"/>
      <c r="I52" s="15" t="n"/>
      <c r="J52" s="16">
        <f>IF(OR($I52="",N($H52)&lt;=0),"",$I52/$H52)</f>
        <v/>
      </c>
      <c r="K52" s="15" t="n"/>
      <c r="L52" s="17">
        <f>IF(OR($J52="",N($K52)&lt;=0),"",($K52-$J52)/$K52)</f>
        <v/>
      </c>
      <c r="M52" s="17">
        <f>IF(OR($J52="",N($K52)&lt;=0,N($J52)&lt;=0),"",($K52-$J52)/$J52)</f>
        <v/>
      </c>
      <c r="N52" s="18" t="n"/>
      <c r="O52" s="14" t="n"/>
      <c r="P52" s="14" t="n"/>
    </row>
    <row r="53">
      <c r="A53" s="14" t="n"/>
      <c r="B53" s="14" t="n"/>
      <c r="C53" s="14" t="n"/>
      <c r="D53" s="14" t="n"/>
      <c r="E53" s="14" t="n"/>
      <c r="F53" s="14" t="n"/>
      <c r="G53" s="14" t="n"/>
      <c r="H53" s="14" t="n"/>
      <c r="I53" s="15" t="n"/>
      <c r="J53" s="16">
        <f>IF(OR($I53="",N($H53)&lt;=0),"",$I53/$H53)</f>
        <v/>
      </c>
      <c r="K53" s="15" t="n"/>
      <c r="L53" s="17">
        <f>IF(OR($J53="",N($K53)&lt;=0),"",($K53-$J53)/$K53)</f>
        <v/>
      </c>
      <c r="M53" s="17">
        <f>IF(OR($J53="",N($K53)&lt;=0,N($J53)&lt;=0),"",($K53-$J53)/$J53)</f>
        <v/>
      </c>
      <c r="N53" s="18" t="n"/>
      <c r="O53" s="14" t="n"/>
      <c r="P53" s="14" t="n"/>
    </row>
    <row r="54">
      <c r="A54" s="14" t="n"/>
      <c r="B54" s="14" t="n"/>
      <c r="C54" s="14" t="n"/>
      <c r="D54" s="14" t="n"/>
      <c r="E54" s="14" t="n"/>
      <c r="F54" s="14" t="n"/>
      <c r="G54" s="14" t="n"/>
      <c r="H54" s="14" t="n"/>
      <c r="I54" s="15" t="n"/>
      <c r="J54" s="16">
        <f>IF(OR($I54="",N($H54)&lt;=0),"",$I54/$H54)</f>
        <v/>
      </c>
      <c r="K54" s="15" t="n"/>
      <c r="L54" s="17">
        <f>IF(OR($J54="",N($K54)&lt;=0),"",($K54-$J54)/$K54)</f>
        <v/>
      </c>
      <c r="M54" s="17">
        <f>IF(OR($J54="",N($K54)&lt;=0,N($J54)&lt;=0),"",($K54-$J54)/$J54)</f>
        <v/>
      </c>
      <c r="N54" s="18" t="n"/>
      <c r="O54" s="14" t="n"/>
      <c r="P54" s="14" t="n"/>
    </row>
    <row r="55">
      <c r="A55" s="14" t="n"/>
      <c r="B55" s="14" t="n"/>
      <c r="C55" s="14" t="n"/>
      <c r="D55" s="14" t="n"/>
      <c r="E55" s="14" t="n"/>
      <c r="F55" s="14" t="n"/>
      <c r="G55" s="14" t="n"/>
      <c r="H55" s="14" t="n"/>
      <c r="I55" s="15" t="n"/>
      <c r="J55" s="16">
        <f>IF(OR($I55="",N($H55)&lt;=0),"",$I55/$H55)</f>
        <v/>
      </c>
      <c r="K55" s="15" t="n"/>
      <c r="L55" s="17">
        <f>IF(OR($J55="",N($K55)&lt;=0),"",($K55-$J55)/$K55)</f>
        <v/>
      </c>
      <c r="M55" s="17">
        <f>IF(OR($J55="",N($K55)&lt;=0,N($J55)&lt;=0),"",($K55-$J55)/$J55)</f>
        <v/>
      </c>
      <c r="N55" s="18" t="n"/>
      <c r="O55" s="14" t="n"/>
      <c r="P55" s="14" t="n"/>
    </row>
    <row r="56">
      <c r="A56" s="14" t="n"/>
      <c r="B56" s="14" t="n"/>
      <c r="C56" s="14" t="n"/>
      <c r="D56" s="14" t="n"/>
      <c r="E56" s="14" t="n"/>
      <c r="F56" s="14" t="n"/>
      <c r="G56" s="14" t="n"/>
      <c r="H56" s="14" t="n"/>
      <c r="I56" s="15" t="n"/>
      <c r="J56" s="16">
        <f>IF(OR($I56="",N($H56)&lt;=0),"",$I56/$H56)</f>
        <v/>
      </c>
      <c r="K56" s="15" t="n"/>
      <c r="L56" s="17">
        <f>IF(OR($J56="",N($K56)&lt;=0),"",($K56-$J56)/$K56)</f>
        <v/>
      </c>
      <c r="M56" s="17">
        <f>IF(OR($J56="",N($K56)&lt;=0,N($J56)&lt;=0),"",($K56-$J56)/$J56)</f>
        <v/>
      </c>
      <c r="N56" s="18" t="n"/>
      <c r="O56" s="14" t="n"/>
      <c r="P56" s="14" t="n"/>
    </row>
    <row r="57">
      <c r="A57" s="14" t="n"/>
      <c r="B57" s="14" t="n"/>
      <c r="C57" s="14" t="n"/>
      <c r="D57" s="14" t="n"/>
      <c r="E57" s="14" t="n"/>
      <c r="F57" s="14" t="n"/>
      <c r="G57" s="14" t="n"/>
      <c r="H57" s="14" t="n"/>
      <c r="I57" s="15" t="n"/>
      <c r="J57" s="16">
        <f>IF(OR($I57="",N($H57)&lt;=0),"",$I57/$H57)</f>
        <v/>
      </c>
      <c r="K57" s="15" t="n"/>
      <c r="L57" s="17">
        <f>IF(OR($J57="",N($K57)&lt;=0),"",($K57-$J57)/$K57)</f>
        <v/>
      </c>
      <c r="M57" s="17">
        <f>IF(OR($J57="",N($K57)&lt;=0,N($J57)&lt;=0),"",($K57-$J57)/$J57)</f>
        <v/>
      </c>
      <c r="N57" s="18" t="n"/>
      <c r="O57" s="14" t="n"/>
      <c r="P57" s="14" t="n"/>
    </row>
    <row r="58">
      <c r="A58" s="14" t="n"/>
      <c r="B58" s="14" t="n"/>
      <c r="C58" s="14" t="n"/>
      <c r="D58" s="14" t="n"/>
      <c r="E58" s="14" t="n"/>
      <c r="F58" s="14" t="n"/>
      <c r="G58" s="14" t="n"/>
      <c r="H58" s="14" t="n"/>
      <c r="I58" s="15" t="n"/>
      <c r="J58" s="16">
        <f>IF(OR($I58="",N($H58)&lt;=0),"",$I58/$H58)</f>
        <v/>
      </c>
      <c r="K58" s="15" t="n"/>
      <c r="L58" s="17">
        <f>IF(OR($J58="",N($K58)&lt;=0),"",($K58-$J58)/$K58)</f>
        <v/>
      </c>
      <c r="M58" s="17">
        <f>IF(OR($J58="",N($K58)&lt;=0,N($J58)&lt;=0),"",($K58-$J58)/$J58)</f>
        <v/>
      </c>
      <c r="N58" s="18" t="n"/>
      <c r="O58" s="14" t="n"/>
      <c r="P58" s="14" t="n"/>
    </row>
    <row r="59">
      <c r="A59" s="14" t="n"/>
      <c r="B59" s="14" t="n"/>
      <c r="C59" s="14" t="n"/>
      <c r="D59" s="14" t="n"/>
      <c r="E59" s="14" t="n"/>
      <c r="F59" s="14" t="n"/>
      <c r="G59" s="14" t="n"/>
      <c r="H59" s="14" t="n"/>
      <c r="I59" s="15" t="n"/>
      <c r="J59" s="16">
        <f>IF(OR($I59="",N($H59)&lt;=0),"",$I59/$H59)</f>
        <v/>
      </c>
      <c r="K59" s="15" t="n"/>
      <c r="L59" s="17">
        <f>IF(OR($J59="",N($K59)&lt;=0),"",($K59-$J59)/$K59)</f>
        <v/>
      </c>
      <c r="M59" s="17">
        <f>IF(OR($J59="",N($K59)&lt;=0,N($J59)&lt;=0),"",($K59-$J59)/$J59)</f>
        <v/>
      </c>
      <c r="N59" s="18" t="n"/>
      <c r="O59" s="14" t="n"/>
      <c r="P59" s="14" t="n"/>
    </row>
    <row r="60">
      <c r="A60" s="14" t="n"/>
      <c r="B60" s="14" t="n"/>
      <c r="C60" s="14" t="n"/>
      <c r="D60" s="14" t="n"/>
      <c r="E60" s="14" t="n"/>
      <c r="F60" s="14" t="n"/>
      <c r="G60" s="14" t="n"/>
      <c r="H60" s="14" t="n"/>
      <c r="I60" s="15" t="n"/>
      <c r="J60" s="16">
        <f>IF(OR($I60="",N($H60)&lt;=0),"",$I60/$H60)</f>
        <v/>
      </c>
      <c r="K60" s="15" t="n"/>
      <c r="L60" s="17">
        <f>IF(OR($J60="",N($K60)&lt;=0),"",($K60-$J60)/$K60)</f>
        <v/>
      </c>
      <c r="M60" s="17">
        <f>IF(OR($J60="",N($K60)&lt;=0,N($J60)&lt;=0),"",($K60-$J60)/$J60)</f>
        <v/>
      </c>
      <c r="N60" s="18" t="n"/>
      <c r="O60" s="14" t="n"/>
      <c r="P60" s="14" t="n"/>
    </row>
    <row r="61">
      <c r="A61" s="14" t="n"/>
      <c r="B61" s="14" t="n"/>
      <c r="C61" s="14" t="n"/>
      <c r="D61" s="14" t="n"/>
      <c r="E61" s="14" t="n"/>
      <c r="F61" s="14" t="n"/>
      <c r="G61" s="14" t="n"/>
      <c r="H61" s="14" t="n"/>
      <c r="I61" s="15" t="n"/>
      <c r="J61" s="16">
        <f>IF(OR($I61="",N($H61)&lt;=0),"",$I61/$H61)</f>
        <v/>
      </c>
      <c r="K61" s="15" t="n"/>
      <c r="L61" s="17">
        <f>IF(OR($J61="",N($K61)&lt;=0),"",($K61-$J61)/$K61)</f>
        <v/>
      </c>
      <c r="M61" s="17">
        <f>IF(OR($J61="",N($K61)&lt;=0,N($J61)&lt;=0),"",($K61-$J61)/$J61)</f>
        <v/>
      </c>
      <c r="N61" s="18" t="n"/>
      <c r="O61" s="14" t="n"/>
      <c r="P61" s="14" t="n"/>
    </row>
    <row r="62">
      <c r="A62" s="14" t="n"/>
      <c r="B62" s="14" t="n"/>
      <c r="C62" s="14" t="n"/>
      <c r="D62" s="14" t="n"/>
      <c r="E62" s="14" t="n"/>
      <c r="F62" s="14" t="n"/>
      <c r="G62" s="14" t="n"/>
      <c r="H62" s="14" t="n"/>
      <c r="I62" s="15" t="n"/>
      <c r="J62" s="16">
        <f>IF(OR($I62="",N($H62)&lt;=0),"",$I62/$H62)</f>
        <v/>
      </c>
      <c r="K62" s="15" t="n"/>
      <c r="L62" s="17">
        <f>IF(OR($J62="",N($K62)&lt;=0),"",($K62-$J62)/$K62)</f>
        <v/>
      </c>
      <c r="M62" s="17">
        <f>IF(OR($J62="",N($K62)&lt;=0,N($J62)&lt;=0),"",($K62-$J62)/$J62)</f>
        <v/>
      </c>
      <c r="N62" s="18" t="n"/>
      <c r="O62" s="14" t="n"/>
      <c r="P62" s="14" t="n"/>
    </row>
    <row r="63">
      <c r="A63" s="14" t="n"/>
      <c r="B63" s="14" t="n"/>
      <c r="C63" s="14" t="n"/>
      <c r="D63" s="14" t="n"/>
      <c r="E63" s="14" t="n"/>
      <c r="F63" s="14" t="n"/>
      <c r="G63" s="14" t="n"/>
      <c r="H63" s="14" t="n"/>
      <c r="I63" s="15" t="n"/>
      <c r="J63" s="16">
        <f>IF(OR($I63="",N($H63)&lt;=0),"",$I63/$H63)</f>
        <v/>
      </c>
      <c r="K63" s="15" t="n"/>
      <c r="L63" s="17">
        <f>IF(OR($J63="",N($K63)&lt;=0),"",($K63-$J63)/$K63)</f>
        <v/>
      </c>
      <c r="M63" s="17">
        <f>IF(OR($J63="",N($K63)&lt;=0,N($J63)&lt;=0),"",($K63-$J63)/$J63)</f>
        <v/>
      </c>
      <c r="N63" s="18" t="n"/>
      <c r="O63" s="14" t="n"/>
      <c r="P63" s="14" t="n"/>
    </row>
    <row r="64">
      <c r="A64" s="14" t="n"/>
      <c r="B64" s="14" t="n"/>
      <c r="C64" s="14" t="n"/>
      <c r="D64" s="14" t="n"/>
      <c r="E64" s="14" t="n"/>
      <c r="F64" s="14" t="n"/>
      <c r="G64" s="14" t="n"/>
      <c r="H64" s="14" t="n"/>
      <c r="I64" s="15" t="n"/>
      <c r="J64" s="16">
        <f>IF(OR($I64="",N($H64)&lt;=0),"",$I64/$H64)</f>
        <v/>
      </c>
      <c r="K64" s="15" t="n"/>
      <c r="L64" s="17">
        <f>IF(OR($J64="",N($K64)&lt;=0),"",($K64-$J64)/$K64)</f>
        <v/>
      </c>
      <c r="M64" s="17">
        <f>IF(OR($J64="",N($K64)&lt;=0,N($J64)&lt;=0),"",($K64-$J64)/$J64)</f>
        <v/>
      </c>
      <c r="N64" s="18" t="n"/>
      <c r="O64" s="14" t="n"/>
      <c r="P64" s="14" t="n"/>
    </row>
    <row r="65">
      <c r="A65" s="14" t="n"/>
      <c r="B65" s="14" t="n"/>
      <c r="C65" s="14" t="n"/>
      <c r="D65" s="14" t="n"/>
      <c r="E65" s="14" t="n"/>
      <c r="F65" s="14" t="n"/>
      <c r="G65" s="14" t="n"/>
      <c r="H65" s="14" t="n"/>
      <c r="I65" s="15" t="n"/>
      <c r="J65" s="16">
        <f>IF(OR($I65="",N($H65)&lt;=0),"",$I65/$H65)</f>
        <v/>
      </c>
      <c r="K65" s="15" t="n"/>
      <c r="L65" s="17">
        <f>IF(OR($J65="",N($K65)&lt;=0),"",($K65-$J65)/$K65)</f>
        <v/>
      </c>
      <c r="M65" s="17">
        <f>IF(OR($J65="",N($K65)&lt;=0,N($J65)&lt;=0),"",($K65-$J65)/$J65)</f>
        <v/>
      </c>
      <c r="N65" s="18" t="n"/>
      <c r="O65" s="14" t="n"/>
      <c r="P65" s="14" t="n"/>
    </row>
    <row r="66">
      <c r="A66" s="14" t="n"/>
      <c r="B66" s="14" t="n"/>
      <c r="C66" s="14" t="n"/>
      <c r="D66" s="14" t="n"/>
      <c r="E66" s="14" t="n"/>
      <c r="F66" s="14" t="n"/>
      <c r="G66" s="14" t="n"/>
      <c r="H66" s="14" t="n"/>
      <c r="I66" s="15" t="n"/>
      <c r="J66" s="16">
        <f>IF(OR($I66="",N($H66)&lt;=0),"",$I66/$H66)</f>
        <v/>
      </c>
      <c r="K66" s="15" t="n"/>
      <c r="L66" s="17">
        <f>IF(OR($J66="",N($K66)&lt;=0),"",($K66-$J66)/$K66)</f>
        <v/>
      </c>
      <c r="M66" s="17">
        <f>IF(OR($J66="",N($K66)&lt;=0,N($J66)&lt;=0),"",($K66-$J66)/$J66)</f>
        <v/>
      </c>
      <c r="N66" s="18" t="n"/>
      <c r="O66" s="14" t="n"/>
      <c r="P66" s="14" t="n"/>
    </row>
    <row r="67">
      <c r="A67" s="14" t="n"/>
      <c r="B67" s="14" t="n"/>
      <c r="C67" s="14" t="n"/>
      <c r="D67" s="14" t="n"/>
      <c r="E67" s="14" t="n"/>
      <c r="F67" s="14" t="n"/>
      <c r="G67" s="14" t="n"/>
      <c r="H67" s="14" t="n"/>
      <c r="I67" s="15" t="n"/>
      <c r="J67" s="16">
        <f>IF(OR($I67="",N($H67)&lt;=0),"",$I67/$H67)</f>
        <v/>
      </c>
      <c r="K67" s="15" t="n"/>
      <c r="L67" s="17">
        <f>IF(OR($J67="",N($K67)&lt;=0),"",($K67-$J67)/$K67)</f>
        <v/>
      </c>
      <c r="M67" s="17">
        <f>IF(OR($J67="",N($K67)&lt;=0,N($J67)&lt;=0),"",($K67-$J67)/$J67)</f>
        <v/>
      </c>
      <c r="N67" s="18" t="n"/>
      <c r="O67" s="14" t="n"/>
      <c r="P67" s="14" t="n"/>
    </row>
    <row r="68">
      <c r="A68" s="14" t="n"/>
      <c r="B68" s="14" t="n"/>
      <c r="C68" s="14" t="n"/>
      <c r="D68" s="14" t="n"/>
      <c r="E68" s="14" t="n"/>
      <c r="F68" s="14" t="n"/>
      <c r="G68" s="14" t="n"/>
      <c r="H68" s="14" t="n"/>
      <c r="I68" s="15" t="n"/>
      <c r="J68" s="16">
        <f>IF(OR($I68="",N($H68)&lt;=0),"",$I68/$H68)</f>
        <v/>
      </c>
      <c r="K68" s="15" t="n"/>
      <c r="L68" s="17">
        <f>IF(OR($J68="",N($K68)&lt;=0),"",($K68-$J68)/$K68)</f>
        <v/>
      </c>
      <c r="M68" s="17">
        <f>IF(OR($J68="",N($K68)&lt;=0,N($J68)&lt;=0),"",($K68-$J68)/$J68)</f>
        <v/>
      </c>
      <c r="N68" s="18" t="n"/>
      <c r="O68" s="14" t="n"/>
      <c r="P68" s="14" t="n"/>
    </row>
    <row r="69">
      <c r="A69" s="14" t="n"/>
      <c r="B69" s="14" t="n"/>
      <c r="C69" s="14" t="n"/>
      <c r="D69" s="14" t="n"/>
      <c r="E69" s="14" t="n"/>
      <c r="F69" s="14" t="n"/>
      <c r="G69" s="14" t="n"/>
      <c r="H69" s="14" t="n"/>
      <c r="I69" s="15" t="n"/>
      <c r="J69" s="16">
        <f>IF(OR($I69="",N($H69)&lt;=0),"",$I69/$H69)</f>
        <v/>
      </c>
      <c r="K69" s="15" t="n"/>
      <c r="L69" s="17">
        <f>IF(OR($J69="",N($K69)&lt;=0),"",($K69-$J69)/$K69)</f>
        <v/>
      </c>
      <c r="M69" s="17">
        <f>IF(OR($J69="",N($K69)&lt;=0,N($J69)&lt;=0),"",($K69-$J69)/$J69)</f>
        <v/>
      </c>
      <c r="N69" s="18" t="n"/>
      <c r="O69" s="14" t="n"/>
      <c r="P69" s="14" t="n"/>
    </row>
    <row r="70">
      <c r="A70" s="14" t="n"/>
      <c r="B70" s="14" t="n"/>
      <c r="C70" s="14" t="n"/>
      <c r="D70" s="14" t="n"/>
      <c r="E70" s="14" t="n"/>
      <c r="F70" s="14" t="n"/>
      <c r="G70" s="14" t="n"/>
      <c r="H70" s="14" t="n"/>
      <c r="I70" s="15" t="n"/>
      <c r="J70" s="16">
        <f>IF(OR($I70="",N($H70)&lt;=0),"",$I70/$H70)</f>
        <v/>
      </c>
      <c r="K70" s="15" t="n"/>
      <c r="L70" s="17">
        <f>IF(OR($J70="",N($K70)&lt;=0),"",($K70-$J70)/$K70)</f>
        <v/>
      </c>
      <c r="M70" s="17">
        <f>IF(OR($J70="",N($K70)&lt;=0,N($J70)&lt;=0),"",($K70-$J70)/$J70)</f>
        <v/>
      </c>
      <c r="N70" s="18" t="n"/>
      <c r="O70" s="14" t="n"/>
      <c r="P70" s="14" t="n"/>
    </row>
    <row r="71">
      <c r="A71" s="14" t="n"/>
      <c r="B71" s="14" t="n"/>
      <c r="C71" s="14" t="n"/>
      <c r="D71" s="14" t="n"/>
      <c r="E71" s="14" t="n"/>
      <c r="F71" s="14" t="n"/>
      <c r="G71" s="14" t="n"/>
      <c r="H71" s="14" t="n"/>
      <c r="I71" s="15" t="n"/>
      <c r="J71" s="16">
        <f>IF(OR($I71="",N($H71)&lt;=0),"",$I71/$H71)</f>
        <v/>
      </c>
      <c r="K71" s="15" t="n"/>
      <c r="L71" s="17">
        <f>IF(OR($J71="",N($K71)&lt;=0),"",($K71-$J71)/$K71)</f>
        <v/>
      </c>
      <c r="M71" s="17">
        <f>IF(OR($J71="",N($K71)&lt;=0,N($J71)&lt;=0),"",($K71-$J71)/$J71)</f>
        <v/>
      </c>
      <c r="N71" s="18" t="n"/>
      <c r="O71" s="14" t="n"/>
      <c r="P71" s="14" t="n"/>
    </row>
    <row r="72">
      <c r="A72" s="14" t="n"/>
      <c r="B72" s="14" t="n"/>
      <c r="C72" s="14" t="n"/>
      <c r="D72" s="14" t="n"/>
      <c r="E72" s="14" t="n"/>
      <c r="F72" s="14" t="n"/>
      <c r="G72" s="14" t="n"/>
      <c r="H72" s="14" t="n"/>
      <c r="I72" s="15" t="n"/>
      <c r="J72" s="16">
        <f>IF(OR($I72="",N($H72)&lt;=0),"",$I72/$H72)</f>
        <v/>
      </c>
      <c r="K72" s="15" t="n"/>
      <c r="L72" s="17">
        <f>IF(OR($J72="",N($K72)&lt;=0),"",($K72-$J72)/$K72)</f>
        <v/>
      </c>
      <c r="M72" s="17">
        <f>IF(OR($J72="",N($K72)&lt;=0,N($J72)&lt;=0),"",($K72-$J72)/$J72)</f>
        <v/>
      </c>
      <c r="N72" s="18" t="n"/>
      <c r="O72" s="14" t="n"/>
      <c r="P72" s="14" t="n"/>
    </row>
    <row r="73">
      <c r="A73" s="14" t="n"/>
      <c r="B73" s="14" t="n"/>
      <c r="C73" s="14" t="n"/>
      <c r="D73" s="14" t="n"/>
      <c r="E73" s="14" t="n"/>
      <c r="F73" s="14" t="n"/>
      <c r="G73" s="14" t="n"/>
      <c r="H73" s="14" t="n"/>
      <c r="I73" s="15" t="n"/>
      <c r="J73" s="16">
        <f>IF(OR($I73="",N($H73)&lt;=0),"",$I73/$H73)</f>
        <v/>
      </c>
      <c r="K73" s="15" t="n"/>
      <c r="L73" s="17">
        <f>IF(OR($J73="",N($K73)&lt;=0),"",($K73-$J73)/$K73)</f>
        <v/>
      </c>
      <c r="M73" s="17">
        <f>IF(OR($J73="",N($K73)&lt;=0,N($J73)&lt;=0),"",($K73-$J73)/$J73)</f>
        <v/>
      </c>
      <c r="N73" s="18" t="n"/>
      <c r="O73" s="14" t="n"/>
      <c r="P73" s="14" t="n"/>
    </row>
    <row r="74">
      <c r="A74" s="14" t="n"/>
      <c r="B74" s="14" t="n"/>
      <c r="C74" s="14" t="n"/>
      <c r="D74" s="14" t="n"/>
      <c r="E74" s="14" t="n"/>
      <c r="F74" s="14" t="n"/>
      <c r="G74" s="14" t="n"/>
      <c r="H74" s="14" t="n"/>
      <c r="I74" s="15" t="n"/>
      <c r="J74" s="16">
        <f>IF(OR($I74="",N($H74)&lt;=0),"",$I74/$H74)</f>
        <v/>
      </c>
      <c r="K74" s="15" t="n"/>
      <c r="L74" s="17">
        <f>IF(OR($J74="",N($K74)&lt;=0),"",($K74-$J74)/$K74)</f>
        <v/>
      </c>
      <c r="M74" s="17">
        <f>IF(OR($J74="",N($K74)&lt;=0,N($J74)&lt;=0),"",($K74-$J74)/$J74)</f>
        <v/>
      </c>
      <c r="N74" s="18" t="n"/>
      <c r="O74" s="14" t="n"/>
      <c r="P74" s="14" t="n"/>
    </row>
    <row r="75">
      <c r="A75" s="14" t="n"/>
      <c r="B75" s="14" t="n"/>
      <c r="C75" s="14" t="n"/>
      <c r="D75" s="14" t="n"/>
      <c r="E75" s="14" t="n"/>
      <c r="F75" s="14" t="n"/>
      <c r="G75" s="14" t="n"/>
      <c r="H75" s="14" t="n"/>
      <c r="I75" s="15" t="n"/>
      <c r="J75" s="16">
        <f>IF(OR($I75="",N($H75)&lt;=0),"",$I75/$H75)</f>
        <v/>
      </c>
      <c r="K75" s="15" t="n"/>
      <c r="L75" s="17">
        <f>IF(OR($J75="",N($K75)&lt;=0),"",($K75-$J75)/$K75)</f>
        <v/>
      </c>
      <c r="M75" s="17">
        <f>IF(OR($J75="",N($K75)&lt;=0,N($J75)&lt;=0),"",($K75-$J75)/$J75)</f>
        <v/>
      </c>
      <c r="N75" s="18" t="n"/>
      <c r="O75" s="14" t="n"/>
      <c r="P75" s="14" t="n"/>
    </row>
    <row r="76">
      <c r="A76" s="14" t="n"/>
      <c r="B76" s="14" t="n"/>
      <c r="C76" s="14" t="n"/>
      <c r="D76" s="14" t="n"/>
      <c r="E76" s="14" t="n"/>
      <c r="F76" s="14" t="n"/>
      <c r="G76" s="14" t="n"/>
      <c r="H76" s="14" t="n"/>
      <c r="I76" s="15" t="n"/>
      <c r="J76" s="16">
        <f>IF(OR($I76="",N($H76)&lt;=0),"",$I76/$H76)</f>
        <v/>
      </c>
      <c r="K76" s="15" t="n"/>
      <c r="L76" s="17">
        <f>IF(OR($J76="",N($K76)&lt;=0),"",($K76-$J76)/$K76)</f>
        <v/>
      </c>
      <c r="M76" s="17">
        <f>IF(OR($J76="",N($K76)&lt;=0,N($J76)&lt;=0),"",($K76-$J76)/$J76)</f>
        <v/>
      </c>
      <c r="N76" s="18" t="n"/>
      <c r="O76" s="14" t="n"/>
      <c r="P76" s="14" t="n"/>
    </row>
    <row r="77">
      <c r="A77" s="14" t="n"/>
      <c r="B77" s="14" t="n"/>
      <c r="C77" s="14" t="n"/>
      <c r="D77" s="14" t="n"/>
      <c r="E77" s="14" t="n"/>
      <c r="F77" s="14" t="n"/>
      <c r="G77" s="14" t="n"/>
      <c r="H77" s="14" t="n"/>
      <c r="I77" s="15" t="n"/>
      <c r="J77" s="16">
        <f>IF(OR($I77="",N($H77)&lt;=0),"",$I77/$H77)</f>
        <v/>
      </c>
      <c r="K77" s="15" t="n"/>
      <c r="L77" s="17">
        <f>IF(OR($J77="",N($K77)&lt;=0),"",($K77-$J77)/$K77)</f>
        <v/>
      </c>
      <c r="M77" s="17">
        <f>IF(OR($J77="",N($K77)&lt;=0,N($J77)&lt;=0),"",($K77-$J77)/$J77)</f>
        <v/>
      </c>
      <c r="N77" s="18" t="n"/>
      <c r="O77" s="14" t="n"/>
      <c r="P77" s="14" t="n"/>
    </row>
    <row r="78">
      <c r="A78" s="14" t="n"/>
      <c r="B78" s="14" t="n"/>
      <c r="C78" s="14" t="n"/>
      <c r="D78" s="14" t="n"/>
      <c r="E78" s="14" t="n"/>
      <c r="F78" s="14" t="n"/>
      <c r="G78" s="14" t="n"/>
      <c r="H78" s="14" t="n"/>
      <c r="I78" s="15" t="n"/>
      <c r="J78" s="16">
        <f>IF(OR($I78="",N($H78)&lt;=0),"",$I78/$H78)</f>
        <v/>
      </c>
      <c r="K78" s="15" t="n"/>
      <c r="L78" s="17">
        <f>IF(OR($J78="",N($K78)&lt;=0),"",($K78-$J78)/$K78)</f>
        <v/>
      </c>
      <c r="M78" s="17">
        <f>IF(OR($J78="",N($K78)&lt;=0,N($J78)&lt;=0),"",($K78-$J78)/$J78)</f>
        <v/>
      </c>
      <c r="N78" s="18" t="n"/>
      <c r="O78" s="14" t="n"/>
      <c r="P78" s="14" t="n"/>
    </row>
    <row r="79">
      <c r="A79" s="14" t="n"/>
      <c r="B79" s="14" t="n"/>
      <c r="C79" s="14" t="n"/>
      <c r="D79" s="14" t="n"/>
      <c r="E79" s="14" t="n"/>
      <c r="F79" s="14" t="n"/>
      <c r="G79" s="14" t="n"/>
      <c r="H79" s="14" t="n"/>
      <c r="I79" s="15" t="n"/>
      <c r="J79" s="16">
        <f>IF(OR($I79="",N($H79)&lt;=0),"",$I79/$H79)</f>
        <v/>
      </c>
      <c r="K79" s="15" t="n"/>
      <c r="L79" s="17">
        <f>IF(OR($J79="",N($K79)&lt;=0),"",($K79-$J79)/$K79)</f>
        <v/>
      </c>
      <c r="M79" s="17">
        <f>IF(OR($J79="",N($K79)&lt;=0,N($J79)&lt;=0),"",($K79-$J79)/$J79)</f>
        <v/>
      </c>
      <c r="N79" s="18" t="n"/>
      <c r="O79" s="14" t="n"/>
      <c r="P79" s="14" t="n"/>
    </row>
    <row r="80">
      <c r="A80" s="14" t="n"/>
      <c r="B80" s="14" t="n"/>
      <c r="C80" s="14" t="n"/>
      <c r="D80" s="14" t="n"/>
      <c r="E80" s="14" t="n"/>
      <c r="F80" s="14" t="n"/>
      <c r="G80" s="14" t="n"/>
      <c r="H80" s="14" t="n"/>
      <c r="I80" s="15" t="n"/>
      <c r="J80" s="16">
        <f>IF(OR($I80="",N($H80)&lt;=0),"",$I80/$H80)</f>
        <v/>
      </c>
      <c r="K80" s="15" t="n"/>
      <c r="L80" s="17">
        <f>IF(OR($J80="",N($K80)&lt;=0),"",($K80-$J80)/$K80)</f>
        <v/>
      </c>
      <c r="M80" s="17">
        <f>IF(OR($J80="",N($K80)&lt;=0,N($J80)&lt;=0),"",($K80-$J80)/$J80)</f>
        <v/>
      </c>
      <c r="N80" s="18" t="n"/>
      <c r="O80" s="14" t="n"/>
      <c r="P80" s="14" t="n"/>
    </row>
    <row r="81">
      <c r="A81" s="14" t="n"/>
      <c r="B81" s="14" t="n"/>
      <c r="C81" s="14" t="n"/>
      <c r="D81" s="14" t="n"/>
      <c r="E81" s="14" t="n"/>
      <c r="F81" s="14" t="n"/>
      <c r="G81" s="14" t="n"/>
      <c r="H81" s="14" t="n"/>
      <c r="I81" s="15" t="n"/>
      <c r="J81" s="16">
        <f>IF(OR($I81="",N($H81)&lt;=0),"",$I81/$H81)</f>
        <v/>
      </c>
      <c r="K81" s="15" t="n"/>
      <c r="L81" s="17">
        <f>IF(OR($J81="",N($K81)&lt;=0),"",($K81-$J81)/$K81)</f>
        <v/>
      </c>
      <c r="M81" s="17">
        <f>IF(OR($J81="",N($K81)&lt;=0,N($J81)&lt;=0),"",($K81-$J81)/$J81)</f>
        <v/>
      </c>
      <c r="N81" s="18" t="n"/>
      <c r="O81" s="14" t="n"/>
      <c r="P81" s="14" t="n"/>
    </row>
    <row r="82">
      <c r="A82" s="14" t="n"/>
      <c r="B82" s="14" t="n"/>
      <c r="C82" s="14" t="n"/>
      <c r="D82" s="14" t="n"/>
      <c r="E82" s="14" t="n"/>
      <c r="F82" s="14" t="n"/>
      <c r="G82" s="14" t="n"/>
      <c r="H82" s="14" t="n"/>
      <c r="I82" s="15" t="n"/>
      <c r="J82" s="16">
        <f>IF(OR($I82="",N($H82)&lt;=0),"",$I82/$H82)</f>
        <v/>
      </c>
      <c r="K82" s="15" t="n"/>
      <c r="L82" s="17">
        <f>IF(OR($J82="",N($K82)&lt;=0),"",($K82-$J82)/$K82)</f>
        <v/>
      </c>
      <c r="M82" s="17">
        <f>IF(OR($J82="",N($K82)&lt;=0,N($J82)&lt;=0),"",($K82-$J82)/$J82)</f>
        <v/>
      </c>
      <c r="N82" s="18" t="n"/>
      <c r="O82" s="14" t="n"/>
      <c r="P82" s="14" t="n"/>
    </row>
    <row r="83">
      <c r="A83" s="14" t="n"/>
      <c r="B83" s="14" t="n"/>
      <c r="C83" s="14" t="n"/>
      <c r="D83" s="14" t="n"/>
      <c r="E83" s="14" t="n"/>
      <c r="F83" s="14" t="n"/>
      <c r="G83" s="14" t="n"/>
      <c r="H83" s="14" t="n"/>
      <c r="I83" s="15" t="n"/>
      <c r="J83" s="16">
        <f>IF(OR($I83="",N($H83)&lt;=0),"",$I83/$H83)</f>
        <v/>
      </c>
      <c r="K83" s="15" t="n"/>
      <c r="L83" s="17">
        <f>IF(OR($J83="",N($K83)&lt;=0),"",($K83-$J83)/$K83)</f>
        <v/>
      </c>
      <c r="M83" s="17">
        <f>IF(OR($J83="",N($K83)&lt;=0,N($J83)&lt;=0),"",($K83-$J83)/$J83)</f>
        <v/>
      </c>
      <c r="N83" s="18" t="n"/>
      <c r="O83" s="14" t="n"/>
      <c r="P83" s="14" t="n"/>
    </row>
    <row r="84">
      <c r="A84" s="14" t="n"/>
      <c r="B84" s="14" t="n"/>
      <c r="C84" s="14" t="n"/>
      <c r="D84" s="14" t="n"/>
      <c r="E84" s="14" t="n"/>
      <c r="F84" s="14" t="n"/>
      <c r="G84" s="14" t="n"/>
      <c r="H84" s="14" t="n"/>
      <c r="I84" s="15" t="n"/>
      <c r="J84" s="16">
        <f>IF(OR($I84="",N($H84)&lt;=0),"",$I84/$H84)</f>
        <v/>
      </c>
      <c r="K84" s="15" t="n"/>
      <c r="L84" s="17">
        <f>IF(OR($J84="",N($K84)&lt;=0),"",($K84-$J84)/$K84)</f>
        <v/>
      </c>
      <c r="M84" s="17">
        <f>IF(OR($J84="",N($K84)&lt;=0,N($J84)&lt;=0),"",($K84-$J84)/$J84)</f>
        <v/>
      </c>
      <c r="N84" s="18" t="n"/>
      <c r="O84" s="14" t="n"/>
      <c r="P84" s="14" t="n"/>
    </row>
    <row r="85">
      <c r="A85" s="14" t="n"/>
      <c r="B85" s="14" t="n"/>
      <c r="C85" s="14" t="n"/>
      <c r="D85" s="14" t="n"/>
      <c r="E85" s="14" t="n"/>
      <c r="F85" s="14" t="n"/>
      <c r="G85" s="14" t="n"/>
      <c r="H85" s="14" t="n"/>
      <c r="I85" s="15" t="n"/>
      <c r="J85" s="16">
        <f>IF(OR($I85="",N($H85)&lt;=0),"",$I85/$H85)</f>
        <v/>
      </c>
      <c r="K85" s="15" t="n"/>
      <c r="L85" s="17">
        <f>IF(OR($J85="",N($K85)&lt;=0),"",($K85-$J85)/$K85)</f>
        <v/>
      </c>
      <c r="M85" s="17">
        <f>IF(OR($J85="",N($K85)&lt;=0,N($J85)&lt;=0),"",($K85-$J85)/$J85)</f>
        <v/>
      </c>
      <c r="N85" s="18" t="n"/>
      <c r="O85" s="14" t="n"/>
      <c r="P85" s="14" t="n"/>
    </row>
    <row r="86">
      <c r="A86" s="14" t="n"/>
      <c r="B86" s="14" t="n"/>
      <c r="C86" s="14" t="n"/>
      <c r="D86" s="14" t="n"/>
      <c r="E86" s="14" t="n"/>
      <c r="F86" s="14" t="n"/>
      <c r="G86" s="14" t="n"/>
      <c r="H86" s="14" t="n"/>
      <c r="I86" s="15" t="n"/>
      <c r="J86" s="16">
        <f>IF(OR($I86="",N($H86)&lt;=0),"",$I86/$H86)</f>
        <v/>
      </c>
      <c r="K86" s="15" t="n"/>
      <c r="L86" s="17">
        <f>IF(OR($J86="",N($K86)&lt;=0),"",($K86-$J86)/$K86)</f>
        <v/>
      </c>
      <c r="M86" s="17">
        <f>IF(OR($J86="",N($K86)&lt;=0,N($J86)&lt;=0),"",($K86-$J86)/$J86)</f>
        <v/>
      </c>
      <c r="N86" s="18" t="n"/>
      <c r="O86" s="14" t="n"/>
      <c r="P86" s="14" t="n"/>
    </row>
    <row r="87">
      <c r="A87" s="14" t="n"/>
      <c r="B87" s="14" t="n"/>
      <c r="C87" s="14" t="n"/>
      <c r="D87" s="14" t="n"/>
      <c r="E87" s="14" t="n"/>
      <c r="F87" s="14" t="n"/>
      <c r="G87" s="14" t="n"/>
      <c r="H87" s="14" t="n"/>
      <c r="I87" s="15" t="n"/>
      <c r="J87" s="16">
        <f>IF(OR($I87="",N($H87)&lt;=0),"",$I87/$H87)</f>
        <v/>
      </c>
      <c r="K87" s="15" t="n"/>
      <c r="L87" s="17">
        <f>IF(OR($J87="",N($K87)&lt;=0),"",($K87-$J87)/$K87)</f>
        <v/>
      </c>
      <c r="M87" s="17">
        <f>IF(OR($J87="",N($K87)&lt;=0,N($J87)&lt;=0),"",($K87-$J87)/$J87)</f>
        <v/>
      </c>
      <c r="N87" s="18" t="n"/>
      <c r="O87" s="14" t="n"/>
      <c r="P87" s="14" t="n"/>
    </row>
    <row r="88">
      <c r="A88" s="14" t="n"/>
      <c r="B88" s="14" t="n"/>
      <c r="C88" s="14" t="n"/>
      <c r="D88" s="14" t="n"/>
      <c r="E88" s="14" t="n"/>
      <c r="F88" s="14" t="n"/>
      <c r="G88" s="14" t="n"/>
      <c r="H88" s="14" t="n"/>
      <c r="I88" s="15" t="n"/>
      <c r="J88" s="16">
        <f>IF(OR($I88="",N($H88)&lt;=0),"",$I88/$H88)</f>
        <v/>
      </c>
      <c r="K88" s="15" t="n"/>
      <c r="L88" s="17">
        <f>IF(OR($J88="",N($K88)&lt;=0),"",($K88-$J88)/$K88)</f>
        <v/>
      </c>
      <c r="M88" s="17">
        <f>IF(OR($J88="",N($K88)&lt;=0,N($J88)&lt;=0),"",($K88-$J88)/$J88)</f>
        <v/>
      </c>
      <c r="N88" s="18" t="n"/>
      <c r="O88" s="14" t="n"/>
      <c r="P88" s="14" t="n"/>
    </row>
    <row r="89">
      <c r="A89" s="14" t="n"/>
      <c r="B89" s="14" t="n"/>
      <c r="C89" s="14" t="n"/>
      <c r="D89" s="14" t="n"/>
      <c r="E89" s="14" t="n"/>
      <c r="F89" s="14" t="n"/>
      <c r="G89" s="14" t="n"/>
      <c r="H89" s="14" t="n"/>
      <c r="I89" s="15" t="n"/>
      <c r="J89" s="16">
        <f>IF(OR($I89="",N($H89)&lt;=0),"",$I89/$H89)</f>
        <v/>
      </c>
      <c r="K89" s="15" t="n"/>
      <c r="L89" s="17">
        <f>IF(OR($J89="",N($K89)&lt;=0),"",($K89-$J89)/$K89)</f>
        <v/>
      </c>
      <c r="M89" s="17">
        <f>IF(OR($J89="",N($K89)&lt;=0,N($J89)&lt;=0),"",($K89-$J89)/$J89)</f>
        <v/>
      </c>
      <c r="N89" s="18" t="n"/>
      <c r="O89" s="14" t="n"/>
      <c r="P89" s="14" t="n"/>
    </row>
    <row r="90">
      <c r="A90" s="14" t="n"/>
      <c r="B90" s="14" t="n"/>
      <c r="C90" s="14" t="n"/>
      <c r="D90" s="14" t="n"/>
      <c r="E90" s="14" t="n"/>
      <c r="F90" s="14" t="n"/>
      <c r="G90" s="14" t="n"/>
      <c r="H90" s="14" t="n"/>
      <c r="I90" s="15" t="n"/>
      <c r="J90" s="16">
        <f>IF(OR($I90="",N($H90)&lt;=0),"",$I90/$H90)</f>
        <v/>
      </c>
      <c r="K90" s="15" t="n"/>
      <c r="L90" s="17">
        <f>IF(OR($J90="",N($K90)&lt;=0),"",($K90-$J90)/$K90)</f>
        <v/>
      </c>
      <c r="M90" s="17">
        <f>IF(OR($J90="",N($K90)&lt;=0,N($J90)&lt;=0),"",($K90-$J90)/$J90)</f>
        <v/>
      </c>
      <c r="N90" s="18" t="n"/>
      <c r="O90" s="14" t="n"/>
      <c r="P90" s="14" t="n"/>
    </row>
    <row r="91">
      <c r="A91" s="14" t="n"/>
      <c r="B91" s="14" t="n"/>
      <c r="C91" s="14" t="n"/>
      <c r="D91" s="14" t="n"/>
      <c r="E91" s="14" t="n"/>
      <c r="F91" s="14" t="n"/>
      <c r="G91" s="14" t="n"/>
      <c r="H91" s="14" t="n"/>
      <c r="I91" s="15" t="n"/>
      <c r="J91" s="16">
        <f>IF(OR($I91="",N($H91)&lt;=0),"",$I91/$H91)</f>
        <v/>
      </c>
      <c r="K91" s="15" t="n"/>
      <c r="L91" s="17">
        <f>IF(OR($J91="",N($K91)&lt;=0),"",($K91-$J91)/$K91)</f>
        <v/>
      </c>
      <c r="M91" s="17">
        <f>IF(OR($J91="",N($K91)&lt;=0,N($J91)&lt;=0),"",($K91-$J91)/$J91)</f>
        <v/>
      </c>
      <c r="N91" s="18" t="n"/>
      <c r="O91" s="14" t="n"/>
      <c r="P91" s="14" t="n"/>
    </row>
    <row r="92">
      <c r="A92" s="14" t="n"/>
      <c r="B92" s="14" t="n"/>
      <c r="C92" s="14" t="n"/>
      <c r="D92" s="14" t="n"/>
      <c r="E92" s="14" t="n"/>
      <c r="F92" s="14" t="n"/>
      <c r="G92" s="14" t="n"/>
      <c r="H92" s="14" t="n"/>
      <c r="I92" s="15" t="n"/>
      <c r="J92" s="16">
        <f>IF(OR($I92="",N($H92)&lt;=0),"",$I92/$H92)</f>
        <v/>
      </c>
      <c r="K92" s="15" t="n"/>
      <c r="L92" s="17">
        <f>IF(OR($J92="",N($K92)&lt;=0),"",($K92-$J92)/$K92)</f>
        <v/>
      </c>
      <c r="M92" s="17">
        <f>IF(OR($J92="",N($K92)&lt;=0,N($J92)&lt;=0),"",($K92-$J92)/$J92)</f>
        <v/>
      </c>
      <c r="N92" s="18" t="n"/>
      <c r="O92" s="14" t="n"/>
      <c r="P92" s="14" t="n"/>
    </row>
    <row r="93">
      <c r="A93" s="14" t="n"/>
      <c r="B93" s="14" t="n"/>
      <c r="C93" s="14" t="n"/>
      <c r="D93" s="14" t="n"/>
      <c r="E93" s="14" t="n"/>
      <c r="F93" s="14" t="n"/>
      <c r="G93" s="14" t="n"/>
      <c r="H93" s="14" t="n"/>
      <c r="I93" s="15" t="n"/>
      <c r="J93" s="16">
        <f>IF(OR($I93="",N($H93)&lt;=0),"",$I93/$H93)</f>
        <v/>
      </c>
      <c r="K93" s="15" t="n"/>
      <c r="L93" s="17">
        <f>IF(OR($J93="",N($K93)&lt;=0),"",($K93-$J93)/$K93)</f>
        <v/>
      </c>
      <c r="M93" s="17">
        <f>IF(OR($J93="",N($K93)&lt;=0,N($J93)&lt;=0),"",($K93-$J93)/$J93)</f>
        <v/>
      </c>
      <c r="N93" s="18" t="n"/>
      <c r="O93" s="14" t="n"/>
      <c r="P93" s="14" t="n"/>
    </row>
    <row r="94">
      <c r="A94" s="14" t="n"/>
      <c r="B94" s="14" t="n"/>
      <c r="C94" s="14" t="n"/>
      <c r="D94" s="14" t="n"/>
      <c r="E94" s="14" t="n"/>
      <c r="F94" s="14" t="n"/>
      <c r="G94" s="14" t="n"/>
      <c r="H94" s="14" t="n"/>
      <c r="I94" s="15" t="n"/>
      <c r="J94" s="16">
        <f>IF(OR($I94="",N($H94)&lt;=0),"",$I94/$H94)</f>
        <v/>
      </c>
      <c r="K94" s="15" t="n"/>
      <c r="L94" s="17">
        <f>IF(OR($J94="",N($K94)&lt;=0),"",($K94-$J94)/$K94)</f>
        <v/>
      </c>
      <c r="M94" s="17">
        <f>IF(OR($J94="",N($K94)&lt;=0,N($J94)&lt;=0),"",($K94-$J94)/$J94)</f>
        <v/>
      </c>
      <c r="N94" s="18" t="n"/>
      <c r="O94" s="14" t="n"/>
      <c r="P94" s="14" t="n"/>
    </row>
    <row r="95">
      <c r="A95" s="14" t="n"/>
      <c r="B95" s="14" t="n"/>
      <c r="C95" s="14" t="n"/>
      <c r="D95" s="14" t="n"/>
      <c r="E95" s="14" t="n"/>
      <c r="F95" s="14" t="n"/>
      <c r="G95" s="14" t="n"/>
      <c r="H95" s="14" t="n"/>
      <c r="I95" s="15" t="n"/>
      <c r="J95" s="16">
        <f>IF(OR($I95="",N($H95)&lt;=0),"",$I95/$H95)</f>
        <v/>
      </c>
      <c r="K95" s="15" t="n"/>
      <c r="L95" s="17">
        <f>IF(OR($J95="",N($K95)&lt;=0),"",($K95-$J95)/$K95)</f>
        <v/>
      </c>
      <c r="M95" s="17">
        <f>IF(OR($J95="",N($K95)&lt;=0,N($J95)&lt;=0),"",($K95-$J95)/$J95)</f>
        <v/>
      </c>
      <c r="N95" s="18" t="n"/>
      <c r="O95" s="14" t="n"/>
      <c r="P95" s="14" t="n"/>
    </row>
    <row r="96">
      <c r="A96" s="14" t="n"/>
      <c r="B96" s="14" t="n"/>
      <c r="C96" s="14" t="n"/>
      <c r="D96" s="14" t="n"/>
      <c r="E96" s="14" t="n"/>
      <c r="F96" s="14" t="n"/>
      <c r="G96" s="14" t="n"/>
      <c r="H96" s="14" t="n"/>
      <c r="I96" s="15" t="n"/>
      <c r="J96" s="16">
        <f>IF(OR($I96="",N($H96)&lt;=0),"",$I96/$H96)</f>
        <v/>
      </c>
      <c r="K96" s="15" t="n"/>
      <c r="L96" s="17">
        <f>IF(OR($J96="",N($K96)&lt;=0),"",($K96-$J96)/$K96)</f>
        <v/>
      </c>
      <c r="M96" s="17">
        <f>IF(OR($J96="",N($K96)&lt;=0,N($J96)&lt;=0),"",($K96-$J96)/$J96)</f>
        <v/>
      </c>
      <c r="N96" s="18" t="n"/>
      <c r="O96" s="14" t="n"/>
      <c r="P96" s="14" t="n"/>
    </row>
    <row r="97">
      <c r="A97" s="14" t="n"/>
      <c r="B97" s="14" t="n"/>
      <c r="C97" s="14" t="n"/>
      <c r="D97" s="14" t="n"/>
      <c r="E97" s="14" t="n"/>
      <c r="F97" s="14" t="n"/>
      <c r="G97" s="14" t="n"/>
      <c r="H97" s="14" t="n"/>
      <c r="I97" s="15" t="n"/>
      <c r="J97" s="16">
        <f>IF(OR($I97="",N($H97)&lt;=0),"",$I97/$H97)</f>
        <v/>
      </c>
      <c r="K97" s="15" t="n"/>
      <c r="L97" s="17">
        <f>IF(OR($J97="",N($K97)&lt;=0),"",($K97-$J97)/$K97)</f>
        <v/>
      </c>
      <c r="M97" s="17">
        <f>IF(OR($J97="",N($K97)&lt;=0,N($J97)&lt;=0),"",($K97-$J97)/$J97)</f>
        <v/>
      </c>
      <c r="N97" s="18" t="n"/>
      <c r="O97" s="14" t="n"/>
      <c r="P97" s="14" t="n"/>
    </row>
    <row r="98">
      <c r="A98" s="14" t="n"/>
      <c r="B98" s="14" t="n"/>
      <c r="C98" s="14" t="n"/>
      <c r="D98" s="14" t="n"/>
      <c r="E98" s="14" t="n"/>
      <c r="F98" s="14" t="n"/>
      <c r="G98" s="14" t="n"/>
      <c r="H98" s="14" t="n"/>
      <c r="I98" s="15" t="n"/>
      <c r="J98" s="16">
        <f>IF(OR($I98="",N($H98)&lt;=0),"",$I98/$H98)</f>
        <v/>
      </c>
      <c r="K98" s="15" t="n"/>
      <c r="L98" s="17">
        <f>IF(OR($J98="",N($K98)&lt;=0),"",($K98-$J98)/$K98)</f>
        <v/>
      </c>
      <c r="M98" s="17">
        <f>IF(OR($J98="",N($K98)&lt;=0,N($J98)&lt;=0),"",($K98-$J98)/$J98)</f>
        <v/>
      </c>
      <c r="N98" s="18" t="n"/>
      <c r="O98" s="14" t="n"/>
      <c r="P98" s="14" t="n"/>
    </row>
    <row r="99">
      <c r="A99" s="14" t="n"/>
      <c r="B99" s="14" t="n"/>
      <c r="C99" s="14" t="n"/>
      <c r="D99" s="14" t="n"/>
      <c r="E99" s="14" t="n"/>
      <c r="F99" s="14" t="n"/>
      <c r="G99" s="14" t="n"/>
      <c r="H99" s="14" t="n"/>
      <c r="I99" s="15" t="n"/>
      <c r="J99" s="16">
        <f>IF(OR($I99="",N($H99)&lt;=0),"",$I99/$H99)</f>
        <v/>
      </c>
      <c r="K99" s="15" t="n"/>
      <c r="L99" s="17">
        <f>IF(OR($J99="",N($K99)&lt;=0),"",($K99-$J99)/$K99)</f>
        <v/>
      </c>
      <c r="M99" s="17">
        <f>IF(OR($J99="",N($K99)&lt;=0,N($J99)&lt;=0),"",($K99-$J99)/$J99)</f>
        <v/>
      </c>
      <c r="N99" s="18" t="n"/>
      <c r="O99" s="14" t="n"/>
      <c r="P99" s="14" t="n"/>
    </row>
    <row r="100">
      <c r="A100" s="14" t="n"/>
      <c r="B100" s="14" t="n"/>
      <c r="C100" s="14" t="n"/>
      <c r="D100" s="14" t="n"/>
      <c r="E100" s="14" t="n"/>
      <c r="F100" s="14" t="n"/>
      <c r="G100" s="14" t="n"/>
      <c r="H100" s="14" t="n"/>
      <c r="I100" s="15" t="n"/>
      <c r="J100" s="16">
        <f>IF(OR($I100="",N($H100)&lt;=0),"",$I100/$H100)</f>
        <v/>
      </c>
      <c r="K100" s="15" t="n"/>
      <c r="L100" s="17">
        <f>IF(OR($J100="",N($K100)&lt;=0),"",($K100-$J100)/$K100)</f>
        <v/>
      </c>
      <c r="M100" s="17">
        <f>IF(OR($J100="",N($K100)&lt;=0,N($J100)&lt;=0),"",($K100-$J100)/$J100)</f>
        <v/>
      </c>
      <c r="N100" s="18" t="n"/>
      <c r="O100" s="14" t="n"/>
      <c r="P100" s="14" t="n"/>
    </row>
    <row r="101">
      <c r="A101" s="14" t="n"/>
      <c r="B101" s="14" t="n"/>
      <c r="C101" s="14" t="n"/>
      <c r="D101" s="14" t="n"/>
      <c r="E101" s="14" t="n"/>
      <c r="F101" s="14" t="n"/>
      <c r="G101" s="14" t="n"/>
      <c r="H101" s="14" t="n"/>
      <c r="I101" s="15" t="n"/>
      <c r="J101" s="16">
        <f>IF(OR($I101="",N($H101)&lt;=0),"",$I101/$H101)</f>
        <v/>
      </c>
      <c r="K101" s="15" t="n"/>
      <c r="L101" s="17">
        <f>IF(OR($J101="",N($K101)&lt;=0),"",($K101-$J101)/$K101)</f>
        <v/>
      </c>
      <c r="M101" s="17">
        <f>IF(OR($J101="",N($K101)&lt;=0,N($J101)&lt;=0),"",($K101-$J101)/$J101)</f>
        <v/>
      </c>
      <c r="N101" s="18" t="n"/>
      <c r="O101" s="14" t="n"/>
      <c r="P101" s="14" t="n"/>
    </row>
    <row r="102">
      <c r="A102" s="14" t="n"/>
      <c r="B102" s="14" t="n"/>
      <c r="C102" s="14" t="n"/>
      <c r="D102" s="14" t="n"/>
      <c r="E102" s="14" t="n"/>
      <c r="F102" s="14" t="n"/>
      <c r="G102" s="14" t="n"/>
      <c r="H102" s="14" t="n"/>
      <c r="I102" s="15" t="n"/>
      <c r="J102" s="16">
        <f>IF(OR($I102="",N($H102)&lt;=0),"",$I102/$H102)</f>
        <v/>
      </c>
      <c r="K102" s="15" t="n"/>
      <c r="L102" s="17">
        <f>IF(OR($J102="",N($K102)&lt;=0),"",($K102-$J102)/$K102)</f>
        <v/>
      </c>
      <c r="M102" s="17">
        <f>IF(OR($J102="",N($K102)&lt;=0,N($J102)&lt;=0),"",($K102-$J102)/$J102)</f>
        <v/>
      </c>
      <c r="N102" s="18" t="n"/>
      <c r="O102" s="14" t="n"/>
      <c r="P102" s="14" t="n"/>
    </row>
    <row r="103">
      <c r="A103" s="14" t="n"/>
      <c r="B103" s="14" t="n"/>
      <c r="C103" s="14" t="n"/>
      <c r="D103" s="14" t="n"/>
      <c r="E103" s="14" t="n"/>
      <c r="F103" s="14" t="n"/>
      <c r="G103" s="14" t="n"/>
      <c r="H103" s="14" t="n"/>
      <c r="I103" s="15" t="n"/>
      <c r="J103" s="16">
        <f>IF(OR($I103="",N($H103)&lt;=0),"",$I103/$H103)</f>
        <v/>
      </c>
      <c r="K103" s="15" t="n"/>
      <c r="L103" s="17">
        <f>IF(OR($J103="",N($K103)&lt;=0),"",($K103-$J103)/$K103)</f>
        <v/>
      </c>
      <c r="M103" s="17">
        <f>IF(OR($J103="",N($K103)&lt;=0,N($J103)&lt;=0),"",($K103-$J103)/$J103)</f>
        <v/>
      </c>
      <c r="N103" s="18" t="n"/>
      <c r="O103" s="14" t="n"/>
      <c r="P103" s="14" t="n"/>
    </row>
    <row r="104">
      <c r="A104" s="14" t="n"/>
      <c r="B104" s="14" t="n"/>
      <c r="C104" s="14" t="n"/>
      <c r="D104" s="14" t="n"/>
      <c r="E104" s="14" t="n"/>
      <c r="F104" s="14" t="n"/>
      <c r="G104" s="14" t="n"/>
      <c r="H104" s="14" t="n"/>
      <c r="I104" s="15" t="n"/>
      <c r="J104" s="16">
        <f>IF(OR($I104="",N($H104)&lt;=0),"",$I104/$H104)</f>
        <v/>
      </c>
      <c r="K104" s="15" t="n"/>
      <c r="L104" s="17">
        <f>IF(OR($J104="",N($K104)&lt;=0),"",($K104-$J104)/$K104)</f>
        <v/>
      </c>
      <c r="M104" s="17">
        <f>IF(OR($J104="",N($K104)&lt;=0,N($J104)&lt;=0),"",($K104-$J104)/$J104)</f>
        <v/>
      </c>
      <c r="N104" s="18" t="n"/>
      <c r="O104" s="14" t="n"/>
      <c r="P104" s="14" t="n"/>
    </row>
    <row r="105">
      <c r="A105" s="14" t="n"/>
      <c r="B105" s="14" t="n"/>
      <c r="C105" s="14" t="n"/>
      <c r="D105" s="14" t="n"/>
      <c r="E105" s="14" t="n"/>
      <c r="F105" s="14" t="n"/>
      <c r="G105" s="14" t="n"/>
      <c r="H105" s="14" t="n"/>
      <c r="I105" s="15" t="n"/>
      <c r="J105" s="16">
        <f>IF(OR($I105="",N($H105)&lt;=0),"",$I105/$H105)</f>
        <v/>
      </c>
      <c r="K105" s="15" t="n"/>
      <c r="L105" s="17">
        <f>IF(OR($J105="",N($K105)&lt;=0),"",($K105-$J105)/$K105)</f>
        <v/>
      </c>
      <c r="M105" s="17">
        <f>IF(OR($J105="",N($K105)&lt;=0,N($J105)&lt;=0),"",($K105-$J105)/$J105)</f>
        <v/>
      </c>
      <c r="N105" s="18" t="n"/>
      <c r="O105" s="14" t="n"/>
      <c r="P105" s="14" t="n"/>
    </row>
    <row r="106">
      <c r="A106" s="14" t="n"/>
      <c r="B106" s="14" t="n"/>
      <c r="C106" s="14" t="n"/>
      <c r="D106" s="14" t="n"/>
      <c r="E106" s="14" t="n"/>
      <c r="F106" s="14" t="n"/>
      <c r="G106" s="14" t="n"/>
      <c r="H106" s="14" t="n"/>
      <c r="I106" s="15" t="n"/>
      <c r="J106" s="16">
        <f>IF(OR($I106="",N($H106)&lt;=0),"",$I106/$H106)</f>
        <v/>
      </c>
      <c r="K106" s="15" t="n"/>
      <c r="L106" s="17">
        <f>IF(OR($J106="",N($K106)&lt;=0),"",($K106-$J106)/$K106)</f>
        <v/>
      </c>
      <c r="M106" s="17">
        <f>IF(OR($J106="",N($K106)&lt;=0,N($J106)&lt;=0),"",($K106-$J106)/$J106)</f>
        <v/>
      </c>
      <c r="N106" s="18" t="n"/>
      <c r="O106" s="14" t="n"/>
      <c r="P106" s="14" t="n"/>
    </row>
    <row r="107">
      <c r="A107" s="14" t="n"/>
      <c r="B107" s="14" t="n"/>
      <c r="C107" s="14" t="n"/>
      <c r="D107" s="14" t="n"/>
      <c r="E107" s="14" t="n"/>
      <c r="F107" s="14" t="n"/>
      <c r="G107" s="14" t="n"/>
      <c r="H107" s="14" t="n"/>
      <c r="I107" s="15" t="n"/>
      <c r="J107" s="16">
        <f>IF(OR($I107="",N($H107)&lt;=0),"",$I107/$H107)</f>
        <v/>
      </c>
      <c r="K107" s="15" t="n"/>
      <c r="L107" s="17">
        <f>IF(OR($J107="",N($K107)&lt;=0),"",($K107-$J107)/$K107)</f>
        <v/>
      </c>
      <c r="M107" s="17">
        <f>IF(OR($J107="",N($K107)&lt;=0,N($J107)&lt;=0),"",($K107-$J107)/$J107)</f>
        <v/>
      </c>
      <c r="N107" s="18" t="n"/>
      <c r="O107" s="14" t="n"/>
      <c r="P107" s="14" t="n"/>
    </row>
    <row r="108">
      <c r="A108" s="14" t="n"/>
      <c r="B108" s="14" t="n"/>
      <c r="C108" s="14" t="n"/>
      <c r="D108" s="14" t="n"/>
      <c r="E108" s="14" t="n"/>
      <c r="F108" s="14" t="n"/>
      <c r="G108" s="14" t="n"/>
      <c r="H108" s="14" t="n"/>
      <c r="I108" s="15" t="n"/>
      <c r="J108" s="16">
        <f>IF(OR($I108="",N($H108)&lt;=0),"",$I108/$H108)</f>
        <v/>
      </c>
      <c r="K108" s="15" t="n"/>
      <c r="L108" s="17">
        <f>IF(OR($J108="",N($K108)&lt;=0),"",($K108-$J108)/$K108)</f>
        <v/>
      </c>
      <c r="M108" s="17">
        <f>IF(OR($J108="",N($K108)&lt;=0,N($J108)&lt;=0),"",($K108-$J108)/$J108)</f>
        <v/>
      </c>
      <c r="N108" s="18" t="n"/>
      <c r="O108" s="14" t="n"/>
      <c r="P108" s="14" t="n"/>
    </row>
    <row r="109">
      <c r="A109" s="14" t="n"/>
      <c r="B109" s="14" t="n"/>
      <c r="C109" s="14" t="n"/>
      <c r="D109" s="14" t="n"/>
      <c r="E109" s="14" t="n"/>
      <c r="F109" s="14" t="n"/>
      <c r="G109" s="14" t="n"/>
      <c r="H109" s="14" t="n"/>
      <c r="I109" s="15" t="n"/>
      <c r="J109" s="16">
        <f>IF(OR($I109="",N($H109)&lt;=0),"",$I109/$H109)</f>
        <v/>
      </c>
      <c r="K109" s="15" t="n"/>
      <c r="L109" s="17">
        <f>IF(OR($J109="",N($K109)&lt;=0),"",($K109-$J109)/$K109)</f>
        <v/>
      </c>
      <c r="M109" s="17">
        <f>IF(OR($J109="",N($K109)&lt;=0,N($J109)&lt;=0),"",($K109-$J109)/$J109)</f>
        <v/>
      </c>
      <c r="N109" s="18" t="n"/>
      <c r="O109" s="14" t="n"/>
      <c r="P109" s="14" t="n"/>
    </row>
    <row r="110">
      <c r="A110" s="14" t="n"/>
      <c r="B110" s="14" t="n"/>
      <c r="C110" s="14" t="n"/>
      <c r="D110" s="14" t="n"/>
      <c r="E110" s="14" t="n"/>
      <c r="F110" s="14" t="n"/>
      <c r="G110" s="14" t="n"/>
      <c r="H110" s="14" t="n"/>
      <c r="I110" s="15" t="n"/>
      <c r="J110" s="16">
        <f>IF(OR($I110="",N($H110)&lt;=0),"",$I110/$H110)</f>
        <v/>
      </c>
      <c r="K110" s="15" t="n"/>
      <c r="L110" s="17">
        <f>IF(OR($J110="",N($K110)&lt;=0),"",($K110-$J110)/$K110)</f>
        <v/>
      </c>
      <c r="M110" s="17">
        <f>IF(OR($J110="",N($K110)&lt;=0,N($J110)&lt;=0),"",($K110-$J110)/$J110)</f>
        <v/>
      </c>
      <c r="N110" s="18" t="n"/>
      <c r="O110" s="14" t="n"/>
      <c r="P110" s="14" t="n"/>
    </row>
    <row r="111">
      <c r="A111" s="14" t="n"/>
      <c r="B111" s="14" t="n"/>
      <c r="C111" s="14" t="n"/>
      <c r="D111" s="14" t="n"/>
      <c r="E111" s="14" t="n"/>
      <c r="F111" s="14" t="n"/>
      <c r="G111" s="14" t="n"/>
      <c r="H111" s="14" t="n"/>
      <c r="I111" s="15" t="n"/>
      <c r="J111" s="16">
        <f>IF(OR($I111="",N($H111)&lt;=0),"",$I111/$H111)</f>
        <v/>
      </c>
      <c r="K111" s="15" t="n"/>
      <c r="L111" s="17">
        <f>IF(OR($J111="",N($K111)&lt;=0),"",($K111-$J111)/$K111)</f>
        <v/>
      </c>
      <c r="M111" s="17">
        <f>IF(OR($J111="",N($K111)&lt;=0,N($J111)&lt;=0),"",($K111-$J111)/$J111)</f>
        <v/>
      </c>
      <c r="N111" s="18" t="n"/>
      <c r="O111" s="14" t="n"/>
      <c r="P111" s="14" t="n"/>
    </row>
    <row r="112">
      <c r="A112" s="14" t="n"/>
      <c r="B112" s="14" t="n"/>
      <c r="C112" s="14" t="n"/>
      <c r="D112" s="14" t="n"/>
      <c r="E112" s="14" t="n"/>
      <c r="F112" s="14" t="n"/>
      <c r="G112" s="14" t="n"/>
      <c r="H112" s="14" t="n"/>
      <c r="I112" s="15" t="n"/>
      <c r="J112" s="16">
        <f>IF(OR($I112="",N($H112)&lt;=0),"",$I112/$H112)</f>
        <v/>
      </c>
      <c r="K112" s="15" t="n"/>
      <c r="L112" s="17">
        <f>IF(OR($J112="",N($K112)&lt;=0),"",($K112-$J112)/$K112)</f>
        <v/>
      </c>
      <c r="M112" s="17">
        <f>IF(OR($J112="",N($K112)&lt;=0,N($J112)&lt;=0),"",($K112-$J112)/$J112)</f>
        <v/>
      </c>
      <c r="N112" s="18" t="n"/>
      <c r="O112" s="14" t="n"/>
      <c r="P112" s="14" t="n"/>
    </row>
    <row r="113">
      <c r="A113" s="14" t="n"/>
      <c r="B113" s="14" t="n"/>
      <c r="C113" s="14" t="n"/>
      <c r="D113" s="14" t="n"/>
      <c r="E113" s="14" t="n"/>
      <c r="F113" s="14" t="n"/>
      <c r="G113" s="14" t="n"/>
      <c r="H113" s="14" t="n"/>
      <c r="I113" s="15" t="n"/>
      <c r="J113" s="16">
        <f>IF(OR($I113="",N($H113)&lt;=0),"",$I113/$H113)</f>
        <v/>
      </c>
      <c r="K113" s="15" t="n"/>
      <c r="L113" s="17">
        <f>IF(OR($J113="",N($K113)&lt;=0),"",($K113-$J113)/$K113)</f>
        <v/>
      </c>
      <c r="M113" s="17">
        <f>IF(OR($J113="",N($K113)&lt;=0,N($J113)&lt;=0),"",($K113-$J113)/$J113)</f>
        <v/>
      </c>
      <c r="N113" s="18" t="n"/>
      <c r="O113" s="14" t="n"/>
      <c r="P113" s="14" t="n"/>
    </row>
    <row r="114">
      <c r="A114" s="14" t="n"/>
      <c r="B114" s="14" t="n"/>
      <c r="C114" s="14" t="n"/>
      <c r="D114" s="14" t="n"/>
      <c r="E114" s="14" t="n"/>
      <c r="F114" s="14" t="n"/>
      <c r="G114" s="14" t="n"/>
      <c r="H114" s="14" t="n"/>
      <c r="I114" s="15" t="n"/>
      <c r="J114" s="16">
        <f>IF(OR($I114="",N($H114)&lt;=0),"",$I114/$H114)</f>
        <v/>
      </c>
      <c r="K114" s="15" t="n"/>
      <c r="L114" s="17">
        <f>IF(OR($J114="",N($K114)&lt;=0),"",($K114-$J114)/$K114)</f>
        <v/>
      </c>
      <c r="M114" s="17">
        <f>IF(OR($J114="",N($K114)&lt;=0,N($J114)&lt;=0),"",($K114-$J114)/$J114)</f>
        <v/>
      </c>
      <c r="N114" s="18" t="n"/>
      <c r="O114" s="14" t="n"/>
      <c r="P114" s="14" t="n"/>
    </row>
    <row r="115">
      <c r="A115" s="14" t="n"/>
      <c r="B115" s="14" t="n"/>
      <c r="C115" s="14" t="n"/>
      <c r="D115" s="14" t="n"/>
      <c r="E115" s="14" t="n"/>
      <c r="F115" s="14" t="n"/>
      <c r="G115" s="14" t="n"/>
      <c r="H115" s="14" t="n"/>
      <c r="I115" s="15" t="n"/>
      <c r="J115" s="16">
        <f>IF(OR($I115="",N($H115)&lt;=0),"",$I115/$H115)</f>
        <v/>
      </c>
      <c r="K115" s="15" t="n"/>
      <c r="L115" s="17">
        <f>IF(OR($J115="",N($K115)&lt;=0),"",($K115-$J115)/$K115)</f>
        <v/>
      </c>
      <c r="M115" s="17">
        <f>IF(OR($J115="",N($K115)&lt;=0,N($J115)&lt;=0),"",($K115-$J115)/$J115)</f>
        <v/>
      </c>
      <c r="N115" s="18" t="n"/>
      <c r="O115" s="14" t="n"/>
      <c r="P115" s="14" t="n"/>
    </row>
    <row r="116">
      <c r="A116" s="14" t="n"/>
      <c r="B116" s="14" t="n"/>
      <c r="C116" s="14" t="n"/>
      <c r="D116" s="14" t="n"/>
      <c r="E116" s="14" t="n"/>
      <c r="F116" s="14" t="n"/>
      <c r="G116" s="14" t="n"/>
      <c r="H116" s="14" t="n"/>
      <c r="I116" s="15" t="n"/>
      <c r="J116" s="16">
        <f>IF(OR($I116="",N($H116)&lt;=0),"",$I116/$H116)</f>
        <v/>
      </c>
      <c r="K116" s="15" t="n"/>
      <c r="L116" s="17">
        <f>IF(OR($J116="",N($K116)&lt;=0),"",($K116-$J116)/$K116)</f>
        <v/>
      </c>
      <c r="M116" s="17">
        <f>IF(OR($J116="",N($K116)&lt;=0,N($J116)&lt;=0),"",($K116-$J116)/$J116)</f>
        <v/>
      </c>
      <c r="N116" s="18" t="n"/>
      <c r="O116" s="14" t="n"/>
      <c r="P116" s="14" t="n"/>
    </row>
    <row r="117">
      <c r="A117" s="14" t="n"/>
      <c r="B117" s="14" t="n"/>
      <c r="C117" s="14" t="n"/>
      <c r="D117" s="14" t="n"/>
      <c r="E117" s="14" t="n"/>
      <c r="F117" s="14" t="n"/>
      <c r="G117" s="14" t="n"/>
      <c r="H117" s="14" t="n"/>
      <c r="I117" s="15" t="n"/>
      <c r="J117" s="16">
        <f>IF(OR($I117="",N($H117)&lt;=0),"",$I117/$H117)</f>
        <v/>
      </c>
      <c r="K117" s="15" t="n"/>
      <c r="L117" s="17">
        <f>IF(OR($J117="",N($K117)&lt;=0),"",($K117-$J117)/$K117)</f>
        <v/>
      </c>
      <c r="M117" s="17">
        <f>IF(OR($J117="",N($K117)&lt;=0,N($J117)&lt;=0),"",($K117-$J117)/$J117)</f>
        <v/>
      </c>
      <c r="N117" s="18" t="n"/>
      <c r="O117" s="14" t="n"/>
      <c r="P117" s="14" t="n"/>
    </row>
    <row r="118">
      <c r="A118" s="14" t="n"/>
      <c r="B118" s="14" t="n"/>
      <c r="C118" s="14" t="n"/>
      <c r="D118" s="14" t="n"/>
      <c r="E118" s="14" t="n"/>
      <c r="F118" s="14" t="n"/>
      <c r="G118" s="14" t="n"/>
      <c r="H118" s="14" t="n"/>
      <c r="I118" s="15" t="n"/>
      <c r="J118" s="16">
        <f>IF(OR($I118="",N($H118)&lt;=0),"",$I118/$H118)</f>
        <v/>
      </c>
      <c r="K118" s="15" t="n"/>
      <c r="L118" s="17">
        <f>IF(OR($J118="",N($K118)&lt;=0),"",($K118-$J118)/$K118)</f>
        <v/>
      </c>
      <c r="M118" s="17">
        <f>IF(OR($J118="",N($K118)&lt;=0,N($J118)&lt;=0),"",($K118-$J118)/$J118)</f>
        <v/>
      </c>
      <c r="N118" s="18" t="n"/>
      <c r="O118" s="14" t="n"/>
      <c r="P118" s="14" t="n"/>
    </row>
    <row r="119">
      <c r="A119" s="14" t="n"/>
      <c r="B119" s="14" t="n"/>
      <c r="C119" s="14" t="n"/>
      <c r="D119" s="14" t="n"/>
      <c r="E119" s="14" t="n"/>
      <c r="F119" s="14" t="n"/>
      <c r="G119" s="14" t="n"/>
      <c r="H119" s="14" t="n"/>
      <c r="I119" s="15" t="n"/>
      <c r="J119" s="16">
        <f>IF(OR($I119="",N($H119)&lt;=0),"",$I119/$H119)</f>
        <v/>
      </c>
      <c r="K119" s="15" t="n"/>
      <c r="L119" s="17">
        <f>IF(OR($J119="",N($K119)&lt;=0),"",($K119-$J119)/$K119)</f>
        <v/>
      </c>
      <c r="M119" s="17">
        <f>IF(OR($J119="",N($K119)&lt;=0,N($J119)&lt;=0),"",($K119-$J119)/$J119)</f>
        <v/>
      </c>
      <c r="N119" s="18" t="n"/>
      <c r="O119" s="14" t="n"/>
      <c r="P119" s="14" t="n"/>
    </row>
    <row r="120">
      <c r="A120" s="14" t="n"/>
      <c r="B120" s="14" t="n"/>
      <c r="C120" s="14" t="n"/>
      <c r="D120" s="14" t="n"/>
      <c r="E120" s="14" t="n"/>
      <c r="F120" s="14" t="n"/>
      <c r="G120" s="14" t="n"/>
      <c r="H120" s="14" t="n"/>
      <c r="I120" s="15" t="n"/>
      <c r="J120" s="16">
        <f>IF(OR($I120="",N($H120)&lt;=0),"",$I120/$H120)</f>
        <v/>
      </c>
      <c r="K120" s="15" t="n"/>
      <c r="L120" s="17">
        <f>IF(OR($J120="",N($K120)&lt;=0),"",($K120-$J120)/$K120)</f>
        <v/>
      </c>
      <c r="M120" s="17">
        <f>IF(OR($J120="",N($K120)&lt;=0,N($J120)&lt;=0),"",($K120-$J120)/$J120)</f>
        <v/>
      </c>
      <c r="N120" s="18" t="n"/>
      <c r="O120" s="14" t="n"/>
      <c r="P120" s="14" t="n"/>
    </row>
    <row r="121">
      <c r="A121" s="14" t="n"/>
      <c r="B121" s="14" t="n"/>
      <c r="C121" s="14" t="n"/>
      <c r="D121" s="14" t="n"/>
      <c r="E121" s="14" t="n"/>
      <c r="F121" s="14" t="n"/>
      <c r="G121" s="14" t="n"/>
      <c r="H121" s="14" t="n"/>
      <c r="I121" s="15" t="n"/>
      <c r="J121" s="16">
        <f>IF(OR($I121="",N($H121)&lt;=0),"",$I121/$H121)</f>
        <v/>
      </c>
      <c r="K121" s="15" t="n"/>
      <c r="L121" s="17">
        <f>IF(OR($J121="",N($K121)&lt;=0),"",($K121-$J121)/$K121)</f>
        <v/>
      </c>
      <c r="M121" s="17">
        <f>IF(OR($J121="",N($K121)&lt;=0,N($J121)&lt;=0),"",($K121-$J121)/$J121)</f>
        <v/>
      </c>
      <c r="N121" s="18" t="n"/>
      <c r="O121" s="14" t="n"/>
      <c r="P121" s="14" t="n"/>
    </row>
    <row r="122">
      <c r="A122" s="14" t="n"/>
      <c r="B122" s="14" t="n"/>
      <c r="C122" s="14" t="n"/>
      <c r="D122" s="14" t="n"/>
      <c r="E122" s="14" t="n"/>
      <c r="F122" s="14" t="n"/>
      <c r="G122" s="14" t="n"/>
      <c r="H122" s="14" t="n"/>
      <c r="I122" s="15" t="n"/>
      <c r="J122" s="16">
        <f>IF(OR($I122="",N($H122)&lt;=0),"",$I122/$H122)</f>
        <v/>
      </c>
      <c r="K122" s="15" t="n"/>
      <c r="L122" s="17">
        <f>IF(OR($J122="",N($K122)&lt;=0),"",($K122-$J122)/$K122)</f>
        <v/>
      </c>
      <c r="M122" s="17">
        <f>IF(OR($J122="",N($K122)&lt;=0,N($J122)&lt;=0),"",($K122-$J122)/$J122)</f>
        <v/>
      </c>
      <c r="N122" s="18" t="n"/>
      <c r="O122" s="14" t="n"/>
      <c r="P122" s="14" t="n"/>
    </row>
    <row r="123">
      <c r="A123" s="14" t="n"/>
      <c r="B123" s="14" t="n"/>
      <c r="C123" s="14" t="n"/>
      <c r="D123" s="14" t="n"/>
      <c r="E123" s="14" t="n"/>
      <c r="F123" s="14" t="n"/>
      <c r="G123" s="14" t="n"/>
      <c r="H123" s="14" t="n"/>
      <c r="I123" s="15" t="n"/>
      <c r="J123" s="16">
        <f>IF(OR($I123="",N($H123)&lt;=0),"",$I123/$H123)</f>
        <v/>
      </c>
      <c r="K123" s="15" t="n"/>
      <c r="L123" s="17">
        <f>IF(OR($J123="",N($K123)&lt;=0),"",($K123-$J123)/$K123)</f>
        <v/>
      </c>
      <c r="M123" s="17">
        <f>IF(OR($J123="",N($K123)&lt;=0,N($J123)&lt;=0),"",($K123-$J123)/$J123)</f>
        <v/>
      </c>
      <c r="N123" s="18" t="n"/>
      <c r="O123" s="14" t="n"/>
      <c r="P123" s="14" t="n"/>
    </row>
    <row r="124">
      <c r="A124" s="14" t="n"/>
      <c r="B124" s="14" t="n"/>
      <c r="C124" s="14" t="n"/>
      <c r="D124" s="14" t="n"/>
      <c r="E124" s="14" t="n"/>
      <c r="F124" s="14" t="n"/>
      <c r="G124" s="14" t="n"/>
      <c r="H124" s="14" t="n"/>
      <c r="I124" s="15" t="n"/>
      <c r="J124" s="16">
        <f>IF(OR($I124="",N($H124)&lt;=0),"",$I124/$H124)</f>
        <v/>
      </c>
      <c r="K124" s="15" t="n"/>
      <c r="L124" s="17">
        <f>IF(OR($J124="",N($K124)&lt;=0),"",($K124-$J124)/$K124)</f>
        <v/>
      </c>
      <c r="M124" s="17">
        <f>IF(OR($J124="",N($K124)&lt;=0,N($J124)&lt;=0),"",($K124-$J124)/$J124)</f>
        <v/>
      </c>
      <c r="N124" s="18" t="n"/>
      <c r="O124" s="14" t="n"/>
      <c r="P124" s="14" t="n"/>
    </row>
    <row r="125">
      <c r="A125" s="14" t="n"/>
      <c r="B125" s="14" t="n"/>
      <c r="C125" s="14" t="n"/>
      <c r="D125" s="14" t="n"/>
      <c r="E125" s="14" t="n"/>
      <c r="F125" s="14" t="n"/>
      <c r="G125" s="14" t="n"/>
      <c r="H125" s="14" t="n"/>
      <c r="I125" s="15" t="n"/>
      <c r="J125" s="16">
        <f>IF(OR($I125="",N($H125)&lt;=0),"",$I125/$H125)</f>
        <v/>
      </c>
      <c r="K125" s="15" t="n"/>
      <c r="L125" s="17">
        <f>IF(OR($J125="",N($K125)&lt;=0),"",($K125-$J125)/$K125)</f>
        <v/>
      </c>
      <c r="M125" s="17">
        <f>IF(OR($J125="",N($K125)&lt;=0,N($J125)&lt;=0),"",($K125-$J125)/$J125)</f>
        <v/>
      </c>
      <c r="N125" s="18" t="n"/>
      <c r="O125" s="14" t="n"/>
      <c r="P125" s="14" t="n"/>
    </row>
    <row r="126">
      <c r="A126" s="14" t="n"/>
      <c r="B126" s="14" t="n"/>
      <c r="C126" s="14" t="n"/>
      <c r="D126" s="14" t="n"/>
      <c r="E126" s="14" t="n"/>
      <c r="F126" s="14" t="n"/>
      <c r="G126" s="14" t="n"/>
      <c r="H126" s="14" t="n"/>
      <c r="I126" s="15" t="n"/>
      <c r="J126" s="16">
        <f>IF(OR($I126="",N($H126)&lt;=0),"",$I126/$H126)</f>
        <v/>
      </c>
      <c r="K126" s="15" t="n"/>
      <c r="L126" s="17">
        <f>IF(OR($J126="",N($K126)&lt;=0),"",($K126-$J126)/$K126)</f>
        <v/>
      </c>
      <c r="M126" s="17">
        <f>IF(OR($J126="",N($K126)&lt;=0,N($J126)&lt;=0),"",($K126-$J126)/$J126)</f>
        <v/>
      </c>
      <c r="N126" s="18" t="n"/>
      <c r="O126" s="14" t="n"/>
      <c r="P126" s="14" t="n"/>
    </row>
    <row r="127">
      <c r="A127" s="14" t="n"/>
      <c r="B127" s="14" t="n"/>
      <c r="C127" s="14" t="n"/>
      <c r="D127" s="14" t="n"/>
      <c r="E127" s="14" t="n"/>
      <c r="F127" s="14" t="n"/>
      <c r="G127" s="14" t="n"/>
      <c r="H127" s="14" t="n"/>
      <c r="I127" s="15" t="n"/>
      <c r="J127" s="16">
        <f>IF(OR($I127="",N($H127)&lt;=0),"",$I127/$H127)</f>
        <v/>
      </c>
      <c r="K127" s="15" t="n"/>
      <c r="L127" s="17">
        <f>IF(OR($J127="",N($K127)&lt;=0),"",($K127-$J127)/$K127)</f>
        <v/>
      </c>
      <c r="M127" s="17">
        <f>IF(OR($J127="",N($K127)&lt;=0,N($J127)&lt;=0),"",($K127-$J127)/$J127)</f>
        <v/>
      </c>
      <c r="N127" s="18" t="n"/>
      <c r="O127" s="14" t="n"/>
      <c r="P127" s="14" t="n"/>
    </row>
    <row r="128">
      <c r="A128" s="14" t="n"/>
      <c r="B128" s="14" t="n"/>
      <c r="C128" s="14" t="n"/>
      <c r="D128" s="14" t="n"/>
      <c r="E128" s="14" t="n"/>
      <c r="F128" s="14" t="n"/>
      <c r="G128" s="14" t="n"/>
      <c r="H128" s="14" t="n"/>
      <c r="I128" s="15" t="n"/>
      <c r="J128" s="16">
        <f>IF(OR($I128="",N($H128)&lt;=0),"",$I128/$H128)</f>
        <v/>
      </c>
      <c r="K128" s="15" t="n"/>
      <c r="L128" s="17">
        <f>IF(OR($J128="",N($K128)&lt;=0),"",($K128-$J128)/$K128)</f>
        <v/>
      </c>
      <c r="M128" s="17">
        <f>IF(OR($J128="",N($K128)&lt;=0,N($J128)&lt;=0),"",($K128-$J128)/$J128)</f>
        <v/>
      </c>
      <c r="N128" s="18" t="n"/>
      <c r="O128" s="14" t="n"/>
      <c r="P128" s="14" t="n"/>
    </row>
    <row r="129">
      <c r="A129" s="14" t="n"/>
      <c r="B129" s="14" t="n"/>
      <c r="C129" s="14" t="n"/>
      <c r="D129" s="14" t="n"/>
      <c r="E129" s="14" t="n"/>
      <c r="F129" s="14" t="n"/>
      <c r="G129" s="14" t="n"/>
      <c r="H129" s="14" t="n"/>
      <c r="I129" s="15" t="n"/>
      <c r="J129" s="16">
        <f>IF(OR($I129="",N($H129)&lt;=0),"",$I129/$H129)</f>
        <v/>
      </c>
      <c r="K129" s="15" t="n"/>
      <c r="L129" s="17">
        <f>IF(OR($J129="",N($K129)&lt;=0),"",($K129-$J129)/$K129)</f>
        <v/>
      </c>
      <c r="M129" s="17">
        <f>IF(OR($J129="",N($K129)&lt;=0,N($J129)&lt;=0),"",($K129-$J129)/$J129)</f>
        <v/>
      </c>
      <c r="N129" s="18" t="n"/>
      <c r="O129" s="14" t="n"/>
      <c r="P129" s="14" t="n"/>
    </row>
    <row r="130">
      <c r="A130" s="14" t="n"/>
      <c r="B130" s="14" t="n"/>
      <c r="C130" s="14" t="n"/>
      <c r="D130" s="14" t="n"/>
      <c r="E130" s="14" t="n"/>
      <c r="F130" s="14" t="n"/>
      <c r="G130" s="14" t="n"/>
      <c r="H130" s="14" t="n"/>
      <c r="I130" s="15" t="n"/>
      <c r="J130" s="16">
        <f>IF(OR($I130="",N($H130)&lt;=0),"",$I130/$H130)</f>
        <v/>
      </c>
      <c r="K130" s="15" t="n"/>
      <c r="L130" s="17">
        <f>IF(OR($J130="",N($K130)&lt;=0),"",($K130-$J130)/$K130)</f>
        <v/>
      </c>
      <c r="M130" s="17">
        <f>IF(OR($J130="",N($K130)&lt;=0,N($J130)&lt;=0),"",($K130-$J130)/$J130)</f>
        <v/>
      </c>
      <c r="N130" s="18" t="n"/>
      <c r="O130" s="14" t="n"/>
      <c r="P130" s="14" t="n"/>
    </row>
    <row r="131">
      <c r="A131" s="14" t="n"/>
      <c r="B131" s="14" t="n"/>
      <c r="C131" s="14" t="n"/>
      <c r="D131" s="14" t="n"/>
      <c r="E131" s="14" t="n"/>
      <c r="F131" s="14" t="n"/>
      <c r="G131" s="14" t="n"/>
      <c r="H131" s="14" t="n"/>
      <c r="I131" s="15" t="n"/>
      <c r="J131" s="16">
        <f>IF(OR($I131="",N($H131)&lt;=0),"",$I131/$H131)</f>
        <v/>
      </c>
      <c r="K131" s="15" t="n"/>
      <c r="L131" s="17">
        <f>IF(OR($J131="",N($K131)&lt;=0),"",($K131-$J131)/$K131)</f>
        <v/>
      </c>
      <c r="M131" s="17">
        <f>IF(OR($J131="",N($K131)&lt;=0,N($J131)&lt;=0),"",($K131-$J131)/$J131)</f>
        <v/>
      </c>
      <c r="N131" s="18" t="n"/>
      <c r="O131" s="14" t="n"/>
      <c r="P131" s="14" t="n"/>
    </row>
    <row r="132">
      <c r="A132" s="14" t="n"/>
      <c r="B132" s="14" t="n"/>
      <c r="C132" s="14" t="n"/>
      <c r="D132" s="14" t="n"/>
      <c r="E132" s="14" t="n"/>
      <c r="F132" s="14" t="n"/>
      <c r="G132" s="14" t="n"/>
      <c r="H132" s="14" t="n"/>
      <c r="I132" s="15" t="n"/>
      <c r="J132" s="16">
        <f>IF(OR($I132="",N($H132)&lt;=0),"",$I132/$H132)</f>
        <v/>
      </c>
      <c r="K132" s="15" t="n"/>
      <c r="L132" s="17">
        <f>IF(OR($J132="",N($K132)&lt;=0),"",($K132-$J132)/$K132)</f>
        <v/>
      </c>
      <c r="M132" s="17">
        <f>IF(OR($J132="",N($K132)&lt;=0,N($J132)&lt;=0),"",($K132-$J132)/$J132)</f>
        <v/>
      </c>
      <c r="N132" s="18" t="n"/>
      <c r="O132" s="14" t="n"/>
      <c r="P132" s="14" t="n"/>
    </row>
    <row r="133">
      <c r="A133" s="14" t="n"/>
      <c r="B133" s="14" t="n"/>
      <c r="C133" s="14" t="n"/>
      <c r="D133" s="14" t="n"/>
      <c r="E133" s="14" t="n"/>
      <c r="F133" s="14" t="n"/>
      <c r="G133" s="14" t="n"/>
      <c r="H133" s="14" t="n"/>
      <c r="I133" s="15" t="n"/>
      <c r="J133" s="16">
        <f>IF(OR($I133="",N($H133)&lt;=0),"",$I133/$H133)</f>
        <v/>
      </c>
      <c r="K133" s="15" t="n"/>
      <c r="L133" s="17">
        <f>IF(OR($J133="",N($K133)&lt;=0),"",($K133-$J133)/$K133)</f>
        <v/>
      </c>
      <c r="M133" s="17">
        <f>IF(OR($J133="",N($K133)&lt;=0,N($J133)&lt;=0),"",($K133-$J133)/$J133)</f>
        <v/>
      </c>
      <c r="N133" s="18" t="n"/>
      <c r="O133" s="14" t="n"/>
      <c r="P133" s="14" t="n"/>
    </row>
    <row r="134">
      <c r="A134" s="14" t="n"/>
      <c r="B134" s="14" t="n"/>
      <c r="C134" s="14" t="n"/>
      <c r="D134" s="14" t="n"/>
      <c r="E134" s="14" t="n"/>
      <c r="F134" s="14" t="n"/>
      <c r="G134" s="14" t="n"/>
      <c r="H134" s="14" t="n"/>
      <c r="I134" s="15" t="n"/>
      <c r="J134" s="16">
        <f>IF(OR($I134="",N($H134)&lt;=0),"",$I134/$H134)</f>
        <v/>
      </c>
      <c r="K134" s="15" t="n"/>
      <c r="L134" s="17">
        <f>IF(OR($J134="",N($K134)&lt;=0),"",($K134-$J134)/$K134)</f>
        <v/>
      </c>
      <c r="M134" s="17">
        <f>IF(OR($J134="",N($K134)&lt;=0,N($J134)&lt;=0),"",($K134-$J134)/$J134)</f>
        <v/>
      </c>
      <c r="N134" s="18" t="n"/>
      <c r="O134" s="14" t="n"/>
      <c r="P134" s="14" t="n"/>
    </row>
    <row r="135">
      <c r="A135" s="14" t="n"/>
      <c r="B135" s="14" t="n"/>
      <c r="C135" s="14" t="n"/>
      <c r="D135" s="14" t="n"/>
      <c r="E135" s="14" t="n"/>
      <c r="F135" s="14" t="n"/>
      <c r="G135" s="14" t="n"/>
      <c r="H135" s="14" t="n"/>
      <c r="I135" s="15" t="n"/>
      <c r="J135" s="16">
        <f>IF(OR($I135="",N($H135)&lt;=0),"",$I135/$H135)</f>
        <v/>
      </c>
      <c r="K135" s="15" t="n"/>
      <c r="L135" s="17">
        <f>IF(OR($J135="",N($K135)&lt;=0),"",($K135-$J135)/$K135)</f>
        <v/>
      </c>
      <c r="M135" s="17">
        <f>IF(OR($J135="",N($K135)&lt;=0,N($J135)&lt;=0),"",($K135-$J135)/$J135)</f>
        <v/>
      </c>
      <c r="N135" s="18" t="n"/>
      <c r="O135" s="14" t="n"/>
      <c r="P135" s="14" t="n"/>
    </row>
    <row r="136">
      <c r="A136" s="14" t="n"/>
      <c r="B136" s="14" t="n"/>
      <c r="C136" s="14" t="n"/>
      <c r="D136" s="14" t="n"/>
      <c r="E136" s="14" t="n"/>
      <c r="F136" s="14" t="n"/>
      <c r="G136" s="14" t="n"/>
      <c r="H136" s="14" t="n"/>
      <c r="I136" s="15" t="n"/>
      <c r="J136" s="16">
        <f>IF(OR($I136="",N($H136)&lt;=0),"",$I136/$H136)</f>
        <v/>
      </c>
      <c r="K136" s="15" t="n"/>
      <c r="L136" s="17">
        <f>IF(OR($J136="",N($K136)&lt;=0),"",($K136-$J136)/$K136)</f>
        <v/>
      </c>
      <c r="M136" s="17">
        <f>IF(OR($J136="",N($K136)&lt;=0,N($J136)&lt;=0),"",($K136-$J136)/$J136)</f>
        <v/>
      </c>
      <c r="N136" s="18" t="n"/>
      <c r="O136" s="14" t="n"/>
      <c r="P136" s="14" t="n"/>
    </row>
    <row r="137">
      <c r="A137" s="14" t="n"/>
      <c r="B137" s="14" t="n"/>
      <c r="C137" s="14" t="n"/>
      <c r="D137" s="14" t="n"/>
      <c r="E137" s="14" t="n"/>
      <c r="F137" s="14" t="n"/>
      <c r="G137" s="14" t="n"/>
      <c r="H137" s="14" t="n"/>
      <c r="I137" s="15" t="n"/>
      <c r="J137" s="16">
        <f>IF(OR($I137="",N($H137)&lt;=0),"",$I137/$H137)</f>
        <v/>
      </c>
      <c r="K137" s="15" t="n"/>
      <c r="L137" s="17">
        <f>IF(OR($J137="",N($K137)&lt;=0),"",($K137-$J137)/$K137)</f>
        <v/>
      </c>
      <c r="M137" s="17">
        <f>IF(OR($J137="",N($K137)&lt;=0,N($J137)&lt;=0),"",($K137-$J137)/$J137)</f>
        <v/>
      </c>
      <c r="N137" s="18" t="n"/>
      <c r="O137" s="14" t="n"/>
      <c r="P137" s="14" t="n"/>
    </row>
    <row r="138">
      <c r="A138" s="14" t="n"/>
      <c r="B138" s="14" t="n"/>
      <c r="C138" s="14" t="n"/>
      <c r="D138" s="14" t="n"/>
      <c r="E138" s="14" t="n"/>
      <c r="F138" s="14" t="n"/>
      <c r="G138" s="14" t="n"/>
      <c r="H138" s="14" t="n"/>
      <c r="I138" s="15" t="n"/>
      <c r="J138" s="16">
        <f>IF(OR($I138="",N($H138)&lt;=0),"",$I138/$H138)</f>
        <v/>
      </c>
      <c r="K138" s="15" t="n"/>
      <c r="L138" s="17">
        <f>IF(OR($J138="",N($K138)&lt;=0),"",($K138-$J138)/$K138)</f>
        <v/>
      </c>
      <c r="M138" s="17">
        <f>IF(OR($J138="",N($K138)&lt;=0,N($J138)&lt;=0),"",($K138-$J138)/$J138)</f>
        <v/>
      </c>
      <c r="N138" s="18" t="n"/>
      <c r="O138" s="14" t="n"/>
      <c r="P138" s="14" t="n"/>
    </row>
    <row r="139">
      <c r="A139" s="14" t="n"/>
      <c r="B139" s="14" t="n"/>
      <c r="C139" s="14" t="n"/>
      <c r="D139" s="14" t="n"/>
      <c r="E139" s="14" t="n"/>
      <c r="F139" s="14" t="n"/>
      <c r="G139" s="14" t="n"/>
      <c r="H139" s="14" t="n"/>
      <c r="I139" s="15" t="n"/>
      <c r="J139" s="16">
        <f>IF(OR($I139="",N($H139)&lt;=0),"",$I139/$H139)</f>
        <v/>
      </c>
      <c r="K139" s="15" t="n"/>
      <c r="L139" s="17">
        <f>IF(OR($J139="",N($K139)&lt;=0),"",($K139-$J139)/$K139)</f>
        <v/>
      </c>
      <c r="M139" s="17">
        <f>IF(OR($J139="",N($K139)&lt;=0,N($J139)&lt;=0),"",($K139-$J139)/$J139)</f>
        <v/>
      </c>
      <c r="N139" s="18" t="n"/>
      <c r="O139" s="14" t="n"/>
      <c r="P139" s="14" t="n"/>
    </row>
    <row r="140">
      <c r="A140" s="14" t="n"/>
      <c r="B140" s="14" t="n"/>
      <c r="C140" s="14" t="n"/>
      <c r="D140" s="14" t="n"/>
      <c r="E140" s="14" t="n"/>
      <c r="F140" s="14" t="n"/>
      <c r="G140" s="14" t="n"/>
      <c r="H140" s="14" t="n"/>
      <c r="I140" s="15" t="n"/>
      <c r="J140" s="16">
        <f>IF(OR($I140="",N($H140)&lt;=0),"",$I140/$H140)</f>
        <v/>
      </c>
      <c r="K140" s="15" t="n"/>
      <c r="L140" s="17">
        <f>IF(OR($J140="",N($K140)&lt;=0),"",($K140-$J140)/$K140)</f>
        <v/>
      </c>
      <c r="M140" s="17">
        <f>IF(OR($J140="",N($K140)&lt;=0,N($J140)&lt;=0),"",($K140-$J140)/$J140)</f>
        <v/>
      </c>
      <c r="N140" s="18" t="n"/>
      <c r="O140" s="14" t="n"/>
      <c r="P140" s="14" t="n"/>
    </row>
    <row r="141">
      <c r="A141" s="14" t="n"/>
      <c r="B141" s="14" t="n"/>
      <c r="C141" s="14" t="n"/>
      <c r="D141" s="14" t="n"/>
      <c r="E141" s="14" t="n"/>
      <c r="F141" s="14" t="n"/>
      <c r="G141" s="14" t="n"/>
      <c r="H141" s="14" t="n"/>
      <c r="I141" s="15" t="n"/>
      <c r="J141" s="16">
        <f>IF(OR($I141="",N($H141)&lt;=0),"",$I141/$H141)</f>
        <v/>
      </c>
      <c r="K141" s="15" t="n"/>
      <c r="L141" s="17">
        <f>IF(OR($J141="",N($K141)&lt;=0),"",($K141-$J141)/$K141)</f>
        <v/>
      </c>
      <c r="M141" s="17">
        <f>IF(OR($J141="",N($K141)&lt;=0,N($J141)&lt;=0),"",($K141-$J141)/$J141)</f>
        <v/>
      </c>
      <c r="N141" s="18" t="n"/>
      <c r="O141" s="14" t="n"/>
      <c r="P141" s="14" t="n"/>
    </row>
    <row r="142">
      <c r="A142" s="14" t="n"/>
      <c r="B142" s="14" t="n"/>
      <c r="C142" s="14" t="n"/>
      <c r="D142" s="14" t="n"/>
      <c r="E142" s="14" t="n"/>
      <c r="F142" s="14" t="n"/>
      <c r="G142" s="14" t="n"/>
      <c r="H142" s="14" t="n"/>
      <c r="I142" s="15" t="n"/>
      <c r="J142" s="16">
        <f>IF(OR($I142="",N($H142)&lt;=0),"",$I142/$H142)</f>
        <v/>
      </c>
      <c r="K142" s="15" t="n"/>
      <c r="L142" s="17">
        <f>IF(OR($J142="",N($K142)&lt;=0),"",($K142-$J142)/$K142)</f>
        <v/>
      </c>
      <c r="M142" s="17">
        <f>IF(OR($J142="",N($K142)&lt;=0,N($J142)&lt;=0),"",($K142-$J142)/$J142)</f>
        <v/>
      </c>
      <c r="N142" s="18" t="n"/>
      <c r="O142" s="14" t="n"/>
      <c r="P142" s="14" t="n"/>
    </row>
    <row r="143">
      <c r="A143" s="14" t="n"/>
      <c r="B143" s="14" t="n"/>
      <c r="C143" s="14" t="n"/>
      <c r="D143" s="14" t="n"/>
      <c r="E143" s="14" t="n"/>
      <c r="F143" s="14" t="n"/>
      <c r="G143" s="14" t="n"/>
      <c r="H143" s="14" t="n"/>
      <c r="I143" s="15" t="n"/>
      <c r="J143" s="16">
        <f>IF(OR($I143="",N($H143)&lt;=0),"",$I143/$H143)</f>
        <v/>
      </c>
      <c r="K143" s="15" t="n"/>
      <c r="L143" s="17">
        <f>IF(OR($J143="",N($K143)&lt;=0),"",($K143-$J143)/$K143)</f>
        <v/>
      </c>
      <c r="M143" s="17">
        <f>IF(OR($J143="",N($K143)&lt;=0,N($J143)&lt;=0),"",($K143-$J143)/$J143)</f>
        <v/>
      </c>
      <c r="N143" s="18" t="n"/>
      <c r="O143" s="14" t="n"/>
      <c r="P143" s="14" t="n"/>
    </row>
    <row r="144">
      <c r="A144" s="14" t="n"/>
      <c r="B144" s="14" t="n"/>
      <c r="C144" s="14" t="n"/>
      <c r="D144" s="14" t="n"/>
      <c r="E144" s="14" t="n"/>
      <c r="F144" s="14" t="n"/>
      <c r="G144" s="14" t="n"/>
      <c r="H144" s="14" t="n"/>
      <c r="I144" s="15" t="n"/>
      <c r="J144" s="16">
        <f>IF(OR($I144="",N($H144)&lt;=0),"",$I144/$H144)</f>
        <v/>
      </c>
      <c r="K144" s="15" t="n"/>
      <c r="L144" s="17">
        <f>IF(OR($J144="",N($K144)&lt;=0),"",($K144-$J144)/$K144)</f>
        <v/>
      </c>
      <c r="M144" s="17">
        <f>IF(OR($J144="",N($K144)&lt;=0,N($J144)&lt;=0),"",($K144-$J144)/$J144)</f>
        <v/>
      </c>
      <c r="N144" s="18" t="n"/>
      <c r="O144" s="14" t="n"/>
      <c r="P144" s="14" t="n"/>
    </row>
    <row r="145">
      <c r="A145" s="14" t="n"/>
      <c r="B145" s="14" t="n"/>
      <c r="C145" s="14" t="n"/>
      <c r="D145" s="14" t="n"/>
      <c r="E145" s="14" t="n"/>
      <c r="F145" s="14" t="n"/>
      <c r="G145" s="14" t="n"/>
      <c r="H145" s="14" t="n"/>
      <c r="I145" s="15" t="n"/>
      <c r="J145" s="16">
        <f>IF(OR($I145="",N($H145)&lt;=0),"",$I145/$H145)</f>
        <v/>
      </c>
      <c r="K145" s="15" t="n"/>
      <c r="L145" s="17">
        <f>IF(OR($J145="",N($K145)&lt;=0),"",($K145-$J145)/$K145)</f>
        <v/>
      </c>
      <c r="M145" s="17">
        <f>IF(OR($J145="",N($K145)&lt;=0,N($J145)&lt;=0),"",($K145-$J145)/$J145)</f>
        <v/>
      </c>
      <c r="N145" s="18" t="n"/>
      <c r="O145" s="14" t="n"/>
      <c r="P145" s="14" t="n"/>
    </row>
    <row r="146">
      <c r="A146" s="14" t="n"/>
      <c r="B146" s="14" t="n"/>
      <c r="C146" s="14" t="n"/>
      <c r="D146" s="14" t="n"/>
      <c r="E146" s="14" t="n"/>
      <c r="F146" s="14" t="n"/>
      <c r="G146" s="14" t="n"/>
      <c r="H146" s="14" t="n"/>
      <c r="I146" s="15" t="n"/>
      <c r="J146" s="16">
        <f>IF(OR($I146="",N($H146)&lt;=0),"",$I146/$H146)</f>
        <v/>
      </c>
      <c r="K146" s="15" t="n"/>
      <c r="L146" s="17">
        <f>IF(OR($J146="",N($K146)&lt;=0),"",($K146-$J146)/$K146)</f>
        <v/>
      </c>
      <c r="M146" s="17">
        <f>IF(OR($J146="",N($K146)&lt;=0,N($J146)&lt;=0),"",($K146-$J146)/$J146)</f>
        <v/>
      </c>
      <c r="N146" s="18" t="n"/>
      <c r="O146" s="14" t="n"/>
      <c r="P146" s="14" t="n"/>
    </row>
    <row r="147">
      <c r="A147" s="14" t="n"/>
      <c r="B147" s="14" t="n"/>
      <c r="C147" s="14" t="n"/>
      <c r="D147" s="14" t="n"/>
      <c r="E147" s="14" t="n"/>
      <c r="F147" s="14" t="n"/>
      <c r="G147" s="14" t="n"/>
      <c r="H147" s="14" t="n"/>
      <c r="I147" s="15" t="n"/>
      <c r="J147" s="16">
        <f>IF(OR($I147="",N($H147)&lt;=0),"",$I147/$H147)</f>
        <v/>
      </c>
      <c r="K147" s="15" t="n"/>
      <c r="L147" s="17">
        <f>IF(OR($J147="",N($K147)&lt;=0),"",($K147-$J147)/$K147)</f>
        <v/>
      </c>
      <c r="M147" s="17">
        <f>IF(OR($J147="",N($K147)&lt;=0,N($J147)&lt;=0),"",($K147-$J147)/$J147)</f>
        <v/>
      </c>
      <c r="N147" s="18" t="n"/>
      <c r="O147" s="14" t="n"/>
      <c r="P147" s="14" t="n"/>
    </row>
    <row r="148">
      <c r="A148" s="14" t="n"/>
      <c r="B148" s="14" t="n"/>
      <c r="C148" s="14" t="n"/>
      <c r="D148" s="14" t="n"/>
      <c r="E148" s="14" t="n"/>
      <c r="F148" s="14" t="n"/>
      <c r="G148" s="14" t="n"/>
      <c r="H148" s="14" t="n"/>
      <c r="I148" s="15" t="n"/>
      <c r="J148" s="16">
        <f>IF(OR($I148="",N($H148)&lt;=0),"",$I148/$H148)</f>
        <v/>
      </c>
      <c r="K148" s="15" t="n"/>
      <c r="L148" s="17">
        <f>IF(OR($J148="",N($K148)&lt;=0),"",($K148-$J148)/$K148)</f>
        <v/>
      </c>
      <c r="M148" s="17">
        <f>IF(OR($J148="",N($K148)&lt;=0,N($J148)&lt;=0),"",($K148-$J148)/$J148)</f>
        <v/>
      </c>
      <c r="N148" s="18" t="n"/>
      <c r="O148" s="14" t="n"/>
      <c r="P148" s="14" t="n"/>
    </row>
    <row r="149">
      <c r="A149" s="14" t="n"/>
      <c r="B149" s="14" t="n"/>
      <c r="C149" s="14" t="n"/>
      <c r="D149" s="14" t="n"/>
      <c r="E149" s="14" t="n"/>
      <c r="F149" s="14" t="n"/>
      <c r="G149" s="14" t="n"/>
      <c r="H149" s="14" t="n"/>
      <c r="I149" s="15" t="n"/>
      <c r="J149" s="16">
        <f>IF(OR($I149="",N($H149)&lt;=0),"",$I149/$H149)</f>
        <v/>
      </c>
      <c r="K149" s="15" t="n"/>
      <c r="L149" s="17">
        <f>IF(OR($J149="",N($K149)&lt;=0),"",($K149-$J149)/$K149)</f>
        <v/>
      </c>
      <c r="M149" s="17">
        <f>IF(OR($J149="",N($K149)&lt;=0,N($J149)&lt;=0),"",($K149-$J149)/$J149)</f>
        <v/>
      </c>
      <c r="N149" s="18" t="n"/>
      <c r="O149" s="14" t="n"/>
      <c r="P149" s="14" t="n"/>
    </row>
    <row r="150">
      <c r="A150" s="14" t="n"/>
      <c r="B150" s="14" t="n"/>
      <c r="C150" s="14" t="n"/>
      <c r="D150" s="14" t="n"/>
      <c r="E150" s="14" t="n"/>
      <c r="F150" s="14" t="n"/>
      <c r="G150" s="14" t="n"/>
      <c r="H150" s="14" t="n"/>
      <c r="I150" s="15" t="n"/>
      <c r="J150" s="16">
        <f>IF(OR($I150="",N($H150)&lt;=0),"",$I150/$H150)</f>
        <v/>
      </c>
      <c r="K150" s="15" t="n"/>
      <c r="L150" s="17">
        <f>IF(OR($J150="",N($K150)&lt;=0),"",($K150-$J150)/$K150)</f>
        <v/>
      </c>
      <c r="M150" s="17">
        <f>IF(OR($J150="",N($K150)&lt;=0,N($J150)&lt;=0),"",($K150-$J150)/$J150)</f>
        <v/>
      </c>
      <c r="N150" s="18" t="n"/>
      <c r="O150" s="14" t="n"/>
      <c r="P150" s="14" t="n"/>
    </row>
    <row r="151">
      <c r="A151" s="14" t="n"/>
      <c r="B151" s="14" t="n"/>
      <c r="C151" s="14" t="n"/>
      <c r="D151" s="14" t="n"/>
      <c r="E151" s="14" t="n"/>
      <c r="F151" s="14" t="n"/>
      <c r="G151" s="14" t="n"/>
      <c r="H151" s="14" t="n"/>
      <c r="I151" s="15" t="n"/>
      <c r="J151" s="16">
        <f>IF(OR($I151="",N($H151)&lt;=0),"",$I151/$H151)</f>
        <v/>
      </c>
      <c r="K151" s="15" t="n"/>
      <c r="L151" s="17">
        <f>IF(OR($J151="",N($K151)&lt;=0),"",($K151-$J151)/$K151)</f>
        <v/>
      </c>
      <c r="M151" s="17">
        <f>IF(OR($J151="",N($K151)&lt;=0,N($J151)&lt;=0),"",($K151-$J151)/$J151)</f>
        <v/>
      </c>
      <c r="N151" s="18" t="n"/>
      <c r="O151" s="14" t="n"/>
      <c r="P151" s="14" t="n"/>
    </row>
    <row r="152">
      <c r="A152" s="14" t="n"/>
      <c r="B152" s="14" t="n"/>
      <c r="C152" s="14" t="n"/>
      <c r="D152" s="14" t="n"/>
      <c r="E152" s="14" t="n"/>
      <c r="F152" s="14" t="n"/>
      <c r="G152" s="14" t="n"/>
      <c r="H152" s="14" t="n"/>
      <c r="I152" s="15" t="n"/>
      <c r="J152" s="16">
        <f>IF(OR($I152="",N($H152)&lt;=0),"",$I152/$H152)</f>
        <v/>
      </c>
      <c r="K152" s="15" t="n"/>
      <c r="L152" s="17">
        <f>IF(OR($J152="",N($K152)&lt;=0),"",($K152-$J152)/$K152)</f>
        <v/>
      </c>
      <c r="M152" s="17">
        <f>IF(OR($J152="",N($K152)&lt;=0,N($J152)&lt;=0),"",($K152-$J152)/$J152)</f>
        <v/>
      </c>
      <c r="N152" s="18" t="n"/>
      <c r="O152" s="14" t="n"/>
      <c r="P152" s="14" t="n"/>
    </row>
    <row r="153">
      <c r="A153" s="14" t="n"/>
      <c r="B153" s="14" t="n"/>
      <c r="C153" s="14" t="n"/>
      <c r="D153" s="14" t="n"/>
      <c r="E153" s="14" t="n"/>
      <c r="F153" s="14" t="n"/>
      <c r="G153" s="14" t="n"/>
      <c r="H153" s="14" t="n"/>
      <c r="I153" s="15" t="n"/>
      <c r="J153" s="16">
        <f>IF(OR($I153="",N($H153)&lt;=0),"",$I153/$H153)</f>
        <v/>
      </c>
      <c r="K153" s="15" t="n"/>
      <c r="L153" s="17">
        <f>IF(OR($J153="",N($K153)&lt;=0),"",($K153-$J153)/$K153)</f>
        <v/>
      </c>
      <c r="M153" s="17">
        <f>IF(OR($J153="",N($K153)&lt;=0,N($J153)&lt;=0),"",($K153-$J153)/$J153)</f>
        <v/>
      </c>
      <c r="N153" s="18" t="n"/>
      <c r="O153" s="14" t="n"/>
      <c r="P153" s="14" t="n"/>
    </row>
    <row r="154">
      <c r="A154" s="14" t="n"/>
      <c r="B154" s="14" t="n"/>
      <c r="C154" s="14" t="n"/>
      <c r="D154" s="14" t="n"/>
      <c r="E154" s="14" t="n"/>
      <c r="F154" s="14" t="n"/>
      <c r="G154" s="14" t="n"/>
      <c r="H154" s="14" t="n"/>
      <c r="I154" s="15" t="n"/>
      <c r="J154" s="16">
        <f>IF(OR($I154="",N($H154)&lt;=0),"",$I154/$H154)</f>
        <v/>
      </c>
      <c r="K154" s="15" t="n"/>
      <c r="L154" s="17">
        <f>IF(OR($J154="",N($K154)&lt;=0),"",($K154-$J154)/$K154)</f>
        <v/>
      </c>
      <c r="M154" s="17">
        <f>IF(OR($J154="",N($K154)&lt;=0,N($J154)&lt;=0),"",($K154-$J154)/$J154)</f>
        <v/>
      </c>
      <c r="N154" s="18" t="n"/>
      <c r="O154" s="14" t="n"/>
      <c r="P154" s="14" t="n"/>
    </row>
    <row r="155">
      <c r="A155" s="14" t="n"/>
      <c r="B155" s="14" t="n"/>
      <c r="C155" s="14" t="n"/>
      <c r="D155" s="14" t="n"/>
      <c r="E155" s="14" t="n"/>
      <c r="F155" s="14" t="n"/>
      <c r="G155" s="14" t="n"/>
      <c r="H155" s="14" t="n"/>
      <c r="I155" s="15" t="n"/>
      <c r="J155" s="16">
        <f>IF(OR($I155="",N($H155)&lt;=0),"",$I155/$H155)</f>
        <v/>
      </c>
      <c r="K155" s="15" t="n"/>
      <c r="L155" s="17">
        <f>IF(OR($J155="",N($K155)&lt;=0),"",($K155-$J155)/$K155)</f>
        <v/>
      </c>
      <c r="M155" s="17">
        <f>IF(OR($J155="",N($K155)&lt;=0,N($J155)&lt;=0),"",($K155-$J155)/$J155)</f>
        <v/>
      </c>
      <c r="N155" s="18" t="n"/>
      <c r="O155" s="14" t="n"/>
      <c r="P155" s="14" t="n"/>
    </row>
    <row r="156">
      <c r="A156" s="14" t="n"/>
      <c r="B156" s="14" t="n"/>
      <c r="C156" s="14" t="n"/>
      <c r="D156" s="14" t="n"/>
      <c r="E156" s="14" t="n"/>
      <c r="F156" s="14" t="n"/>
      <c r="G156" s="14" t="n"/>
      <c r="H156" s="14" t="n"/>
      <c r="I156" s="15" t="n"/>
      <c r="J156" s="16">
        <f>IF(OR($I156="",N($H156)&lt;=0),"",$I156/$H156)</f>
        <v/>
      </c>
      <c r="K156" s="15" t="n"/>
      <c r="L156" s="17">
        <f>IF(OR($J156="",N($K156)&lt;=0),"",($K156-$J156)/$K156)</f>
        <v/>
      </c>
      <c r="M156" s="17">
        <f>IF(OR($J156="",N($K156)&lt;=0,N($J156)&lt;=0),"",($K156-$J156)/$J156)</f>
        <v/>
      </c>
      <c r="N156" s="18" t="n"/>
      <c r="O156" s="14" t="n"/>
      <c r="P156" s="14" t="n"/>
    </row>
    <row r="157">
      <c r="A157" s="14" t="n"/>
      <c r="B157" s="14" t="n"/>
      <c r="C157" s="14" t="n"/>
      <c r="D157" s="14" t="n"/>
      <c r="E157" s="14" t="n"/>
      <c r="F157" s="14" t="n"/>
      <c r="G157" s="14" t="n"/>
      <c r="H157" s="14" t="n"/>
      <c r="I157" s="15" t="n"/>
      <c r="J157" s="16">
        <f>IF(OR($I157="",N($H157)&lt;=0),"",$I157/$H157)</f>
        <v/>
      </c>
      <c r="K157" s="15" t="n"/>
      <c r="L157" s="17">
        <f>IF(OR($J157="",N($K157)&lt;=0),"",($K157-$J157)/$K157)</f>
        <v/>
      </c>
      <c r="M157" s="17">
        <f>IF(OR($J157="",N($K157)&lt;=0,N($J157)&lt;=0),"",($K157-$J157)/$J157)</f>
        <v/>
      </c>
      <c r="N157" s="18" t="n"/>
      <c r="O157" s="14" t="n"/>
      <c r="P157" s="14" t="n"/>
    </row>
    <row r="158">
      <c r="A158" s="14" t="n"/>
      <c r="B158" s="14" t="n"/>
      <c r="C158" s="14" t="n"/>
      <c r="D158" s="14" t="n"/>
      <c r="E158" s="14" t="n"/>
      <c r="F158" s="14" t="n"/>
      <c r="G158" s="14" t="n"/>
      <c r="H158" s="14" t="n"/>
      <c r="I158" s="15" t="n"/>
      <c r="J158" s="16">
        <f>IF(OR($I158="",N($H158)&lt;=0),"",$I158/$H158)</f>
        <v/>
      </c>
      <c r="K158" s="15" t="n"/>
      <c r="L158" s="17">
        <f>IF(OR($J158="",N($K158)&lt;=0),"",($K158-$J158)/$K158)</f>
        <v/>
      </c>
      <c r="M158" s="17">
        <f>IF(OR($J158="",N($K158)&lt;=0,N($J158)&lt;=0),"",($K158-$J158)/$J158)</f>
        <v/>
      </c>
      <c r="N158" s="18" t="n"/>
      <c r="O158" s="14" t="n"/>
      <c r="P158" s="14" t="n"/>
    </row>
    <row r="159">
      <c r="A159" s="14" t="n"/>
      <c r="B159" s="14" t="n"/>
      <c r="C159" s="14" t="n"/>
      <c r="D159" s="14" t="n"/>
      <c r="E159" s="14" t="n"/>
      <c r="F159" s="14" t="n"/>
      <c r="G159" s="14" t="n"/>
      <c r="H159" s="14" t="n"/>
      <c r="I159" s="15" t="n"/>
      <c r="J159" s="16">
        <f>IF(OR($I159="",N($H159)&lt;=0),"",$I159/$H159)</f>
        <v/>
      </c>
      <c r="K159" s="15" t="n"/>
      <c r="L159" s="17">
        <f>IF(OR($J159="",N($K159)&lt;=0),"",($K159-$J159)/$K159)</f>
        <v/>
      </c>
      <c r="M159" s="17">
        <f>IF(OR($J159="",N($K159)&lt;=0,N($J159)&lt;=0),"",($K159-$J159)/$J159)</f>
        <v/>
      </c>
      <c r="N159" s="18" t="n"/>
      <c r="O159" s="14" t="n"/>
      <c r="P159" s="14" t="n"/>
    </row>
    <row r="160">
      <c r="A160" s="14" t="n"/>
      <c r="B160" s="14" t="n"/>
      <c r="C160" s="14" t="n"/>
      <c r="D160" s="14" t="n"/>
      <c r="E160" s="14" t="n"/>
      <c r="F160" s="14" t="n"/>
      <c r="G160" s="14" t="n"/>
      <c r="H160" s="14" t="n"/>
      <c r="I160" s="15" t="n"/>
      <c r="J160" s="16">
        <f>IF(OR($I160="",N($H160)&lt;=0),"",$I160/$H160)</f>
        <v/>
      </c>
      <c r="K160" s="15" t="n"/>
      <c r="L160" s="17">
        <f>IF(OR($J160="",N($K160)&lt;=0),"",($K160-$J160)/$K160)</f>
        <v/>
      </c>
      <c r="M160" s="17">
        <f>IF(OR($J160="",N($K160)&lt;=0,N($J160)&lt;=0),"",($K160-$J160)/$J160)</f>
        <v/>
      </c>
      <c r="N160" s="18" t="n"/>
      <c r="O160" s="14" t="n"/>
      <c r="P160" s="14" t="n"/>
    </row>
    <row r="161">
      <c r="A161" s="14" t="n"/>
      <c r="B161" s="14" t="n"/>
      <c r="C161" s="14" t="n"/>
      <c r="D161" s="14" t="n"/>
      <c r="E161" s="14" t="n"/>
      <c r="F161" s="14" t="n"/>
      <c r="G161" s="14" t="n"/>
      <c r="H161" s="14" t="n"/>
      <c r="I161" s="15" t="n"/>
      <c r="J161" s="16">
        <f>IF(OR($I161="",N($H161)&lt;=0),"",$I161/$H161)</f>
        <v/>
      </c>
      <c r="K161" s="15" t="n"/>
      <c r="L161" s="17">
        <f>IF(OR($J161="",N($K161)&lt;=0),"",($K161-$J161)/$K161)</f>
        <v/>
      </c>
      <c r="M161" s="17">
        <f>IF(OR($J161="",N($K161)&lt;=0,N($J161)&lt;=0),"",($K161-$J161)/$J161)</f>
        <v/>
      </c>
      <c r="N161" s="18" t="n"/>
      <c r="O161" s="14" t="n"/>
      <c r="P161" s="14" t="n"/>
    </row>
    <row r="162">
      <c r="A162" s="14" t="n"/>
      <c r="B162" s="14" t="n"/>
      <c r="C162" s="14" t="n"/>
      <c r="D162" s="14" t="n"/>
      <c r="E162" s="14" t="n"/>
      <c r="F162" s="14" t="n"/>
      <c r="G162" s="14" t="n"/>
      <c r="H162" s="14" t="n"/>
      <c r="I162" s="15" t="n"/>
      <c r="J162" s="16">
        <f>IF(OR($I162="",N($H162)&lt;=0),"",$I162/$H162)</f>
        <v/>
      </c>
      <c r="K162" s="15" t="n"/>
      <c r="L162" s="17">
        <f>IF(OR($J162="",N($K162)&lt;=0),"",($K162-$J162)/$K162)</f>
        <v/>
      </c>
      <c r="M162" s="17">
        <f>IF(OR($J162="",N($K162)&lt;=0,N($J162)&lt;=0),"",($K162-$J162)/$J162)</f>
        <v/>
      </c>
      <c r="N162" s="18" t="n"/>
      <c r="O162" s="14" t="n"/>
      <c r="P162" s="14" t="n"/>
    </row>
    <row r="163">
      <c r="A163" s="14" t="n"/>
      <c r="B163" s="14" t="n"/>
      <c r="C163" s="14" t="n"/>
      <c r="D163" s="14" t="n"/>
      <c r="E163" s="14" t="n"/>
      <c r="F163" s="14" t="n"/>
      <c r="G163" s="14" t="n"/>
      <c r="H163" s="14" t="n"/>
      <c r="I163" s="15" t="n"/>
      <c r="J163" s="16">
        <f>IF(OR($I163="",N($H163)&lt;=0),"",$I163/$H163)</f>
        <v/>
      </c>
      <c r="K163" s="15" t="n"/>
      <c r="L163" s="17">
        <f>IF(OR($J163="",N($K163)&lt;=0),"",($K163-$J163)/$K163)</f>
        <v/>
      </c>
      <c r="M163" s="17">
        <f>IF(OR($J163="",N($K163)&lt;=0,N($J163)&lt;=0),"",($K163-$J163)/$J163)</f>
        <v/>
      </c>
      <c r="N163" s="18" t="n"/>
      <c r="O163" s="14" t="n"/>
      <c r="P163" s="14" t="n"/>
    </row>
    <row r="164">
      <c r="A164" s="14" t="n"/>
      <c r="B164" s="14" t="n"/>
      <c r="C164" s="14" t="n"/>
      <c r="D164" s="14" t="n"/>
      <c r="E164" s="14" t="n"/>
      <c r="F164" s="14" t="n"/>
      <c r="G164" s="14" t="n"/>
      <c r="H164" s="14" t="n"/>
      <c r="I164" s="15" t="n"/>
      <c r="J164" s="16">
        <f>IF(OR($I164="",N($H164)&lt;=0),"",$I164/$H164)</f>
        <v/>
      </c>
      <c r="K164" s="15" t="n"/>
      <c r="L164" s="17">
        <f>IF(OR($J164="",N($K164)&lt;=0),"",($K164-$J164)/$K164)</f>
        <v/>
      </c>
      <c r="M164" s="17">
        <f>IF(OR($J164="",N($K164)&lt;=0,N($J164)&lt;=0),"",($K164-$J164)/$J164)</f>
        <v/>
      </c>
      <c r="N164" s="18" t="n"/>
      <c r="O164" s="14" t="n"/>
      <c r="P164" s="14" t="n"/>
    </row>
    <row r="165">
      <c r="A165" s="14" t="n"/>
      <c r="B165" s="14" t="n"/>
      <c r="C165" s="14" t="n"/>
      <c r="D165" s="14" t="n"/>
      <c r="E165" s="14" t="n"/>
      <c r="F165" s="14" t="n"/>
      <c r="G165" s="14" t="n"/>
      <c r="H165" s="14" t="n"/>
      <c r="I165" s="15" t="n"/>
      <c r="J165" s="16">
        <f>IF(OR($I165="",N($H165)&lt;=0),"",$I165/$H165)</f>
        <v/>
      </c>
      <c r="K165" s="15" t="n"/>
      <c r="L165" s="17">
        <f>IF(OR($J165="",N($K165)&lt;=0),"",($K165-$J165)/$K165)</f>
        <v/>
      </c>
      <c r="M165" s="17">
        <f>IF(OR($J165="",N($K165)&lt;=0,N($J165)&lt;=0),"",($K165-$J165)/$J165)</f>
        <v/>
      </c>
      <c r="N165" s="18" t="n"/>
      <c r="O165" s="14" t="n"/>
      <c r="P165" s="14" t="n"/>
    </row>
    <row r="166">
      <c r="A166" s="14" t="n"/>
      <c r="B166" s="14" t="n"/>
      <c r="C166" s="14" t="n"/>
      <c r="D166" s="14" t="n"/>
      <c r="E166" s="14" t="n"/>
      <c r="F166" s="14" t="n"/>
      <c r="G166" s="14" t="n"/>
      <c r="H166" s="14" t="n"/>
      <c r="I166" s="15" t="n"/>
      <c r="J166" s="16">
        <f>IF(OR($I166="",N($H166)&lt;=0),"",$I166/$H166)</f>
        <v/>
      </c>
      <c r="K166" s="15" t="n"/>
      <c r="L166" s="17">
        <f>IF(OR($J166="",N($K166)&lt;=0),"",($K166-$J166)/$K166)</f>
        <v/>
      </c>
      <c r="M166" s="17">
        <f>IF(OR($J166="",N($K166)&lt;=0,N($J166)&lt;=0),"",($K166-$J166)/$J166)</f>
        <v/>
      </c>
      <c r="N166" s="18" t="n"/>
      <c r="O166" s="14" t="n"/>
      <c r="P166" s="14" t="n"/>
    </row>
    <row r="167">
      <c r="A167" s="14" t="n"/>
      <c r="B167" s="14" t="n"/>
      <c r="C167" s="14" t="n"/>
      <c r="D167" s="14" t="n"/>
      <c r="E167" s="14" t="n"/>
      <c r="F167" s="14" t="n"/>
      <c r="G167" s="14" t="n"/>
      <c r="H167" s="14" t="n"/>
      <c r="I167" s="15" t="n"/>
      <c r="J167" s="16">
        <f>IF(OR($I167="",N($H167)&lt;=0),"",$I167/$H167)</f>
        <v/>
      </c>
      <c r="K167" s="15" t="n"/>
      <c r="L167" s="17">
        <f>IF(OR($J167="",N($K167)&lt;=0),"",($K167-$J167)/$K167)</f>
        <v/>
      </c>
      <c r="M167" s="17">
        <f>IF(OR($J167="",N($K167)&lt;=0,N($J167)&lt;=0),"",($K167-$J167)/$J167)</f>
        <v/>
      </c>
      <c r="N167" s="18" t="n"/>
      <c r="O167" s="14" t="n"/>
      <c r="P167" s="14" t="n"/>
    </row>
    <row r="168">
      <c r="A168" s="14" t="n"/>
      <c r="B168" s="14" t="n"/>
      <c r="C168" s="14" t="n"/>
      <c r="D168" s="14" t="n"/>
      <c r="E168" s="14" t="n"/>
      <c r="F168" s="14" t="n"/>
      <c r="G168" s="14" t="n"/>
      <c r="H168" s="14" t="n"/>
      <c r="I168" s="15" t="n"/>
      <c r="J168" s="16">
        <f>IF(OR($I168="",N($H168)&lt;=0),"",$I168/$H168)</f>
        <v/>
      </c>
      <c r="K168" s="15" t="n"/>
      <c r="L168" s="17">
        <f>IF(OR($J168="",N($K168)&lt;=0),"",($K168-$J168)/$K168)</f>
        <v/>
      </c>
      <c r="M168" s="17">
        <f>IF(OR($J168="",N($K168)&lt;=0,N($J168)&lt;=0),"",($K168-$J168)/$J168)</f>
        <v/>
      </c>
      <c r="N168" s="18" t="n"/>
      <c r="O168" s="14" t="n"/>
      <c r="P168" s="14" t="n"/>
    </row>
    <row r="169">
      <c r="A169" s="14" t="n"/>
      <c r="B169" s="14" t="n"/>
      <c r="C169" s="14" t="n"/>
      <c r="D169" s="14" t="n"/>
      <c r="E169" s="14" t="n"/>
      <c r="F169" s="14" t="n"/>
      <c r="G169" s="14" t="n"/>
      <c r="H169" s="14" t="n"/>
      <c r="I169" s="15" t="n"/>
      <c r="J169" s="16">
        <f>IF(OR($I169="",N($H169)&lt;=0),"",$I169/$H169)</f>
        <v/>
      </c>
      <c r="K169" s="15" t="n"/>
      <c r="L169" s="17">
        <f>IF(OR($J169="",N($K169)&lt;=0),"",($K169-$J169)/$K169)</f>
        <v/>
      </c>
      <c r="M169" s="17">
        <f>IF(OR($J169="",N($K169)&lt;=0,N($J169)&lt;=0),"",($K169-$J169)/$J169)</f>
        <v/>
      </c>
      <c r="N169" s="18" t="n"/>
      <c r="O169" s="14" t="n"/>
      <c r="P169" s="14" t="n"/>
    </row>
    <row r="170">
      <c r="A170" s="14" t="n"/>
      <c r="B170" s="14" t="n"/>
      <c r="C170" s="14" t="n"/>
      <c r="D170" s="14" t="n"/>
      <c r="E170" s="14" t="n"/>
      <c r="F170" s="14" t="n"/>
      <c r="G170" s="14" t="n"/>
      <c r="H170" s="14" t="n"/>
      <c r="I170" s="15" t="n"/>
      <c r="J170" s="16">
        <f>IF(OR($I170="",N($H170)&lt;=0),"",$I170/$H170)</f>
        <v/>
      </c>
      <c r="K170" s="15" t="n"/>
      <c r="L170" s="17">
        <f>IF(OR($J170="",N($K170)&lt;=0),"",($K170-$J170)/$K170)</f>
        <v/>
      </c>
      <c r="M170" s="17">
        <f>IF(OR($J170="",N($K170)&lt;=0,N($J170)&lt;=0),"",($K170-$J170)/$J170)</f>
        <v/>
      </c>
      <c r="N170" s="18" t="n"/>
      <c r="O170" s="14" t="n"/>
      <c r="P170" s="14" t="n"/>
    </row>
    <row r="171">
      <c r="A171" s="14" t="n"/>
      <c r="B171" s="14" t="n"/>
      <c r="C171" s="14" t="n"/>
      <c r="D171" s="14" t="n"/>
      <c r="E171" s="14" t="n"/>
      <c r="F171" s="14" t="n"/>
      <c r="G171" s="14" t="n"/>
      <c r="H171" s="14" t="n"/>
      <c r="I171" s="15" t="n"/>
      <c r="J171" s="16">
        <f>IF(OR($I171="",N($H171)&lt;=0),"",$I171/$H171)</f>
        <v/>
      </c>
      <c r="K171" s="15" t="n"/>
      <c r="L171" s="17">
        <f>IF(OR($J171="",N($K171)&lt;=0),"",($K171-$J171)/$K171)</f>
        <v/>
      </c>
      <c r="M171" s="17">
        <f>IF(OR($J171="",N($K171)&lt;=0,N($J171)&lt;=0),"",($K171-$J171)/$J171)</f>
        <v/>
      </c>
      <c r="N171" s="18" t="n"/>
      <c r="O171" s="14" t="n"/>
      <c r="P171" s="14" t="n"/>
    </row>
    <row r="172">
      <c r="A172" s="14" t="n"/>
      <c r="B172" s="14" t="n"/>
      <c r="C172" s="14" t="n"/>
      <c r="D172" s="14" t="n"/>
      <c r="E172" s="14" t="n"/>
      <c r="F172" s="14" t="n"/>
      <c r="G172" s="14" t="n"/>
      <c r="H172" s="14" t="n"/>
      <c r="I172" s="15" t="n"/>
      <c r="J172" s="16">
        <f>IF(OR($I172="",N($H172)&lt;=0),"",$I172/$H172)</f>
        <v/>
      </c>
      <c r="K172" s="15" t="n"/>
      <c r="L172" s="17">
        <f>IF(OR($J172="",N($K172)&lt;=0),"",($K172-$J172)/$K172)</f>
        <v/>
      </c>
      <c r="M172" s="17">
        <f>IF(OR($J172="",N($K172)&lt;=0,N($J172)&lt;=0),"",($K172-$J172)/$J172)</f>
        <v/>
      </c>
      <c r="N172" s="18" t="n"/>
      <c r="O172" s="14" t="n"/>
      <c r="P172" s="14" t="n"/>
    </row>
    <row r="173">
      <c r="A173" s="14" t="n"/>
      <c r="B173" s="14" t="n"/>
      <c r="C173" s="14" t="n"/>
      <c r="D173" s="14" t="n"/>
      <c r="E173" s="14" t="n"/>
      <c r="F173" s="14" t="n"/>
      <c r="G173" s="14" t="n"/>
      <c r="H173" s="14" t="n"/>
      <c r="I173" s="15" t="n"/>
      <c r="J173" s="16">
        <f>IF(OR($I173="",N($H173)&lt;=0),"",$I173/$H173)</f>
        <v/>
      </c>
      <c r="K173" s="15" t="n"/>
      <c r="L173" s="17">
        <f>IF(OR($J173="",N($K173)&lt;=0),"",($K173-$J173)/$K173)</f>
        <v/>
      </c>
      <c r="M173" s="17">
        <f>IF(OR($J173="",N($K173)&lt;=0,N($J173)&lt;=0),"",($K173-$J173)/$J173)</f>
        <v/>
      </c>
      <c r="N173" s="18" t="n"/>
      <c r="O173" s="14" t="n"/>
      <c r="P173" s="14" t="n"/>
    </row>
    <row r="174">
      <c r="A174" s="14" t="n"/>
      <c r="B174" s="14" t="n"/>
      <c r="C174" s="14" t="n"/>
      <c r="D174" s="14" t="n"/>
      <c r="E174" s="14" t="n"/>
      <c r="F174" s="14" t="n"/>
      <c r="G174" s="14" t="n"/>
      <c r="H174" s="14" t="n"/>
      <c r="I174" s="15" t="n"/>
      <c r="J174" s="16">
        <f>IF(OR($I174="",N($H174)&lt;=0),"",$I174/$H174)</f>
        <v/>
      </c>
      <c r="K174" s="15" t="n"/>
      <c r="L174" s="17">
        <f>IF(OR($J174="",N($K174)&lt;=0),"",($K174-$J174)/$K174)</f>
        <v/>
      </c>
      <c r="M174" s="17">
        <f>IF(OR($J174="",N($K174)&lt;=0,N($J174)&lt;=0),"",($K174-$J174)/$J174)</f>
        <v/>
      </c>
      <c r="N174" s="18" t="n"/>
      <c r="O174" s="14" t="n"/>
      <c r="P174" s="14" t="n"/>
    </row>
    <row r="175">
      <c r="A175" s="14" t="n"/>
      <c r="B175" s="14" t="n"/>
      <c r="C175" s="14" t="n"/>
      <c r="D175" s="14" t="n"/>
      <c r="E175" s="14" t="n"/>
      <c r="F175" s="14" t="n"/>
      <c r="G175" s="14" t="n"/>
      <c r="H175" s="14" t="n"/>
      <c r="I175" s="15" t="n"/>
      <c r="J175" s="16">
        <f>IF(OR($I175="",N($H175)&lt;=0),"",$I175/$H175)</f>
        <v/>
      </c>
      <c r="K175" s="15" t="n"/>
      <c r="L175" s="17">
        <f>IF(OR($J175="",N($K175)&lt;=0),"",($K175-$J175)/$K175)</f>
        <v/>
      </c>
      <c r="M175" s="17">
        <f>IF(OR($J175="",N($K175)&lt;=0,N($J175)&lt;=0),"",($K175-$J175)/$J175)</f>
        <v/>
      </c>
      <c r="N175" s="18" t="n"/>
      <c r="O175" s="14" t="n"/>
      <c r="P175" s="14" t="n"/>
    </row>
    <row r="176">
      <c r="A176" s="14" t="n"/>
      <c r="B176" s="14" t="n"/>
      <c r="C176" s="14" t="n"/>
      <c r="D176" s="14" t="n"/>
      <c r="E176" s="14" t="n"/>
      <c r="F176" s="14" t="n"/>
      <c r="G176" s="14" t="n"/>
      <c r="H176" s="14" t="n"/>
      <c r="I176" s="15" t="n"/>
      <c r="J176" s="16">
        <f>IF(OR($I176="",N($H176)&lt;=0),"",$I176/$H176)</f>
        <v/>
      </c>
      <c r="K176" s="15" t="n"/>
      <c r="L176" s="17">
        <f>IF(OR($J176="",N($K176)&lt;=0),"",($K176-$J176)/$K176)</f>
        <v/>
      </c>
      <c r="M176" s="17">
        <f>IF(OR($J176="",N($K176)&lt;=0,N($J176)&lt;=0),"",($K176-$J176)/$J176)</f>
        <v/>
      </c>
      <c r="N176" s="18" t="n"/>
      <c r="O176" s="14" t="n"/>
      <c r="P176" s="14" t="n"/>
    </row>
    <row r="177">
      <c r="A177" s="14" t="n"/>
      <c r="B177" s="14" t="n"/>
      <c r="C177" s="14" t="n"/>
      <c r="D177" s="14" t="n"/>
      <c r="E177" s="14" t="n"/>
      <c r="F177" s="14" t="n"/>
      <c r="G177" s="14" t="n"/>
      <c r="H177" s="14" t="n"/>
      <c r="I177" s="15" t="n"/>
      <c r="J177" s="16">
        <f>IF(OR($I177="",N($H177)&lt;=0),"",$I177/$H177)</f>
        <v/>
      </c>
      <c r="K177" s="15" t="n"/>
      <c r="L177" s="17">
        <f>IF(OR($J177="",N($K177)&lt;=0),"",($K177-$J177)/$K177)</f>
        <v/>
      </c>
      <c r="M177" s="17">
        <f>IF(OR($J177="",N($K177)&lt;=0,N($J177)&lt;=0),"",($K177-$J177)/$J177)</f>
        <v/>
      </c>
      <c r="N177" s="18" t="n"/>
      <c r="O177" s="14" t="n"/>
      <c r="P177" s="14" t="n"/>
    </row>
    <row r="178">
      <c r="A178" s="14" t="n"/>
      <c r="B178" s="14" t="n"/>
      <c r="C178" s="14" t="n"/>
      <c r="D178" s="14" t="n"/>
      <c r="E178" s="14" t="n"/>
      <c r="F178" s="14" t="n"/>
      <c r="G178" s="14" t="n"/>
      <c r="H178" s="14" t="n"/>
      <c r="I178" s="15" t="n"/>
      <c r="J178" s="16">
        <f>IF(OR($I178="",N($H178)&lt;=0),"",$I178/$H178)</f>
        <v/>
      </c>
      <c r="K178" s="15" t="n"/>
      <c r="L178" s="17">
        <f>IF(OR($J178="",N($K178)&lt;=0),"",($K178-$J178)/$K178)</f>
        <v/>
      </c>
      <c r="M178" s="17">
        <f>IF(OR($J178="",N($K178)&lt;=0,N($J178)&lt;=0),"",($K178-$J178)/$J178)</f>
        <v/>
      </c>
      <c r="N178" s="18" t="n"/>
      <c r="O178" s="14" t="n"/>
      <c r="P178" s="14" t="n"/>
    </row>
    <row r="179">
      <c r="A179" s="14" t="n"/>
      <c r="B179" s="14" t="n"/>
      <c r="C179" s="14" t="n"/>
      <c r="D179" s="14" t="n"/>
      <c r="E179" s="14" t="n"/>
      <c r="F179" s="14" t="n"/>
      <c r="G179" s="14" t="n"/>
      <c r="H179" s="14" t="n"/>
      <c r="I179" s="15" t="n"/>
      <c r="J179" s="16">
        <f>IF(OR($I179="",N($H179)&lt;=0),"",$I179/$H179)</f>
        <v/>
      </c>
      <c r="K179" s="15" t="n"/>
      <c r="L179" s="17">
        <f>IF(OR($J179="",N($K179)&lt;=0),"",($K179-$J179)/$K179)</f>
        <v/>
      </c>
      <c r="M179" s="17">
        <f>IF(OR($J179="",N($K179)&lt;=0,N($J179)&lt;=0),"",($K179-$J179)/$J179)</f>
        <v/>
      </c>
      <c r="N179" s="18" t="n"/>
      <c r="O179" s="14" t="n"/>
      <c r="P179" s="14" t="n"/>
    </row>
    <row r="180">
      <c r="A180" s="14" t="n"/>
      <c r="B180" s="14" t="n"/>
      <c r="C180" s="14" t="n"/>
      <c r="D180" s="14" t="n"/>
      <c r="E180" s="14" t="n"/>
      <c r="F180" s="14" t="n"/>
      <c r="G180" s="14" t="n"/>
      <c r="H180" s="14" t="n"/>
      <c r="I180" s="15" t="n"/>
      <c r="J180" s="16">
        <f>IF(OR($I180="",N($H180)&lt;=0),"",$I180/$H180)</f>
        <v/>
      </c>
      <c r="K180" s="15" t="n"/>
      <c r="L180" s="17">
        <f>IF(OR($J180="",N($K180)&lt;=0),"",($K180-$J180)/$K180)</f>
        <v/>
      </c>
      <c r="M180" s="17">
        <f>IF(OR($J180="",N($K180)&lt;=0,N($J180)&lt;=0),"",($K180-$J180)/$J180)</f>
        <v/>
      </c>
      <c r="N180" s="18" t="n"/>
      <c r="O180" s="14" t="n"/>
      <c r="P180" s="14" t="n"/>
    </row>
    <row r="181">
      <c r="A181" s="14" t="n"/>
      <c r="B181" s="14" t="n"/>
      <c r="C181" s="14" t="n"/>
      <c r="D181" s="14" t="n"/>
      <c r="E181" s="14" t="n"/>
      <c r="F181" s="14" t="n"/>
      <c r="G181" s="14" t="n"/>
      <c r="H181" s="14" t="n"/>
      <c r="I181" s="15" t="n"/>
      <c r="J181" s="16">
        <f>IF(OR($I181="",N($H181)&lt;=0),"",$I181/$H181)</f>
        <v/>
      </c>
      <c r="K181" s="15" t="n"/>
      <c r="L181" s="17">
        <f>IF(OR($J181="",N($K181)&lt;=0),"",($K181-$J181)/$K181)</f>
        <v/>
      </c>
      <c r="M181" s="17">
        <f>IF(OR($J181="",N($K181)&lt;=0,N($J181)&lt;=0),"",($K181-$J181)/$J181)</f>
        <v/>
      </c>
      <c r="N181" s="18" t="n"/>
      <c r="O181" s="14" t="n"/>
      <c r="P181" s="14" t="n"/>
    </row>
    <row r="182">
      <c r="A182" s="14" t="n"/>
      <c r="B182" s="14" t="n"/>
      <c r="C182" s="14" t="n"/>
      <c r="D182" s="14" t="n"/>
      <c r="E182" s="14" t="n"/>
      <c r="F182" s="14" t="n"/>
      <c r="G182" s="14" t="n"/>
      <c r="H182" s="14" t="n"/>
      <c r="I182" s="15" t="n"/>
      <c r="J182" s="16">
        <f>IF(OR($I182="",N($H182)&lt;=0),"",$I182/$H182)</f>
        <v/>
      </c>
      <c r="K182" s="15" t="n"/>
      <c r="L182" s="17">
        <f>IF(OR($J182="",N($K182)&lt;=0),"",($K182-$J182)/$K182)</f>
        <v/>
      </c>
      <c r="M182" s="17">
        <f>IF(OR($J182="",N($K182)&lt;=0,N($J182)&lt;=0),"",($K182-$J182)/$J182)</f>
        <v/>
      </c>
      <c r="N182" s="18" t="n"/>
      <c r="O182" s="14" t="n"/>
      <c r="P182" s="14" t="n"/>
    </row>
    <row r="183">
      <c r="A183" s="14" t="n"/>
      <c r="B183" s="14" t="n"/>
      <c r="C183" s="14" t="n"/>
      <c r="D183" s="14" t="n"/>
      <c r="E183" s="14" t="n"/>
      <c r="F183" s="14" t="n"/>
      <c r="G183" s="14" t="n"/>
      <c r="H183" s="14" t="n"/>
      <c r="I183" s="15" t="n"/>
      <c r="J183" s="16">
        <f>IF(OR($I183="",N($H183)&lt;=0),"",$I183/$H183)</f>
        <v/>
      </c>
      <c r="K183" s="15" t="n"/>
      <c r="L183" s="17">
        <f>IF(OR($J183="",N($K183)&lt;=0),"",($K183-$J183)/$K183)</f>
        <v/>
      </c>
      <c r="M183" s="17">
        <f>IF(OR($J183="",N($K183)&lt;=0,N($J183)&lt;=0),"",($K183-$J183)/$J183)</f>
        <v/>
      </c>
      <c r="N183" s="18" t="n"/>
      <c r="O183" s="14" t="n"/>
      <c r="P183" s="14" t="n"/>
    </row>
    <row r="184">
      <c r="A184" s="14" t="n"/>
      <c r="B184" s="14" t="n"/>
      <c r="C184" s="14" t="n"/>
      <c r="D184" s="14" t="n"/>
      <c r="E184" s="14" t="n"/>
      <c r="F184" s="14" t="n"/>
      <c r="G184" s="14" t="n"/>
      <c r="H184" s="14" t="n"/>
      <c r="I184" s="15" t="n"/>
      <c r="J184" s="16">
        <f>IF(OR($I184="",N($H184)&lt;=0),"",$I184/$H184)</f>
        <v/>
      </c>
      <c r="K184" s="15" t="n"/>
      <c r="L184" s="17">
        <f>IF(OR($J184="",N($K184)&lt;=0),"",($K184-$J184)/$K184)</f>
        <v/>
      </c>
      <c r="M184" s="17">
        <f>IF(OR($J184="",N($K184)&lt;=0,N($J184)&lt;=0),"",($K184-$J184)/$J184)</f>
        <v/>
      </c>
      <c r="N184" s="18" t="n"/>
      <c r="O184" s="14" t="n"/>
      <c r="P184" s="14" t="n"/>
    </row>
    <row r="185">
      <c r="A185" s="14" t="n"/>
      <c r="B185" s="14" t="n"/>
      <c r="C185" s="14" t="n"/>
      <c r="D185" s="14" t="n"/>
      <c r="E185" s="14" t="n"/>
      <c r="F185" s="14" t="n"/>
      <c r="G185" s="14" t="n"/>
      <c r="H185" s="14" t="n"/>
      <c r="I185" s="15" t="n"/>
      <c r="J185" s="16">
        <f>IF(OR($I185="",N($H185)&lt;=0),"",$I185/$H185)</f>
        <v/>
      </c>
      <c r="K185" s="15" t="n"/>
      <c r="L185" s="17">
        <f>IF(OR($J185="",N($K185)&lt;=0),"",($K185-$J185)/$K185)</f>
        <v/>
      </c>
      <c r="M185" s="17">
        <f>IF(OR($J185="",N($K185)&lt;=0,N($J185)&lt;=0),"",($K185-$J185)/$J185)</f>
        <v/>
      </c>
      <c r="N185" s="18" t="n"/>
      <c r="O185" s="14" t="n"/>
      <c r="P185" s="14" t="n"/>
    </row>
    <row r="186">
      <c r="A186" s="14" t="n"/>
      <c r="B186" s="14" t="n"/>
      <c r="C186" s="14" t="n"/>
      <c r="D186" s="14" t="n"/>
      <c r="E186" s="14" t="n"/>
      <c r="F186" s="14" t="n"/>
      <c r="G186" s="14" t="n"/>
      <c r="H186" s="14" t="n"/>
      <c r="I186" s="15" t="n"/>
      <c r="J186" s="16">
        <f>IF(OR($I186="",N($H186)&lt;=0),"",$I186/$H186)</f>
        <v/>
      </c>
      <c r="K186" s="15" t="n"/>
      <c r="L186" s="17">
        <f>IF(OR($J186="",N($K186)&lt;=0),"",($K186-$J186)/$K186)</f>
        <v/>
      </c>
      <c r="M186" s="17">
        <f>IF(OR($J186="",N($K186)&lt;=0,N($J186)&lt;=0),"",($K186-$J186)/$J186)</f>
        <v/>
      </c>
      <c r="N186" s="18" t="n"/>
      <c r="O186" s="14" t="n"/>
      <c r="P186" s="14" t="n"/>
    </row>
    <row r="187">
      <c r="A187" s="14" t="n"/>
      <c r="B187" s="14" t="n"/>
      <c r="C187" s="14" t="n"/>
      <c r="D187" s="14" t="n"/>
      <c r="E187" s="14" t="n"/>
      <c r="F187" s="14" t="n"/>
      <c r="G187" s="14" t="n"/>
      <c r="H187" s="14" t="n"/>
      <c r="I187" s="15" t="n"/>
      <c r="J187" s="16">
        <f>IF(OR($I187="",N($H187)&lt;=0),"",$I187/$H187)</f>
        <v/>
      </c>
      <c r="K187" s="15" t="n"/>
      <c r="L187" s="17">
        <f>IF(OR($J187="",N($K187)&lt;=0),"",($K187-$J187)/$K187)</f>
        <v/>
      </c>
      <c r="M187" s="17">
        <f>IF(OR($J187="",N($K187)&lt;=0,N($J187)&lt;=0),"",($K187-$J187)/$J187)</f>
        <v/>
      </c>
      <c r="N187" s="18" t="n"/>
      <c r="O187" s="14" t="n"/>
      <c r="P187" s="14" t="n"/>
    </row>
    <row r="188">
      <c r="A188" s="14" t="n"/>
      <c r="B188" s="14" t="n"/>
      <c r="C188" s="14" t="n"/>
      <c r="D188" s="14" t="n"/>
      <c r="E188" s="14" t="n"/>
      <c r="F188" s="14" t="n"/>
      <c r="G188" s="14" t="n"/>
      <c r="H188" s="14" t="n"/>
      <c r="I188" s="15" t="n"/>
      <c r="J188" s="16">
        <f>IF(OR($I188="",N($H188)&lt;=0),"",$I188/$H188)</f>
        <v/>
      </c>
      <c r="K188" s="15" t="n"/>
      <c r="L188" s="17">
        <f>IF(OR($J188="",N($K188)&lt;=0),"",($K188-$J188)/$K188)</f>
        <v/>
      </c>
      <c r="M188" s="17">
        <f>IF(OR($J188="",N($K188)&lt;=0,N($J188)&lt;=0),"",($K188-$J188)/$J188)</f>
        <v/>
      </c>
      <c r="N188" s="18" t="n"/>
      <c r="O188" s="14" t="n"/>
      <c r="P188" s="14" t="n"/>
    </row>
    <row r="189">
      <c r="A189" s="14" t="n"/>
      <c r="B189" s="14" t="n"/>
      <c r="C189" s="14" t="n"/>
      <c r="D189" s="14" t="n"/>
      <c r="E189" s="14" t="n"/>
      <c r="F189" s="14" t="n"/>
      <c r="G189" s="14" t="n"/>
      <c r="H189" s="14" t="n"/>
      <c r="I189" s="15" t="n"/>
      <c r="J189" s="16">
        <f>IF(OR($I189="",N($H189)&lt;=0),"",$I189/$H189)</f>
        <v/>
      </c>
      <c r="K189" s="15" t="n"/>
      <c r="L189" s="17">
        <f>IF(OR($J189="",N($K189)&lt;=0),"",($K189-$J189)/$K189)</f>
        <v/>
      </c>
      <c r="M189" s="17">
        <f>IF(OR($J189="",N($K189)&lt;=0,N($J189)&lt;=0),"",($K189-$J189)/$J189)</f>
        <v/>
      </c>
      <c r="N189" s="18" t="n"/>
      <c r="O189" s="14" t="n"/>
      <c r="P189" s="14" t="n"/>
    </row>
    <row r="190">
      <c r="A190" s="14" t="n"/>
      <c r="B190" s="14" t="n"/>
      <c r="C190" s="14" t="n"/>
      <c r="D190" s="14" t="n"/>
      <c r="E190" s="14" t="n"/>
      <c r="F190" s="14" t="n"/>
      <c r="G190" s="14" t="n"/>
      <c r="H190" s="14" t="n"/>
      <c r="I190" s="15" t="n"/>
      <c r="J190" s="16">
        <f>IF(OR($I190="",N($H190)&lt;=0),"",$I190/$H190)</f>
        <v/>
      </c>
      <c r="K190" s="15" t="n"/>
      <c r="L190" s="17">
        <f>IF(OR($J190="",N($K190)&lt;=0),"",($K190-$J190)/$K190)</f>
        <v/>
      </c>
      <c r="M190" s="17">
        <f>IF(OR($J190="",N($K190)&lt;=0,N($J190)&lt;=0),"",($K190-$J190)/$J190)</f>
        <v/>
      </c>
      <c r="N190" s="18" t="n"/>
      <c r="O190" s="14" t="n"/>
      <c r="P190" s="14" t="n"/>
    </row>
    <row r="191">
      <c r="A191" s="14" t="n"/>
      <c r="B191" s="14" t="n"/>
      <c r="C191" s="14" t="n"/>
      <c r="D191" s="14" t="n"/>
      <c r="E191" s="14" t="n"/>
      <c r="F191" s="14" t="n"/>
      <c r="G191" s="14" t="n"/>
      <c r="H191" s="14" t="n"/>
      <c r="I191" s="15" t="n"/>
      <c r="J191" s="16">
        <f>IF(OR($I191="",N($H191)&lt;=0),"",$I191/$H191)</f>
        <v/>
      </c>
      <c r="K191" s="15" t="n"/>
      <c r="L191" s="17">
        <f>IF(OR($J191="",N($K191)&lt;=0),"",($K191-$J191)/$K191)</f>
        <v/>
      </c>
      <c r="M191" s="17">
        <f>IF(OR($J191="",N($K191)&lt;=0,N($J191)&lt;=0),"",($K191-$J191)/$J191)</f>
        <v/>
      </c>
      <c r="N191" s="18" t="n"/>
      <c r="O191" s="14" t="n"/>
      <c r="P191" s="14" t="n"/>
    </row>
    <row r="192">
      <c r="A192" s="14" t="n"/>
      <c r="B192" s="14" t="n"/>
      <c r="C192" s="14" t="n"/>
      <c r="D192" s="14" t="n"/>
      <c r="E192" s="14" t="n"/>
      <c r="F192" s="14" t="n"/>
      <c r="G192" s="14" t="n"/>
      <c r="H192" s="14" t="n"/>
      <c r="I192" s="15" t="n"/>
      <c r="J192" s="16">
        <f>IF(OR($I192="",N($H192)&lt;=0),"",$I192/$H192)</f>
        <v/>
      </c>
      <c r="K192" s="15" t="n"/>
      <c r="L192" s="17">
        <f>IF(OR($J192="",N($K192)&lt;=0),"",($K192-$J192)/$K192)</f>
        <v/>
      </c>
      <c r="M192" s="17">
        <f>IF(OR($J192="",N($K192)&lt;=0,N($J192)&lt;=0),"",($K192-$J192)/$J192)</f>
        <v/>
      </c>
      <c r="N192" s="18" t="n"/>
      <c r="O192" s="14" t="n"/>
      <c r="P192" s="14" t="n"/>
    </row>
    <row r="193">
      <c r="A193" s="14" t="n"/>
      <c r="B193" s="14" t="n"/>
      <c r="C193" s="14" t="n"/>
      <c r="D193" s="14" t="n"/>
      <c r="E193" s="14" t="n"/>
      <c r="F193" s="14" t="n"/>
      <c r="G193" s="14" t="n"/>
      <c r="H193" s="14" t="n"/>
      <c r="I193" s="15" t="n"/>
      <c r="J193" s="16">
        <f>IF(OR($I193="",N($H193)&lt;=0),"",$I193/$H193)</f>
        <v/>
      </c>
      <c r="K193" s="15" t="n"/>
      <c r="L193" s="17">
        <f>IF(OR($J193="",N($K193)&lt;=0),"",($K193-$J193)/$K193)</f>
        <v/>
      </c>
      <c r="M193" s="17">
        <f>IF(OR($J193="",N($K193)&lt;=0,N($J193)&lt;=0),"",($K193-$J193)/$J193)</f>
        <v/>
      </c>
      <c r="N193" s="18" t="n"/>
      <c r="O193" s="14" t="n"/>
      <c r="P193" s="14" t="n"/>
    </row>
    <row r="194">
      <c r="A194" s="14" t="n"/>
      <c r="B194" s="14" t="n"/>
      <c r="C194" s="14" t="n"/>
      <c r="D194" s="14" t="n"/>
      <c r="E194" s="14" t="n"/>
      <c r="F194" s="14" t="n"/>
      <c r="G194" s="14" t="n"/>
      <c r="H194" s="14" t="n"/>
      <c r="I194" s="15" t="n"/>
      <c r="J194" s="16">
        <f>IF(OR($I194="",N($H194)&lt;=0),"",$I194/$H194)</f>
        <v/>
      </c>
      <c r="K194" s="15" t="n"/>
      <c r="L194" s="17">
        <f>IF(OR($J194="",N($K194)&lt;=0),"",($K194-$J194)/$K194)</f>
        <v/>
      </c>
      <c r="M194" s="17">
        <f>IF(OR($J194="",N($K194)&lt;=0,N($J194)&lt;=0),"",($K194-$J194)/$J194)</f>
        <v/>
      </c>
      <c r="N194" s="18" t="n"/>
      <c r="O194" s="14" t="n"/>
      <c r="P194" s="14" t="n"/>
    </row>
    <row r="195">
      <c r="A195" s="14" t="n"/>
      <c r="B195" s="14" t="n"/>
      <c r="C195" s="14" t="n"/>
      <c r="D195" s="14" t="n"/>
      <c r="E195" s="14" t="n"/>
      <c r="F195" s="14" t="n"/>
      <c r="G195" s="14" t="n"/>
      <c r="H195" s="14" t="n"/>
      <c r="I195" s="15" t="n"/>
      <c r="J195" s="16">
        <f>IF(OR($I195="",N($H195)&lt;=0),"",$I195/$H195)</f>
        <v/>
      </c>
      <c r="K195" s="15" t="n"/>
      <c r="L195" s="17">
        <f>IF(OR($J195="",N($K195)&lt;=0),"",($K195-$J195)/$K195)</f>
        <v/>
      </c>
      <c r="M195" s="17">
        <f>IF(OR($J195="",N($K195)&lt;=0,N($J195)&lt;=0),"",($K195-$J195)/$J195)</f>
        <v/>
      </c>
      <c r="N195" s="18" t="n"/>
      <c r="O195" s="14" t="n"/>
      <c r="P195" s="14" t="n"/>
    </row>
    <row r="196">
      <c r="A196" s="14" t="n"/>
      <c r="B196" s="14" t="n"/>
      <c r="C196" s="14" t="n"/>
      <c r="D196" s="14" t="n"/>
      <c r="E196" s="14" t="n"/>
      <c r="F196" s="14" t="n"/>
      <c r="G196" s="14" t="n"/>
      <c r="H196" s="14" t="n"/>
      <c r="I196" s="15" t="n"/>
      <c r="J196" s="16">
        <f>IF(OR($I196="",N($H196)&lt;=0),"",$I196/$H196)</f>
        <v/>
      </c>
      <c r="K196" s="15" t="n"/>
      <c r="L196" s="17">
        <f>IF(OR($J196="",N($K196)&lt;=0),"",($K196-$J196)/$K196)</f>
        <v/>
      </c>
      <c r="M196" s="17">
        <f>IF(OR($J196="",N($K196)&lt;=0,N($J196)&lt;=0),"",($K196-$J196)/$J196)</f>
        <v/>
      </c>
      <c r="N196" s="18" t="n"/>
      <c r="O196" s="14" t="n"/>
      <c r="P196" s="14" t="n"/>
    </row>
    <row r="197">
      <c r="A197" s="14" t="n"/>
      <c r="B197" s="14" t="n"/>
      <c r="C197" s="14" t="n"/>
      <c r="D197" s="14" t="n"/>
      <c r="E197" s="14" t="n"/>
      <c r="F197" s="14" t="n"/>
      <c r="G197" s="14" t="n"/>
      <c r="H197" s="14" t="n"/>
      <c r="I197" s="15" t="n"/>
      <c r="J197" s="16">
        <f>IF(OR($I197="",N($H197)&lt;=0),"",$I197/$H197)</f>
        <v/>
      </c>
      <c r="K197" s="15" t="n"/>
      <c r="L197" s="17">
        <f>IF(OR($J197="",N($K197)&lt;=0),"",($K197-$J197)/$K197)</f>
        <v/>
      </c>
      <c r="M197" s="17">
        <f>IF(OR($J197="",N($K197)&lt;=0,N($J197)&lt;=0),"",($K197-$J197)/$J197)</f>
        <v/>
      </c>
      <c r="N197" s="18" t="n"/>
      <c r="O197" s="14" t="n"/>
      <c r="P197" s="14" t="n"/>
    </row>
    <row r="198">
      <c r="A198" s="14" t="n"/>
      <c r="B198" s="14" t="n"/>
      <c r="C198" s="14" t="n"/>
      <c r="D198" s="14" t="n"/>
      <c r="E198" s="14" t="n"/>
      <c r="F198" s="14" t="n"/>
      <c r="G198" s="14" t="n"/>
      <c r="H198" s="14" t="n"/>
      <c r="I198" s="15" t="n"/>
      <c r="J198" s="16">
        <f>IF(OR($I198="",N($H198)&lt;=0),"",$I198/$H198)</f>
        <v/>
      </c>
      <c r="K198" s="15" t="n"/>
      <c r="L198" s="17">
        <f>IF(OR($J198="",N($K198)&lt;=0),"",($K198-$J198)/$K198)</f>
        <v/>
      </c>
      <c r="M198" s="17">
        <f>IF(OR($J198="",N($K198)&lt;=0,N($J198)&lt;=0),"",($K198-$J198)/$J198)</f>
        <v/>
      </c>
      <c r="N198" s="18" t="n"/>
      <c r="O198" s="14" t="n"/>
      <c r="P198" s="14" t="n"/>
    </row>
    <row r="199">
      <c r="A199" s="14" t="n"/>
      <c r="B199" s="14" t="n"/>
      <c r="C199" s="14" t="n"/>
      <c r="D199" s="14" t="n"/>
      <c r="E199" s="14" t="n"/>
      <c r="F199" s="14" t="n"/>
      <c r="G199" s="14" t="n"/>
      <c r="H199" s="14" t="n"/>
      <c r="I199" s="15" t="n"/>
      <c r="J199" s="16">
        <f>IF(OR($I199="",N($H199)&lt;=0),"",$I199/$H199)</f>
        <v/>
      </c>
      <c r="K199" s="15" t="n"/>
      <c r="L199" s="17">
        <f>IF(OR($J199="",N($K199)&lt;=0),"",($K199-$J199)/$K199)</f>
        <v/>
      </c>
      <c r="M199" s="17">
        <f>IF(OR($J199="",N($K199)&lt;=0,N($J199)&lt;=0),"",($K199-$J199)/$J199)</f>
        <v/>
      </c>
      <c r="N199" s="18" t="n"/>
      <c r="O199" s="14" t="n"/>
      <c r="P199" s="14" t="n"/>
    </row>
    <row r="200">
      <c r="A200" s="14" t="n"/>
      <c r="B200" s="14" t="n"/>
      <c r="C200" s="14" t="n"/>
      <c r="D200" s="14" t="n"/>
      <c r="E200" s="14" t="n"/>
      <c r="F200" s="14" t="n"/>
      <c r="G200" s="14" t="n"/>
      <c r="H200" s="14" t="n"/>
      <c r="I200" s="15" t="n"/>
      <c r="J200" s="16">
        <f>IF(OR($I200="",N($H200)&lt;=0),"",$I200/$H200)</f>
        <v/>
      </c>
      <c r="K200" s="15" t="n"/>
      <c r="L200" s="17">
        <f>IF(OR($J200="",N($K200)&lt;=0),"",($K200-$J200)/$K200)</f>
        <v/>
      </c>
      <c r="M200" s="17">
        <f>IF(OR($J200="",N($K200)&lt;=0,N($J200)&lt;=0),"",($K200-$J200)/$J200)</f>
        <v/>
      </c>
      <c r="N200" s="18" t="n"/>
      <c r="O200" s="14" t="n"/>
      <c r="P200" s="14" t="n"/>
    </row>
    <row r="201">
      <c r="A201" s="14" t="n"/>
      <c r="B201" s="14" t="n"/>
      <c r="C201" s="14" t="n"/>
      <c r="D201" s="14" t="n"/>
      <c r="E201" s="14" t="n"/>
      <c r="F201" s="14" t="n"/>
      <c r="G201" s="14" t="n"/>
      <c r="H201" s="14" t="n"/>
      <c r="I201" s="15" t="n"/>
      <c r="J201" s="16">
        <f>IF(OR($I201="",N($H201)&lt;=0),"",$I201/$H201)</f>
        <v/>
      </c>
      <c r="K201" s="15" t="n"/>
      <c r="L201" s="17">
        <f>IF(OR($J201="",N($K201)&lt;=0),"",($K201-$J201)/$K201)</f>
        <v/>
      </c>
      <c r="M201" s="17">
        <f>IF(OR($J201="",N($K201)&lt;=0,N($J201)&lt;=0),"",($K201-$J201)/$J201)</f>
        <v/>
      </c>
      <c r="N201" s="18" t="n"/>
      <c r="O201" s="14" t="n"/>
      <c r="P201" s="14" t="n"/>
    </row>
    <row r="202">
      <c r="A202" s="14" t="n"/>
      <c r="B202" s="14" t="n"/>
      <c r="C202" s="14" t="n"/>
      <c r="D202" s="14" t="n"/>
      <c r="E202" s="14" t="n"/>
      <c r="F202" s="14" t="n"/>
      <c r="G202" s="14" t="n"/>
      <c r="H202" s="14" t="n"/>
      <c r="I202" s="15" t="n"/>
      <c r="J202" s="16">
        <f>IF(OR($I202="",N($H202)&lt;=0),"",$I202/$H202)</f>
        <v/>
      </c>
      <c r="K202" s="15" t="n"/>
      <c r="L202" s="17">
        <f>IF(OR($J202="",N($K202)&lt;=0),"",($K202-$J202)/$K202)</f>
        <v/>
      </c>
      <c r="M202" s="17">
        <f>IF(OR($J202="",N($K202)&lt;=0,N($J202)&lt;=0),"",($K202-$J202)/$J202)</f>
        <v/>
      </c>
      <c r="N202" s="18" t="n"/>
      <c r="O202" s="14" t="n"/>
      <c r="P202" s="14" t="n"/>
    </row>
    <row r="203">
      <c r="A203" s="14" t="n"/>
      <c r="B203" s="14" t="n"/>
      <c r="C203" s="14" t="n"/>
      <c r="D203" s="14" t="n"/>
      <c r="E203" s="14" t="n"/>
      <c r="F203" s="14" t="n"/>
      <c r="G203" s="14" t="n"/>
      <c r="H203" s="14" t="n"/>
      <c r="I203" s="15" t="n"/>
      <c r="J203" s="16">
        <f>IF(OR($I203="",N($H203)&lt;=0),"",$I203/$H203)</f>
        <v/>
      </c>
      <c r="K203" s="15" t="n"/>
      <c r="L203" s="17">
        <f>IF(OR($J203="",N($K203)&lt;=0),"",($K203-$J203)/$K203)</f>
        <v/>
      </c>
      <c r="M203" s="17">
        <f>IF(OR($J203="",N($K203)&lt;=0,N($J203)&lt;=0),"",($K203-$J203)/$J203)</f>
        <v/>
      </c>
      <c r="N203" s="18" t="n"/>
      <c r="O203" s="14" t="n"/>
      <c r="P203" s="14" t="n"/>
    </row>
    <row r="204">
      <c r="A204" s="14" t="n"/>
      <c r="B204" s="14" t="n"/>
      <c r="C204" s="14" t="n"/>
      <c r="D204" s="14" t="n"/>
      <c r="E204" s="14" t="n"/>
      <c r="F204" s="14" t="n"/>
      <c r="G204" s="14" t="n"/>
      <c r="H204" s="14" t="n"/>
      <c r="I204" s="15" t="n"/>
      <c r="J204" s="16">
        <f>IF(OR($I204="",N($H204)&lt;=0),"",$I204/$H204)</f>
        <v/>
      </c>
      <c r="K204" s="15" t="n"/>
      <c r="L204" s="17">
        <f>IF(OR($J204="",N($K204)&lt;=0),"",($K204-$J204)/$K204)</f>
        <v/>
      </c>
      <c r="M204" s="17">
        <f>IF(OR($J204="",N($K204)&lt;=0,N($J204)&lt;=0),"",($K204-$J204)/$J204)</f>
        <v/>
      </c>
      <c r="N204" s="18" t="n"/>
      <c r="O204" s="14" t="n"/>
      <c r="P204" s="14" t="n"/>
    </row>
    <row r="205">
      <c r="A205" s="14" t="n"/>
      <c r="B205" s="14" t="n"/>
      <c r="C205" s="14" t="n"/>
      <c r="D205" s="14" t="n"/>
      <c r="E205" s="14" t="n"/>
      <c r="F205" s="14" t="n"/>
      <c r="G205" s="14" t="n"/>
      <c r="H205" s="14" t="n"/>
      <c r="I205" s="15" t="n"/>
      <c r="J205" s="16">
        <f>IF(OR($I205="",N($H205)&lt;=0),"",$I205/$H205)</f>
        <v/>
      </c>
      <c r="K205" s="15" t="n"/>
      <c r="L205" s="17">
        <f>IF(OR($J205="",N($K205)&lt;=0),"",($K205-$J205)/$K205)</f>
        <v/>
      </c>
      <c r="M205" s="17">
        <f>IF(OR($J205="",N($K205)&lt;=0,N($J205)&lt;=0),"",($K205-$J205)/$J205)</f>
        <v/>
      </c>
      <c r="N205" s="18" t="n"/>
      <c r="O205" s="14" t="n"/>
      <c r="P205" s="14" t="n"/>
    </row>
    <row r="206">
      <c r="A206" s="14" t="n"/>
      <c r="B206" s="14" t="n"/>
      <c r="C206" s="14" t="n"/>
      <c r="D206" s="14" t="n"/>
      <c r="E206" s="14" t="n"/>
      <c r="F206" s="14" t="n"/>
      <c r="G206" s="14" t="n"/>
      <c r="H206" s="14" t="n"/>
      <c r="I206" s="15" t="n"/>
      <c r="J206" s="16">
        <f>IF(OR($I206="",N($H206)&lt;=0),"",$I206/$H206)</f>
        <v/>
      </c>
      <c r="K206" s="15" t="n"/>
      <c r="L206" s="17">
        <f>IF(OR($J206="",N($K206)&lt;=0),"",($K206-$J206)/$K206)</f>
        <v/>
      </c>
      <c r="M206" s="17">
        <f>IF(OR($J206="",N($K206)&lt;=0,N($J206)&lt;=0),"",($K206-$J206)/$J206)</f>
        <v/>
      </c>
      <c r="N206" s="18" t="n"/>
      <c r="O206" s="14" t="n"/>
      <c r="P206" s="14" t="n"/>
    </row>
    <row r="207">
      <c r="A207" s="14" t="n"/>
      <c r="B207" s="14" t="n"/>
      <c r="C207" s="14" t="n"/>
      <c r="D207" s="14" t="n"/>
      <c r="E207" s="14" t="n"/>
      <c r="F207" s="14" t="n"/>
      <c r="G207" s="14" t="n"/>
      <c r="H207" s="14" t="n"/>
      <c r="I207" s="15" t="n"/>
      <c r="J207" s="16">
        <f>IF(OR($I207="",N($H207)&lt;=0),"",$I207/$H207)</f>
        <v/>
      </c>
      <c r="K207" s="15" t="n"/>
      <c r="L207" s="17">
        <f>IF(OR($J207="",N($K207)&lt;=0),"",($K207-$J207)/$K207)</f>
        <v/>
      </c>
      <c r="M207" s="17">
        <f>IF(OR($J207="",N($K207)&lt;=0,N($J207)&lt;=0),"",($K207-$J207)/$J207)</f>
        <v/>
      </c>
      <c r="N207" s="18" t="n"/>
      <c r="O207" s="14" t="n"/>
      <c r="P207" s="14" t="n"/>
    </row>
    <row r="208">
      <c r="A208" s="14" t="n"/>
      <c r="B208" s="14" t="n"/>
      <c r="C208" s="14" t="n"/>
      <c r="D208" s="14" t="n"/>
      <c r="E208" s="14" t="n"/>
      <c r="F208" s="14" t="n"/>
      <c r="G208" s="14" t="n"/>
      <c r="H208" s="14" t="n"/>
      <c r="I208" s="15" t="n"/>
      <c r="J208" s="16">
        <f>IF(OR($I208="",N($H208)&lt;=0),"",$I208/$H208)</f>
        <v/>
      </c>
      <c r="K208" s="15" t="n"/>
      <c r="L208" s="17">
        <f>IF(OR($J208="",N($K208)&lt;=0),"",($K208-$J208)/$K208)</f>
        <v/>
      </c>
      <c r="M208" s="17">
        <f>IF(OR($J208="",N($K208)&lt;=0,N($J208)&lt;=0),"",($K208-$J208)/$J208)</f>
        <v/>
      </c>
      <c r="N208" s="18" t="n"/>
      <c r="O208" s="14" t="n"/>
      <c r="P208" s="14" t="n"/>
    </row>
    <row r="209">
      <c r="A209" s="14" t="n"/>
      <c r="B209" s="14" t="n"/>
      <c r="C209" s="14" t="n"/>
      <c r="D209" s="14" t="n"/>
      <c r="E209" s="14" t="n"/>
      <c r="F209" s="14" t="n"/>
      <c r="G209" s="14" t="n"/>
      <c r="H209" s="14" t="n"/>
      <c r="I209" s="15" t="n"/>
      <c r="J209" s="16">
        <f>IF(OR($I209="",N($H209)&lt;=0),"",$I209/$H209)</f>
        <v/>
      </c>
      <c r="K209" s="15" t="n"/>
      <c r="L209" s="17">
        <f>IF(OR($J209="",N($K209)&lt;=0),"",($K209-$J209)/$K209)</f>
        <v/>
      </c>
      <c r="M209" s="17">
        <f>IF(OR($J209="",N($K209)&lt;=0,N($J209)&lt;=0),"",($K209-$J209)/$J209)</f>
        <v/>
      </c>
      <c r="N209" s="18" t="n"/>
      <c r="O209" s="14" t="n"/>
      <c r="P209" s="14" t="n"/>
    </row>
    <row r="210">
      <c r="A210" s="14" t="n"/>
      <c r="B210" s="14" t="n"/>
      <c r="C210" s="14" t="n"/>
      <c r="D210" s="14" t="n"/>
      <c r="E210" s="14" t="n"/>
      <c r="F210" s="14" t="n"/>
      <c r="G210" s="14" t="n"/>
      <c r="H210" s="14" t="n"/>
      <c r="I210" s="15" t="n"/>
      <c r="J210" s="16">
        <f>IF(OR($I210="",N($H210)&lt;=0),"",$I210/$H210)</f>
        <v/>
      </c>
      <c r="K210" s="15" t="n"/>
      <c r="L210" s="17">
        <f>IF(OR($J210="",N($K210)&lt;=0),"",($K210-$J210)/$K210)</f>
        <v/>
      </c>
      <c r="M210" s="17">
        <f>IF(OR($J210="",N($K210)&lt;=0,N($J210)&lt;=0),"",($K210-$J210)/$J210)</f>
        <v/>
      </c>
      <c r="N210" s="18" t="n"/>
      <c r="O210" s="14" t="n"/>
      <c r="P210" s="14" t="n"/>
    </row>
    <row r="211">
      <c r="A211" s="14" t="n"/>
      <c r="B211" s="14" t="n"/>
      <c r="C211" s="14" t="n"/>
      <c r="D211" s="14" t="n"/>
      <c r="E211" s="14" t="n"/>
      <c r="F211" s="14" t="n"/>
      <c r="G211" s="14" t="n"/>
      <c r="H211" s="14" t="n"/>
      <c r="I211" s="15" t="n"/>
      <c r="J211" s="16">
        <f>IF(OR($I211="",N($H211)&lt;=0),"",$I211/$H211)</f>
        <v/>
      </c>
      <c r="K211" s="15" t="n"/>
      <c r="L211" s="17">
        <f>IF(OR($J211="",N($K211)&lt;=0),"",($K211-$J211)/$K211)</f>
        <v/>
      </c>
      <c r="M211" s="17">
        <f>IF(OR($J211="",N($K211)&lt;=0,N($J211)&lt;=0),"",($K211-$J211)/$J211)</f>
        <v/>
      </c>
      <c r="N211" s="18" t="n"/>
      <c r="O211" s="14" t="n"/>
      <c r="P211" s="14" t="n"/>
    </row>
    <row r="212">
      <c r="A212" s="14" t="n"/>
      <c r="B212" s="14" t="n"/>
      <c r="C212" s="14" t="n"/>
      <c r="D212" s="14" t="n"/>
      <c r="E212" s="14" t="n"/>
      <c r="F212" s="14" t="n"/>
      <c r="G212" s="14" t="n"/>
      <c r="H212" s="14" t="n"/>
      <c r="I212" s="15" t="n"/>
      <c r="J212" s="16">
        <f>IF(OR($I212="",N($H212)&lt;=0),"",$I212/$H212)</f>
        <v/>
      </c>
      <c r="K212" s="15" t="n"/>
      <c r="L212" s="17">
        <f>IF(OR($J212="",N($K212)&lt;=0),"",($K212-$J212)/$K212)</f>
        <v/>
      </c>
      <c r="M212" s="17">
        <f>IF(OR($J212="",N($K212)&lt;=0,N($J212)&lt;=0),"",($K212-$J212)/$J212)</f>
        <v/>
      </c>
      <c r="N212" s="18" t="n"/>
      <c r="O212" s="14" t="n"/>
      <c r="P212" s="14" t="n"/>
    </row>
    <row r="213">
      <c r="A213" s="14" t="n"/>
      <c r="B213" s="14" t="n"/>
      <c r="C213" s="14" t="n"/>
      <c r="D213" s="14" t="n"/>
      <c r="E213" s="14" t="n"/>
      <c r="F213" s="14" t="n"/>
      <c r="G213" s="14" t="n"/>
      <c r="H213" s="14" t="n"/>
      <c r="I213" s="15" t="n"/>
      <c r="J213" s="16">
        <f>IF(OR($I213="",N($H213)&lt;=0),"",$I213/$H213)</f>
        <v/>
      </c>
      <c r="K213" s="15" t="n"/>
      <c r="L213" s="17">
        <f>IF(OR($J213="",N($K213)&lt;=0),"",($K213-$J213)/$K213)</f>
        <v/>
      </c>
      <c r="M213" s="17">
        <f>IF(OR($J213="",N($K213)&lt;=0,N($J213)&lt;=0),"",($K213-$J213)/$J213)</f>
        <v/>
      </c>
      <c r="N213" s="18" t="n"/>
      <c r="O213" s="14" t="n"/>
      <c r="P213" s="14" t="n"/>
    </row>
    <row r="214">
      <c r="A214" s="14" t="n"/>
      <c r="B214" s="14" t="n"/>
      <c r="C214" s="14" t="n"/>
      <c r="D214" s="14" t="n"/>
      <c r="E214" s="14" t="n"/>
      <c r="F214" s="14" t="n"/>
      <c r="G214" s="14" t="n"/>
      <c r="H214" s="14" t="n"/>
      <c r="I214" s="15" t="n"/>
      <c r="J214" s="16">
        <f>IF(OR($I214="",N($H214)&lt;=0),"",$I214/$H214)</f>
        <v/>
      </c>
      <c r="K214" s="15" t="n"/>
      <c r="L214" s="17">
        <f>IF(OR($J214="",N($K214)&lt;=0),"",($K214-$J214)/$K214)</f>
        <v/>
      </c>
      <c r="M214" s="17">
        <f>IF(OR($J214="",N($K214)&lt;=0,N($J214)&lt;=0),"",($K214-$J214)/$J214)</f>
        <v/>
      </c>
      <c r="N214" s="18" t="n"/>
      <c r="O214" s="14" t="n"/>
      <c r="P214" s="14" t="n"/>
    </row>
    <row r="215">
      <c r="A215" s="14" t="n"/>
      <c r="B215" s="14" t="n"/>
      <c r="C215" s="14" t="n"/>
      <c r="D215" s="14" t="n"/>
      <c r="E215" s="14" t="n"/>
      <c r="F215" s="14" t="n"/>
      <c r="G215" s="14" t="n"/>
      <c r="H215" s="14" t="n"/>
      <c r="I215" s="15" t="n"/>
      <c r="J215" s="16">
        <f>IF(OR($I215="",N($H215)&lt;=0),"",$I215/$H215)</f>
        <v/>
      </c>
      <c r="K215" s="15" t="n"/>
      <c r="L215" s="17">
        <f>IF(OR($J215="",N($K215)&lt;=0),"",($K215-$J215)/$K215)</f>
        <v/>
      </c>
      <c r="M215" s="17">
        <f>IF(OR($J215="",N($K215)&lt;=0,N($J215)&lt;=0),"",($K215-$J215)/$J215)</f>
        <v/>
      </c>
      <c r="N215" s="18" t="n"/>
      <c r="O215" s="14" t="n"/>
      <c r="P215" s="14" t="n"/>
    </row>
    <row r="216">
      <c r="A216" s="14" t="n"/>
      <c r="B216" s="14" t="n"/>
      <c r="C216" s="14" t="n"/>
      <c r="D216" s="14" t="n"/>
      <c r="E216" s="14" t="n"/>
      <c r="F216" s="14" t="n"/>
      <c r="G216" s="14" t="n"/>
      <c r="H216" s="14" t="n"/>
      <c r="I216" s="15" t="n"/>
      <c r="J216" s="16">
        <f>IF(OR($I216="",N($H216)&lt;=0),"",$I216/$H216)</f>
        <v/>
      </c>
      <c r="K216" s="15" t="n"/>
      <c r="L216" s="17">
        <f>IF(OR($J216="",N($K216)&lt;=0),"",($K216-$J216)/$K216)</f>
        <v/>
      </c>
      <c r="M216" s="17">
        <f>IF(OR($J216="",N($K216)&lt;=0,N($J216)&lt;=0),"",($K216-$J216)/$J216)</f>
        <v/>
      </c>
      <c r="N216" s="18" t="n"/>
      <c r="O216" s="14" t="n"/>
      <c r="P216" s="14" t="n"/>
    </row>
    <row r="217">
      <c r="A217" s="14" t="n"/>
      <c r="B217" s="14" t="n"/>
      <c r="C217" s="14" t="n"/>
      <c r="D217" s="14" t="n"/>
      <c r="E217" s="14" t="n"/>
      <c r="F217" s="14" t="n"/>
      <c r="G217" s="14" t="n"/>
      <c r="H217" s="14" t="n"/>
      <c r="I217" s="15" t="n"/>
      <c r="J217" s="16">
        <f>IF(OR($I217="",N($H217)&lt;=0),"",$I217/$H217)</f>
        <v/>
      </c>
      <c r="K217" s="15" t="n"/>
      <c r="L217" s="17">
        <f>IF(OR($J217="",N($K217)&lt;=0),"",($K217-$J217)/$K217)</f>
        <v/>
      </c>
      <c r="M217" s="17">
        <f>IF(OR($J217="",N($K217)&lt;=0,N($J217)&lt;=0),"",($K217-$J217)/$J217)</f>
        <v/>
      </c>
      <c r="N217" s="18" t="n"/>
      <c r="O217" s="14" t="n"/>
      <c r="P217" s="14" t="n"/>
    </row>
    <row r="218">
      <c r="A218" s="14" t="n"/>
      <c r="B218" s="14" t="n"/>
      <c r="C218" s="14" t="n"/>
      <c r="D218" s="14" t="n"/>
      <c r="E218" s="14" t="n"/>
      <c r="F218" s="14" t="n"/>
      <c r="G218" s="14" t="n"/>
      <c r="H218" s="14" t="n"/>
      <c r="I218" s="15" t="n"/>
      <c r="J218" s="16">
        <f>IF(OR($I218="",N($H218)&lt;=0),"",$I218/$H218)</f>
        <v/>
      </c>
      <c r="K218" s="15" t="n"/>
      <c r="L218" s="17">
        <f>IF(OR($J218="",N($K218)&lt;=0),"",($K218-$J218)/$K218)</f>
        <v/>
      </c>
      <c r="M218" s="17">
        <f>IF(OR($J218="",N($K218)&lt;=0,N($J218)&lt;=0),"",($K218-$J218)/$J218)</f>
        <v/>
      </c>
      <c r="N218" s="18" t="n"/>
      <c r="O218" s="14" t="n"/>
      <c r="P218" s="14" t="n"/>
    </row>
    <row r="219">
      <c r="A219" s="14" t="n"/>
      <c r="B219" s="14" t="n"/>
      <c r="C219" s="14" t="n"/>
      <c r="D219" s="14" t="n"/>
      <c r="E219" s="14" t="n"/>
      <c r="F219" s="14" t="n"/>
      <c r="G219" s="14" t="n"/>
      <c r="H219" s="14" t="n"/>
      <c r="I219" s="15" t="n"/>
      <c r="J219" s="16">
        <f>IF(OR($I219="",N($H219)&lt;=0),"",$I219/$H219)</f>
        <v/>
      </c>
      <c r="K219" s="15" t="n"/>
      <c r="L219" s="17">
        <f>IF(OR($J219="",N($K219)&lt;=0),"",($K219-$J219)/$K219)</f>
        <v/>
      </c>
      <c r="M219" s="17">
        <f>IF(OR($J219="",N($K219)&lt;=0,N($J219)&lt;=0),"",($K219-$J219)/$J219)</f>
        <v/>
      </c>
      <c r="N219" s="18" t="n"/>
      <c r="O219" s="14" t="n"/>
      <c r="P219" s="14" t="n"/>
    </row>
    <row r="220">
      <c r="A220" s="14" t="n"/>
      <c r="B220" s="14" t="n"/>
      <c r="C220" s="14" t="n"/>
      <c r="D220" s="14" t="n"/>
      <c r="E220" s="14" t="n"/>
      <c r="F220" s="14" t="n"/>
      <c r="G220" s="14" t="n"/>
      <c r="H220" s="14" t="n"/>
      <c r="I220" s="15" t="n"/>
      <c r="J220" s="16">
        <f>IF(OR($I220="",N($H220)&lt;=0),"",$I220/$H220)</f>
        <v/>
      </c>
      <c r="K220" s="15" t="n"/>
      <c r="L220" s="17">
        <f>IF(OR($J220="",N($K220)&lt;=0),"",($K220-$J220)/$K220)</f>
        <v/>
      </c>
      <c r="M220" s="17">
        <f>IF(OR($J220="",N($K220)&lt;=0,N($J220)&lt;=0),"",($K220-$J220)/$J220)</f>
        <v/>
      </c>
      <c r="N220" s="18" t="n"/>
      <c r="O220" s="14" t="n"/>
      <c r="P220" s="14" t="n"/>
    </row>
    <row r="221">
      <c r="A221" s="14" t="n"/>
      <c r="B221" s="14" t="n"/>
      <c r="C221" s="14" t="n"/>
      <c r="D221" s="14" t="n"/>
      <c r="E221" s="14" t="n"/>
      <c r="F221" s="14" t="n"/>
      <c r="G221" s="14" t="n"/>
      <c r="H221" s="14" t="n"/>
      <c r="I221" s="15" t="n"/>
      <c r="J221" s="16">
        <f>IF(OR($I221="",N($H221)&lt;=0),"",$I221/$H221)</f>
        <v/>
      </c>
      <c r="K221" s="15" t="n"/>
      <c r="L221" s="17">
        <f>IF(OR($J221="",N($K221)&lt;=0),"",($K221-$J221)/$K221)</f>
        <v/>
      </c>
      <c r="M221" s="17">
        <f>IF(OR($J221="",N($K221)&lt;=0,N($J221)&lt;=0),"",($K221-$J221)/$J221)</f>
        <v/>
      </c>
      <c r="N221" s="18" t="n"/>
      <c r="O221" s="14" t="n"/>
      <c r="P221" s="14" t="n"/>
    </row>
    <row r="222">
      <c r="A222" s="14" t="n"/>
      <c r="B222" s="14" t="n"/>
      <c r="C222" s="14" t="n"/>
      <c r="D222" s="14" t="n"/>
      <c r="E222" s="14" t="n"/>
      <c r="F222" s="14" t="n"/>
      <c r="G222" s="14" t="n"/>
      <c r="H222" s="14" t="n"/>
      <c r="I222" s="15" t="n"/>
      <c r="J222" s="16">
        <f>IF(OR($I222="",N($H222)&lt;=0),"",$I222/$H222)</f>
        <v/>
      </c>
      <c r="K222" s="15" t="n"/>
      <c r="L222" s="17">
        <f>IF(OR($J222="",N($K222)&lt;=0),"",($K222-$J222)/$K222)</f>
        <v/>
      </c>
      <c r="M222" s="17">
        <f>IF(OR($J222="",N($K222)&lt;=0,N($J222)&lt;=0),"",($K222-$J222)/$J222)</f>
        <v/>
      </c>
      <c r="N222" s="18" t="n"/>
      <c r="O222" s="14" t="n"/>
      <c r="P222" s="14" t="n"/>
    </row>
    <row r="223">
      <c r="A223" s="14" t="n"/>
      <c r="B223" s="14" t="n"/>
      <c r="C223" s="14" t="n"/>
      <c r="D223" s="14" t="n"/>
      <c r="E223" s="14" t="n"/>
      <c r="F223" s="14" t="n"/>
      <c r="G223" s="14" t="n"/>
      <c r="H223" s="14" t="n"/>
      <c r="I223" s="15" t="n"/>
      <c r="J223" s="16">
        <f>IF(OR($I223="",N($H223)&lt;=0),"",$I223/$H223)</f>
        <v/>
      </c>
      <c r="K223" s="15" t="n"/>
      <c r="L223" s="17">
        <f>IF(OR($J223="",N($K223)&lt;=0),"",($K223-$J223)/$K223)</f>
        <v/>
      </c>
      <c r="M223" s="17">
        <f>IF(OR($J223="",N($K223)&lt;=0,N($J223)&lt;=0),"",($K223-$J223)/$J223)</f>
        <v/>
      </c>
      <c r="N223" s="18" t="n"/>
      <c r="O223" s="14" t="n"/>
      <c r="P223" s="14" t="n"/>
    </row>
    <row r="224">
      <c r="A224" s="14" t="n"/>
      <c r="B224" s="14" t="n"/>
      <c r="C224" s="14" t="n"/>
      <c r="D224" s="14" t="n"/>
      <c r="E224" s="14" t="n"/>
      <c r="F224" s="14" t="n"/>
      <c r="G224" s="14" t="n"/>
      <c r="H224" s="14" t="n"/>
      <c r="I224" s="15" t="n"/>
      <c r="J224" s="16">
        <f>IF(OR($I224="",N($H224)&lt;=0),"",$I224/$H224)</f>
        <v/>
      </c>
      <c r="K224" s="15" t="n"/>
      <c r="L224" s="17">
        <f>IF(OR($J224="",N($K224)&lt;=0),"",($K224-$J224)/$K224)</f>
        <v/>
      </c>
      <c r="M224" s="17">
        <f>IF(OR($J224="",N($K224)&lt;=0,N($J224)&lt;=0),"",($K224-$J224)/$J224)</f>
        <v/>
      </c>
      <c r="N224" s="18" t="n"/>
      <c r="O224" s="14" t="n"/>
      <c r="P224" s="14" t="n"/>
    </row>
    <row r="225">
      <c r="A225" s="14" t="n"/>
      <c r="B225" s="14" t="n"/>
      <c r="C225" s="14" t="n"/>
      <c r="D225" s="14" t="n"/>
      <c r="E225" s="14" t="n"/>
      <c r="F225" s="14" t="n"/>
      <c r="G225" s="14" t="n"/>
      <c r="H225" s="14" t="n"/>
      <c r="I225" s="15" t="n"/>
      <c r="J225" s="16">
        <f>IF(OR($I225="",N($H225)&lt;=0),"",$I225/$H225)</f>
        <v/>
      </c>
      <c r="K225" s="15" t="n"/>
      <c r="L225" s="17">
        <f>IF(OR($J225="",N($K225)&lt;=0),"",($K225-$J225)/$K225)</f>
        <v/>
      </c>
      <c r="M225" s="17">
        <f>IF(OR($J225="",N($K225)&lt;=0,N($J225)&lt;=0),"",($K225-$J225)/$J225)</f>
        <v/>
      </c>
      <c r="N225" s="18" t="n"/>
      <c r="O225" s="14" t="n"/>
      <c r="P225" s="14" t="n"/>
    </row>
    <row r="226">
      <c r="A226" s="14" t="n"/>
      <c r="B226" s="14" t="n"/>
      <c r="C226" s="14" t="n"/>
      <c r="D226" s="14" t="n"/>
      <c r="E226" s="14" t="n"/>
      <c r="F226" s="14" t="n"/>
      <c r="G226" s="14" t="n"/>
      <c r="H226" s="14" t="n"/>
      <c r="I226" s="15" t="n"/>
      <c r="J226" s="16">
        <f>IF(OR($I226="",N($H226)&lt;=0),"",$I226/$H226)</f>
        <v/>
      </c>
      <c r="K226" s="15" t="n"/>
      <c r="L226" s="17">
        <f>IF(OR($J226="",N($K226)&lt;=0),"",($K226-$J226)/$K226)</f>
        <v/>
      </c>
      <c r="M226" s="17">
        <f>IF(OR($J226="",N($K226)&lt;=0,N($J226)&lt;=0),"",($K226-$J226)/$J226)</f>
        <v/>
      </c>
      <c r="N226" s="18" t="n"/>
      <c r="O226" s="14" t="n"/>
      <c r="P226" s="14" t="n"/>
    </row>
    <row r="227">
      <c r="A227" s="14" t="n"/>
      <c r="B227" s="14" t="n"/>
      <c r="C227" s="14" t="n"/>
      <c r="D227" s="14" t="n"/>
      <c r="E227" s="14" t="n"/>
      <c r="F227" s="14" t="n"/>
      <c r="G227" s="14" t="n"/>
      <c r="H227" s="14" t="n"/>
      <c r="I227" s="15" t="n"/>
      <c r="J227" s="16">
        <f>IF(OR($I227="",N($H227)&lt;=0),"",$I227/$H227)</f>
        <v/>
      </c>
      <c r="K227" s="15" t="n"/>
      <c r="L227" s="17">
        <f>IF(OR($J227="",N($K227)&lt;=0),"",($K227-$J227)/$K227)</f>
        <v/>
      </c>
      <c r="M227" s="17">
        <f>IF(OR($J227="",N($K227)&lt;=0,N($J227)&lt;=0),"",($K227-$J227)/$J227)</f>
        <v/>
      </c>
      <c r="N227" s="18" t="n"/>
      <c r="O227" s="14" t="n"/>
      <c r="P227" s="14" t="n"/>
    </row>
    <row r="228">
      <c r="A228" s="14" t="n"/>
      <c r="B228" s="14" t="n"/>
      <c r="C228" s="14" t="n"/>
      <c r="D228" s="14" t="n"/>
      <c r="E228" s="14" t="n"/>
      <c r="F228" s="14" t="n"/>
      <c r="G228" s="14" t="n"/>
      <c r="H228" s="14" t="n"/>
      <c r="I228" s="15" t="n"/>
      <c r="J228" s="16">
        <f>IF(OR($I228="",N($H228)&lt;=0),"",$I228/$H228)</f>
        <v/>
      </c>
      <c r="K228" s="15" t="n"/>
      <c r="L228" s="17">
        <f>IF(OR($J228="",N($K228)&lt;=0),"",($K228-$J228)/$K228)</f>
        <v/>
      </c>
      <c r="M228" s="17">
        <f>IF(OR($J228="",N($K228)&lt;=0,N($J228)&lt;=0),"",($K228-$J228)/$J228)</f>
        <v/>
      </c>
      <c r="N228" s="18" t="n"/>
      <c r="O228" s="14" t="n"/>
      <c r="P228" s="14" t="n"/>
    </row>
    <row r="229">
      <c r="A229" s="14" t="n"/>
      <c r="B229" s="14" t="n"/>
      <c r="C229" s="14" t="n"/>
      <c r="D229" s="14" t="n"/>
      <c r="E229" s="14" t="n"/>
      <c r="F229" s="14" t="n"/>
      <c r="G229" s="14" t="n"/>
      <c r="H229" s="14" t="n"/>
      <c r="I229" s="15" t="n"/>
      <c r="J229" s="16">
        <f>IF(OR($I229="",N($H229)&lt;=0),"",$I229/$H229)</f>
        <v/>
      </c>
      <c r="K229" s="15" t="n"/>
      <c r="L229" s="17">
        <f>IF(OR($J229="",N($K229)&lt;=0),"",($K229-$J229)/$K229)</f>
        <v/>
      </c>
      <c r="M229" s="17">
        <f>IF(OR($J229="",N($K229)&lt;=0,N($J229)&lt;=0),"",($K229-$J229)/$J229)</f>
        <v/>
      </c>
      <c r="N229" s="18" t="n"/>
      <c r="O229" s="14" t="n"/>
      <c r="P229" s="14" t="n"/>
    </row>
    <row r="230">
      <c r="A230" s="14" t="n"/>
      <c r="B230" s="14" t="n"/>
      <c r="C230" s="14" t="n"/>
      <c r="D230" s="14" t="n"/>
      <c r="E230" s="14" t="n"/>
      <c r="F230" s="14" t="n"/>
      <c r="G230" s="14" t="n"/>
      <c r="H230" s="14" t="n"/>
      <c r="I230" s="15" t="n"/>
      <c r="J230" s="16">
        <f>IF(OR($I230="",N($H230)&lt;=0),"",$I230/$H230)</f>
        <v/>
      </c>
      <c r="K230" s="15" t="n"/>
      <c r="L230" s="17">
        <f>IF(OR($J230="",N($K230)&lt;=0),"",($K230-$J230)/$K230)</f>
        <v/>
      </c>
      <c r="M230" s="17">
        <f>IF(OR($J230="",N($K230)&lt;=0,N($J230)&lt;=0),"",($K230-$J230)/$J230)</f>
        <v/>
      </c>
      <c r="N230" s="18" t="n"/>
      <c r="O230" s="14" t="n"/>
      <c r="P230" s="14" t="n"/>
    </row>
    <row r="231">
      <c r="A231" s="14" t="n"/>
      <c r="B231" s="14" t="n"/>
      <c r="C231" s="14" t="n"/>
      <c r="D231" s="14" t="n"/>
      <c r="E231" s="14" t="n"/>
      <c r="F231" s="14" t="n"/>
      <c r="G231" s="14" t="n"/>
      <c r="H231" s="14" t="n"/>
      <c r="I231" s="15" t="n"/>
      <c r="J231" s="16">
        <f>IF(OR($I231="",N($H231)&lt;=0),"",$I231/$H231)</f>
        <v/>
      </c>
      <c r="K231" s="15" t="n"/>
      <c r="L231" s="17">
        <f>IF(OR($J231="",N($K231)&lt;=0),"",($K231-$J231)/$K231)</f>
        <v/>
      </c>
      <c r="M231" s="17">
        <f>IF(OR($J231="",N($K231)&lt;=0,N($J231)&lt;=0),"",($K231-$J231)/$J231)</f>
        <v/>
      </c>
      <c r="N231" s="18" t="n"/>
      <c r="O231" s="14" t="n"/>
      <c r="P231" s="14" t="n"/>
    </row>
    <row r="232">
      <c r="A232" s="14" t="n"/>
      <c r="B232" s="14" t="n"/>
      <c r="C232" s="14" t="n"/>
      <c r="D232" s="14" t="n"/>
      <c r="E232" s="14" t="n"/>
      <c r="F232" s="14" t="n"/>
      <c r="G232" s="14" t="n"/>
      <c r="H232" s="14" t="n"/>
      <c r="I232" s="15" t="n"/>
      <c r="J232" s="16">
        <f>IF(OR($I232="",N($H232)&lt;=0),"",$I232/$H232)</f>
        <v/>
      </c>
      <c r="K232" s="15" t="n"/>
      <c r="L232" s="17">
        <f>IF(OR($J232="",N($K232)&lt;=0),"",($K232-$J232)/$K232)</f>
        <v/>
      </c>
      <c r="M232" s="17">
        <f>IF(OR($J232="",N($K232)&lt;=0,N($J232)&lt;=0),"",($K232-$J232)/$J232)</f>
        <v/>
      </c>
      <c r="N232" s="18" t="n"/>
      <c r="O232" s="14" t="n"/>
      <c r="P232" s="14" t="n"/>
    </row>
    <row r="233">
      <c r="A233" s="14" t="n"/>
      <c r="B233" s="14" t="n"/>
      <c r="C233" s="14" t="n"/>
      <c r="D233" s="14" t="n"/>
      <c r="E233" s="14" t="n"/>
      <c r="F233" s="14" t="n"/>
      <c r="G233" s="14" t="n"/>
      <c r="H233" s="14" t="n"/>
      <c r="I233" s="15" t="n"/>
      <c r="J233" s="16">
        <f>IF(OR($I233="",N($H233)&lt;=0),"",$I233/$H233)</f>
        <v/>
      </c>
      <c r="K233" s="15" t="n"/>
      <c r="L233" s="17">
        <f>IF(OR($J233="",N($K233)&lt;=0),"",($K233-$J233)/$K233)</f>
        <v/>
      </c>
      <c r="M233" s="17">
        <f>IF(OR($J233="",N($K233)&lt;=0,N($J233)&lt;=0),"",($K233-$J233)/$J233)</f>
        <v/>
      </c>
      <c r="N233" s="18" t="n"/>
      <c r="O233" s="14" t="n"/>
      <c r="P233" s="14" t="n"/>
    </row>
    <row r="234">
      <c r="A234" s="14" t="n"/>
      <c r="B234" s="14" t="n"/>
      <c r="C234" s="14" t="n"/>
      <c r="D234" s="14" t="n"/>
      <c r="E234" s="14" t="n"/>
      <c r="F234" s="14" t="n"/>
      <c r="G234" s="14" t="n"/>
      <c r="H234" s="14" t="n"/>
      <c r="I234" s="15" t="n"/>
      <c r="J234" s="16">
        <f>IF(OR($I234="",N($H234)&lt;=0),"",$I234/$H234)</f>
        <v/>
      </c>
      <c r="K234" s="15" t="n"/>
      <c r="L234" s="17">
        <f>IF(OR($J234="",N($K234)&lt;=0),"",($K234-$J234)/$K234)</f>
        <v/>
      </c>
      <c r="M234" s="17">
        <f>IF(OR($J234="",N($K234)&lt;=0,N($J234)&lt;=0),"",($K234-$J234)/$J234)</f>
        <v/>
      </c>
      <c r="N234" s="18" t="n"/>
      <c r="O234" s="14" t="n"/>
      <c r="P234" s="14" t="n"/>
    </row>
    <row r="235">
      <c r="A235" s="14" t="n"/>
      <c r="B235" s="14" t="n"/>
      <c r="C235" s="14" t="n"/>
      <c r="D235" s="14" t="n"/>
      <c r="E235" s="14" t="n"/>
      <c r="F235" s="14" t="n"/>
      <c r="G235" s="14" t="n"/>
      <c r="H235" s="14" t="n"/>
      <c r="I235" s="15" t="n"/>
      <c r="J235" s="16">
        <f>IF(OR($I235="",N($H235)&lt;=0),"",$I235/$H235)</f>
        <v/>
      </c>
      <c r="K235" s="15" t="n"/>
      <c r="L235" s="17">
        <f>IF(OR($J235="",N($K235)&lt;=0),"",($K235-$J235)/$K235)</f>
        <v/>
      </c>
      <c r="M235" s="17">
        <f>IF(OR($J235="",N($K235)&lt;=0,N($J235)&lt;=0),"",($K235-$J235)/$J235)</f>
        <v/>
      </c>
      <c r="N235" s="18" t="n"/>
      <c r="O235" s="14" t="n"/>
      <c r="P235" s="14" t="n"/>
    </row>
    <row r="236">
      <c r="A236" s="14" t="n"/>
      <c r="B236" s="14" t="n"/>
      <c r="C236" s="14" t="n"/>
      <c r="D236" s="14" t="n"/>
      <c r="E236" s="14" t="n"/>
      <c r="F236" s="14" t="n"/>
      <c r="G236" s="14" t="n"/>
      <c r="H236" s="14" t="n"/>
      <c r="I236" s="15" t="n"/>
      <c r="J236" s="16">
        <f>IF(OR($I236="",N($H236)&lt;=0),"",$I236/$H236)</f>
        <v/>
      </c>
      <c r="K236" s="15" t="n"/>
      <c r="L236" s="17">
        <f>IF(OR($J236="",N($K236)&lt;=0),"",($K236-$J236)/$K236)</f>
        <v/>
      </c>
      <c r="M236" s="17">
        <f>IF(OR($J236="",N($K236)&lt;=0,N($J236)&lt;=0),"",($K236-$J236)/$J236)</f>
        <v/>
      </c>
      <c r="N236" s="18" t="n"/>
      <c r="O236" s="14" t="n"/>
      <c r="P236" s="14" t="n"/>
    </row>
    <row r="237">
      <c r="A237" s="14" t="n"/>
      <c r="B237" s="14" t="n"/>
      <c r="C237" s="14" t="n"/>
      <c r="D237" s="14" t="n"/>
      <c r="E237" s="14" t="n"/>
      <c r="F237" s="14" t="n"/>
      <c r="G237" s="14" t="n"/>
      <c r="H237" s="14" t="n"/>
      <c r="I237" s="15" t="n"/>
      <c r="J237" s="16">
        <f>IF(OR($I237="",N($H237)&lt;=0),"",$I237/$H237)</f>
        <v/>
      </c>
      <c r="K237" s="15" t="n"/>
      <c r="L237" s="17">
        <f>IF(OR($J237="",N($K237)&lt;=0),"",($K237-$J237)/$K237)</f>
        <v/>
      </c>
      <c r="M237" s="17">
        <f>IF(OR($J237="",N($K237)&lt;=0,N($J237)&lt;=0),"",($K237-$J237)/$J237)</f>
        <v/>
      </c>
      <c r="N237" s="18" t="n"/>
      <c r="O237" s="14" t="n"/>
      <c r="P237" s="14" t="n"/>
    </row>
    <row r="238">
      <c r="A238" s="14" t="n"/>
      <c r="B238" s="14" t="n"/>
      <c r="C238" s="14" t="n"/>
      <c r="D238" s="14" t="n"/>
      <c r="E238" s="14" t="n"/>
      <c r="F238" s="14" t="n"/>
      <c r="G238" s="14" t="n"/>
      <c r="H238" s="14" t="n"/>
      <c r="I238" s="15" t="n"/>
      <c r="J238" s="16">
        <f>IF(OR($I238="",N($H238)&lt;=0),"",$I238/$H238)</f>
        <v/>
      </c>
      <c r="K238" s="15" t="n"/>
      <c r="L238" s="17">
        <f>IF(OR($J238="",N($K238)&lt;=0),"",($K238-$J238)/$K238)</f>
        <v/>
      </c>
      <c r="M238" s="17">
        <f>IF(OR($J238="",N($K238)&lt;=0,N($J238)&lt;=0),"",($K238-$J238)/$J238)</f>
        <v/>
      </c>
      <c r="N238" s="18" t="n"/>
      <c r="O238" s="14" t="n"/>
      <c r="P238" s="14" t="n"/>
    </row>
    <row r="239">
      <c r="A239" s="14" t="n"/>
      <c r="B239" s="14" t="n"/>
      <c r="C239" s="14" t="n"/>
      <c r="D239" s="14" t="n"/>
      <c r="E239" s="14" t="n"/>
      <c r="F239" s="14" t="n"/>
      <c r="G239" s="14" t="n"/>
      <c r="H239" s="14" t="n"/>
      <c r="I239" s="15" t="n"/>
      <c r="J239" s="16">
        <f>IF(OR($I239="",N($H239)&lt;=0),"",$I239/$H239)</f>
        <v/>
      </c>
      <c r="K239" s="15" t="n"/>
      <c r="L239" s="17">
        <f>IF(OR($J239="",N($K239)&lt;=0),"",($K239-$J239)/$K239)</f>
        <v/>
      </c>
      <c r="M239" s="17">
        <f>IF(OR($J239="",N($K239)&lt;=0,N($J239)&lt;=0),"",($K239-$J239)/$J239)</f>
        <v/>
      </c>
      <c r="N239" s="18" t="n"/>
      <c r="O239" s="14" t="n"/>
      <c r="P239" s="14" t="n"/>
    </row>
    <row r="240">
      <c r="A240" s="14" t="n"/>
      <c r="B240" s="14" t="n"/>
      <c r="C240" s="14" t="n"/>
      <c r="D240" s="14" t="n"/>
      <c r="E240" s="14" t="n"/>
      <c r="F240" s="14" t="n"/>
      <c r="G240" s="14" t="n"/>
      <c r="H240" s="14" t="n"/>
      <c r="I240" s="15" t="n"/>
      <c r="J240" s="16">
        <f>IF(OR($I240="",N($H240)&lt;=0),"",$I240/$H240)</f>
        <v/>
      </c>
      <c r="K240" s="15" t="n"/>
      <c r="L240" s="17">
        <f>IF(OR($J240="",N($K240)&lt;=0),"",($K240-$J240)/$K240)</f>
        <v/>
      </c>
      <c r="M240" s="17">
        <f>IF(OR($J240="",N($K240)&lt;=0,N($J240)&lt;=0),"",($K240-$J240)/$J240)</f>
        <v/>
      </c>
      <c r="N240" s="18" t="n"/>
      <c r="O240" s="14" t="n"/>
      <c r="P240" s="14" t="n"/>
    </row>
    <row r="241">
      <c r="A241" s="14" t="n"/>
      <c r="B241" s="14" t="n"/>
      <c r="C241" s="14" t="n"/>
      <c r="D241" s="14" t="n"/>
      <c r="E241" s="14" t="n"/>
      <c r="F241" s="14" t="n"/>
      <c r="G241" s="14" t="n"/>
      <c r="H241" s="14" t="n"/>
      <c r="I241" s="15" t="n"/>
      <c r="J241" s="16">
        <f>IF(OR($I241="",N($H241)&lt;=0),"",$I241/$H241)</f>
        <v/>
      </c>
      <c r="K241" s="15" t="n"/>
      <c r="L241" s="17">
        <f>IF(OR($J241="",N($K241)&lt;=0),"",($K241-$J241)/$K241)</f>
        <v/>
      </c>
      <c r="M241" s="17">
        <f>IF(OR($J241="",N($K241)&lt;=0,N($J241)&lt;=0),"",($K241-$J241)/$J241)</f>
        <v/>
      </c>
      <c r="N241" s="18" t="n"/>
      <c r="O241" s="14" t="n"/>
      <c r="P241" s="14" t="n"/>
    </row>
    <row r="242">
      <c r="A242" s="14" t="n"/>
      <c r="B242" s="14" t="n"/>
      <c r="C242" s="14" t="n"/>
      <c r="D242" s="14" t="n"/>
      <c r="E242" s="14" t="n"/>
      <c r="F242" s="14" t="n"/>
      <c r="G242" s="14" t="n"/>
      <c r="H242" s="14" t="n"/>
      <c r="I242" s="15" t="n"/>
      <c r="J242" s="16">
        <f>IF(OR($I242="",N($H242)&lt;=0),"",$I242/$H242)</f>
        <v/>
      </c>
      <c r="K242" s="15" t="n"/>
      <c r="L242" s="17">
        <f>IF(OR($J242="",N($K242)&lt;=0),"",($K242-$J242)/$K242)</f>
        <v/>
      </c>
      <c r="M242" s="17">
        <f>IF(OR($J242="",N($K242)&lt;=0,N($J242)&lt;=0),"",($K242-$J242)/$J242)</f>
        <v/>
      </c>
      <c r="N242" s="18" t="n"/>
      <c r="O242" s="14" t="n"/>
      <c r="P242" s="14" t="n"/>
    </row>
    <row r="243">
      <c r="A243" s="14" t="n"/>
      <c r="B243" s="14" t="n"/>
      <c r="C243" s="14" t="n"/>
      <c r="D243" s="14" t="n"/>
      <c r="E243" s="14" t="n"/>
      <c r="F243" s="14" t="n"/>
      <c r="G243" s="14" t="n"/>
      <c r="H243" s="14" t="n"/>
      <c r="I243" s="15" t="n"/>
      <c r="J243" s="16">
        <f>IF(OR($I243="",N($H243)&lt;=0),"",$I243/$H243)</f>
        <v/>
      </c>
      <c r="K243" s="15" t="n"/>
      <c r="L243" s="17">
        <f>IF(OR($J243="",N($K243)&lt;=0),"",($K243-$J243)/$K243)</f>
        <v/>
      </c>
      <c r="M243" s="17">
        <f>IF(OR($J243="",N($K243)&lt;=0,N($J243)&lt;=0),"",($K243-$J243)/$J243)</f>
        <v/>
      </c>
      <c r="N243" s="18" t="n"/>
      <c r="O243" s="14" t="n"/>
      <c r="P243" s="14" t="n"/>
    </row>
    <row r="244">
      <c r="A244" s="14" t="n"/>
      <c r="B244" s="14" t="n"/>
      <c r="C244" s="14" t="n"/>
      <c r="D244" s="14" t="n"/>
      <c r="E244" s="14" t="n"/>
      <c r="F244" s="14" t="n"/>
      <c r="G244" s="14" t="n"/>
      <c r="H244" s="14" t="n"/>
      <c r="I244" s="15" t="n"/>
      <c r="J244" s="16">
        <f>IF(OR($I244="",N($H244)&lt;=0),"",$I244/$H244)</f>
        <v/>
      </c>
      <c r="K244" s="15" t="n"/>
      <c r="L244" s="17">
        <f>IF(OR($J244="",N($K244)&lt;=0),"",($K244-$J244)/$K244)</f>
        <v/>
      </c>
      <c r="M244" s="17">
        <f>IF(OR($J244="",N($K244)&lt;=0,N($J244)&lt;=0),"",($K244-$J244)/$J244)</f>
        <v/>
      </c>
      <c r="N244" s="18" t="n"/>
      <c r="O244" s="14" t="n"/>
      <c r="P244" s="14" t="n"/>
    </row>
    <row r="245">
      <c r="A245" s="14" t="n"/>
      <c r="B245" s="14" t="n"/>
      <c r="C245" s="14" t="n"/>
      <c r="D245" s="14" t="n"/>
      <c r="E245" s="14" t="n"/>
      <c r="F245" s="14" t="n"/>
      <c r="G245" s="14" t="n"/>
      <c r="H245" s="14" t="n"/>
      <c r="I245" s="15" t="n"/>
      <c r="J245" s="16">
        <f>IF(OR($I245="",N($H245)&lt;=0),"",$I245/$H245)</f>
        <v/>
      </c>
      <c r="K245" s="15" t="n"/>
      <c r="L245" s="17">
        <f>IF(OR($J245="",N($K245)&lt;=0),"",($K245-$J245)/$K245)</f>
        <v/>
      </c>
      <c r="M245" s="17">
        <f>IF(OR($J245="",N($K245)&lt;=0,N($J245)&lt;=0),"",($K245-$J245)/$J245)</f>
        <v/>
      </c>
      <c r="N245" s="18" t="n"/>
      <c r="O245" s="14" t="n"/>
      <c r="P245" s="14" t="n"/>
    </row>
    <row r="246">
      <c r="A246" s="14" t="n"/>
      <c r="B246" s="14" t="n"/>
      <c r="C246" s="14" t="n"/>
      <c r="D246" s="14" t="n"/>
      <c r="E246" s="14" t="n"/>
      <c r="F246" s="14" t="n"/>
      <c r="G246" s="14" t="n"/>
      <c r="H246" s="14" t="n"/>
      <c r="I246" s="15" t="n"/>
      <c r="J246" s="16">
        <f>IF(OR($I246="",N($H246)&lt;=0),"",$I246/$H246)</f>
        <v/>
      </c>
      <c r="K246" s="15" t="n"/>
      <c r="L246" s="17">
        <f>IF(OR($J246="",N($K246)&lt;=0),"",($K246-$J246)/$K246)</f>
        <v/>
      </c>
      <c r="M246" s="17">
        <f>IF(OR($J246="",N($K246)&lt;=0,N($J246)&lt;=0),"",($K246-$J246)/$J246)</f>
        <v/>
      </c>
      <c r="N246" s="18" t="n"/>
      <c r="O246" s="14" t="n"/>
      <c r="P246" s="14" t="n"/>
    </row>
    <row r="247">
      <c r="A247" s="14" t="n"/>
      <c r="B247" s="14" t="n"/>
      <c r="C247" s="14" t="n"/>
      <c r="D247" s="14" t="n"/>
      <c r="E247" s="14" t="n"/>
      <c r="F247" s="14" t="n"/>
      <c r="G247" s="14" t="n"/>
      <c r="H247" s="14" t="n"/>
      <c r="I247" s="15" t="n"/>
      <c r="J247" s="16">
        <f>IF(OR($I247="",N($H247)&lt;=0),"",$I247/$H247)</f>
        <v/>
      </c>
      <c r="K247" s="15" t="n"/>
      <c r="L247" s="17">
        <f>IF(OR($J247="",N($K247)&lt;=0),"",($K247-$J247)/$K247)</f>
        <v/>
      </c>
      <c r="M247" s="17">
        <f>IF(OR($J247="",N($K247)&lt;=0,N($J247)&lt;=0),"",($K247-$J247)/$J247)</f>
        <v/>
      </c>
      <c r="N247" s="18" t="n"/>
      <c r="O247" s="14" t="n"/>
      <c r="P247" s="14" t="n"/>
    </row>
    <row r="248">
      <c r="A248" s="14" t="n"/>
      <c r="B248" s="14" t="n"/>
      <c r="C248" s="14" t="n"/>
      <c r="D248" s="14" t="n"/>
      <c r="E248" s="14" t="n"/>
      <c r="F248" s="14" t="n"/>
      <c r="G248" s="14" t="n"/>
      <c r="H248" s="14" t="n"/>
      <c r="I248" s="15" t="n"/>
      <c r="J248" s="16">
        <f>IF(OR($I248="",N($H248)&lt;=0),"",$I248/$H248)</f>
        <v/>
      </c>
      <c r="K248" s="15" t="n"/>
      <c r="L248" s="17">
        <f>IF(OR($J248="",N($K248)&lt;=0),"",($K248-$J248)/$K248)</f>
        <v/>
      </c>
      <c r="M248" s="17">
        <f>IF(OR($J248="",N($K248)&lt;=0,N($J248)&lt;=0),"",($K248-$J248)/$J248)</f>
        <v/>
      </c>
      <c r="N248" s="18" t="n"/>
      <c r="O248" s="14" t="n"/>
      <c r="P248" s="14" t="n"/>
    </row>
    <row r="249">
      <c r="A249" s="14" t="n"/>
      <c r="B249" s="14" t="n"/>
      <c r="C249" s="14" t="n"/>
      <c r="D249" s="14" t="n"/>
      <c r="E249" s="14" t="n"/>
      <c r="F249" s="14" t="n"/>
      <c r="G249" s="14" t="n"/>
      <c r="H249" s="14" t="n"/>
      <c r="I249" s="15" t="n"/>
      <c r="J249" s="16">
        <f>IF(OR($I249="",N($H249)&lt;=0),"",$I249/$H249)</f>
        <v/>
      </c>
      <c r="K249" s="15" t="n"/>
      <c r="L249" s="17">
        <f>IF(OR($J249="",N($K249)&lt;=0),"",($K249-$J249)/$K249)</f>
        <v/>
      </c>
      <c r="M249" s="17">
        <f>IF(OR($J249="",N($K249)&lt;=0,N($J249)&lt;=0),"",($K249-$J249)/$J249)</f>
        <v/>
      </c>
      <c r="N249" s="18" t="n"/>
      <c r="O249" s="14" t="n"/>
      <c r="P249" s="14" t="n"/>
    </row>
    <row r="250">
      <c r="A250" s="14" t="n"/>
      <c r="B250" s="14" t="n"/>
      <c r="C250" s="14" t="n"/>
      <c r="D250" s="14" t="n"/>
      <c r="E250" s="14" t="n"/>
      <c r="F250" s="14" t="n"/>
      <c r="G250" s="14" t="n"/>
      <c r="H250" s="14" t="n"/>
      <c r="I250" s="15" t="n"/>
      <c r="J250" s="16">
        <f>IF(OR($I250="",N($H250)&lt;=0),"",$I250/$H250)</f>
        <v/>
      </c>
      <c r="K250" s="15" t="n"/>
      <c r="L250" s="17">
        <f>IF(OR($J250="",N($K250)&lt;=0),"",($K250-$J250)/$K250)</f>
        <v/>
      </c>
      <c r="M250" s="17">
        <f>IF(OR($J250="",N($K250)&lt;=0,N($J250)&lt;=0),"",($K250-$J250)/$J250)</f>
        <v/>
      </c>
      <c r="N250" s="18" t="n"/>
      <c r="O250" s="14" t="n"/>
      <c r="P250" s="14" t="n"/>
    </row>
    <row r="251">
      <c r="A251" s="14" t="n"/>
      <c r="B251" s="14" t="n"/>
      <c r="C251" s="14" t="n"/>
      <c r="D251" s="14" t="n"/>
      <c r="E251" s="14" t="n"/>
      <c r="F251" s="14" t="n"/>
      <c r="G251" s="14" t="n"/>
      <c r="H251" s="14" t="n"/>
      <c r="I251" s="15" t="n"/>
      <c r="J251" s="16">
        <f>IF(OR($I251="",N($H251)&lt;=0),"",$I251/$H251)</f>
        <v/>
      </c>
      <c r="K251" s="15" t="n"/>
      <c r="L251" s="17">
        <f>IF(OR($J251="",N($K251)&lt;=0),"",($K251-$J251)/$K251)</f>
        <v/>
      </c>
      <c r="M251" s="17">
        <f>IF(OR($J251="",N($K251)&lt;=0,N($J251)&lt;=0),"",($K251-$J251)/$J251)</f>
        <v/>
      </c>
      <c r="N251" s="18" t="n"/>
      <c r="O251" s="14" t="n"/>
      <c r="P251" s="14" t="n"/>
    </row>
    <row r="252">
      <c r="A252" s="14" t="n"/>
      <c r="B252" s="14" t="n"/>
      <c r="C252" s="14" t="n"/>
      <c r="D252" s="14" t="n"/>
      <c r="E252" s="14" t="n"/>
      <c r="F252" s="14" t="n"/>
      <c r="G252" s="14" t="n"/>
      <c r="H252" s="14" t="n"/>
      <c r="I252" s="15" t="n"/>
      <c r="J252" s="16">
        <f>IF(OR($I252="",N($H252)&lt;=0),"",$I252/$H252)</f>
        <v/>
      </c>
      <c r="K252" s="15" t="n"/>
      <c r="L252" s="17">
        <f>IF(OR($J252="",N($K252)&lt;=0),"",($K252-$J252)/$K252)</f>
        <v/>
      </c>
      <c r="M252" s="17">
        <f>IF(OR($J252="",N($K252)&lt;=0,N($J252)&lt;=0),"",($K252-$J252)/$J252)</f>
        <v/>
      </c>
      <c r="N252" s="18" t="n"/>
      <c r="O252" s="14" t="n"/>
      <c r="P252" s="14" t="n"/>
    </row>
    <row r="253">
      <c r="A253" s="14" t="n"/>
      <c r="B253" s="14" t="n"/>
      <c r="C253" s="14" t="n"/>
      <c r="D253" s="14" t="n"/>
      <c r="E253" s="14" t="n"/>
      <c r="F253" s="14" t="n"/>
      <c r="G253" s="14" t="n"/>
      <c r="H253" s="14" t="n"/>
      <c r="I253" s="15" t="n"/>
      <c r="J253" s="16">
        <f>IF(OR($I253="",N($H253)&lt;=0),"",$I253/$H253)</f>
        <v/>
      </c>
      <c r="K253" s="15" t="n"/>
      <c r="L253" s="17">
        <f>IF(OR($J253="",N($K253)&lt;=0),"",($K253-$J253)/$K253)</f>
        <v/>
      </c>
      <c r="M253" s="17">
        <f>IF(OR($J253="",N($K253)&lt;=0,N($J253)&lt;=0),"",($K253-$J253)/$J253)</f>
        <v/>
      </c>
      <c r="N253" s="18" t="n"/>
      <c r="O253" s="14" t="n"/>
      <c r="P253" s="14" t="n"/>
    </row>
    <row r="254">
      <c r="A254" s="14" t="n"/>
      <c r="B254" s="14" t="n"/>
      <c r="C254" s="14" t="n"/>
      <c r="D254" s="14" t="n"/>
      <c r="E254" s="14" t="n"/>
      <c r="F254" s="14" t="n"/>
      <c r="G254" s="14" t="n"/>
      <c r="H254" s="14" t="n"/>
      <c r="I254" s="15" t="n"/>
      <c r="J254" s="16">
        <f>IF(OR($I254="",N($H254)&lt;=0),"",$I254/$H254)</f>
        <v/>
      </c>
      <c r="K254" s="15" t="n"/>
      <c r="L254" s="17">
        <f>IF(OR($J254="",N($K254)&lt;=0),"",($K254-$J254)/$K254)</f>
        <v/>
      </c>
      <c r="M254" s="17">
        <f>IF(OR($J254="",N($K254)&lt;=0,N($J254)&lt;=0),"",($K254-$J254)/$J254)</f>
        <v/>
      </c>
      <c r="N254" s="18" t="n"/>
      <c r="O254" s="14" t="n"/>
      <c r="P254" s="14" t="n"/>
    </row>
    <row r="255">
      <c r="A255" s="14" t="n"/>
      <c r="B255" s="14" t="n"/>
      <c r="C255" s="14" t="n"/>
      <c r="D255" s="14" t="n"/>
      <c r="E255" s="14" t="n"/>
      <c r="F255" s="14" t="n"/>
      <c r="G255" s="14" t="n"/>
      <c r="H255" s="14" t="n"/>
      <c r="I255" s="15" t="n"/>
      <c r="J255" s="16">
        <f>IF(OR($I255="",N($H255)&lt;=0),"",$I255/$H255)</f>
        <v/>
      </c>
      <c r="K255" s="15" t="n"/>
      <c r="L255" s="17">
        <f>IF(OR($J255="",N($K255)&lt;=0),"",($K255-$J255)/$K255)</f>
        <v/>
      </c>
      <c r="M255" s="17">
        <f>IF(OR($J255="",N($K255)&lt;=0,N($J255)&lt;=0),"",($K255-$J255)/$J255)</f>
        <v/>
      </c>
      <c r="N255" s="18" t="n"/>
      <c r="O255" s="14" t="n"/>
      <c r="P255" s="14" t="n"/>
    </row>
    <row r="256">
      <c r="A256" s="14" t="n"/>
      <c r="B256" s="14" t="n"/>
      <c r="C256" s="14" t="n"/>
      <c r="D256" s="14" t="n"/>
      <c r="E256" s="14" t="n"/>
      <c r="F256" s="14" t="n"/>
      <c r="G256" s="14" t="n"/>
      <c r="H256" s="14" t="n"/>
      <c r="I256" s="15" t="n"/>
      <c r="J256" s="16">
        <f>IF(OR($I256="",N($H256)&lt;=0),"",$I256/$H256)</f>
        <v/>
      </c>
      <c r="K256" s="15" t="n"/>
      <c r="L256" s="17">
        <f>IF(OR($J256="",N($K256)&lt;=0),"",($K256-$J256)/$K256)</f>
        <v/>
      </c>
      <c r="M256" s="17">
        <f>IF(OR($J256="",N($K256)&lt;=0,N($J256)&lt;=0),"",($K256-$J256)/$J256)</f>
        <v/>
      </c>
      <c r="N256" s="18" t="n"/>
      <c r="O256" s="14" t="n"/>
      <c r="P256" s="14" t="n"/>
    </row>
    <row r="257">
      <c r="A257" s="14" t="n"/>
      <c r="B257" s="14" t="n"/>
      <c r="C257" s="14" t="n"/>
      <c r="D257" s="14" t="n"/>
      <c r="E257" s="14" t="n"/>
      <c r="F257" s="14" t="n"/>
      <c r="G257" s="14" t="n"/>
      <c r="H257" s="14" t="n"/>
      <c r="I257" s="15" t="n"/>
      <c r="J257" s="16">
        <f>IF(OR($I257="",N($H257)&lt;=0),"",$I257/$H257)</f>
        <v/>
      </c>
      <c r="K257" s="15" t="n"/>
      <c r="L257" s="17">
        <f>IF(OR($J257="",N($K257)&lt;=0),"",($K257-$J257)/$K257)</f>
        <v/>
      </c>
      <c r="M257" s="17">
        <f>IF(OR($J257="",N($K257)&lt;=0,N($J257)&lt;=0),"",($K257-$J257)/$J257)</f>
        <v/>
      </c>
      <c r="N257" s="18" t="n"/>
      <c r="O257" s="14" t="n"/>
      <c r="P257" s="14" t="n"/>
    </row>
    <row r="258">
      <c r="A258" s="14" t="n"/>
      <c r="B258" s="14" t="n"/>
      <c r="C258" s="14" t="n"/>
      <c r="D258" s="14" t="n"/>
      <c r="E258" s="14" t="n"/>
      <c r="F258" s="14" t="n"/>
      <c r="G258" s="14" t="n"/>
      <c r="H258" s="14" t="n"/>
      <c r="I258" s="15" t="n"/>
      <c r="J258" s="16">
        <f>IF(OR($I258="",N($H258)&lt;=0),"",$I258/$H258)</f>
        <v/>
      </c>
      <c r="K258" s="15" t="n"/>
      <c r="L258" s="17">
        <f>IF(OR($J258="",N($K258)&lt;=0),"",($K258-$J258)/$K258)</f>
        <v/>
      </c>
      <c r="M258" s="17">
        <f>IF(OR($J258="",N($K258)&lt;=0,N($J258)&lt;=0),"",($K258-$J258)/$J258)</f>
        <v/>
      </c>
      <c r="N258" s="18" t="n"/>
      <c r="O258" s="14" t="n"/>
      <c r="P258" s="14" t="n"/>
    </row>
    <row r="259">
      <c r="A259" s="14" t="n"/>
      <c r="B259" s="14" t="n"/>
      <c r="C259" s="14" t="n"/>
      <c r="D259" s="14" t="n"/>
      <c r="E259" s="14" t="n"/>
      <c r="F259" s="14" t="n"/>
      <c r="G259" s="14" t="n"/>
      <c r="H259" s="14" t="n"/>
      <c r="I259" s="15" t="n"/>
      <c r="J259" s="16">
        <f>IF(OR($I259="",N($H259)&lt;=0),"",$I259/$H259)</f>
        <v/>
      </c>
      <c r="K259" s="15" t="n"/>
      <c r="L259" s="17">
        <f>IF(OR($J259="",N($K259)&lt;=0),"",($K259-$J259)/$K259)</f>
        <v/>
      </c>
      <c r="M259" s="17">
        <f>IF(OR($J259="",N($K259)&lt;=0,N($J259)&lt;=0),"",($K259-$J259)/$J259)</f>
        <v/>
      </c>
      <c r="N259" s="18" t="n"/>
      <c r="O259" s="14" t="n"/>
      <c r="P259" s="14" t="n"/>
    </row>
    <row r="260">
      <c r="A260" s="14" t="n"/>
      <c r="B260" s="14" t="n"/>
      <c r="C260" s="14" t="n"/>
      <c r="D260" s="14" t="n"/>
      <c r="E260" s="14" t="n"/>
      <c r="F260" s="14" t="n"/>
      <c r="G260" s="14" t="n"/>
      <c r="H260" s="14" t="n"/>
      <c r="I260" s="15" t="n"/>
      <c r="J260" s="16">
        <f>IF(OR($I260="",N($H260)&lt;=0),"",$I260/$H260)</f>
        <v/>
      </c>
      <c r="K260" s="15" t="n"/>
      <c r="L260" s="17">
        <f>IF(OR($J260="",N($K260)&lt;=0),"",($K260-$J260)/$K260)</f>
        <v/>
      </c>
      <c r="M260" s="17">
        <f>IF(OR($J260="",N($K260)&lt;=0,N($J260)&lt;=0),"",($K260-$J260)/$J260)</f>
        <v/>
      </c>
      <c r="N260" s="18" t="n"/>
      <c r="O260" s="14" t="n"/>
      <c r="P260" s="14" t="n"/>
    </row>
    <row r="261">
      <c r="A261" s="14" t="n"/>
      <c r="B261" s="14" t="n"/>
      <c r="C261" s="14" t="n"/>
      <c r="D261" s="14" t="n"/>
      <c r="E261" s="14" t="n"/>
      <c r="F261" s="14" t="n"/>
      <c r="G261" s="14" t="n"/>
      <c r="H261" s="14" t="n"/>
      <c r="I261" s="15" t="n"/>
      <c r="J261" s="16">
        <f>IF(OR($I261="",N($H261)&lt;=0),"",$I261/$H261)</f>
        <v/>
      </c>
      <c r="K261" s="15" t="n"/>
      <c r="L261" s="17">
        <f>IF(OR($J261="",N($K261)&lt;=0),"",($K261-$J261)/$K261)</f>
        <v/>
      </c>
      <c r="M261" s="17">
        <f>IF(OR($J261="",N($K261)&lt;=0,N($J261)&lt;=0),"",($K261-$J261)/$J261)</f>
        <v/>
      </c>
      <c r="N261" s="18" t="n"/>
      <c r="O261" s="14" t="n"/>
      <c r="P261" s="14" t="n"/>
    </row>
    <row r="262">
      <c r="A262" s="14" t="n"/>
      <c r="B262" s="14" t="n"/>
      <c r="C262" s="14" t="n"/>
      <c r="D262" s="14" t="n"/>
      <c r="E262" s="14" t="n"/>
      <c r="F262" s="14" t="n"/>
      <c r="G262" s="14" t="n"/>
      <c r="H262" s="14" t="n"/>
      <c r="I262" s="15" t="n"/>
      <c r="J262" s="16">
        <f>IF(OR($I262="",N($H262)&lt;=0),"",$I262/$H262)</f>
        <v/>
      </c>
      <c r="K262" s="15" t="n"/>
      <c r="L262" s="17">
        <f>IF(OR($J262="",N($K262)&lt;=0),"",($K262-$J262)/$K262)</f>
        <v/>
      </c>
      <c r="M262" s="17">
        <f>IF(OR($J262="",N($K262)&lt;=0,N($J262)&lt;=0),"",($K262-$J262)/$J262)</f>
        <v/>
      </c>
      <c r="N262" s="18" t="n"/>
      <c r="O262" s="14" t="n"/>
      <c r="P262" s="14" t="n"/>
    </row>
    <row r="263">
      <c r="A263" s="14" t="n"/>
      <c r="B263" s="14" t="n"/>
      <c r="C263" s="14" t="n"/>
      <c r="D263" s="14" t="n"/>
      <c r="E263" s="14" t="n"/>
      <c r="F263" s="14" t="n"/>
      <c r="G263" s="14" t="n"/>
      <c r="H263" s="14" t="n"/>
      <c r="I263" s="15" t="n"/>
      <c r="J263" s="16">
        <f>IF(OR($I263="",N($H263)&lt;=0),"",$I263/$H263)</f>
        <v/>
      </c>
      <c r="K263" s="15" t="n"/>
      <c r="L263" s="17">
        <f>IF(OR($J263="",N($K263)&lt;=0),"",($K263-$J263)/$K263)</f>
        <v/>
      </c>
      <c r="M263" s="17">
        <f>IF(OR($J263="",N($K263)&lt;=0,N($J263)&lt;=0),"",($K263-$J263)/$J263)</f>
        <v/>
      </c>
      <c r="N263" s="18" t="n"/>
      <c r="O263" s="14" t="n"/>
      <c r="P263" s="14" t="n"/>
    </row>
    <row r="264">
      <c r="A264" s="14" t="n"/>
      <c r="B264" s="14" t="n"/>
      <c r="C264" s="14" t="n"/>
      <c r="D264" s="14" t="n"/>
      <c r="E264" s="14" t="n"/>
      <c r="F264" s="14" t="n"/>
      <c r="G264" s="14" t="n"/>
      <c r="H264" s="14" t="n"/>
      <c r="I264" s="15" t="n"/>
      <c r="J264" s="16">
        <f>IF(OR($I264="",N($H264)&lt;=0),"",$I264/$H264)</f>
        <v/>
      </c>
      <c r="K264" s="15" t="n"/>
      <c r="L264" s="17">
        <f>IF(OR($J264="",N($K264)&lt;=0),"",($K264-$J264)/$K264)</f>
        <v/>
      </c>
      <c r="M264" s="17">
        <f>IF(OR($J264="",N($K264)&lt;=0,N($J264)&lt;=0),"",($K264-$J264)/$J264)</f>
        <v/>
      </c>
      <c r="N264" s="18" t="n"/>
      <c r="O264" s="14" t="n"/>
      <c r="P264" s="14" t="n"/>
    </row>
    <row r="265">
      <c r="A265" s="14" t="n"/>
      <c r="B265" s="14" t="n"/>
      <c r="C265" s="14" t="n"/>
      <c r="D265" s="14" t="n"/>
      <c r="E265" s="14" t="n"/>
      <c r="F265" s="14" t="n"/>
      <c r="G265" s="14" t="n"/>
      <c r="H265" s="14" t="n"/>
      <c r="I265" s="15" t="n"/>
      <c r="J265" s="16">
        <f>IF(OR($I265="",N($H265)&lt;=0),"",$I265/$H265)</f>
        <v/>
      </c>
      <c r="K265" s="15" t="n"/>
      <c r="L265" s="17">
        <f>IF(OR($J265="",N($K265)&lt;=0),"",($K265-$J265)/$K265)</f>
        <v/>
      </c>
      <c r="M265" s="17">
        <f>IF(OR($J265="",N($K265)&lt;=0,N($J265)&lt;=0),"",($K265-$J265)/$J265)</f>
        <v/>
      </c>
      <c r="N265" s="18" t="n"/>
      <c r="O265" s="14" t="n"/>
      <c r="P265" s="14" t="n"/>
    </row>
    <row r="266">
      <c r="A266" s="14" t="n"/>
      <c r="B266" s="14" t="n"/>
      <c r="C266" s="14" t="n"/>
      <c r="D266" s="14" t="n"/>
      <c r="E266" s="14" t="n"/>
      <c r="F266" s="14" t="n"/>
      <c r="G266" s="14" t="n"/>
      <c r="H266" s="14" t="n"/>
      <c r="I266" s="15" t="n"/>
      <c r="J266" s="16">
        <f>IF(OR($I266="",N($H266)&lt;=0),"",$I266/$H266)</f>
        <v/>
      </c>
      <c r="K266" s="15" t="n"/>
      <c r="L266" s="17">
        <f>IF(OR($J266="",N($K266)&lt;=0),"",($K266-$J266)/$K266)</f>
        <v/>
      </c>
      <c r="M266" s="17">
        <f>IF(OR($J266="",N($K266)&lt;=0,N($J266)&lt;=0),"",($K266-$J266)/$J266)</f>
        <v/>
      </c>
      <c r="N266" s="18" t="n"/>
      <c r="O266" s="14" t="n"/>
      <c r="P266" s="14" t="n"/>
    </row>
    <row r="267">
      <c r="A267" s="14" t="n"/>
      <c r="B267" s="14" t="n"/>
      <c r="C267" s="14" t="n"/>
      <c r="D267" s="14" t="n"/>
      <c r="E267" s="14" t="n"/>
      <c r="F267" s="14" t="n"/>
      <c r="G267" s="14" t="n"/>
      <c r="H267" s="14" t="n"/>
      <c r="I267" s="15" t="n"/>
      <c r="J267" s="16">
        <f>IF(OR($I267="",N($H267)&lt;=0),"",$I267/$H267)</f>
        <v/>
      </c>
      <c r="K267" s="15" t="n"/>
      <c r="L267" s="17">
        <f>IF(OR($J267="",N($K267)&lt;=0),"",($K267-$J267)/$K267)</f>
        <v/>
      </c>
      <c r="M267" s="17">
        <f>IF(OR($J267="",N($K267)&lt;=0,N($J267)&lt;=0),"",($K267-$J267)/$J267)</f>
        <v/>
      </c>
      <c r="N267" s="18" t="n"/>
      <c r="O267" s="14" t="n"/>
      <c r="P267" s="14" t="n"/>
    </row>
    <row r="268">
      <c r="A268" s="14" t="n"/>
      <c r="B268" s="14" t="n"/>
      <c r="C268" s="14" t="n"/>
      <c r="D268" s="14" t="n"/>
      <c r="E268" s="14" t="n"/>
      <c r="F268" s="14" t="n"/>
      <c r="G268" s="14" t="n"/>
      <c r="H268" s="14" t="n"/>
      <c r="I268" s="15" t="n"/>
      <c r="J268" s="16">
        <f>IF(OR($I268="",N($H268)&lt;=0),"",$I268/$H268)</f>
        <v/>
      </c>
      <c r="K268" s="15" t="n"/>
      <c r="L268" s="17">
        <f>IF(OR($J268="",N($K268)&lt;=0),"",($K268-$J268)/$K268)</f>
        <v/>
      </c>
      <c r="M268" s="17">
        <f>IF(OR($J268="",N($K268)&lt;=0,N($J268)&lt;=0),"",($K268-$J268)/$J268)</f>
        <v/>
      </c>
      <c r="N268" s="18" t="n"/>
      <c r="O268" s="14" t="n"/>
      <c r="P268" s="14" t="n"/>
    </row>
    <row r="269">
      <c r="A269" s="14" t="n"/>
      <c r="B269" s="14" t="n"/>
      <c r="C269" s="14" t="n"/>
      <c r="D269" s="14" t="n"/>
      <c r="E269" s="14" t="n"/>
      <c r="F269" s="14" t="n"/>
      <c r="G269" s="14" t="n"/>
      <c r="H269" s="14" t="n"/>
      <c r="I269" s="15" t="n"/>
      <c r="J269" s="16">
        <f>IF(OR($I269="",N($H269)&lt;=0),"",$I269/$H269)</f>
        <v/>
      </c>
      <c r="K269" s="15" t="n"/>
      <c r="L269" s="17">
        <f>IF(OR($J269="",N($K269)&lt;=0),"",($K269-$J269)/$K269)</f>
        <v/>
      </c>
      <c r="M269" s="17">
        <f>IF(OR($J269="",N($K269)&lt;=0,N($J269)&lt;=0),"",($K269-$J269)/$J269)</f>
        <v/>
      </c>
      <c r="N269" s="18" t="n"/>
      <c r="O269" s="14" t="n"/>
      <c r="P269" s="14" t="n"/>
    </row>
    <row r="270">
      <c r="A270" s="14" t="n"/>
      <c r="B270" s="14" t="n"/>
      <c r="C270" s="14" t="n"/>
      <c r="D270" s="14" t="n"/>
      <c r="E270" s="14" t="n"/>
      <c r="F270" s="14" t="n"/>
      <c r="G270" s="14" t="n"/>
      <c r="H270" s="14" t="n"/>
      <c r="I270" s="15" t="n"/>
      <c r="J270" s="16">
        <f>IF(OR($I270="",N($H270)&lt;=0),"",$I270/$H270)</f>
        <v/>
      </c>
      <c r="K270" s="15" t="n"/>
      <c r="L270" s="17">
        <f>IF(OR($J270="",N($K270)&lt;=0),"",($K270-$J270)/$K270)</f>
        <v/>
      </c>
      <c r="M270" s="17">
        <f>IF(OR($J270="",N($K270)&lt;=0,N($J270)&lt;=0),"",($K270-$J270)/$J270)</f>
        <v/>
      </c>
      <c r="N270" s="18" t="n"/>
      <c r="O270" s="14" t="n"/>
      <c r="P270" s="14" t="n"/>
    </row>
    <row r="271">
      <c r="A271" s="14" t="n"/>
      <c r="B271" s="14" t="n"/>
      <c r="C271" s="14" t="n"/>
      <c r="D271" s="14" t="n"/>
      <c r="E271" s="14" t="n"/>
      <c r="F271" s="14" t="n"/>
      <c r="G271" s="14" t="n"/>
      <c r="H271" s="14" t="n"/>
      <c r="I271" s="15" t="n"/>
      <c r="J271" s="16">
        <f>IF(OR($I271="",N($H271)&lt;=0),"",$I271/$H271)</f>
        <v/>
      </c>
      <c r="K271" s="15" t="n"/>
      <c r="L271" s="17">
        <f>IF(OR($J271="",N($K271)&lt;=0),"",($K271-$J271)/$K271)</f>
        <v/>
      </c>
      <c r="M271" s="17">
        <f>IF(OR($J271="",N($K271)&lt;=0,N($J271)&lt;=0),"",($K271-$J271)/$J271)</f>
        <v/>
      </c>
      <c r="N271" s="18" t="n"/>
      <c r="O271" s="14" t="n"/>
      <c r="P271" s="14" t="n"/>
    </row>
    <row r="272">
      <c r="A272" s="14" t="n"/>
      <c r="B272" s="14" t="n"/>
      <c r="C272" s="14" t="n"/>
      <c r="D272" s="14" t="n"/>
      <c r="E272" s="14" t="n"/>
      <c r="F272" s="14" t="n"/>
      <c r="G272" s="14" t="n"/>
      <c r="H272" s="14" t="n"/>
      <c r="I272" s="15" t="n"/>
      <c r="J272" s="16">
        <f>IF(OR($I272="",N($H272)&lt;=0),"",$I272/$H272)</f>
        <v/>
      </c>
      <c r="K272" s="15" t="n"/>
      <c r="L272" s="17">
        <f>IF(OR($J272="",N($K272)&lt;=0),"",($K272-$J272)/$K272)</f>
        <v/>
      </c>
      <c r="M272" s="17">
        <f>IF(OR($J272="",N($K272)&lt;=0,N($J272)&lt;=0),"",($K272-$J272)/$J272)</f>
        <v/>
      </c>
      <c r="N272" s="18" t="n"/>
      <c r="O272" s="14" t="n"/>
      <c r="P272" s="14" t="n"/>
    </row>
    <row r="273">
      <c r="A273" s="14" t="n"/>
      <c r="B273" s="14" t="n"/>
      <c r="C273" s="14" t="n"/>
      <c r="D273" s="14" t="n"/>
      <c r="E273" s="14" t="n"/>
      <c r="F273" s="14" t="n"/>
      <c r="G273" s="14" t="n"/>
      <c r="H273" s="14" t="n"/>
      <c r="I273" s="15" t="n"/>
      <c r="J273" s="16">
        <f>IF(OR($I273="",N($H273)&lt;=0),"",$I273/$H273)</f>
        <v/>
      </c>
      <c r="K273" s="15" t="n"/>
      <c r="L273" s="17">
        <f>IF(OR($J273="",N($K273)&lt;=0),"",($K273-$J273)/$K273)</f>
        <v/>
      </c>
      <c r="M273" s="17">
        <f>IF(OR($J273="",N($K273)&lt;=0,N($J273)&lt;=0),"",($K273-$J273)/$J273)</f>
        <v/>
      </c>
      <c r="N273" s="18" t="n"/>
      <c r="O273" s="14" t="n"/>
      <c r="P273" s="14" t="n"/>
    </row>
    <row r="274">
      <c r="A274" s="14" t="n"/>
      <c r="B274" s="14" t="n"/>
      <c r="C274" s="14" t="n"/>
      <c r="D274" s="14" t="n"/>
      <c r="E274" s="14" t="n"/>
      <c r="F274" s="14" t="n"/>
      <c r="G274" s="14" t="n"/>
      <c r="H274" s="14" t="n"/>
      <c r="I274" s="15" t="n"/>
      <c r="J274" s="16">
        <f>IF(OR($I274="",N($H274)&lt;=0),"",$I274/$H274)</f>
        <v/>
      </c>
      <c r="K274" s="15" t="n"/>
      <c r="L274" s="17">
        <f>IF(OR($J274="",N($K274)&lt;=0),"",($K274-$J274)/$K274)</f>
        <v/>
      </c>
      <c r="M274" s="17">
        <f>IF(OR($J274="",N($K274)&lt;=0,N($J274)&lt;=0),"",($K274-$J274)/$J274)</f>
        <v/>
      </c>
      <c r="N274" s="18" t="n"/>
      <c r="O274" s="14" t="n"/>
      <c r="P274" s="14" t="n"/>
    </row>
    <row r="275">
      <c r="A275" s="14" t="n"/>
      <c r="B275" s="14" t="n"/>
      <c r="C275" s="14" t="n"/>
      <c r="D275" s="14" t="n"/>
      <c r="E275" s="14" t="n"/>
      <c r="F275" s="14" t="n"/>
      <c r="G275" s="14" t="n"/>
      <c r="H275" s="14" t="n"/>
      <c r="I275" s="15" t="n"/>
      <c r="J275" s="16">
        <f>IF(OR($I275="",N($H275)&lt;=0),"",$I275/$H275)</f>
        <v/>
      </c>
      <c r="K275" s="15" t="n"/>
      <c r="L275" s="17">
        <f>IF(OR($J275="",N($K275)&lt;=0),"",($K275-$J275)/$K275)</f>
        <v/>
      </c>
      <c r="M275" s="17">
        <f>IF(OR($J275="",N($K275)&lt;=0,N($J275)&lt;=0),"",($K275-$J275)/$J275)</f>
        <v/>
      </c>
      <c r="N275" s="18" t="n"/>
      <c r="O275" s="14" t="n"/>
      <c r="P275" s="14" t="n"/>
    </row>
    <row r="276">
      <c r="A276" s="14" t="n"/>
      <c r="B276" s="14" t="n"/>
      <c r="C276" s="14" t="n"/>
      <c r="D276" s="14" t="n"/>
      <c r="E276" s="14" t="n"/>
      <c r="F276" s="14" t="n"/>
      <c r="G276" s="14" t="n"/>
      <c r="H276" s="14" t="n"/>
      <c r="I276" s="15" t="n"/>
      <c r="J276" s="16">
        <f>IF(OR($I276="",N($H276)&lt;=0),"",$I276/$H276)</f>
        <v/>
      </c>
      <c r="K276" s="15" t="n"/>
      <c r="L276" s="17">
        <f>IF(OR($J276="",N($K276)&lt;=0),"",($K276-$J276)/$K276)</f>
        <v/>
      </c>
      <c r="M276" s="17">
        <f>IF(OR($J276="",N($K276)&lt;=0,N($J276)&lt;=0),"",($K276-$J276)/$J276)</f>
        <v/>
      </c>
      <c r="N276" s="18" t="n"/>
      <c r="O276" s="14" t="n"/>
      <c r="P276" s="14" t="n"/>
    </row>
    <row r="277">
      <c r="A277" s="14" t="n"/>
      <c r="B277" s="14" t="n"/>
      <c r="C277" s="14" t="n"/>
      <c r="D277" s="14" t="n"/>
      <c r="E277" s="14" t="n"/>
      <c r="F277" s="14" t="n"/>
      <c r="G277" s="14" t="n"/>
      <c r="H277" s="14" t="n"/>
      <c r="I277" s="15" t="n"/>
      <c r="J277" s="16">
        <f>IF(OR($I277="",N($H277)&lt;=0),"",$I277/$H277)</f>
        <v/>
      </c>
      <c r="K277" s="15" t="n"/>
      <c r="L277" s="17">
        <f>IF(OR($J277="",N($K277)&lt;=0),"",($K277-$J277)/$K277)</f>
        <v/>
      </c>
      <c r="M277" s="17">
        <f>IF(OR($J277="",N($K277)&lt;=0,N($J277)&lt;=0),"",($K277-$J277)/$J277)</f>
        <v/>
      </c>
      <c r="N277" s="18" t="n"/>
      <c r="O277" s="14" t="n"/>
      <c r="P277" s="14" t="n"/>
    </row>
    <row r="278">
      <c r="A278" s="14" t="n"/>
      <c r="B278" s="14" t="n"/>
      <c r="C278" s="14" t="n"/>
      <c r="D278" s="14" t="n"/>
      <c r="E278" s="14" t="n"/>
      <c r="F278" s="14" t="n"/>
      <c r="G278" s="14" t="n"/>
      <c r="H278" s="14" t="n"/>
      <c r="I278" s="15" t="n"/>
      <c r="J278" s="16">
        <f>IF(OR($I278="",N($H278)&lt;=0),"",$I278/$H278)</f>
        <v/>
      </c>
      <c r="K278" s="15" t="n"/>
      <c r="L278" s="17">
        <f>IF(OR($J278="",N($K278)&lt;=0),"",($K278-$J278)/$K278)</f>
        <v/>
      </c>
      <c r="M278" s="17">
        <f>IF(OR($J278="",N($K278)&lt;=0,N($J278)&lt;=0),"",($K278-$J278)/$J278)</f>
        <v/>
      </c>
      <c r="N278" s="18" t="n"/>
      <c r="O278" s="14" t="n"/>
      <c r="P278" s="14" t="n"/>
    </row>
    <row r="279">
      <c r="A279" s="14" t="n"/>
      <c r="B279" s="14" t="n"/>
      <c r="C279" s="14" t="n"/>
      <c r="D279" s="14" t="n"/>
      <c r="E279" s="14" t="n"/>
      <c r="F279" s="14" t="n"/>
      <c r="G279" s="14" t="n"/>
      <c r="H279" s="14" t="n"/>
      <c r="I279" s="15" t="n"/>
      <c r="J279" s="16">
        <f>IF(OR($I279="",N($H279)&lt;=0),"",$I279/$H279)</f>
        <v/>
      </c>
      <c r="K279" s="15" t="n"/>
      <c r="L279" s="17">
        <f>IF(OR($J279="",N($K279)&lt;=0),"",($K279-$J279)/$K279)</f>
        <v/>
      </c>
      <c r="M279" s="17">
        <f>IF(OR($J279="",N($K279)&lt;=0,N($J279)&lt;=0),"",($K279-$J279)/$J279)</f>
        <v/>
      </c>
      <c r="N279" s="18" t="n"/>
      <c r="O279" s="14" t="n"/>
      <c r="P279" s="14" t="n"/>
    </row>
    <row r="280">
      <c r="A280" s="14" t="n"/>
      <c r="B280" s="14" t="n"/>
      <c r="C280" s="14" t="n"/>
      <c r="D280" s="14" t="n"/>
      <c r="E280" s="14" t="n"/>
      <c r="F280" s="14" t="n"/>
      <c r="G280" s="14" t="n"/>
      <c r="H280" s="14" t="n"/>
      <c r="I280" s="15" t="n"/>
      <c r="J280" s="16">
        <f>IF(OR($I280="",N($H280)&lt;=0),"",$I280/$H280)</f>
        <v/>
      </c>
      <c r="K280" s="15" t="n"/>
      <c r="L280" s="17">
        <f>IF(OR($J280="",N($K280)&lt;=0),"",($K280-$J280)/$K280)</f>
        <v/>
      </c>
      <c r="M280" s="17">
        <f>IF(OR($J280="",N($K280)&lt;=0,N($J280)&lt;=0),"",($K280-$J280)/$J280)</f>
        <v/>
      </c>
      <c r="N280" s="18" t="n"/>
      <c r="O280" s="14" t="n"/>
      <c r="P280" s="14" t="n"/>
    </row>
    <row r="281">
      <c r="A281" s="14" t="n"/>
      <c r="B281" s="14" t="n"/>
      <c r="C281" s="14" t="n"/>
      <c r="D281" s="14" t="n"/>
      <c r="E281" s="14" t="n"/>
      <c r="F281" s="14" t="n"/>
      <c r="G281" s="14" t="n"/>
      <c r="H281" s="14" t="n"/>
      <c r="I281" s="15" t="n"/>
      <c r="J281" s="16">
        <f>IF(OR($I281="",N($H281)&lt;=0),"",$I281/$H281)</f>
        <v/>
      </c>
      <c r="K281" s="15" t="n"/>
      <c r="L281" s="17">
        <f>IF(OR($J281="",N($K281)&lt;=0),"",($K281-$J281)/$K281)</f>
        <v/>
      </c>
      <c r="M281" s="17">
        <f>IF(OR($J281="",N($K281)&lt;=0,N($J281)&lt;=0),"",($K281-$J281)/$J281)</f>
        <v/>
      </c>
      <c r="N281" s="18" t="n"/>
      <c r="O281" s="14" t="n"/>
      <c r="P281" s="14" t="n"/>
    </row>
    <row r="282">
      <c r="A282" s="14" t="n"/>
      <c r="B282" s="14" t="n"/>
      <c r="C282" s="14" t="n"/>
      <c r="D282" s="14" t="n"/>
      <c r="E282" s="14" t="n"/>
      <c r="F282" s="14" t="n"/>
      <c r="G282" s="14" t="n"/>
      <c r="H282" s="14" t="n"/>
      <c r="I282" s="15" t="n"/>
      <c r="J282" s="16">
        <f>IF(OR($I282="",N($H282)&lt;=0),"",$I282/$H282)</f>
        <v/>
      </c>
      <c r="K282" s="15" t="n"/>
      <c r="L282" s="17">
        <f>IF(OR($J282="",N($K282)&lt;=0),"",($K282-$J282)/$K282)</f>
        <v/>
      </c>
      <c r="M282" s="17">
        <f>IF(OR($J282="",N($K282)&lt;=0,N($J282)&lt;=0),"",($K282-$J282)/$J282)</f>
        <v/>
      </c>
      <c r="N282" s="18" t="n"/>
      <c r="O282" s="14" t="n"/>
      <c r="P282" s="14" t="n"/>
    </row>
    <row r="283">
      <c r="A283" s="14" t="n"/>
      <c r="B283" s="14" t="n"/>
      <c r="C283" s="14" t="n"/>
      <c r="D283" s="14" t="n"/>
      <c r="E283" s="14" t="n"/>
      <c r="F283" s="14" t="n"/>
      <c r="G283" s="14" t="n"/>
      <c r="H283" s="14" t="n"/>
      <c r="I283" s="15" t="n"/>
      <c r="J283" s="16">
        <f>IF(OR($I283="",N($H283)&lt;=0),"",$I283/$H283)</f>
        <v/>
      </c>
      <c r="K283" s="15" t="n"/>
      <c r="L283" s="17">
        <f>IF(OR($J283="",N($K283)&lt;=0),"",($K283-$J283)/$K283)</f>
        <v/>
      </c>
      <c r="M283" s="17">
        <f>IF(OR($J283="",N($K283)&lt;=0,N($J283)&lt;=0),"",($K283-$J283)/$J283)</f>
        <v/>
      </c>
      <c r="N283" s="18" t="n"/>
      <c r="O283" s="14" t="n"/>
      <c r="P283" s="14" t="n"/>
    </row>
    <row r="284">
      <c r="A284" s="14" t="n"/>
      <c r="B284" s="14" t="n"/>
      <c r="C284" s="14" t="n"/>
      <c r="D284" s="14" t="n"/>
      <c r="E284" s="14" t="n"/>
      <c r="F284" s="14" t="n"/>
      <c r="G284" s="14" t="n"/>
      <c r="H284" s="14" t="n"/>
      <c r="I284" s="15" t="n"/>
      <c r="J284" s="16">
        <f>IF(OR($I284="",N($H284)&lt;=0),"",$I284/$H284)</f>
        <v/>
      </c>
      <c r="K284" s="15" t="n"/>
      <c r="L284" s="17">
        <f>IF(OR($J284="",N($K284)&lt;=0),"",($K284-$J284)/$K284)</f>
        <v/>
      </c>
      <c r="M284" s="17">
        <f>IF(OR($J284="",N($K284)&lt;=0,N($J284)&lt;=0),"",($K284-$J284)/$J284)</f>
        <v/>
      </c>
      <c r="N284" s="18" t="n"/>
      <c r="O284" s="14" t="n"/>
      <c r="P284" s="14" t="n"/>
    </row>
    <row r="285">
      <c r="A285" s="14" t="n"/>
      <c r="B285" s="14" t="n"/>
      <c r="C285" s="14" t="n"/>
      <c r="D285" s="14" t="n"/>
      <c r="E285" s="14" t="n"/>
      <c r="F285" s="14" t="n"/>
      <c r="G285" s="14" t="n"/>
      <c r="H285" s="14" t="n"/>
      <c r="I285" s="15" t="n"/>
      <c r="J285" s="16">
        <f>IF(OR($I285="",N($H285)&lt;=0),"",$I285/$H285)</f>
        <v/>
      </c>
      <c r="K285" s="15" t="n"/>
      <c r="L285" s="17">
        <f>IF(OR($J285="",N($K285)&lt;=0),"",($K285-$J285)/$K285)</f>
        <v/>
      </c>
      <c r="M285" s="17">
        <f>IF(OR($J285="",N($K285)&lt;=0,N($J285)&lt;=0),"",($K285-$J285)/$J285)</f>
        <v/>
      </c>
      <c r="N285" s="18" t="n"/>
      <c r="O285" s="14" t="n"/>
      <c r="P285" s="14" t="n"/>
    </row>
    <row r="286">
      <c r="A286" s="14" t="n"/>
      <c r="B286" s="14" t="n"/>
      <c r="C286" s="14" t="n"/>
      <c r="D286" s="14" t="n"/>
      <c r="E286" s="14" t="n"/>
      <c r="F286" s="14" t="n"/>
      <c r="G286" s="14" t="n"/>
      <c r="H286" s="14" t="n"/>
      <c r="I286" s="15" t="n"/>
      <c r="J286" s="16">
        <f>IF(OR($I286="",N($H286)&lt;=0),"",$I286/$H286)</f>
        <v/>
      </c>
      <c r="K286" s="15" t="n"/>
      <c r="L286" s="17">
        <f>IF(OR($J286="",N($K286)&lt;=0),"",($K286-$J286)/$K286)</f>
        <v/>
      </c>
      <c r="M286" s="17">
        <f>IF(OR($J286="",N($K286)&lt;=0,N($J286)&lt;=0),"",($K286-$J286)/$J286)</f>
        <v/>
      </c>
      <c r="N286" s="18" t="n"/>
      <c r="O286" s="14" t="n"/>
      <c r="P286" s="14" t="n"/>
    </row>
    <row r="287">
      <c r="A287" s="14" t="n"/>
      <c r="B287" s="14" t="n"/>
      <c r="C287" s="14" t="n"/>
      <c r="D287" s="14" t="n"/>
      <c r="E287" s="14" t="n"/>
      <c r="F287" s="14" t="n"/>
      <c r="G287" s="14" t="n"/>
      <c r="H287" s="14" t="n"/>
      <c r="I287" s="15" t="n"/>
      <c r="J287" s="16">
        <f>IF(OR($I287="",N($H287)&lt;=0),"",$I287/$H287)</f>
        <v/>
      </c>
      <c r="K287" s="15" t="n"/>
      <c r="L287" s="17">
        <f>IF(OR($J287="",N($K287)&lt;=0),"",($K287-$J287)/$K287)</f>
        <v/>
      </c>
      <c r="M287" s="17">
        <f>IF(OR($J287="",N($K287)&lt;=0,N($J287)&lt;=0),"",($K287-$J287)/$J287)</f>
        <v/>
      </c>
      <c r="N287" s="18" t="n"/>
      <c r="O287" s="14" t="n"/>
      <c r="P287" s="14" t="n"/>
    </row>
    <row r="288">
      <c r="A288" s="14" t="n"/>
      <c r="B288" s="14" t="n"/>
      <c r="C288" s="14" t="n"/>
      <c r="D288" s="14" t="n"/>
      <c r="E288" s="14" t="n"/>
      <c r="F288" s="14" t="n"/>
      <c r="G288" s="14" t="n"/>
      <c r="H288" s="14" t="n"/>
      <c r="I288" s="15" t="n"/>
      <c r="J288" s="16">
        <f>IF(OR($I288="",N($H288)&lt;=0),"",$I288/$H288)</f>
        <v/>
      </c>
      <c r="K288" s="15" t="n"/>
      <c r="L288" s="17">
        <f>IF(OR($J288="",N($K288)&lt;=0),"",($K288-$J288)/$K288)</f>
        <v/>
      </c>
      <c r="M288" s="17">
        <f>IF(OR($J288="",N($K288)&lt;=0,N($J288)&lt;=0),"",($K288-$J288)/$J288)</f>
        <v/>
      </c>
      <c r="N288" s="18" t="n"/>
      <c r="O288" s="14" t="n"/>
      <c r="P288" s="14" t="n"/>
    </row>
    <row r="289">
      <c r="A289" s="14" t="n"/>
      <c r="B289" s="14" t="n"/>
      <c r="C289" s="14" t="n"/>
      <c r="D289" s="14" t="n"/>
      <c r="E289" s="14" t="n"/>
      <c r="F289" s="14" t="n"/>
      <c r="G289" s="14" t="n"/>
      <c r="H289" s="14" t="n"/>
      <c r="I289" s="15" t="n"/>
      <c r="J289" s="16">
        <f>IF(OR($I289="",N($H289)&lt;=0),"",$I289/$H289)</f>
        <v/>
      </c>
      <c r="K289" s="15" t="n"/>
      <c r="L289" s="17">
        <f>IF(OR($J289="",N($K289)&lt;=0),"",($K289-$J289)/$K289)</f>
        <v/>
      </c>
      <c r="M289" s="17">
        <f>IF(OR($J289="",N($K289)&lt;=0,N($J289)&lt;=0),"",($K289-$J289)/$J289)</f>
        <v/>
      </c>
      <c r="N289" s="18" t="n"/>
      <c r="O289" s="14" t="n"/>
      <c r="P289" s="14" t="n"/>
    </row>
    <row r="290">
      <c r="A290" s="14" t="n"/>
      <c r="B290" s="14" t="n"/>
      <c r="C290" s="14" t="n"/>
      <c r="D290" s="14" t="n"/>
      <c r="E290" s="14" t="n"/>
      <c r="F290" s="14" t="n"/>
      <c r="G290" s="14" t="n"/>
      <c r="H290" s="14" t="n"/>
      <c r="I290" s="15" t="n"/>
      <c r="J290" s="16">
        <f>IF(OR($I290="",N($H290)&lt;=0),"",$I290/$H290)</f>
        <v/>
      </c>
      <c r="K290" s="15" t="n"/>
      <c r="L290" s="17">
        <f>IF(OR($J290="",N($K290)&lt;=0),"",($K290-$J290)/$K290)</f>
        <v/>
      </c>
      <c r="M290" s="17">
        <f>IF(OR($J290="",N($K290)&lt;=0,N($J290)&lt;=0),"",($K290-$J290)/$J290)</f>
        <v/>
      </c>
      <c r="N290" s="18" t="n"/>
      <c r="O290" s="14" t="n"/>
      <c r="P290" s="14" t="n"/>
    </row>
    <row r="291">
      <c r="A291" s="14" t="n"/>
      <c r="B291" s="14" t="n"/>
      <c r="C291" s="14" t="n"/>
      <c r="D291" s="14" t="n"/>
      <c r="E291" s="14" t="n"/>
      <c r="F291" s="14" t="n"/>
      <c r="G291" s="14" t="n"/>
      <c r="H291" s="14" t="n"/>
      <c r="I291" s="15" t="n"/>
      <c r="J291" s="16">
        <f>IF(OR($I291="",N($H291)&lt;=0),"",$I291/$H291)</f>
        <v/>
      </c>
      <c r="K291" s="15" t="n"/>
      <c r="L291" s="17">
        <f>IF(OR($J291="",N($K291)&lt;=0),"",($K291-$J291)/$K291)</f>
        <v/>
      </c>
      <c r="M291" s="17">
        <f>IF(OR($J291="",N($K291)&lt;=0,N($J291)&lt;=0),"",($K291-$J291)/$J291)</f>
        <v/>
      </c>
      <c r="N291" s="18" t="n"/>
      <c r="O291" s="14" t="n"/>
      <c r="P291" s="14" t="n"/>
    </row>
    <row r="292">
      <c r="A292" s="14" t="n"/>
      <c r="B292" s="14" t="n"/>
      <c r="C292" s="14" t="n"/>
      <c r="D292" s="14" t="n"/>
      <c r="E292" s="14" t="n"/>
      <c r="F292" s="14" t="n"/>
      <c r="G292" s="14" t="n"/>
      <c r="H292" s="14" t="n"/>
      <c r="I292" s="15" t="n"/>
      <c r="J292" s="16">
        <f>IF(OR($I292="",N($H292)&lt;=0),"",$I292/$H292)</f>
        <v/>
      </c>
      <c r="K292" s="15" t="n"/>
      <c r="L292" s="17">
        <f>IF(OR($J292="",N($K292)&lt;=0),"",($K292-$J292)/$K292)</f>
        <v/>
      </c>
      <c r="M292" s="17">
        <f>IF(OR($J292="",N($K292)&lt;=0,N($J292)&lt;=0),"",($K292-$J292)/$J292)</f>
        <v/>
      </c>
      <c r="N292" s="18" t="n"/>
      <c r="O292" s="14" t="n"/>
      <c r="P292" s="14" t="n"/>
    </row>
    <row r="293">
      <c r="A293" s="14" t="n"/>
      <c r="B293" s="14" t="n"/>
      <c r="C293" s="14" t="n"/>
      <c r="D293" s="14" t="n"/>
      <c r="E293" s="14" t="n"/>
      <c r="F293" s="14" t="n"/>
      <c r="G293" s="14" t="n"/>
      <c r="H293" s="14" t="n"/>
      <c r="I293" s="15" t="n"/>
      <c r="J293" s="16">
        <f>IF(OR($I293="",N($H293)&lt;=0),"",$I293/$H293)</f>
        <v/>
      </c>
      <c r="K293" s="15" t="n"/>
      <c r="L293" s="17">
        <f>IF(OR($J293="",N($K293)&lt;=0),"",($K293-$J293)/$K293)</f>
        <v/>
      </c>
      <c r="M293" s="17">
        <f>IF(OR($J293="",N($K293)&lt;=0,N($J293)&lt;=0),"",($K293-$J293)/$J293)</f>
        <v/>
      </c>
      <c r="N293" s="18" t="n"/>
      <c r="O293" s="14" t="n"/>
      <c r="P293" s="14" t="n"/>
    </row>
    <row r="294">
      <c r="A294" s="14" t="n"/>
      <c r="B294" s="14" t="n"/>
      <c r="C294" s="14" t="n"/>
      <c r="D294" s="14" t="n"/>
      <c r="E294" s="14" t="n"/>
      <c r="F294" s="14" t="n"/>
      <c r="G294" s="14" t="n"/>
      <c r="H294" s="14" t="n"/>
      <c r="I294" s="15" t="n"/>
      <c r="J294" s="16">
        <f>IF(OR($I294="",N($H294)&lt;=0),"",$I294/$H294)</f>
        <v/>
      </c>
      <c r="K294" s="15" t="n"/>
      <c r="L294" s="17">
        <f>IF(OR($J294="",N($K294)&lt;=0),"",($K294-$J294)/$K294)</f>
        <v/>
      </c>
      <c r="M294" s="17">
        <f>IF(OR($J294="",N($K294)&lt;=0,N($J294)&lt;=0),"",($K294-$J294)/$J294)</f>
        <v/>
      </c>
      <c r="N294" s="18" t="n"/>
      <c r="O294" s="14" t="n"/>
      <c r="P294" s="14" t="n"/>
    </row>
    <row r="295">
      <c r="A295" s="14" t="n"/>
      <c r="B295" s="14" t="n"/>
      <c r="C295" s="14" t="n"/>
      <c r="D295" s="14" t="n"/>
      <c r="E295" s="14" t="n"/>
      <c r="F295" s="14" t="n"/>
      <c r="G295" s="14" t="n"/>
      <c r="H295" s="14" t="n"/>
      <c r="I295" s="15" t="n"/>
      <c r="J295" s="16">
        <f>IF(OR($I295="",N($H295)&lt;=0),"",$I295/$H295)</f>
        <v/>
      </c>
      <c r="K295" s="15" t="n"/>
      <c r="L295" s="17">
        <f>IF(OR($J295="",N($K295)&lt;=0),"",($K295-$J295)/$K295)</f>
        <v/>
      </c>
      <c r="M295" s="17">
        <f>IF(OR($J295="",N($K295)&lt;=0,N($J295)&lt;=0),"",($K295-$J295)/$J295)</f>
        <v/>
      </c>
      <c r="N295" s="18" t="n"/>
      <c r="O295" s="14" t="n"/>
      <c r="P295" s="14" t="n"/>
    </row>
    <row r="296">
      <c r="A296" s="14" t="n"/>
      <c r="B296" s="14" t="n"/>
      <c r="C296" s="14" t="n"/>
      <c r="D296" s="14" t="n"/>
      <c r="E296" s="14" t="n"/>
      <c r="F296" s="14" t="n"/>
      <c r="G296" s="14" t="n"/>
      <c r="H296" s="14" t="n"/>
      <c r="I296" s="15" t="n"/>
      <c r="J296" s="16">
        <f>IF(OR($I296="",N($H296)&lt;=0),"",$I296/$H296)</f>
        <v/>
      </c>
      <c r="K296" s="15" t="n"/>
      <c r="L296" s="17">
        <f>IF(OR($J296="",N($K296)&lt;=0),"",($K296-$J296)/$K296)</f>
        <v/>
      </c>
      <c r="M296" s="17">
        <f>IF(OR($J296="",N($K296)&lt;=0,N($J296)&lt;=0),"",($K296-$J296)/$J296)</f>
        <v/>
      </c>
      <c r="N296" s="18" t="n"/>
      <c r="O296" s="14" t="n"/>
      <c r="P296" s="14" t="n"/>
    </row>
    <row r="297">
      <c r="A297" s="14" t="n"/>
      <c r="B297" s="14" t="n"/>
      <c r="C297" s="14" t="n"/>
      <c r="D297" s="14" t="n"/>
      <c r="E297" s="14" t="n"/>
      <c r="F297" s="14" t="n"/>
      <c r="G297" s="14" t="n"/>
      <c r="H297" s="14" t="n"/>
      <c r="I297" s="15" t="n"/>
      <c r="J297" s="16">
        <f>IF(OR($I297="",N($H297)&lt;=0),"",$I297/$H297)</f>
        <v/>
      </c>
      <c r="K297" s="15" t="n"/>
      <c r="L297" s="17">
        <f>IF(OR($J297="",N($K297)&lt;=0),"",($K297-$J297)/$K297)</f>
        <v/>
      </c>
      <c r="M297" s="17">
        <f>IF(OR($J297="",N($K297)&lt;=0,N($J297)&lt;=0),"",($K297-$J297)/$J297)</f>
        <v/>
      </c>
      <c r="N297" s="18" t="n"/>
      <c r="O297" s="14" t="n"/>
      <c r="P297" s="14" t="n"/>
    </row>
    <row r="298">
      <c r="A298" s="14" t="n"/>
      <c r="B298" s="14" t="n"/>
      <c r="C298" s="14" t="n"/>
      <c r="D298" s="14" t="n"/>
      <c r="E298" s="14" t="n"/>
      <c r="F298" s="14" t="n"/>
      <c r="G298" s="14" t="n"/>
      <c r="H298" s="14" t="n"/>
      <c r="I298" s="15" t="n"/>
      <c r="J298" s="16">
        <f>IF(OR($I298="",N($H298)&lt;=0),"",$I298/$H298)</f>
        <v/>
      </c>
      <c r="K298" s="15" t="n"/>
      <c r="L298" s="17">
        <f>IF(OR($J298="",N($K298)&lt;=0),"",($K298-$J298)/$K298)</f>
        <v/>
      </c>
      <c r="M298" s="17">
        <f>IF(OR($J298="",N($K298)&lt;=0,N($J298)&lt;=0),"",($K298-$J298)/$J298)</f>
        <v/>
      </c>
      <c r="N298" s="18" t="n"/>
      <c r="O298" s="14" t="n"/>
      <c r="P298" s="14" t="n"/>
    </row>
    <row r="299">
      <c r="A299" s="14" t="n"/>
      <c r="B299" s="14" t="n"/>
      <c r="C299" s="14" t="n"/>
      <c r="D299" s="14" t="n"/>
      <c r="E299" s="14" t="n"/>
      <c r="F299" s="14" t="n"/>
      <c r="G299" s="14" t="n"/>
      <c r="H299" s="14" t="n"/>
      <c r="I299" s="15" t="n"/>
      <c r="J299" s="16">
        <f>IF(OR($I299="",N($H299)&lt;=0),"",$I299/$H299)</f>
        <v/>
      </c>
      <c r="K299" s="15" t="n"/>
      <c r="L299" s="17">
        <f>IF(OR($J299="",N($K299)&lt;=0),"",($K299-$J299)/$K299)</f>
        <v/>
      </c>
      <c r="M299" s="17">
        <f>IF(OR($J299="",N($K299)&lt;=0,N($J299)&lt;=0),"",($K299-$J299)/$J299)</f>
        <v/>
      </c>
      <c r="N299" s="18" t="n"/>
      <c r="O299" s="14" t="n"/>
      <c r="P299" s="14" t="n"/>
    </row>
    <row r="300">
      <c r="A300" s="14" t="n"/>
      <c r="B300" s="14" t="n"/>
      <c r="C300" s="14" t="n"/>
      <c r="D300" s="14" t="n"/>
      <c r="E300" s="14" t="n"/>
      <c r="F300" s="14" t="n"/>
      <c r="G300" s="14" t="n"/>
      <c r="H300" s="14" t="n"/>
      <c r="I300" s="15" t="n"/>
      <c r="J300" s="16">
        <f>IF(OR($I300="",N($H300)&lt;=0),"",$I300/$H300)</f>
        <v/>
      </c>
      <c r="K300" s="15" t="n"/>
      <c r="L300" s="17">
        <f>IF(OR($J300="",N($K300)&lt;=0),"",($K300-$J300)/$K300)</f>
        <v/>
      </c>
      <c r="M300" s="17">
        <f>IF(OR($J300="",N($K300)&lt;=0,N($J300)&lt;=0),"",($K300-$J300)/$J300)</f>
        <v/>
      </c>
      <c r="N300" s="18" t="n"/>
      <c r="O300" s="14" t="n"/>
      <c r="P300" s="14" t="n"/>
    </row>
    <row r="301">
      <c r="A301" s="14" t="n"/>
      <c r="B301" s="14" t="n"/>
      <c r="C301" s="14" t="n"/>
      <c r="D301" s="14" t="n"/>
      <c r="E301" s="14" t="n"/>
      <c r="F301" s="14" t="n"/>
      <c r="G301" s="14" t="n"/>
      <c r="H301" s="14" t="n"/>
      <c r="I301" s="15" t="n"/>
      <c r="J301" s="16">
        <f>IF(OR($I301="",N($H301)&lt;=0),"",$I301/$H301)</f>
        <v/>
      </c>
      <c r="K301" s="15" t="n"/>
      <c r="L301" s="17">
        <f>IF(OR($J301="",N($K301)&lt;=0),"",($K301-$J301)/$K301)</f>
        <v/>
      </c>
      <c r="M301" s="17">
        <f>IF(OR($J301="",N($K301)&lt;=0,N($J301)&lt;=0),"",($K301-$J301)/$J301)</f>
        <v/>
      </c>
      <c r="N301" s="18" t="n"/>
      <c r="O301" s="14" t="n"/>
      <c r="P301" s="14" t="n"/>
    </row>
  </sheetData>
  <dataValidations count="4">
    <dataValidation sqref="C2:C301" showDropDown="0" showInputMessage="0" showErrorMessage="0" allowBlank="1" type="list">
      <formula1>=Configuración!$B$4:$B$13</formula1>
    </dataValidation>
    <dataValidation sqref="G2:G301" showDropDown="0" showInputMessage="0" showErrorMessage="0" allowBlank="1" type="list">
      <formula1>=Configuración!$B$26:$B$45</formula1>
    </dataValidation>
    <dataValidation sqref="O2:O301" showDropDown="0" showInputMessage="0" showErrorMessage="0" allowBlank="1" type="list">
      <formula1>=Configuración!$B$16:$B$23</formula1>
    </dataValidation>
    <dataValidation sqref="H2:H301" showDropDown="0" showInputMessage="0" showErrorMessage="0" allowBlank="1" type="whole" operator="greaterThan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FAF22"/>
    <outlinePr summaryBelow="1" summaryRight="1"/>
    <pageSetUpPr/>
  </sheetPr>
  <dimension ref="A1:S2001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9" customWidth="1" min="2" max="2"/>
    <col width="24" customWidth="1" min="3" max="3"/>
    <col width="11" customWidth="1" min="4" max="4"/>
    <col width="12" customWidth="1" min="5" max="5"/>
    <col width="9" customWidth="1" min="6" max="6"/>
    <col width="9" customWidth="1" min="7" max="7"/>
    <col width="10" customWidth="1" min="8" max="8"/>
    <col width="13" customWidth="1" min="9" max="9"/>
    <col width="10" customWidth="1" min="10" max="10"/>
    <col width="13" customWidth="1" min="11" max="11"/>
    <col width="13" customWidth="1" min="12" max="12"/>
    <col width="11" customWidth="1" min="13" max="13"/>
    <col width="18" customWidth="1" min="14" max="14"/>
    <col width="12" customWidth="1" min="15" max="15"/>
    <col width="24" customWidth="1" min="16" max="16"/>
    <col width="13" customWidth="1" min="17" max="17"/>
    <col width="7" customWidth="1" min="18" max="18"/>
    <col width="7" customWidth="1" min="19" max="19"/>
  </cols>
  <sheetData>
    <row r="1" ht="54" customHeight="1">
      <c r="A1" s="13" t="inlineStr">
        <is>
          <t>Fecha</t>
        </is>
      </c>
      <c r="B1" s="13" t="inlineStr">
        <is>
          <t>Código</t>
        </is>
      </c>
      <c r="C1" s="13" t="inlineStr">
        <is>
          <t>Vino</t>
        </is>
      </c>
      <c r="D1" s="13" t="inlineStr">
        <is>
          <t>Añada / lote contado</t>
        </is>
      </c>
      <c r="E1" s="13" t="inlineStr">
        <is>
          <t>Ubicación</t>
        </is>
      </c>
      <c r="F1" s="13" t="inlineStr">
        <is>
          <t>Cajas cerradas</t>
        </is>
      </c>
      <c r="G1" s="13" t="inlineStr">
        <is>
          <t>Botellas sueltas</t>
        </is>
      </c>
      <c r="H1" s="13" t="inlineStr">
        <is>
          <t>Total botellas</t>
        </is>
      </c>
      <c r="I1" s="13" t="inlineStr">
        <is>
          <t>Stock según sistema o registro (opcional)</t>
        </is>
      </c>
      <c r="J1" s="13" t="inlineStr">
        <is>
          <t>Diferencia</t>
        </is>
      </c>
      <c r="K1" s="13" t="inlineStr">
        <is>
          <t>Valor al costo</t>
        </is>
      </c>
      <c r="L1" s="13" t="inlineStr">
        <is>
          <t>Valor a precio de venta</t>
        </is>
      </c>
      <c r="M1" s="13" t="inlineStr">
        <is>
          <t>Total del vino en la fecha</t>
        </is>
      </c>
      <c r="N1" s="13" t="inlineStr">
        <is>
          <t>Estado</t>
        </is>
      </c>
      <c r="O1" s="13" t="inlineStr">
        <is>
          <t>Contó</t>
        </is>
      </c>
      <c r="P1" s="13" t="inlineStr">
        <is>
          <t>Observaciones</t>
        </is>
      </c>
      <c r="Q1" s="13" t="inlineStr">
        <is>
          <t>Tipo</t>
        </is>
      </c>
      <c r="R1" s="13" t="inlineStr">
        <is>
          <t>Para reponer</t>
        </is>
      </c>
      <c r="S1" s="13" t="inlineStr">
        <is>
          <t>N° resumen</t>
        </is>
      </c>
    </row>
    <row r="2">
      <c r="A2" s="19" t="n">
        <v>46319</v>
      </c>
      <c r="B2" s="14" t="inlineStr">
        <is>
          <t>V-01</t>
        </is>
      </c>
      <c r="C2" s="20">
        <f>IF($B2="","",IFERROR(INDEX(Vinos!$B$2:$B$301,MATCH($B2,Vinos!$A$2:$A$301,0)),"Código no cargado"))</f>
        <v/>
      </c>
      <c r="D2" s="14" t="n"/>
      <c r="E2" s="14" t="inlineStr">
        <is>
          <t>Góndola</t>
        </is>
      </c>
      <c r="F2" s="18" t="n">
        <v>1</v>
      </c>
      <c r="G2" s="18" t="n">
        <v>4</v>
      </c>
      <c r="H2" s="21">
        <f>IF(AND($F2="",$G2=""),"",N($F2)*IFERROR(N(INDEX(Vinos!$H$2:$H$301,MATCH($B2,Vinos!$A$2:$A$301,0))),0)+N($G2))</f>
        <v/>
      </c>
      <c r="I2" s="18" t="n">
        <v>10</v>
      </c>
      <c r="J2" s="21">
        <f>IF(OR($H2="",$I2=""),"",$H2-$I2)</f>
        <v/>
      </c>
      <c r="K2" s="16">
        <f>IF($H2="","",IFERROR(IF(INDEX(Vinos!$J$2:$J$301,MATCH($B2,Vinos!$A$2:$A$301,0))="","",$H2*INDEX(Vinos!$J$2:$J$301,MATCH($B2,Vinos!$A$2:$A$301,0))),""))</f>
        <v/>
      </c>
      <c r="L2" s="16">
        <f>IF($H2="","",IFERROR(IF(INDEX(Vinos!$K$2:$K$301,MATCH($B2,Vinos!$A$2:$A$301,0))="","",$H2*INDEX(Vinos!$K$2:$K$301,MATCH($B2,Vinos!$A$2:$A$301,0))),""))</f>
        <v/>
      </c>
      <c r="M2" s="21">
        <f>IF(OR($A2="",$B2=""),"",SUMIFS($H$2:$H$2001,$A$2:$A$2001,$A2,$B$2:$B$2001,$B2))</f>
        <v/>
      </c>
      <c r="N2" s="20">
        <f>IF($M2="","",IF($M2&lt;=0,"Sin stock: reponer ya",IF($M2&lt;IFERROR(N(INDEX(Vinos!$N$2:$N$301,MATCH($B2,Vinos!$A$2:$A$301,0))),0),"Bajo mínimo: reponer","OK")))</f>
        <v/>
      </c>
      <c r="O2" s="14" t="inlineStr">
        <is>
          <t>Encargado/a</t>
        </is>
      </c>
      <c r="P2" s="14" t="n"/>
      <c r="Q2" s="20">
        <f>IF($B2="","",IFERROR(INDEX(Vinos!$C$2:$C$301,MATCH($B2,Vinos!$A$2:$A$301,0)),""))</f>
        <v/>
      </c>
      <c r="R2" s="20">
        <f>IF(OR($A2="",$A2&lt;&gt;'Resumen del inventario'!$C$3,$N2="",$N2="OK"),"",IF(COUNTIFS($A$2:$A2,$A2,$B$2:$B2,$B2)=1,1,""))</f>
        <v/>
      </c>
      <c r="S2" s="20">
        <f>IF($R2=1,COUNTIF($R$2:$R2,1),"")</f>
        <v/>
      </c>
    </row>
    <row r="3">
      <c r="A3" s="19" t="n">
        <v>46319</v>
      </c>
      <c r="B3" s="14" t="inlineStr">
        <is>
          <t>V-01</t>
        </is>
      </c>
      <c r="C3" s="20">
        <f>IF($B3="","",IFERROR(INDEX(Vinos!$B$2:$B$301,MATCH($B3,Vinos!$A$2:$A$301,0)),"Código no cargado"))</f>
        <v/>
      </c>
      <c r="D3" s="14" t="n"/>
      <c r="E3" s="14" t="inlineStr">
        <is>
          <t>Depósito</t>
        </is>
      </c>
      <c r="F3" s="18" t="n">
        <v>2</v>
      </c>
      <c r="G3" s="18" t="n">
        <v>0</v>
      </c>
      <c r="H3" s="21">
        <f>IF(AND($F3="",$G3=""),"",N($F3)*IFERROR(N(INDEX(Vinos!$H$2:$H$301,MATCH($B3,Vinos!$A$2:$A$301,0))),0)+N($G3))</f>
        <v/>
      </c>
      <c r="I3" s="18" t="n">
        <v>12</v>
      </c>
      <c r="J3" s="21">
        <f>IF(OR($H3="",$I3=""),"",$H3-$I3)</f>
        <v/>
      </c>
      <c r="K3" s="16">
        <f>IF($H3="","",IFERROR(IF(INDEX(Vinos!$J$2:$J$301,MATCH($B3,Vinos!$A$2:$A$301,0))="","",$H3*INDEX(Vinos!$J$2:$J$301,MATCH($B3,Vinos!$A$2:$A$301,0))),""))</f>
        <v/>
      </c>
      <c r="L3" s="16">
        <f>IF($H3="","",IFERROR(IF(INDEX(Vinos!$K$2:$K$301,MATCH($B3,Vinos!$A$2:$A$301,0))="","",$H3*INDEX(Vinos!$K$2:$K$301,MATCH($B3,Vinos!$A$2:$A$301,0))),""))</f>
        <v/>
      </c>
      <c r="M3" s="21">
        <f>IF(OR($A3="",$B3=""),"",SUMIFS($H$2:$H$2001,$A$2:$A$2001,$A3,$B$2:$B$2001,$B3))</f>
        <v/>
      </c>
      <c r="N3" s="20">
        <f>IF($M3="","",IF($M3&lt;=0,"Sin stock: reponer ya",IF($M3&lt;IFERROR(N(INDEX(Vinos!$N$2:$N$301,MATCH($B3,Vinos!$A$2:$A$301,0))),0),"Bajo mínimo: reponer","OK")))</f>
        <v/>
      </c>
      <c r="O3" s="14" t="inlineStr">
        <is>
          <t>Encargado/a</t>
        </is>
      </c>
      <c r="P3" s="14" t="n"/>
      <c r="Q3" s="20">
        <f>IF($B3="","",IFERROR(INDEX(Vinos!$C$2:$C$301,MATCH($B3,Vinos!$A$2:$A$301,0)),""))</f>
        <v/>
      </c>
      <c r="R3" s="20">
        <f>IF(OR($A3="",$A3&lt;&gt;'Resumen del inventario'!$C$3,$N3="",$N3="OK"),"",IF(COUNTIFS($A$2:$A3,$A3,$B$2:$B3,$B3)=1,1,""))</f>
        <v/>
      </c>
      <c r="S3" s="20">
        <f>IF($R3=1,COUNTIF($R$2:$R3,1),"")</f>
        <v/>
      </c>
    </row>
    <row r="4">
      <c r="A4" s="19" t="n">
        <v>46319</v>
      </c>
      <c r="B4" s="14" t="inlineStr">
        <is>
          <t>V-02</t>
        </is>
      </c>
      <c r="C4" s="20">
        <f>IF($B4="","",IFERROR(INDEX(Vinos!$B$2:$B$301,MATCH($B4,Vinos!$A$2:$A$301,0)),"Código no cargado"))</f>
        <v/>
      </c>
      <c r="D4" s="14" t="n"/>
      <c r="E4" s="14" t="inlineStr">
        <is>
          <t>Góndola</t>
        </is>
      </c>
      <c r="F4" s="18" t="n">
        <v>0</v>
      </c>
      <c r="G4" s="18" t="n">
        <v>5</v>
      </c>
      <c r="H4" s="21">
        <f>IF(AND($F4="",$G4=""),"",N($F4)*IFERROR(N(INDEX(Vinos!$H$2:$H$301,MATCH($B4,Vinos!$A$2:$A$301,0))),0)+N($G4))</f>
        <v/>
      </c>
      <c r="I4" s="18" t="n">
        <v>5</v>
      </c>
      <c r="J4" s="21">
        <f>IF(OR($H4="",$I4=""),"",$H4-$I4)</f>
        <v/>
      </c>
      <c r="K4" s="16">
        <f>IF($H4="","",IFERROR(IF(INDEX(Vinos!$J$2:$J$301,MATCH($B4,Vinos!$A$2:$A$301,0))="","",$H4*INDEX(Vinos!$J$2:$J$301,MATCH($B4,Vinos!$A$2:$A$301,0))),""))</f>
        <v/>
      </c>
      <c r="L4" s="16">
        <f>IF($H4="","",IFERROR(IF(INDEX(Vinos!$K$2:$K$301,MATCH($B4,Vinos!$A$2:$A$301,0))="","",$H4*INDEX(Vinos!$K$2:$K$301,MATCH($B4,Vinos!$A$2:$A$301,0))),""))</f>
        <v/>
      </c>
      <c r="M4" s="21">
        <f>IF(OR($A4="",$B4=""),"",SUMIFS($H$2:$H$2001,$A$2:$A$2001,$A4,$B$2:$B$2001,$B4))</f>
        <v/>
      </c>
      <c r="N4" s="20">
        <f>IF($M4="","",IF($M4&lt;=0,"Sin stock: reponer ya",IF($M4&lt;IFERROR(N(INDEX(Vinos!$N$2:$N$301,MATCH($B4,Vinos!$A$2:$A$301,0))),0),"Bajo mínimo: reponer","OK")))</f>
        <v/>
      </c>
      <c r="O4" s="14" t="inlineStr">
        <is>
          <t>Encargado/a</t>
        </is>
      </c>
      <c r="P4" s="14" t="n"/>
      <c r="Q4" s="20">
        <f>IF($B4="","",IFERROR(INDEX(Vinos!$C$2:$C$301,MATCH($B4,Vinos!$A$2:$A$301,0)),""))</f>
        <v/>
      </c>
      <c r="R4" s="20">
        <f>IF(OR($A4="",$A4&lt;&gt;'Resumen del inventario'!$C$3,$N4="",$N4="OK"),"",IF(COUNTIFS($A$2:$A4,$A4,$B$2:$B4,$B4)=1,1,""))</f>
        <v/>
      </c>
      <c r="S4" s="20">
        <f>IF($R4=1,COUNTIF($R$2:$R4,1),"")</f>
        <v/>
      </c>
    </row>
    <row r="5">
      <c r="A5" s="19" t="n">
        <v>46319</v>
      </c>
      <c r="B5" s="14" t="inlineStr">
        <is>
          <t>V-03</t>
        </is>
      </c>
      <c r="C5" s="20">
        <f>IF($B5="","",IFERROR(INDEX(Vinos!$B$2:$B$301,MATCH($B5,Vinos!$A$2:$A$301,0)),"Código no cargado"))</f>
        <v/>
      </c>
      <c r="D5" s="14" t="n"/>
      <c r="E5" s="14" t="inlineStr">
        <is>
          <t>Góndola</t>
        </is>
      </c>
      <c r="F5" s="18" t="n">
        <v>0</v>
      </c>
      <c r="G5" s="18" t="n">
        <v>8</v>
      </c>
      <c r="H5" s="21">
        <f>IF(AND($F5="",$G5=""),"",N($F5)*IFERROR(N(INDEX(Vinos!$H$2:$H$301,MATCH($B5,Vinos!$A$2:$A$301,0))),0)+N($G5))</f>
        <v/>
      </c>
      <c r="I5" s="18" t="n">
        <v>9</v>
      </c>
      <c r="J5" s="21">
        <f>IF(OR($H5="",$I5=""),"",$H5-$I5)</f>
        <v/>
      </c>
      <c r="K5" s="16">
        <f>IF($H5="","",IFERROR(IF(INDEX(Vinos!$J$2:$J$301,MATCH($B5,Vinos!$A$2:$A$301,0))="","",$H5*INDEX(Vinos!$J$2:$J$301,MATCH($B5,Vinos!$A$2:$A$301,0))),""))</f>
        <v/>
      </c>
      <c r="L5" s="16">
        <f>IF($H5="","",IFERROR(IF(INDEX(Vinos!$K$2:$K$301,MATCH($B5,Vinos!$A$2:$A$301,0))="","",$H5*INDEX(Vinos!$K$2:$K$301,MATCH($B5,Vinos!$A$2:$A$301,0))),""))</f>
        <v/>
      </c>
      <c r="M5" s="21">
        <f>IF(OR($A5="",$B5=""),"",SUMIFS($H$2:$H$2001,$A$2:$A$2001,$A5,$B$2:$B$2001,$B5))</f>
        <v/>
      </c>
      <c r="N5" s="20">
        <f>IF($M5="","",IF($M5&lt;=0,"Sin stock: reponer ya",IF($M5&lt;IFERROR(N(INDEX(Vinos!$N$2:$N$301,MATCH($B5,Vinos!$A$2:$A$301,0))),0),"Bajo mínimo: reponer","OK")))</f>
        <v/>
      </c>
      <c r="O5" s="14" t="inlineStr">
        <is>
          <t>Encargado/a</t>
        </is>
      </c>
      <c r="P5" s="14" t="inlineStr">
        <is>
          <t>Falta 1 botella contra el sistema: revisar ventas y roturas.</t>
        </is>
      </c>
      <c r="Q5" s="20">
        <f>IF($B5="","",IFERROR(INDEX(Vinos!$C$2:$C$301,MATCH($B5,Vinos!$A$2:$A$301,0)),""))</f>
        <v/>
      </c>
      <c r="R5" s="20">
        <f>IF(OR($A5="",$A5&lt;&gt;'Resumen del inventario'!$C$3,$N5="",$N5="OK"),"",IF(COUNTIFS($A$2:$A5,$A5,$B$2:$B5,$B5)=1,1,""))</f>
        <v/>
      </c>
      <c r="S5" s="20">
        <f>IF($R5=1,COUNTIF($R$2:$R5,1),"")</f>
        <v/>
      </c>
    </row>
    <row r="6">
      <c r="A6" s="19" t="n">
        <v>46319</v>
      </c>
      <c r="B6" s="14" t="inlineStr">
        <is>
          <t>V-04</t>
        </is>
      </c>
      <c r="C6" s="20">
        <f>IF($B6="","",IFERROR(INDEX(Vinos!$B$2:$B$301,MATCH($B6,Vinos!$A$2:$A$301,0)),"Código no cargado"))</f>
        <v/>
      </c>
      <c r="D6" s="14" t="n"/>
      <c r="E6" s="14" t="inlineStr">
        <is>
          <t>Exhibidor</t>
        </is>
      </c>
      <c r="F6" s="18" t="n">
        <v>0</v>
      </c>
      <c r="G6" s="18" t="n">
        <v>3</v>
      </c>
      <c r="H6" s="21">
        <f>IF(AND($F6="",$G6=""),"",N($F6)*IFERROR(N(INDEX(Vinos!$H$2:$H$301,MATCH($B6,Vinos!$A$2:$A$301,0))),0)+N($G6))</f>
        <v/>
      </c>
      <c r="I6" s="18" t="n">
        <v>3</v>
      </c>
      <c r="J6" s="21">
        <f>IF(OR($H6="",$I6=""),"",$H6-$I6)</f>
        <v/>
      </c>
      <c r="K6" s="16">
        <f>IF($H6="","",IFERROR(IF(INDEX(Vinos!$J$2:$J$301,MATCH($B6,Vinos!$A$2:$A$301,0))="","",$H6*INDEX(Vinos!$J$2:$J$301,MATCH($B6,Vinos!$A$2:$A$301,0))),""))</f>
        <v/>
      </c>
      <c r="L6" s="16">
        <f>IF($H6="","",IFERROR(IF(INDEX(Vinos!$K$2:$K$301,MATCH($B6,Vinos!$A$2:$A$301,0))="","",$H6*INDEX(Vinos!$K$2:$K$301,MATCH($B6,Vinos!$A$2:$A$301,0))),""))</f>
        <v/>
      </c>
      <c r="M6" s="21">
        <f>IF(OR($A6="",$B6=""),"",SUMIFS($H$2:$H$2001,$A$2:$A$2001,$A6,$B$2:$B$2001,$B6))</f>
        <v/>
      </c>
      <c r="N6" s="20">
        <f>IF($M6="","",IF($M6&lt;=0,"Sin stock: reponer ya",IF($M6&lt;IFERROR(N(INDEX(Vinos!$N$2:$N$301,MATCH($B6,Vinos!$A$2:$A$301,0))),0),"Bajo mínimo: reponer","OK")))</f>
        <v/>
      </c>
      <c r="O6" s="14" t="inlineStr">
        <is>
          <t>Encargado/a</t>
        </is>
      </c>
      <c r="P6" s="14" t="n"/>
      <c r="Q6" s="20">
        <f>IF($B6="","",IFERROR(INDEX(Vinos!$C$2:$C$301,MATCH($B6,Vinos!$A$2:$A$301,0)),""))</f>
        <v/>
      </c>
      <c r="R6" s="20">
        <f>IF(OR($A6="",$A6&lt;&gt;'Resumen del inventario'!$C$3,$N6="",$N6="OK"),"",IF(COUNTIFS($A$2:$A6,$A6,$B$2:$B6,$B6)=1,1,""))</f>
        <v/>
      </c>
      <c r="S6" s="20">
        <f>IF($R6=1,COUNTIF($R$2:$R6,1),"")</f>
        <v/>
      </c>
    </row>
    <row r="7">
      <c r="A7" s="19" t="n">
        <v>46319</v>
      </c>
      <c r="B7" s="14" t="inlineStr">
        <is>
          <t>V-05</t>
        </is>
      </c>
      <c r="C7" s="20">
        <f>IF($B7="","",IFERROR(INDEX(Vinos!$B$2:$B$301,MATCH($B7,Vinos!$A$2:$A$301,0)),"Código no cargado"))</f>
        <v/>
      </c>
      <c r="D7" s="14" t="n"/>
      <c r="E7" s="14" t="inlineStr">
        <is>
          <t>Heladera</t>
        </is>
      </c>
      <c r="F7" s="18" t="n">
        <v>1</v>
      </c>
      <c r="G7" s="18" t="n">
        <v>2</v>
      </c>
      <c r="H7" s="21">
        <f>IF(AND($F7="",$G7=""),"",N($F7)*IFERROR(N(INDEX(Vinos!$H$2:$H$301,MATCH($B7,Vinos!$A$2:$A$301,0))),0)+N($G7))</f>
        <v/>
      </c>
      <c r="I7" s="18" t="n">
        <v>8</v>
      </c>
      <c r="J7" s="21">
        <f>IF(OR($H7="",$I7=""),"",$H7-$I7)</f>
        <v/>
      </c>
      <c r="K7" s="16">
        <f>IF($H7="","",IFERROR(IF(INDEX(Vinos!$J$2:$J$301,MATCH($B7,Vinos!$A$2:$A$301,0))="","",$H7*INDEX(Vinos!$J$2:$J$301,MATCH($B7,Vinos!$A$2:$A$301,0))),""))</f>
        <v/>
      </c>
      <c r="L7" s="16">
        <f>IF($H7="","",IFERROR(IF(INDEX(Vinos!$K$2:$K$301,MATCH($B7,Vinos!$A$2:$A$301,0))="","",$H7*INDEX(Vinos!$K$2:$K$301,MATCH($B7,Vinos!$A$2:$A$301,0))),""))</f>
        <v/>
      </c>
      <c r="M7" s="21">
        <f>IF(OR($A7="",$B7=""),"",SUMIFS($H$2:$H$2001,$A$2:$A$2001,$A7,$B$2:$B$2001,$B7))</f>
        <v/>
      </c>
      <c r="N7" s="20">
        <f>IF($M7="","",IF($M7&lt;=0,"Sin stock: reponer ya",IF($M7&lt;IFERROR(N(INDEX(Vinos!$N$2:$N$301,MATCH($B7,Vinos!$A$2:$A$301,0))),0),"Bajo mínimo: reponer","OK")))</f>
        <v/>
      </c>
      <c r="O7" s="14" t="inlineStr">
        <is>
          <t>Encargado/a</t>
        </is>
      </c>
      <c r="P7" s="14" t="n"/>
      <c r="Q7" s="20">
        <f>IF($B7="","",IFERROR(INDEX(Vinos!$C$2:$C$301,MATCH($B7,Vinos!$A$2:$A$301,0)),""))</f>
        <v/>
      </c>
      <c r="R7" s="20">
        <f>IF(OR($A7="",$A7&lt;&gt;'Resumen del inventario'!$C$3,$N7="",$N7="OK"),"",IF(COUNTIFS($A$2:$A7,$A7,$B$2:$B7,$B7)=1,1,""))</f>
        <v/>
      </c>
      <c r="S7" s="20">
        <f>IF($R7=1,COUNTIF($R$2:$R7,1),"")</f>
        <v/>
      </c>
    </row>
    <row r="8">
      <c r="A8" s="19" t="n">
        <v>46319</v>
      </c>
      <c r="B8" s="14" t="inlineStr">
        <is>
          <t>V-06</t>
        </is>
      </c>
      <c r="C8" s="20">
        <f>IF($B8="","",IFERROR(INDEX(Vinos!$B$2:$B$301,MATCH($B8,Vinos!$A$2:$A$301,0)),"Código no cargado"))</f>
        <v/>
      </c>
      <c r="D8" s="14" t="n"/>
      <c r="E8" s="14" t="inlineStr">
        <is>
          <t>Heladera</t>
        </is>
      </c>
      <c r="F8" s="18" t="n">
        <v>0</v>
      </c>
      <c r="G8" s="18" t="n">
        <v>4</v>
      </c>
      <c r="H8" s="21">
        <f>IF(AND($F8="",$G8=""),"",N($F8)*IFERROR(N(INDEX(Vinos!$H$2:$H$301,MATCH($B8,Vinos!$A$2:$A$301,0))),0)+N($G8))</f>
        <v/>
      </c>
      <c r="I8" s="18" t="n">
        <v>4</v>
      </c>
      <c r="J8" s="21">
        <f>IF(OR($H8="",$I8=""),"",$H8-$I8)</f>
        <v/>
      </c>
      <c r="K8" s="16">
        <f>IF($H8="","",IFERROR(IF(INDEX(Vinos!$J$2:$J$301,MATCH($B8,Vinos!$A$2:$A$301,0))="","",$H8*INDEX(Vinos!$J$2:$J$301,MATCH($B8,Vinos!$A$2:$A$301,0))),""))</f>
        <v/>
      </c>
      <c r="L8" s="16">
        <f>IF($H8="","",IFERROR(IF(INDEX(Vinos!$K$2:$K$301,MATCH($B8,Vinos!$A$2:$A$301,0))="","",$H8*INDEX(Vinos!$K$2:$K$301,MATCH($B8,Vinos!$A$2:$A$301,0))),""))</f>
        <v/>
      </c>
      <c r="M8" s="21">
        <f>IF(OR($A8="",$B8=""),"",SUMIFS($H$2:$H$2001,$A$2:$A$2001,$A8,$B$2:$B$2001,$B8))</f>
        <v/>
      </c>
      <c r="N8" s="20">
        <f>IF($M8="","",IF($M8&lt;=0,"Sin stock: reponer ya",IF($M8&lt;IFERROR(N(INDEX(Vinos!$N$2:$N$301,MATCH($B8,Vinos!$A$2:$A$301,0))),0),"Bajo mínimo: reponer","OK")))</f>
        <v/>
      </c>
      <c r="O8" s="14" t="inlineStr">
        <is>
          <t>Encargado/a</t>
        </is>
      </c>
      <c r="P8" s="14" t="n"/>
      <c r="Q8" s="20">
        <f>IF($B8="","",IFERROR(INDEX(Vinos!$C$2:$C$301,MATCH($B8,Vinos!$A$2:$A$301,0)),""))</f>
        <v/>
      </c>
      <c r="R8" s="20">
        <f>IF(OR($A8="",$A8&lt;&gt;'Resumen del inventario'!$C$3,$N8="",$N8="OK"),"",IF(COUNTIFS($A$2:$A8,$A8,$B$2:$B8,$B8)=1,1,""))</f>
        <v/>
      </c>
      <c r="S8" s="20">
        <f>IF($R8=1,COUNTIF($R$2:$R8,1),"")</f>
        <v/>
      </c>
    </row>
    <row r="9">
      <c r="A9" s="19" t="n">
        <v>46319</v>
      </c>
      <c r="B9" s="14" t="inlineStr">
        <is>
          <t>V-07</t>
        </is>
      </c>
      <c r="C9" s="20">
        <f>IF($B9="","",IFERROR(INDEX(Vinos!$B$2:$B$301,MATCH($B9,Vinos!$A$2:$A$301,0)),"Código no cargado"))</f>
        <v/>
      </c>
      <c r="D9" s="14" t="n"/>
      <c r="E9" s="14" t="inlineStr">
        <is>
          <t>Heladera</t>
        </is>
      </c>
      <c r="F9" s="18" t="n">
        <v>0</v>
      </c>
      <c r="G9" s="18" t="n">
        <v>6</v>
      </c>
      <c r="H9" s="21">
        <f>IF(AND($F9="",$G9=""),"",N($F9)*IFERROR(N(INDEX(Vinos!$H$2:$H$301,MATCH($B9,Vinos!$A$2:$A$301,0))),0)+N($G9))</f>
        <v/>
      </c>
      <c r="I9" s="18" t="n">
        <v>6</v>
      </c>
      <c r="J9" s="21">
        <f>IF(OR($H9="",$I9=""),"",$H9-$I9)</f>
        <v/>
      </c>
      <c r="K9" s="16">
        <f>IF($H9="","",IFERROR(IF(INDEX(Vinos!$J$2:$J$301,MATCH($B9,Vinos!$A$2:$A$301,0))="","",$H9*INDEX(Vinos!$J$2:$J$301,MATCH($B9,Vinos!$A$2:$A$301,0))),""))</f>
        <v/>
      </c>
      <c r="L9" s="16">
        <f>IF($H9="","",IFERROR(IF(INDEX(Vinos!$K$2:$K$301,MATCH($B9,Vinos!$A$2:$A$301,0))="","",$H9*INDEX(Vinos!$K$2:$K$301,MATCH($B9,Vinos!$A$2:$A$301,0))),""))</f>
        <v/>
      </c>
      <c r="M9" s="21">
        <f>IF(OR($A9="",$B9=""),"",SUMIFS($H$2:$H$2001,$A$2:$A$2001,$A9,$B$2:$B$2001,$B9))</f>
        <v/>
      </c>
      <c r="N9" s="20">
        <f>IF($M9="","",IF($M9&lt;=0,"Sin stock: reponer ya",IF($M9&lt;IFERROR(N(INDEX(Vinos!$N$2:$N$301,MATCH($B9,Vinos!$A$2:$A$301,0))),0),"Bajo mínimo: reponer","OK")))</f>
        <v/>
      </c>
      <c r="O9" s="14" t="inlineStr">
        <is>
          <t>Encargado/a</t>
        </is>
      </c>
      <c r="P9" s="14" t="n"/>
      <c r="Q9" s="20">
        <f>IF($B9="","",IFERROR(INDEX(Vinos!$C$2:$C$301,MATCH($B9,Vinos!$A$2:$A$301,0)),""))</f>
        <v/>
      </c>
      <c r="R9" s="20">
        <f>IF(OR($A9="",$A9&lt;&gt;'Resumen del inventario'!$C$3,$N9="",$N9="OK"),"",IF(COUNTIFS($A$2:$A9,$A9,$B$2:$B9,$B9)=1,1,""))</f>
        <v/>
      </c>
      <c r="S9" s="20">
        <f>IF($R9=1,COUNTIF($R$2:$R9,1),"")</f>
        <v/>
      </c>
    </row>
    <row r="10">
      <c r="A10" s="19" t="n">
        <v>46319</v>
      </c>
      <c r="B10" s="14" t="inlineStr">
        <is>
          <t>V-08</t>
        </is>
      </c>
      <c r="C10" s="20">
        <f>IF($B10="","",IFERROR(INDEX(Vinos!$B$2:$B$301,MATCH($B10,Vinos!$A$2:$A$301,0)),"Código no cargado"))</f>
        <v/>
      </c>
      <c r="D10" s="14" t="n"/>
      <c r="E10" s="14" t="inlineStr">
        <is>
          <t>Depósito</t>
        </is>
      </c>
      <c r="F10" s="18" t="n">
        <v>1</v>
      </c>
      <c r="G10" s="18" t="n">
        <v>0</v>
      </c>
      <c r="H10" s="21">
        <f>IF(AND($F10="",$G10=""),"",N($F10)*IFERROR(N(INDEX(Vinos!$H$2:$H$301,MATCH($B10,Vinos!$A$2:$A$301,0))),0)+N($G10))</f>
        <v/>
      </c>
      <c r="I10" s="18" t="n">
        <v>6</v>
      </c>
      <c r="J10" s="21">
        <f>IF(OR($H10="",$I10=""),"",$H10-$I10)</f>
        <v/>
      </c>
      <c r="K10" s="16">
        <f>IF($H10="","",IFERROR(IF(INDEX(Vinos!$J$2:$J$301,MATCH($B10,Vinos!$A$2:$A$301,0))="","",$H10*INDEX(Vinos!$J$2:$J$301,MATCH($B10,Vinos!$A$2:$A$301,0))),""))</f>
        <v/>
      </c>
      <c r="L10" s="16">
        <f>IF($H10="","",IFERROR(IF(INDEX(Vinos!$K$2:$K$301,MATCH($B10,Vinos!$A$2:$A$301,0))="","",$H10*INDEX(Vinos!$K$2:$K$301,MATCH($B10,Vinos!$A$2:$A$301,0))),""))</f>
        <v/>
      </c>
      <c r="M10" s="21">
        <f>IF(OR($A10="",$B10=""),"",SUMIFS($H$2:$H$2001,$A$2:$A$2001,$A10,$B$2:$B$2001,$B10))</f>
        <v/>
      </c>
      <c r="N10" s="20">
        <f>IF($M10="","",IF($M10&lt;=0,"Sin stock: reponer ya",IF($M10&lt;IFERROR(N(INDEX(Vinos!$N$2:$N$301,MATCH($B10,Vinos!$A$2:$A$301,0))),0),"Bajo mínimo: reponer","OK")))</f>
        <v/>
      </c>
      <c r="O10" s="14" t="inlineStr">
        <is>
          <t>Encargado/a</t>
        </is>
      </c>
      <c r="P10" s="14" t="n"/>
      <c r="Q10" s="20">
        <f>IF($B10="","",IFERROR(INDEX(Vinos!$C$2:$C$301,MATCH($B10,Vinos!$A$2:$A$301,0)),""))</f>
        <v/>
      </c>
      <c r="R10" s="20">
        <f>IF(OR($A10="",$A10&lt;&gt;'Resumen del inventario'!$C$3,$N10="",$N10="OK"),"",IF(COUNTIFS($A$2:$A10,$A10,$B$2:$B10,$B10)=1,1,""))</f>
        <v/>
      </c>
      <c r="S10" s="20">
        <f>IF($R10=1,COUNTIF($R$2:$R10,1),"")</f>
        <v/>
      </c>
    </row>
    <row r="11">
      <c r="A11" s="19" t="n">
        <v>46319</v>
      </c>
      <c r="B11" s="14" t="inlineStr">
        <is>
          <t>V-08</t>
        </is>
      </c>
      <c r="C11" s="20">
        <f>IF($B11="","",IFERROR(INDEX(Vinos!$B$2:$B$301,MATCH($B11,Vinos!$A$2:$A$301,0)),"Código no cargado"))</f>
        <v/>
      </c>
      <c r="D11" s="14" t="n"/>
      <c r="E11" s="14" t="inlineStr">
        <is>
          <t>Heladera</t>
        </is>
      </c>
      <c r="F11" s="18" t="n">
        <v>0</v>
      </c>
      <c r="G11" s="18" t="n">
        <v>3</v>
      </c>
      <c r="H11" s="21">
        <f>IF(AND($F11="",$G11=""),"",N($F11)*IFERROR(N(INDEX(Vinos!$H$2:$H$301,MATCH($B11,Vinos!$A$2:$A$301,0))),0)+N($G11))</f>
        <v/>
      </c>
      <c r="I11" s="18" t="n">
        <v>3</v>
      </c>
      <c r="J11" s="21">
        <f>IF(OR($H11="",$I11=""),"",$H11-$I11)</f>
        <v/>
      </c>
      <c r="K11" s="16">
        <f>IF($H11="","",IFERROR(IF(INDEX(Vinos!$J$2:$J$301,MATCH($B11,Vinos!$A$2:$A$301,0))="","",$H11*INDEX(Vinos!$J$2:$J$301,MATCH($B11,Vinos!$A$2:$A$301,0))),""))</f>
        <v/>
      </c>
      <c r="L11" s="16">
        <f>IF($H11="","",IFERROR(IF(INDEX(Vinos!$K$2:$K$301,MATCH($B11,Vinos!$A$2:$A$301,0))="","",$H11*INDEX(Vinos!$K$2:$K$301,MATCH($B11,Vinos!$A$2:$A$301,0))),""))</f>
        <v/>
      </c>
      <c r="M11" s="21">
        <f>IF(OR($A11="",$B11=""),"",SUMIFS($H$2:$H$2001,$A$2:$A$2001,$A11,$B$2:$B$2001,$B11))</f>
        <v/>
      </c>
      <c r="N11" s="20">
        <f>IF($M11="","",IF($M11&lt;=0,"Sin stock: reponer ya",IF($M11&lt;IFERROR(N(INDEX(Vinos!$N$2:$N$301,MATCH($B11,Vinos!$A$2:$A$301,0))),0),"Bajo mínimo: reponer","OK")))</f>
        <v/>
      </c>
      <c r="O11" s="14" t="inlineStr">
        <is>
          <t>Encargado/a</t>
        </is>
      </c>
      <c r="P11" s="14" t="n"/>
      <c r="Q11" s="20">
        <f>IF($B11="","",IFERROR(INDEX(Vinos!$C$2:$C$301,MATCH($B11,Vinos!$A$2:$A$301,0)),""))</f>
        <v/>
      </c>
      <c r="R11" s="20">
        <f>IF(OR($A11="",$A11&lt;&gt;'Resumen del inventario'!$C$3,$N11="",$N11="OK"),"",IF(COUNTIFS($A$2:$A11,$A11,$B$2:$B11,$B11)=1,1,""))</f>
        <v/>
      </c>
      <c r="S11" s="20">
        <f>IF($R11=1,COUNTIF($R$2:$R11,1),"")</f>
        <v/>
      </c>
    </row>
    <row r="12">
      <c r="A12" s="19" t="n">
        <v>46319</v>
      </c>
      <c r="B12" s="14" t="inlineStr">
        <is>
          <t>V-09</t>
        </is>
      </c>
      <c r="C12" s="20">
        <f>IF($B12="","",IFERROR(INDEX(Vinos!$B$2:$B$301,MATCH($B12,Vinos!$A$2:$A$301,0)),"Código no cargado"))</f>
        <v/>
      </c>
      <c r="D12" s="14" t="n"/>
      <c r="E12" s="14" t="inlineStr">
        <is>
          <t>Góndola</t>
        </is>
      </c>
      <c r="F12" s="18" t="n">
        <v>1</v>
      </c>
      <c r="G12" s="18" t="n">
        <v>2</v>
      </c>
      <c r="H12" s="21">
        <f>IF(AND($F12="",$G12=""),"",N($F12)*IFERROR(N(INDEX(Vinos!$H$2:$H$301,MATCH($B12,Vinos!$A$2:$A$301,0))),0)+N($G12))</f>
        <v/>
      </c>
      <c r="I12" s="18" t="n">
        <v>14</v>
      </c>
      <c r="J12" s="21">
        <f>IF(OR($H12="",$I12=""),"",$H12-$I12)</f>
        <v/>
      </c>
      <c r="K12" s="16">
        <f>IF($H12="","",IFERROR(IF(INDEX(Vinos!$J$2:$J$301,MATCH($B12,Vinos!$A$2:$A$301,0))="","",$H12*INDEX(Vinos!$J$2:$J$301,MATCH($B12,Vinos!$A$2:$A$301,0))),""))</f>
        <v/>
      </c>
      <c r="L12" s="16">
        <f>IF($H12="","",IFERROR(IF(INDEX(Vinos!$K$2:$K$301,MATCH($B12,Vinos!$A$2:$A$301,0))="","",$H12*INDEX(Vinos!$K$2:$K$301,MATCH($B12,Vinos!$A$2:$A$301,0))),""))</f>
        <v/>
      </c>
      <c r="M12" s="21">
        <f>IF(OR($A12="",$B12=""),"",SUMIFS($H$2:$H$2001,$A$2:$A$2001,$A12,$B$2:$B$2001,$B12))</f>
        <v/>
      </c>
      <c r="N12" s="20">
        <f>IF($M12="","",IF($M12&lt;=0,"Sin stock: reponer ya",IF($M12&lt;IFERROR(N(INDEX(Vinos!$N$2:$N$301,MATCH($B12,Vinos!$A$2:$A$301,0))),0),"Bajo mínimo: reponer","OK")))</f>
        <v/>
      </c>
      <c r="O12" s="14" t="inlineStr">
        <is>
          <t>Encargado/a</t>
        </is>
      </c>
      <c r="P12" s="14" t="n"/>
      <c r="Q12" s="20">
        <f>IF($B12="","",IFERROR(INDEX(Vinos!$C$2:$C$301,MATCH($B12,Vinos!$A$2:$A$301,0)),""))</f>
        <v/>
      </c>
      <c r="R12" s="20">
        <f>IF(OR($A12="",$A12&lt;&gt;'Resumen del inventario'!$C$3,$N12="",$N12="OK"),"",IF(COUNTIFS($A$2:$A12,$A12,$B$2:$B12,$B12)=1,1,""))</f>
        <v/>
      </c>
      <c r="S12" s="20">
        <f>IF($R12=1,COUNTIF($R$2:$R12,1),"")</f>
        <v/>
      </c>
    </row>
    <row r="13">
      <c r="A13" s="19" t="n">
        <v>46319</v>
      </c>
      <c r="B13" s="14" t="inlineStr">
        <is>
          <t>V-10</t>
        </is>
      </c>
      <c r="C13" s="20">
        <f>IF($B13="","",IFERROR(INDEX(Vinos!$B$2:$B$301,MATCH($B13,Vinos!$A$2:$A$301,0)),"Código no cargado"))</f>
        <v/>
      </c>
      <c r="D13" s="14" t="n"/>
      <c r="E13" s="14" t="inlineStr">
        <is>
          <t>Góndola</t>
        </is>
      </c>
      <c r="F13" s="18" t="n">
        <v>0</v>
      </c>
      <c r="G13" s="18" t="n">
        <v>0</v>
      </c>
      <c r="H13" s="21">
        <f>IF(AND($F13="",$G13=""),"",N($F13)*IFERROR(N(INDEX(Vinos!$H$2:$H$301,MATCH($B13,Vinos!$A$2:$A$301,0))),0)+N($G13))</f>
        <v/>
      </c>
      <c r="I13" s="18" t="n">
        <v>0</v>
      </c>
      <c r="J13" s="21">
        <f>IF(OR($H13="",$I13=""),"",$H13-$I13)</f>
        <v/>
      </c>
      <c r="K13" s="16">
        <f>IF($H13="","",IFERROR(IF(INDEX(Vinos!$J$2:$J$301,MATCH($B13,Vinos!$A$2:$A$301,0))="","",$H13*INDEX(Vinos!$J$2:$J$301,MATCH($B13,Vinos!$A$2:$A$301,0))),""))</f>
        <v/>
      </c>
      <c r="L13" s="16">
        <f>IF($H13="","",IFERROR(IF(INDEX(Vinos!$K$2:$K$301,MATCH($B13,Vinos!$A$2:$A$301,0))="","",$H13*INDEX(Vinos!$K$2:$K$301,MATCH($B13,Vinos!$A$2:$A$301,0))),""))</f>
        <v/>
      </c>
      <c r="M13" s="21">
        <f>IF(OR($A13="",$B13=""),"",SUMIFS($H$2:$H$2001,$A$2:$A$2001,$A13,$B$2:$B$2001,$B13))</f>
        <v/>
      </c>
      <c r="N13" s="20">
        <f>IF($M13="","",IF($M13&lt;=0,"Sin stock: reponer ya",IF($M13&lt;IFERROR(N(INDEX(Vinos!$N$2:$N$301,MATCH($B13,Vinos!$A$2:$A$301,0))),0),"Bajo mínimo: reponer","OK")))</f>
        <v/>
      </c>
      <c r="O13" s="14" t="inlineStr">
        <is>
          <t>Encargado/a</t>
        </is>
      </c>
      <c r="P13" s="14" t="n"/>
      <c r="Q13" s="20">
        <f>IF($B13="","",IFERROR(INDEX(Vinos!$C$2:$C$301,MATCH($B13,Vinos!$A$2:$A$301,0)),""))</f>
        <v/>
      </c>
      <c r="R13" s="20">
        <f>IF(OR($A13="",$A13&lt;&gt;'Resumen del inventario'!$C$3,$N13="",$N13="OK"),"",IF(COUNTIFS($A$2:$A13,$A13,$B$2:$B13,$B13)=1,1,""))</f>
        <v/>
      </c>
      <c r="S13" s="20">
        <f>IF($R13=1,COUNTIF($R$2:$R13,1),"")</f>
        <v/>
      </c>
    </row>
    <row r="14">
      <c r="A14" s="19" t="n"/>
      <c r="B14" s="14" t="n"/>
      <c r="C14" s="20">
        <f>IF($B14="","",IFERROR(INDEX(Vinos!$B$2:$B$301,MATCH($B14,Vinos!$A$2:$A$301,0)),"Código no cargado"))</f>
        <v/>
      </c>
      <c r="D14" s="14" t="n"/>
      <c r="E14" s="14" t="n"/>
      <c r="F14" s="18" t="n"/>
      <c r="G14" s="18" t="n"/>
      <c r="H14" s="21">
        <f>IF(AND($F14="",$G14=""),"",N($F14)*IFERROR(N(INDEX(Vinos!$H$2:$H$301,MATCH($B14,Vinos!$A$2:$A$301,0))),0)+N($G14))</f>
        <v/>
      </c>
      <c r="I14" s="18" t="n"/>
      <c r="J14" s="21">
        <f>IF(OR($H14="",$I14=""),"",$H14-$I14)</f>
        <v/>
      </c>
      <c r="K14" s="16">
        <f>IF($H14="","",IFERROR(IF(INDEX(Vinos!$J$2:$J$301,MATCH($B14,Vinos!$A$2:$A$301,0))="","",$H14*INDEX(Vinos!$J$2:$J$301,MATCH($B14,Vinos!$A$2:$A$301,0))),""))</f>
        <v/>
      </c>
      <c r="L14" s="16">
        <f>IF($H14="","",IFERROR(IF(INDEX(Vinos!$K$2:$K$301,MATCH($B14,Vinos!$A$2:$A$301,0))="","",$H14*INDEX(Vinos!$K$2:$K$301,MATCH($B14,Vinos!$A$2:$A$301,0))),""))</f>
        <v/>
      </c>
      <c r="M14" s="21">
        <f>IF(OR($A14="",$B14=""),"",SUMIFS($H$2:$H$2001,$A$2:$A$2001,$A14,$B$2:$B$2001,$B14))</f>
        <v/>
      </c>
      <c r="N14" s="20">
        <f>IF($M14="","",IF($M14&lt;=0,"Sin stock: reponer ya",IF($M14&lt;IFERROR(N(INDEX(Vinos!$N$2:$N$301,MATCH($B14,Vinos!$A$2:$A$301,0))),0),"Bajo mínimo: reponer","OK")))</f>
        <v/>
      </c>
      <c r="O14" s="14" t="n"/>
      <c r="P14" s="14" t="n"/>
      <c r="Q14" s="20">
        <f>IF($B14="","",IFERROR(INDEX(Vinos!$C$2:$C$301,MATCH($B14,Vinos!$A$2:$A$301,0)),""))</f>
        <v/>
      </c>
      <c r="R14" s="20">
        <f>IF(OR($A14="",$A14&lt;&gt;'Resumen del inventario'!$C$3,$N14="",$N14="OK"),"",IF(COUNTIFS($A$2:$A14,$A14,$B$2:$B14,$B14)=1,1,""))</f>
        <v/>
      </c>
      <c r="S14" s="20">
        <f>IF($R14=1,COUNTIF($R$2:$R14,1),"")</f>
        <v/>
      </c>
    </row>
    <row r="15">
      <c r="A15" s="19" t="n"/>
      <c r="B15" s="14" t="n"/>
      <c r="C15" s="20">
        <f>IF($B15="","",IFERROR(INDEX(Vinos!$B$2:$B$301,MATCH($B15,Vinos!$A$2:$A$301,0)),"Código no cargado"))</f>
        <v/>
      </c>
      <c r="D15" s="14" t="n"/>
      <c r="E15" s="14" t="n"/>
      <c r="F15" s="18" t="n"/>
      <c r="G15" s="18" t="n"/>
      <c r="H15" s="21">
        <f>IF(AND($F15="",$G15=""),"",N($F15)*IFERROR(N(INDEX(Vinos!$H$2:$H$301,MATCH($B15,Vinos!$A$2:$A$301,0))),0)+N($G15))</f>
        <v/>
      </c>
      <c r="I15" s="18" t="n"/>
      <c r="J15" s="21">
        <f>IF(OR($H15="",$I15=""),"",$H15-$I15)</f>
        <v/>
      </c>
      <c r="K15" s="16">
        <f>IF($H15="","",IFERROR(IF(INDEX(Vinos!$J$2:$J$301,MATCH($B15,Vinos!$A$2:$A$301,0))="","",$H15*INDEX(Vinos!$J$2:$J$301,MATCH($B15,Vinos!$A$2:$A$301,0))),""))</f>
        <v/>
      </c>
      <c r="L15" s="16">
        <f>IF($H15="","",IFERROR(IF(INDEX(Vinos!$K$2:$K$301,MATCH($B15,Vinos!$A$2:$A$301,0))="","",$H15*INDEX(Vinos!$K$2:$K$301,MATCH($B15,Vinos!$A$2:$A$301,0))),""))</f>
        <v/>
      </c>
      <c r="M15" s="21">
        <f>IF(OR($A15="",$B15=""),"",SUMIFS($H$2:$H$2001,$A$2:$A$2001,$A15,$B$2:$B$2001,$B15))</f>
        <v/>
      </c>
      <c r="N15" s="20">
        <f>IF($M15="","",IF($M15&lt;=0,"Sin stock: reponer ya",IF($M15&lt;IFERROR(N(INDEX(Vinos!$N$2:$N$301,MATCH($B15,Vinos!$A$2:$A$301,0))),0),"Bajo mínimo: reponer","OK")))</f>
        <v/>
      </c>
      <c r="O15" s="14" t="n"/>
      <c r="P15" s="14" t="n"/>
      <c r="Q15" s="20">
        <f>IF($B15="","",IFERROR(INDEX(Vinos!$C$2:$C$301,MATCH($B15,Vinos!$A$2:$A$301,0)),""))</f>
        <v/>
      </c>
      <c r="R15" s="20">
        <f>IF(OR($A15="",$A15&lt;&gt;'Resumen del inventario'!$C$3,$N15="",$N15="OK"),"",IF(COUNTIFS($A$2:$A15,$A15,$B$2:$B15,$B15)=1,1,""))</f>
        <v/>
      </c>
      <c r="S15" s="20">
        <f>IF($R15=1,COUNTIF($R$2:$R15,1),"")</f>
        <v/>
      </c>
    </row>
    <row r="16">
      <c r="A16" s="19" t="n"/>
      <c r="B16" s="14" t="n"/>
      <c r="C16" s="20">
        <f>IF($B16="","",IFERROR(INDEX(Vinos!$B$2:$B$301,MATCH($B16,Vinos!$A$2:$A$301,0)),"Código no cargado"))</f>
        <v/>
      </c>
      <c r="D16" s="14" t="n"/>
      <c r="E16" s="14" t="n"/>
      <c r="F16" s="18" t="n"/>
      <c r="G16" s="18" t="n"/>
      <c r="H16" s="21">
        <f>IF(AND($F16="",$G16=""),"",N($F16)*IFERROR(N(INDEX(Vinos!$H$2:$H$301,MATCH($B16,Vinos!$A$2:$A$301,0))),0)+N($G16))</f>
        <v/>
      </c>
      <c r="I16" s="18" t="n"/>
      <c r="J16" s="21">
        <f>IF(OR($H16="",$I16=""),"",$H16-$I16)</f>
        <v/>
      </c>
      <c r="K16" s="16">
        <f>IF($H16="","",IFERROR(IF(INDEX(Vinos!$J$2:$J$301,MATCH($B16,Vinos!$A$2:$A$301,0))="","",$H16*INDEX(Vinos!$J$2:$J$301,MATCH($B16,Vinos!$A$2:$A$301,0))),""))</f>
        <v/>
      </c>
      <c r="L16" s="16">
        <f>IF($H16="","",IFERROR(IF(INDEX(Vinos!$K$2:$K$301,MATCH($B16,Vinos!$A$2:$A$301,0))="","",$H16*INDEX(Vinos!$K$2:$K$301,MATCH($B16,Vinos!$A$2:$A$301,0))),""))</f>
        <v/>
      </c>
      <c r="M16" s="21">
        <f>IF(OR($A16="",$B16=""),"",SUMIFS($H$2:$H$2001,$A$2:$A$2001,$A16,$B$2:$B$2001,$B16))</f>
        <v/>
      </c>
      <c r="N16" s="20">
        <f>IF($M16="","",IF($M16&lt;=0,"Sin stock: reponer ya",IF($M16&lt;IFERROR(N(INDEX(Vinos!$N$2:$N$301,MATCH($B16,Vinos!$A$2:$A$301,0))),0),"Bajo mínimo: reponer","OK")))</f>
        <v/>
      </c>
      <c r="O16" s="14" t="n"/>
      <c r="P16" s="14" t="n"/>
      <c r="Q16" s="20">
        <f>IF($B16="","",IFERROR(INDEX(Vinos!$C$2:$C$301,MATCH($B16,Vinos!$A$2:$A$301,0)),""))</f>
        <v/>
      </c>
      <c r="R16" s="20">
        <f>IF(OR($A16="",$A16&lt;&gt;'Resumen del inventario'!$C$3,$N16="",$N16="OK"),"",IF(COUNTIFS($A$2:$A16,$A16,$B$2:$B16,$B16)=1,1,""))</f>
        <v/>
      </c>
      <c r="S16" s="20">
        <f>IF($R16=1,COUNTIF($R$2:$R16,1),"")</f>
        <v/>
      </c>
    </row>
    <row r="17">
      <c r="A17" s="19" t="n"/>
      <c r="B17" s="14" t="n"/>
      <c r="C17" s="20">
        <f>IF($B17="","",IFERROR(INDEX(Vinos!$B$2:$B$301,MATCH($B17,Vinos!$A$2:$A$301,0)),"Código no cargado"))</f>
        <v/>
      </c>
      <c r="D17" s="14" t="n"/>
      <c r="E17" s="14" t="n"/>
      <c r="F17" s="18" t="n"/>
      <c r="G17" s="18" t="n"/>
      <c r="H17" s="21">
        <f>IF(AND($F17="",$G17=""),"",N($F17)*IFERROR(N(INDEX(Vinos!$H$2:$H$301,MATCH($B17,Vinos!$A$2:$A$301,0))),0)+N($G17))</f>
        <v/>
      </c>
      <c r="I17" s="18" t="n"/>
      <c r="J17" s="21">
        <f>IF(OR($H17="",$I17=""),"",$H17-$I17)</f>
        <v/>
      </c>
      <c r="K17" s="16">
        <f>IF($H17="","",IFERROR(IF(INDEX(Vinos!$J$2:$J$301,MATCH($B17,Vinos!$A$2:$A$301,0))="","",$H17*INDEX(Vinos!$J$2:$J$301,MATCH($B17,Vinos!$A$2:$A$301,0))),""))</f>
        <v/>
      </c>
      <c r="L17" s="16">
        <f>IF($H17="","",IFERROR(IF(INDEX(Vinos!$K$2:$K$301,MATCH($B17,Vinos!$A$2:$A$301,0))="","",$H17*INDEX(Vinos!$K$2:$K$301,MATCH($B17,Vinos!$A$2:$A$301,0))),""))</f>
        <v/>
      </c>
      <c r="M17" s="21">
        <f>IF(OR($A17="",$B17=""),"",SUMIFS($H$2:$H$2001,$A$2:$A$2001,$A17,$B$2:$B$2001,$B17))</f>
        <v/>
      </c>
      <c r="N17" s="20">
        <f>IF($M17="","",IF($M17&lt;=0,"Sin stock: reponer ya",IF($M17&lt;IFERROR(N(INDEX(Vinos!$N$2:$N$301,MATCH($B17,Vinos!$A$2:$A$301,0))),0),"Bajo mínimo: reponer","OK")))</f>
        <v/>
      </c>
      <c r="O17" s="14" t="n"/>
      <c r="P17" s="14" t="n"/>
      <c r="Q17" s="20">
        <f>IF($B17="","",IFERROR(INDEX(Vinos!$C$2:$C$301,MATCH($B17,Vinos!$A$2:$A$301,0)),""))</f>
        <v/>
      </c>
      <c r="R17" s="20">
        <f>IF(OR($A17="",$A17&lt;&gt;'Resumen del inventario'!$C$3,$N17="",$N17="OK"),"",IF(COUNTIFS($A$2:$A17,$A17,$B$2:$B17,$B17)=1,1,""))</f>
        <v/>
      </c>
      <c r="S17" s="20">
        <f>IF($R17=1,COUNTIF($R$2:$R17,1),"")</f>
        <v/>
      </c>
    </row>
    <row r="18">
      <c r="A18" s="19" t="n"/>
      <c r="B18" s="14" t="n"/>
      <c r="C18" s="20">
        <f>IF($B18="","",IFERROR(INDEX(Vinos!$B$2:$B$301,MATCH($B18,Vinos!$A$2:$A$301,0)),"Código no cargado"))</f>
        <v/>
      </c>
      <c r="D18" s="14" t="n"/>
      <c r="E18" s="14" t="n"/>
      <c r="F18" s="18" t="n"/>
      <c r="G18" s="18" t="n"/>
      <c r="H18" s="21">
        <f>IF(AND($F18="",$G18=""),"",N($F18)*IFERROR(N(INDEX(Vinos!$H$2:$H$301,MATCH($B18,Vinos!$A$2:$A$301,0))),0)+N($G18))</f>
        <v/>
      </c>
      <c r="I18" s="18" t="n"/>
      <c r="J18" s="21">
        <f>IF(OR($H18="",$I18=""),"",$H18-$I18)</f>
        <v/>
      </c>
      <c r="K18" s="16">
        <f>IF($H18="","",IFERROR(IF(INDEX(Vinos!$J$2:$J$301,MATCH($B18,Vinos!$A$2:$A$301,0))="","",$H18*INDEX(Vinos!$J$2:$J$301,MATCH($B18,Vinos!$A$2:$A$301,0))),""))</f>
        <v/>
      </c>
      <c r="L18" s="16">
        <f>IF($H18="","",IFERROR(IF(INDEX(Vinos!$K$2:$K$301,MATCH($B18,Vinos!$A$2:$A$301,0))="","",$H18*INDEX(Vinos!$K$2:$K$301,MATCH($B18,Vinos!$A$2:$A$301,0))),""))</f>
        <v/>
      </c>
      <c r="M18" s="21">
        <f>IF(OR($A18="",$B18=""),"",SUMIFS($H$2:$H$2001,$A$2:$A$2001,$A18,$B$2:$B$2001,$B18))</f>
        <v/>
      </c>
      <c r="N18" s="20">
        <f>IF($M18="","",IF($M18&lt;=0,"Sin stock: reponer ya",IF($M18&lt;IFERROR(N(INDEX(Vinos!$N$2:$N$301,MATCH($B18,Vinos!$A$2:$A$301,0))),0),"Bajo mínimo: reponer","OK")))</f>
        <v/>
      </c>
      <c r="O18" s="14" t="n"/>
      <c r="P18" s="14" t="n"/>
      <c r="Q18" s="20">
        <f>IF($B18="","",IFERROR(INDEX(Vinos!$C$2:$C$301,MATCH($B18,Vinos!$A$2:$A$301,0)),""))</f>
        <v/>
      </c>
      <c r="R18" s="20">
        <f>IF(OR($A18="",$A18&lt;&gt;'Resumen del inventario'!$C$3,$N18="",$N18="OK"),"",IF(COUNTIFS($A$2:$A18,$A18,$B$2:$B18,$B18)=1,1,""))</f>
        <v/>
      </c>
      <c r="S18" s="20">
        <f>IF($R18=1,COUNTIF($R$2:$R18,1),"")</f>
        <v/>
      </c>
    </row>
    <row r="19">
      <c r="A19" s="19" t="n"/>
      <c r="B19" s="14" t="n"/>
      <c r="C19" s="20">
        <f>IF($B19="","",IFERROR(INDEX(Vinos!$B$2:$B$301,MATCH($B19,Vinos!$A$2:$A$301,0)),"Código no cargado"))</f>
        <v/>
      </c>
      <c r="D19" s="14" t="n"/>
      <c r="E19" s="14" t="n"/>
      <c r="F19" s="18" t="n"/>
      <c r="G19" s="18" t="n"/>
      <c r="H19" s="21">
        <f>IF(AND($F19="",$G19=""),"",N($F19)*IFERROR(N(INDEX(Vinos!$H$2:$H$301,MATCH($B19,Vinos!$A$2:$A$301,0))),0)+N($G19))</f>
        <v/>
      </c>
      <c r="I19" s="18" t="n"/>
      <c r="J19" s="21">
        <f>IF(OR($H19="",$I19=""),"",$H19-$I19)</f>
        <v/>
      </c>
      <c r="K19" s="16">
        <f>IF($H19="","",IFERROR(IF(INDEX(Vinos!$J$2:$J$301,MATCH($B19,Vinos!$A$2:$A$301,0))="","",$H19*INDEX(Vinos!$J$2:$J$301,MATCH($B19,Vinos!$A$2:$A$301,0))),""))</f>
        <v/>
      </c>
      <c r="L19" s="16">
        <f>IF($H19="","",IFERROR(IF(INDEX(Vinos!$K$2:$K$301,MATCH($B19,Vinos!$A$2:$A$301,0))="","",$H19*INDEX(Vinos!$K$2:$K$301,MATCH($B19,Vinos!$A$2:$A$301,0))),""))</f>
        <v/>
      </c>
      <c r="M19" s="21">
        <f>IF(OR($A19="",$B19=""),"",SUMIFS($H$2:$H$2001,$A$2:$A$2001,$A19,$B$2:$B$2001,$B19))</f>
        <v/>
      </c>
      <c r="N19" s="20">
        <f>IF($M19="","",IF($M19&lt;=0,"Sin stock: reponer ya",IF($M19&lt;IFERROR(N(INDEX(Vinos!$N$2:$N$301,MATCH($B19,Vinos!$A$2:$A$301,0))),0),"Bajo mínimo: reponer","OK")))</f>
        <v/>
      </c>
      <c r="O19" s="14" t="n"/>
      <c r="P19" s="14" t="n"/>
      <c r="Q19" s="20">
        <f>IF($B19="","",IFERROR(INDEX(Vinos!$C$2:$C$301,MATCH($B19,Vinos!$A$2:$A$301,0)),""))</f>
        <v/>
      </c>
      <c r="R19" s="20">
        <f>IF(OR($A19="",$A19&lt;&gt;'Resumen del inventario'!$C$3,$N19="",$N19="OK"),"",IF(COUNTIFS($A$2:$A19,$A19,$B$2:$B19,$B19)=1,1,""))</f>
        <v/>
      </c>
      <c r="S19" s="20">
        <f>IF($R19=1,COUNTIF($R$2:$R19,1),"")</f>
        <v/>
      </c>
    </row>
    <row r="20">
      <c r="A20" s="19" t="n"/>
      <c r="B20" s="14" t="n"/>
      <c r="C20" s="20">
        <f>IF($B20="","",IFERROR(INDEX(Vinos!$B$2:$B$301,MATCH($B20,Vinos!$A$2:$A$301,0)),"Código no cargado"))</f>
        <v/>
      </c>
      <c r="D20" s="14" t="n"/>
      <c r="E20" s="14" t="n"/>
      <c r="F20" s="18" t="n"/>
      <c r="G20" s="18" t="n"/>
      <c r="H20" s="21">
        <f>IF(AND($F20="",$G20=""),"",N($F20)*IFERROR(N(INDEX(Vinos!$H$2:$H$301,MATCH($B20,Vinos!$A$2:$A$301,0))),0)+N($G20))</f>
        <v/>
      </c>
      <c r="I20" s="18" t="n"/>
      <c r="J20" s="21">
        <f>IF(OR($H20="",$I20=""),"",$H20-$I20)</f>
        <v/>
      </c>
      <c r="K20" s="16">
        <f>IF($H20="","",IFERROR(IF(INDEX(Vinos!$J$2:$J$301,MATCH($B20,Vinos!$A$2:$A$301,0))="","",$H20*INDEX(Vinos!$J$2:$J$301,MATCH($B20,Vinos!$A$2:$A$301,0))),""))</f>
        <v/>
      </c>
      <c r="L20" s="16">
        <f>IF($H20="","",IFERROR(IF(INDEX(Vinos!$K$2:$K$301,MATCH($B20,Vinos!$A$2:$A$301,0))="","",$H20*INDEX(Vinos!$K$2:$K$301,MATCH($B20,Vinos!$A$2:$A$301,0))),""))</f>
        <v/>
      </c>
      <c r="M20" s="21">
        <f>IF(OR($A20="",$B20=""),"",SUMIFS($H$2:$H$2001,$A$2:$A$2001,$A20,$B$2:$B$2001,$B20))</f>
        <v/>
      </c>
      <c r="N20" s="20">
        <f>IF($M20="","",IF($M20&lt;=0,"Sin stock: reponer ya",IF($M20&lt;IFERROR(N(INDEX(Vinos!$N$2:$N$301,MATCH($B20,Vinos!$A$2:$A$301,0))),0),"Bajo mínimo: reponer","OK")))</f>
        <v/>
      </c>
      <c r="O20" s="14" t="n"/>
      <c r="P20" s="14" t="n"/>
      <c r="Q20" s="20">
        <f>IF($B20="","",IFERROR(INDEX(Vinos!$C$2:$C$301,MATCH($B20,Vinos!$A$2:$A$301,0)),""))</f>
        <v/>
      </c>
      <c r="R20" s="20">
        <f>IF(OR($A20="",$A20&lt;&gt;'Resumen del inventario'!$C$3,$N20="",$N20="OK"),"",IF(COUNTIFS($A$2:$A20,$A20,$B$2:$B20,$B20)=1,1,""))</f>
        <v/>
      </c>
      <c r="S20" s="20">
        <f>IF($R20=1,COUNTIF($R$2:$R20,1),"")</f>
        <v/>
      </c>
    </row>
    <row r="21">
      <c r="A21" s="19" t="n"/>
      <c r="B21" s="14" t="n"/>
      <c r="C21" s="20">
        <f>IF($B21="","",IFERROR(INDEX(Vinos!$B$2:$B$301,MATCH($B21,Vinos!$A$2:$A$301,0)),"Código no cargado"))</f>
        <v/>
      </c>
      <c r="D21" s="14" t="n"/>
      <c r="E21" s="14" t="n"/>
      <c r="F21" s="18" t="n"/>
      <c r="G21" s="18" t="n"/>
      <c r="H21" s="21">
        <f>IF(AND($F21="",$G21=""),"",N($F21)*IFERROR(N(INDEX(Vinos!$H$2:$H$301,MATCH($B21,Vinos!$A$2:$A$301,0))),0)+N($G21))</f>
        <v/>
      </c>
      <c r="I21" s="18" t="n"/>
      <c r="J21" s="21">
        <f>IF(OR($H21="",$I21=""),"",$H21-$I21)</f>
        <v/>
      </c>
      <c r="K21" s="16">
        <f>IF($H21="","",IFERROR(IF(INDEX(Vinos!$J$2:$J$301,MATCH($B21,Vinos!$A$2:$A$301,0))="","",$H21*INDEX(Vinos!$J$2:$J$301,MATCH($B21,Vinos!$A$2:$A$301,0))),""))</f>
        <v/>
      </c>
      <c r="L21" s="16">
        <f>IF($H21="","",IFERROR(IF(INDEX(Vinos!$K$2:$K$301,MATCH($B21,Vinos!$A$2:$A$301,0))="","",$H21*INDEX(Vinos!$K$2:$K$301,MATCH($B21,Vinos!$A$2:$A$301,0))),""))</f>
        <v/>
      </c>
      <c r="M21" s="21">
        <f>IF(OR($A21="",$B21=""),"",SUMIFS($H$2:$H$2001,$A$2:$A$2001,$A21,$B$2:$B$2001,$B21))</f>
        <v/>
      </c>
      <c r="N21" s="20">
        <f>IF($M21="","",IF($M21&lt;=0,"Sin stock: reponer ya",IF($M21&lt;IFERROR(N(INDEX(Vinos!$N$2:$N$301,MATCH($B21,Vinos!$A$2:$A$301,0))),0),"Bajo mínimo: reponer","OK")))</f>
        <v/>
      </c>
      <c r="O21" s="14" t="n"/>
      <c r="P21" s="14" t="n"/>
      <c r="Q21" s="20">
        <f>IF($B21="","",IFERROR(INDEX(Vinos!$C$2:$C$301,MATCH($B21,Vinos!$A$2:$A$301,0)),""))</f>
        <v/>
      </c>
      <c r="R21" s="20">
        <f>IF(OR($A21="",$A21&lt;&gt;'Resumen del inventario'!$C$3,$N21="",$N21="OK"),"",IF(COUNTIFS($A$2:$A21,$A21,$B$2:$B21,$B21)=1,1,""))</f>
        <v/>
      </c>
      <c r="S21" s="20">
        <f>IF($R21=1,COUNTIF($R$2:$R21,1),"")</f>
        <v/>
      </c>
    </row>
    <row r="22">
      <c r="A22" s="19" t="n"/>
      <c r="B22" s="14" t="n"/>
      <c r="C22" s="20">
        <f>IF($B22="","",IFERROR(INDEX(Vinos!$B$2:$B$301,MATCH($B22,Vinos!$A$2:$A$301,0)),"Código no cargado"))</f>
        <v/>
      </c>
      <c r="D22" s="14" t="n"/>
      <c r="E22" s="14" t="n"/>
      <c r="F22" s="18" t="n"/>
      <c r="G22" s="18" t="n"/>
      <c r="H22" s="21">
        <f>IF(AND($F22="",$G22=""),"",N($F22)*IFERROR(N(INDEX(Vinos!$H$2:$H$301,MATCH($B22,Vinos!$A$2:$A$301,0))),0)+N($G22))</f>
        <v/>
      </c>
      <c r="I22" s="18" t="n"/>
      <c r="J22" s="21">
        <f>IF(OR($H22="",$I22=""),"",$H22-$I22)</f>
        <v/>
      </c>
      <c r="K22" s="16">
        <f>IF($H22="","",IFERROR(IF(INDEX(Vinos!$J$2:$J$301,MATCH($B22,Vinos!$A$2:$A$301,0))="","",$H22*INDEX(Vinos!$J$2:$J$301,MATCH($B22,Vinos!$A$2:$A$301,0))),""))</f>
        <v/>
      </c>
      <c r="L22" s="16">
        <f>IF($H22="","",IFERROR(IF(INDEX(Vinos!$K$2:$K$301,MATCH($B22,Vinos!$A$2:$A$301,0))="","",$H22*INDEX(Vinos!$K$2:$K$301,MATCH($B22,Vinos!$A$2:$A$301,0))),""))</f>
        <v/>
      </c>
      <c r="M22" s="21">
        <f>IF(OR($A22="",$B22=""),"",SUMIFS($H$2:$H$2001,$A$2:$A$2001,$A22,$B$2:$B$2001,$B22))</f>
        <v/>
      </c>
      <c r="N22" s="20">
        <f>IF($M22="","",IF($M22&lt;=0,"Sin stock: reponer ya",IF($M22&lt;IFERROR(N(INDEX(Vinos!$N$2:$N$301,MATCH($B22,Vinos!$A$2:$A$301,0))),0),"Bajo mínimo: reponer","OK")))</f>
        <v/>
      </c>
      <c r="O22" s="14" t="n"/>
      <c r="P22" s="14" t="n"/>
      <c r="Q22" s="20">
        <f>IF($B22="","",IFERROR(INDEX(Vinos!$C$2:$C$301,MATCH($B22,Vinos!$A$2:$A$301,0)),""))</f>
        <v/>
      </c>
      <c r="R22" s="20">
        <f>IF(OR($A22="",$A22&lt;&gt;'Resumen del inventario'!$C$3,$N22="",$N22="OK"),"",IF(COUNTIFS($A$2:$A22,$A22,$B$2:$B22,$B22)=1,1,""))</f>
        <v/>
      </c>
      <c r="S22" s="20">
        <f>IF($R22=1,COUNTIF($R$2:$R22,1),"")</f>
        <v/>
      </c>
    </row>
    <row r="23">
      <c r="A23" s="19" t="n"/>
      <c r="B23" s="14" t="n"/>
      <c r="C23" s="20">
        <f>IF($B23="","",IFERROR(INDEX(Vinos!$B$2:$B$301,MATCH($B23,Vinos!$A$2:$A$301,0)),"Código no cargado"))</f>
        <v/>
      </c>
      <c r="D23" s="14" t="n"/>
      <c r="E23" s="14" t="n"/>
      <c r="F23" s="18" t="n"/>
      <c r="G23" s="18" t="n"/>
      <c r="H23" s="21">
        <f>IF(AND($F23="",$G23=""),"",N($F23)*IFERROR(N(INDEX(Vinos!$H$2:$H$301,MATCH($B23,Vinos!$A$2:$A$301,0))),0)+N($G23))</f>
        <v/>
      </c>
      <c r="I23" s="18" t="n"/>
      <c r="J23" s="21">
        <f>IF(OR($H23="",$I23=""),"",$H23-$I23)</f>
        <v/>
      </c>
      <c r="K23" s="16">
        <f>IF($H23="","",IFERROR(IF(INDEX(Vinos!$J$2:$J$301,MATCH($B23,Vinos!$A$2:$A$301,0))="","",$H23*INDEX(Vinos!$J$2:$J$301,MATCH($B23,Vinos!$A$2:$A$301,0))),""))</f>
        <v/>
      </c>
      <c r="L23" s="16">
        <f>IF($H23="","",IFERROR(IF(INDEX(Vinos!$K$2:$K$301,MATCH($B23,Vinos!$A$2:$A$301,0))="","",$H23*INDEX(Vinos!$K$2:$K$301,MATCH($B23,Vinos!$A$2:$A$301,0))),""))</f>
        <v/>
      </c>
      <c r="M23" s="21">
        <f>IF(OR($A23="",$B23=""),"",SUMIFS($H$2:$H$2001,$A$2:$A$2001,$A23,$B$2:$B$2001,$B23))</f>
        <v/>
      </c>
      <c r="N23" s="20">
        <f>IF($M23="","",IF($M23&lt;=0,"Sin stock: reponer ya",IF($M23&lt;IFERROR(N(INDEX(Vinos!$N$2:$N$301,MATCH($B23,Vinos!$A$2:$A$301,0))),0),"Bajo mínimo: reponer","OK")))</f>
        <v/>
      </c>
      <c r="O23" s="14" t="n"/>
      <c r="P23" s="14" t="n"/>
      <c r="Q23" s="20">
        <f>IF($B23="","",IFERROR(INDEX(Vinos!$C$2:$C$301,MATCH($B23,Vinos!$A$2:$A$301,0)),""))</f>
        <v/>
      </c>
      <c r="R23" s="20">
        <f>IF(OR($A23="",$A23&lt;&gt;'Resumen del inventario'!$C$3,$N23="",$N23="OK"),"",IF(COUNTIFS($A$2:$A23,$A23,$B$2:$B23,$B23)=1,1,""))</f>
        <v/>
      </c>
      <c r="S23" s="20">
        <f>IF($R23=1,COUNTIF($R$2:$R23,1),"")</f>
        <v/>
      </c>
    </row>
    <row r="24">
      <c r="A24" s="19" t="n"/>
      <c r="B24" s="14" t="n"/>
      <c r="C24" s="20">
        <f>IF($B24="","",IFERROR(INDEX(Vinos!$B$2:$B$301,MATCH($B24,Vinos!$A$2:$A$301,0)),"Código no cargado"))</f>
        <v/>
      </c>
      <c r="D24" s="14" t="n"/>
      <c r="E24" s="14" t="n"/>
      <c r="F24" s="18" t="n"/>
      <c r="G24" s="18" t="n"/>
      <c r="H24" s="21">
        <f>IF(AND($F24="",$G24=""),"",N($F24)*IFERROR(N(INDEX(Vinos!$H$2:$H$301,MATCH($B24,Vinos!$A$2:$A$301,0))),0)+N($G24))</f>
        <v/>
      </c>
      <c r="I24" s="18" t="n"/>
      <c r="J24" s="21">
        <f>IF(OR($H24="",$I24=""),"",$H24-$I24)</f>
        <v/>
      </c>
      <c r="K24" s="16">
        <f>IF($H24="","",IFERROR(IF(INDEX(Vinos!$J$2:$J$301,MATCH($B24,Vinos!$A$2:$A$301,0))="","",$H24*INDEX(Vinos!$J$2:$J$301,MATCH($B24,Vinos!$A$2:$A$301,0))),""))</f>
        <v/>
      </c>
      <c r="L24" s="16">
        <f>IF($H24="","",IFERROR(IF(INDEX(Vinos!$K$2:$K$301,MATCH($B24,Vinos!$A$2:$A$301,0))="","",$H24*INDEX(Vinos!$K$2:$K$301,MATCH($B24,Vinos!$A$2:$A$301,0))),""))</f>
        <v/>
      </c>
      <c r="M24" s="21">
        <f>IF(OR($A24="",$B24=""),"",SUMIFS($H$2:$H$2001,$A$2:$A$2001,$A24,$B$2:$B$2001,$B24))</f>
        <v/>
      </c>
      <c r="N24" s="20">
        <f>IF($M24="","",IF($M24&lt;=0,"Sin stock: reponer ya",IF($M24&lt;IFERROR(N(INDEX(Vinos!$N$2:$N$301,MATCH($B24,Vinos!$A$2:$A$301,0))),0),"Bajo mínimo: reponer","OK")))</f>
        <v/>
      </c>
      <c r="O24" s="14" t="n"/>
      <c r="P24" s="14" t="n"/>
      <c r="Q24" s="20">
        <f>IF($B24="","",IFERROR(INDEX(Vinos!$C$2:$C$301,MATCH($B24,Vinos!$A$2:$A$301,0)),""))</f>
        <v/>
      </c>
      <c r="R24" s="20">
        <f>IF(OR($A24="",$A24&lt;&gt;'Resumen del inventario'!$C$3,$N24="",$N24="OK"),"",IF(COUNTIFS($A$2:$A24,$A24,$B$2:$B24,$B24)=1,1,""))</f>
        <v/>
      </c>
      <c r="S24" s="20">
        <f>IF($R24=1,COUNTIF($R$2:$R24,1),"")</f>
        <v/>
      </c>
    </row>
    <row r="25">
      <c r="A25" s="19" t="n"/>
      <c r="B25" s="14" t="n"/>
      <c r="C25" s="20">
        <f>IF($B25="","",IFERROR(INDEX(Vinos!$B$2:$B$301,MATCH($B25,Vinos!$A$2:$A$301,0)),"Código no cargado"))</f>
        <v/>
      </c>
      <c r="D25" s="14" t="n"/>
      <c r="E25" s="14" t="n"/>
      <c r="F25" s="18" t="n"/>
      <c r="G25" s="18" t="n"/>
      <c r="H25" s="21">
        <f>IF(AND($F25="",$G25=""),"",N($F25)*IFERROR(N(INDEX(Vinos!$H$2:$H$301,MATCH($B25,Vinos!$A$2:$A$301,0))),0)+N($G25))</f>
        <v/>
      </c>
      <c r="I25" s="18" t="n"/>
      <c r="J25" s="21">
        <f>IF(OR($H25="",$I25=""),"",$H25-$I25)</f>
        <v/>
      </c>
      <c r="K25" s="16">
        <f>IF($H25="","",IFERROR(IF(INDEX(Vinos!$J$2:$J$301,MATCH($B25,Vinos!$A$2:$A$301,0))="","",$H25*INDEX(Vinos!$J$2:$J$301,MATCH($B25,Vinos!$A$2:$A$301,0))),""))</f>
        <v/>
      </c>
      <c r="L25" s="16">
        <f>IF($H25="","",IFERROR(IF(INDEX(Vinos!$K$2:$K$301,MATCH($B25,Vinos!$A$2:$A$301,0))="","",$H25*INDEX(Vinos!$K$2:$K$301,MATCH($B25,Vinos!$A$2:$A$301,0))),""))</f>
        <v/>
      </c>
      <c r="M25" s="21">
        <f>IF(OR($A25="",$B25=""),"",SUMIFS($H$2:$H$2001,$A$2:$A$2001,$A25,$B$2:$B$2001,$B25))</f>
        <v/>
      </c>
      <c r="N25" s="20">
        <f>IF($M25="","",IF($M25&lt;=0,"Sin stock: reponer ya",IF($M25&lt;IFERROR(N(INDEX(Vinos!$N$2:$N$301,MATCH($B25,Vinos!$A$2:$A$301,0))),0),"Bajo mínimo: reponer","OK")))</f>
        <v/>
      </c>
      <c r="O25" s="14" t="n"/>
      <c r="P25" s="14" t="n"/>
      <c r="Q25" s="20">
        <f>IF($B25="","",IFERROR(INDEX(Vinos!$C$2:$C$301,MATCH($B25,Vinos!$A$2:$A$301,0)),""))</f>
        <v/>
      </c>
      <c r="R25" s="20">
        <f>IF(OR($A25="",$A25&lt;&gt;'Resumen del inventario'!$C$3,$N25="",$N25="OK"),"",IF(COUNTIFS($A$2:$A25,$A25,$B$2:$B25,$B25)=1,1,""))</f>
        <v/>
      </c>
      <c r="S25" s="20">
        <f>IF($R25=1,COUNTIF($R$2:$R25,1),"")</f>
        <v/>
      </c>
    </row>
    <row r="26">
      <c r="A26" s="19" t="n"/>
      <c r="B26" s="14" t="n"/>
      <c r="C26" s="20">
        <f>IF($B26="","",IFERROR(INDEX(Vinos!$B$2:$B$301,MATCH($B26,Vinos!$A$2:$A$301,0)),"Código no cargado"))</f>
        <v/>
      </c>
      <c r="D26" s="14" t="n"/>
      <c r="E26" s="14" t="n"/>
      <c r="F26" s="18" t="n"/>
      <c r="G26" s="18" t="n"/>
      <c r="H26" s="21">
        <f>IF(AND($F26="",$G26=""),"",N($F26)*IFERROR(N(INDEX(Vinos!$H$2:$H$301,MATCH($B26,Vinos!$A$2:$A$301,0))),0)+N($G26))</f>
        <v/>
      </c>
      <c r="I26" s="18" t="n"/>
      <c r="J26" s="21">
        <f>IF(OR($H26="",$I26=""),"",$H26-$I26)</f>
        <v/>
      </c>
      <c r="K26" s="16">
        <f>IF($H26="","",IFERROR(IF(INDEX(Vinos!$J$2:$J$301,MATCH($B26,Vinos!$A$2:$A$301,0))="","",$H26*INDEX(Vinos!$J$2:$J$301,MATCH($B26,Vinos!$A$2:$A$301,0))),""))</f>
        <v/>
      </c>
      <c r="L26" s="16">
        <f>IF($H26="","",IFERROR(IF(INDEX(Vinos!$K$2:$K$301,MATCH($B26,Vinos!$A$2:$A$301,0))="","",$H26*INDEX(Vinos!$K$2:$K$301,MATCH($B26,Vinos!$A$2:$A$301,0))),""))</f>
        <v/>
      </c>
      <c r="M26" s="21">
        <f>IF(OR($A26="",$B26=""),"",SUMIFS($H$2:$H$2001,$A$2:$A$2001,$A26,$B$2:$B$2001,$B26))</f>
        <v/>
      </c>
      <c r="N26" s="20">
        <f>IF($M26="","",IF($M26&lt;=0,"Sin stock: reponer ya",IF($M26&lt;IFERROR(N(INDEX(Vinos!$N$2:$N$301,MATCH($B26,Vinos!$A$2:$A$301,0))),0),"Bajo mínimo: reponer","OK")))</f>
        <v/>
      </c>
      <c r="O26" s="14" t="n"/>
      <c r="P26" s="14" t="n"/>
      <c r="Q26" s="20">
        <f>IF($B26="","",IFERROR(INDEX(Vinos!$C$2:$C$301,MATCH($B26,Vinos!$A$2:$A$301,0)),""))</f>
        <v/>
      </c>
      <c r="R26" s="20">
        <f>IF(OR($A26="",$A26&lt;&gt;'Resumen del inventario'!$C$3,$N26="",$N26="OK"),"",IF(COUNTIFS($A$2:$A26,$A26,$B$2:$B26,$B26)=1,1,""))</f>
        <v/>
      </c>
      <c r="S26" s="20">
        <f>IF($R26=1,COUNTIF($R$2:$R26,1),"")</f>
        <v/>
      </c>
    </row>
    <row r="27">
      <c r="A27" s="19" t="n"/>
      <c r="B27" s="14" t="n"/>
      <c r="C27" s="20">
        <f>IF($B27="","",IFERROR(INDEX(Vinos!$B$2:$B$301,MATCH($B27,Vinos!$A$2:$A$301,0)),"Código no cargado"))</f>
        <v/>
      </c>
      <c r="D27" s="14" t="n"/>
      <c r="E27" s="14" t="n"/>
      <c r="F27" s="18" t="n"/>
      <c r="G27" s="18" t="n"/>
      <c r="H27" s="21">
        <f>IF(AND($F27="",$G27=""),"",N($F27)*IFERROR(N(INDEX(Vinos!$H$2:$H$301,MATCH($B27,Vinos!$A$2:$A$301,0))),0)+N($G27))</f>
        <v/>
      </c>
      <c r="I27" s="18" t="n"/>
      <c r="J27" s="21">
        <f>IF(OR($H27="",$I27=""),"",$H27-$I27)</f>
        <v/>
      </c>
      <c r="K27" s="16">
        <f>IF($H27="","",IFERROR(IF(INDEX(Vinos!$J$2:$J$301,MATCH($B27,Vinos!$A$2:$A$301,0))="","",$H27*INDEX(Vinos!$J$2:$J$301,MATCH($B27,Vinos!$A$2:$A$301,0))),""))</f>
        <v/>
      </c>
      <c r="L27" s="16">
        <f>IF($H27="","",IFERROR(IF(INDEX(Vinos!$K$2:$K$301,MATCH($B27,Vinos!$A$2:$A$301,0))="","",$H27*INDEX(Vinos!$K$2:$K$301,MATCH($B27,Vinos!$A$2:$A$301,0))),""))</f>
        <v/>
      </c>
      <c r="M27" s="21">
        <f>IF(OR($A27="",$B27=""),"",SUMIFS($H$2:$H$2001,$A$2:$A$2001,$A27,$B$2:$B$2001,$B27))</f>
        <v/>
      </c>
      <c r="N27" s="20">
        <f>IF($M27="","",IF($M27&lt;=0,"Sin stock: reponer ya",IF($M27&lt;IFERROR(N(INDEX(Vinos!$N$2:$N$301,MATCH($B27,Vinos!$A$2:$A$301,0))),0),"Bajo mínimo: reponer","OK")))</f>
        <v/>
      </c>
      <c r="O27" s="14" t="n"/>
      <c r="P27" s="14" t="n"/>
      <c r="Q27" s="20">
        <f>IF($B27="","",IFERROR(INDEX(Vinos!$C$2:$C$301,MATCH($B27,Vinos!$A$2:$A$301,0)),""))</f>
        <v/>
      </c>
      <c r="R27" s="20">
        <f>IF(OR($A27="",$A27&lt;&gt;'Resumen del inventario'!$C$3,$N27="",$N27="OK"),"",IF(COUNTIFS($A$2:$A27,$A27,$B$2:$B27,$B27)=1,1,""))</f>
        <v/>
      </c>
      <c r="S27" s="20">
        <f>IF($R27=1,COUNTIF($R$2:$R27,1),"")</f>
        <v/>
      </c>
    </row>
    <row r="28">
      <c r="A28" s="19" t="n"/>
      <c r="B28" s="14" t="n"/>
      <c r="C28" s="20">
        <f>IF($B28="","",IFERROR(INDEX(Vinos!$B$2:$B$301,MATCH($B28,Vinos!$A$2:$A$301,0)),"Código no cargado"))</f>
        <v/>
      </c>
      <c r="D28" s="14" t="n"/>
      <c r="E28" s="14" t="n"/>
      <c r="F28" s="18" t="n"/>
      <c r="G28" s="18" t="n"/>
      <c r="H28" s="21">
        <f>IF(AND($F28="",$G28=""),"",N($F28)*IFERROR(N(INDEX(Vinos!$H$2:$H$301,MATCH($B28,Vinos!$A$2:$A$301,0))),0)+N($G28))</f>
        <v/>
      </c>
      <c r="I28" s="18" t="n"/>
      <c r="J28" s="21">
        <f>IF(OR($H28="",$I28=""),"",$H28-$I28)</f>
        <v/>
      </c>
      <c r="K28" s="16">
        <f>IF($H28="","",IFERROR(IF(INDEX(Vinos!$J$2:$J$301,MATCH($B28,Vinos!$A$2:$A$301,0))="","",$H28*INDEX(Vinos!$J$2:$J$301,MATCH($B28,Vinos!$A$2:$A$301,0))),""))</f>
        <v/>
      </c>
      <c r="L28" s="16">
        <f>IF($H28="","",IFERROR(IF(INDEX(Vinos!$K$2:$K$301,MATCH($B28,Vinos!$A$2:$A$301,0))="","",$H28*INDEX(Vinos!$K$2:$K$301,MATCH($B28,Vinos!$A$2:$A$301,0))),""))</f>
        <v/>
      </c>
      <c r="M28" s="21">
        <f>IF(OR($A28="",$B28=""),"",SUMIFS($H$2:$H$2001,$A$2:$A$2001,$A28,$B$2:$B$2001,$B28))</f>
        <v/>
      </c>
      <c r="N28" s="20">
        <f>IF($M28="","",IF($M28&lt;=0,"Sin stock: reponer ya",IF($M28&lt;IFERROR(N(INDEX(Vinos!$N$2:$N$301,MATCH($B28,Vinos!$A$2:$A$301,0))),0),"Bajo mínimo: reponer","OK")))</f>
        <v/>
      </c>
      <c r="O28" s="14" t="n"/>
      <c r="P28" s="14" t="n"/>
      <c r="Q28" s="20">
        <f>IF($B28="","",IFERROR(INDEX(Vinos!$C$2:$C$301,MATCH($B28,Vinos!$A$2:$A$301,0)),""))</f>
        <v/>
      </c>
      <c r="R28" s="20">
        <f>IF(OR($A28="",$A28&lt;&gt;'Resumen del inventario'!$C$3,$N28="",$N28="OK"),"",IF(COUNTIFS($A$2:$A28,$A28,$B$2:$B28,$B28)=1,1,""))</f>
        <v/>
      </c>
      <c r="S28" s="20">
        <f>IF($R28=1,COUNTIF($R$2:$R28,1),"")</f>
        <v/>
      </c>
    </row>
    <row r="29">
      <c r="A29" s="19" t="n"/>
      <c r="B29" s="14" t="n"/>
      <c r="C29" s="20">
        <f>IF($B29="","",IFERROR(INDEX(Vinos!$B$2:$B$301,MATCH($B29,Vinos!$A$2:$A$301,0)),"Código no cargado"))</f>
        <v/>
      </c>
      <c r="D29" s="14" t="n"/>
      <c r="E29" s="14" t="n"/>
      <c r="F29" s="18" t="n"/>
      <c r="G29" s="18" t="n"/>
      <c r="H29" s="21">
        <f>IF(AND($F29="",$G29=""),"",N($F29)*IFERROR(N(INDEX(Vinos!$H$2:$H$301,MATCH($B29,Vinos!$A$2:$A$301,0))),0)+N($G29))</f>
        <v/>
      </c>
      <c r="I29" s="18" t="n"/>
      <c r="J29" s="21">
        <f>IF(OR($H29="",$I29=""),"",$H29-$I29)</f>
        <v/>
      </c>
      <c r="K29" s="16">
        <f>IF($H29="","",IFERROR(IF(INDEX(Vinos!$J$2:$J$301,MATCH($B29,Vinos!$A$2:$A$301,0))="","",$H29*INDEX(Vinos!$J$2:$J$301,MATCH($B29,Vinos!$A$2:$A$301,0))),""))</f>
        <v/>
      </c>
      <c r="L29" s="16">
        <f>IF($H29="","",IFERROR(IF(INDEX(Vinos!$K$2:$K$301,MATCH($B29,Vinos!$A$2:$A$301,0))="","",$H29*INDEX(Vinos!$K$2:$K$301,MATCH($B29,Vinos!$A$2:$A$301,0))),""))</f>
        <v/>
      </c>
      <c r="M29" s="21">
        <f>IF(OR($A29="",$B29=""),"",SUMIFS($H$2:$H$2001,$A$2:$A$2001,$A29,$B$2:$B$2001,$B29))</f>
        <v/>
      </c>
      <c r="N29" s="20">
        <f>IF($M29="","",IF($M29&lt;=0,"Sin stock: reponer ya",IF($M29&lt;IFERROR(N(INDEX(Vinos!$N$2:$N$301,MATCH($B29,Vinos!$A$2:$A$301,0))),0),"Bajo mínimo: reponer","OK")))</f>
        <v/>
      </c>
      <c r="O29" s="14" t="n"/>
      <c r="P29" s="14" t="n"/>
      <c r="Q29" s="20">
        <f>IF($B29="","",IFERROR(INDEX(Vinos!$C$2:$C$301,MATCH($B29,Vinos!$A$2:$A$301,0)),""))</f>
        <v/>
      </c>
      <c r="R29" s="20">
        <f>IF(OR($A29="",$A29&lt;&gt;'Resumen del inventario'!$C$3,$N29="",$N29="OK"),"",IF(COUNTIFS($A$2:$A29,$A29,$B$2:$B29,$B29)=1,1,""))</f>
        <v/>
      </c>
      <c r="S29" s="20">
        <f>IF($R29=1,COUNTIF($R$2:$R29,1),"")</f>
        <v/>
      </c>
    </row>
    <row r="30">
      <c r="A30" s="19" t="n"/>
      <c r="B30" s="14" t="n"/>
      <c r="C30" s="20">
        <f>IF($B30="","",IFERROR(INDEX(Vinos!$B$2:$B$301,MATCH($B30,Vinos!$A$2:$A$301,0)),"Código no cargado"))</f>
        <v/>
      </c>
      <c r="D30" s="14" t="n"/>
      <c r="E30" s="14" t="n"/>
      <c r="F30" s="18" t="n"/>
      <c r="G30" s="18" t="n"/>
      <c r="H30" s="21">
        <f>IF(AND($F30="",$G30=""),"",N($F30)*IFERROR(N(INDEX(Vinos!$H$2:$H$301,MATCH($B30,Vinos!$A$2:$A$301,0))),0)+N($G30))</f>
        <v/>
      </c>
      <c r="I30" s="18" t="n"/>
      <c r="J30" s="21">
        <f>IF(OR($H30="",$I30=""),"",$H30-$I30)</f>
        <v/>
      </c>
      <c r="K30" s="16">
        <f>IF($H30="","",IFERROR(IF(INDEX(Vinos!$J$2:$J$301,MATCH($B30,Vinos!$A$2:$A$301,0))="","",$H30*INDEX(Vinos!$J$2:$J$301,MATCH($B30,Vinos!$A$2:$A$301,0))),""))</f>
        <v/>
      </c>
      <c r="L30" s="16">
        <f>IF($H30="","",IFERROR(IF(INDEX(Vinos!$K$2:$K$301,MATCH($B30,Vinos!$A$2:$A$301,0))="","",$H30*INDEX(Vinos!$K$2:$K$301,MATCH($B30,Vinos!$A$2:$A$301,0))),""))</f>
        <v/>
      </c>
      <c r="M30" s="21">
        <f>IF(OR($A30="",$B30=""),"",SUMIFS($H$2:$H$2001,$A$2:$A$2001,$A30,$B$2:$B$2001,$B30))</f>
        <v/>
      </c>
      <c r="N30" s="20">
        <f>IF($M30="","",IF($M30&lt;=0,"Sin stock: reponer ya",IF($M30&lt;IFERROR(N(INDEX(Vinos!$N$2:$N$301,MATCH($B30,Vinos!$A$2:$A$301,0))),0),"Bajo mínimo: reponer","OK")))</f>
        <v/>
      </c>
      <c r="O30" s="14" t="n"/>
      <c r="P30" s="14" t="n"/>
      <c r="Q30" s="20">
        <f>IF($B30="","",IFERROR(INDEX(Vinos!$C$2:$C$301,MATCH($B30,Vinos!$A$2:$A$301,0)),""))</f>
        <v/>
      </c>
      <c r="R30" s="20">
        <f>IF(OR($A30="",$A30&lt;&gt;'Resumen del inventario'!$C$3,$N30="",$N30="OK"),"",IF(COUNTIFS($A$2:$A30,$A30,$B$2:$B30,$B30)=1,1,""))</f>
        <v/>
      </c>
      <c r="S30" s="20">
        <f>IF($R30=1,COUNTIF($R$2:$R30,1),"")</f>
        <v/>
      </c>
    </row>
    <row r="31">
      <c r="A31" s="19" t="n"/>
      <c r="B31" s="14" t="n"/>
      <c r="C31" s="20">
        <f>IF($B31="","",IFERROR(INDEX(Vinos!$B$2:$B$301,MATCH($B31,Vinos!$A$2:$A$301,0)),"Código no cargado"))</f>
        <v/>
      </c>
      <c r="D31" s="14" t="n"/>
      <c r="E31" s="14" t="n"/>
      <c r="F31" s="18" t="n"/>
      <c r="G31" s="18" t="n"/>
      <c r="H31" s="21">
        <f>IF(AND($F31="",$G31=""),"",N($F31)*IFERROR(N(INDEX(Vinos!$H$2:$H$301,MATCH($B31,Vinos!$A$2:$A$301,0))),0)+N($G31))</f>
        <v/>
      </c>
      <c r="I31" s="18" t="n"/>
      <c r="J31" s="21">
        <f>IF(OR($H31="",$I31=""),"",$H31-$I31)</f>
        <v/>
      </c>
      <c r="K31" s="16">
        <f>IF($H31="","",IFERROR(IF(INDEX(Vinos!$J$2:$J$301,MATCH($B31,Vinos!$A$2:$A$301,0))="","",$H31*INDEX(Vinos!$J$2:$J$301,MATCH($B31,Vinos!$A$2:$A$301,0))),""))</f>
        <v/>
      </c>
      <c r="L31" s="16">
        <f>IF($H31="","",IFERROR(IF(INDEX(Vinos!$K$2:$K$301,MATCH($B31,Vinos!$A$2:$A$301,0))="","",$H31*INDEX(Vinos!$K$2:$K$301,MATCH($B31,Vinos!$A$2:$A$301,0))),""))</f>
        <v/>
      </c>
      <c r="M31" s="21">
        <f>IF(OR($A31="",$B31=""),"",SUMIFS($H$2:$H$2001,$A$2:$A$2001,$A31,$B$2:$B$2001,$B31))</f>
        <v/>
      </c>
      <c r="N31" s="20">
        <f>IF($M31="","",IF($M31&lt;=0,"Sin stock: reponer ya",IF($M31&lt;IFERROR(N(INDEX(Vinos!$N$2:$N$301,MATCH($B31,Vinos!$A$2:$A$301,0))),0),"Bajo mínimo: reponer","OK")))</f>
        <v/>
      </c>
      <c r="O31" s="14" t="n"/>
      <c r="P31" s="14" t="n"/>
      <c r="Q31" s="20">
        <f>IF($B31="","",IFERROR(INDEX(Vinos!$C$2:$C$301,MATCH($B31,Vinos!$A$2:$A$301,0)),""))</f>
        <v/>
      </c>
      <c r="R31" s="20">
        <f>IF(OR($A31="",$A31&lt;&gt;'Resumen del inventario'!$C$3,$N31="",$N31="OK"),"",IF(COUNTIFS($A$2:$A31,$A31,$B$2:$B31,$B31)=1,1,""))</f>
        <v/>
      </c>
      <c r="S31" s="20">
        <f>IF($R31=1,COUNTIF($R$2:$R31,1),"")</f>
        <v/>
      </c>
    </row>
    <row r="32">
      <c r="A32" s="19" t="n"/>
      <c r="B32" s="14" t="n"/>
      <c r="C32" s="20">
        <f>IF($B32="","",IFERROR(INDEX(Vinos!$B$2:$B$301,MATCH($B32,Vinos!$A$2:$A$301,0)),"Código no cargado"))</f>
        <v/>
      </c>
      <c r="D32" s="14" t="n"/>
      <c r="E32" s="14" t="n"/>
      <c r="F32" s="18" t="n"/>
      <c r="G32" s="18" t="n"/>
      <c r="H32" s="21">
        <f>IF(AND($F32="",$G32=""),"",N($F32)*IFERROR(N(INDEX(Vinos!$H$2:$H$301,MATCH($B32,Vinos!$A$2:$A$301,0))),0)+N($G32))</f>
        <v/>
      </c>
      <c r="I32" s="18" t="n"/>
      <c r="J32" s="21">
        <f>IF(OR($H32="",$I32=""),"",$H32-$I32)</f>
        <v/>
      </c>
      <c r="K32" s="16">
        <f>IF($H32="","",IFERROR(IF(INDEX(Vinos!$J$2:$J$301,MATCH($B32,Vinos!$A$2:$A$301,0))="","",$H32*INDEX(Vinos!$J$2:$J$301,MATCH($B32,Vinos!$A$2:$A$301,0))),""))</f>
        <v/>
      </c>
      <c r="L32" s="16">
        <f>IF($H32="","",IFERROR(IF(INDEX(Vinos!$K$2:$K$301,MATCH($B32,Vinos!$A$2:$A$301,0))="","",$H32*INDEX(Vinos!$K$2:$K$301,MATCH($B32,Vinos!$A$2:$A$301,0))),""))</f>
        <v/>
      </c>
      <c r="M32" s="21">
        <f>IF(OR($A32="",$B32=""),"",SUMIFS($H$2:$H$2001,$A$2:$A$2001,$A32,$B$2:$B$2001,$B32))</f>
        <v/>
      </c>
      <c r="N32" s="20">
        <f>IF($M32="","",IF($M32&lt;=0,"Sin stock: reponer ya",IF($M32&lt;IFERROR(N(INDEX(Vinos!$N$2:$N$301,MATCH($B32,Vinos!$A$2:$A$301,0))),0),"Bajo mínimo: reponer","OK")))</f>
        <v/>
      </c>
      <c r="O32" s="14" t="n"/>
      <c r="P32" s="14" t="n"/>
      <c r="Q32" s="20">
        <f>IF($B32="","",IFERROR(INDEX(Vinos!$C$2:$C$301,MATCH($B32,Vinos!$A$2:$A$301,0)),""))</f>
        <v/>
      </c>
      <c r="R32" s="20">
        <f>IF(OR($A32="",$A32&lt;&gt;'Resumen del inventario'!$C$3,$N32="",$N32="OK"),"",IF(COUNTIFS($A$2:$A32,$A32,$B$2:$B32,$B32)=1,1,""))</f>
        <v/>
      </c>
      <c r="S32" s="20">
        <f>IF($R32=1,COUNTIF($R$2:$R32,1),"")</f>
        <v/>
      </c>
    </row>
    <row r="33">
      <c r="A33" s="19" t="n"/>
      <c r="B33" s="14" t="n"/>
      <c r="C33" s="20">
        <f>IF($B33="","",IFERROR(INDEX(Vinos!$B$2:$B$301,MATCH($B33,Vinos!$A$2:$A$301,0)),"Código no cargado"))</f>
        <v/>
      </c>
      <c r="D33" s="14" t="n"/>
      <c r="E33" s="14" t="n"/>
      <c r="F33" s="18" t="n"/>
      <c r="G33" s="18" t="n"/>
      <c r="H33" s="21">
        <f>IF(AND($F33="",$G33=""),"",N($F33)*IFERROR(N(INDEX(Vinos!$H$2:$H$301,MATCH($B33,Vinos!$A$2:$A$301,0))),0)+N($G33))</f>
        <v/>
      </c>
      <c r="I33" s="18" t="n"/>
      <c r="J33" s="21">
        <f>IF(OR($H33="",$I33=""),"",$H33-$I33)</f>
        <v/>
      </c>
      <c r="K33" s="16">
        <f>IF($H33="","",IFERROR(IF(INDEX(Vinos!$J$2:$J$301,MATCH($B33,Vinos!$A$2:$A$301,0))="","",$H33*INDEX(Vinos!$J$2:$J$301,MATCH($B33,Vinos!$A$2:$A$301,0))),""))</f>
        <v/>
      </c>
      <c r="L33" s="16">
        <f>IF($H33="","",IFERROR(IF(INDEX(Vinos!$K$2:$K$301,MATCH($B33,Vinos!$A$2:$A$301,0))="","",$H33*INDEX(Vinos!$K$2:$K$301,MATCH($B33,Vinos!$A$2:$A$301,0))),""))</f>
        <v/>
      </c>
      <c r="M33" s="21">
        <f>IF(OR($A33="",$B33=""),"",SUMIFS($H$2:$H$2001,$A$2:$A$2001,$A33,$B$2:$B$2001,$B33))</f>
        <v/>
      </c>
      <c r="N33" s="20">
        <f>IF($M33="","",IF($M33&lt;=0,"Sin stock: reponer ya",IF($M33&lt;IFERROR(N(INDEX(Vinos!$N$2:$N$301,MATCH($B33,Vinos!$A$2:$A$301,0))),0),"Bajo mínimo: reponer","OK")))</f>
        <v/>
      </c>
      <c r="O33" s="14" t="n"/>
      <c r="P33" s="14" t="n"/>
      <c r="Q33" s="20">
        <f>IF($B33="","",IFERROR(INDEX(Vinos!$C$2:$C$301,MATCH($B33,Vinos!$A$2:$A$301,0)),""))</f>
        <v/>
      </c>
      <c r="R33" s="20">
        <f>IF(OR($A33="",$A33&lt;&gt;'Resumen del inventario'!$C$3,$N33="",$N33="OK"),"",IF(COUNTIFS($A$2:$A33,$A33,$B$2:$B33,$B33)=1,1,""))</f>
        <v/>
      </c>
      <c r="S33" s="20">
        <f>IF($R33=1,COUNTIF($R$2:$R33,1),"")</f>
        <v/>
      </c>
    </row>
    <row r="34">
      <c r="A34" s="19" t="n"/>
      <c r="B34" s="14" t="n"/>
      <c r="C34" s="20">
        <f>IF($B34="","",IFERROR(INDEX(Vinos!$B$2:$B$301,MATCH($B34,Vinos!$A$2:$A$301,0)),"Código no cargado"))</f>
        <v/>
      </c>
      <c r="D34" s="14" t="n"/>
      <c r="E34" s="14" t="n"/>
      <c r="F34" s="18" t="n"/>
      <c r="G34" s="18" t="n"/>
      <c r="H34" s="21">
        <f>IF(AND($F34="",$G34=""),"",N($F34)*IFERROR(N(INDEX(Vinos!$H$2:$H$301,MATCH($B34,Vinos!$A$2:$A$301,0))),0)+N($G34))</f>
        <v/>
      </c>
      <c r="I34" s="18" t="n"/>
      <c r="J34" s="21">
        <f>IF(OR($H34="",$I34=""),"",$H34-$I34)</f>
        <v/>
      </c>
      <c r="K34" s="16">
        <f>IF($H34="","",IFERROR(IF(INDEX(Vinos!$J$2:$J$301,MATCH($B34,Vinos!$A$2:$A$301,0))="","",$H34*INDEX(Vinos!$J$2:$J$301,MATCH($B34,Vinos!$A$2:$A$301,0))),""))</f>
        <v/>
      </c>
      <c r="L34" s="16">
        <f>IF($H34="","",IFERROR(IF(INDEX(Vinos!$K$2:$K$301,MATCH($B34,Vinos!$A$2:$A$301,0))="","",$H34*INDEX(Vinos!$K$2:$K$301,MATCH($B34,Vinos!$A$2:$A$301,0))),""))</f>
        <v/>
      </c>
      <c r="M34" s="21">
        <f>IF(OR($A34="",$B34=""),"",SUMIFS($H$2:$H$2001,$A$2:$A$2001,$A34,$B$2:$B$2001,$B34))</f>
        <v/>
      </c>
      <c r="N34" s="20">
        <f>IF($M34="","",IF($M34&lt;=0,"Sin stock: reponer ya",IF($M34&lt;IFERROR(N(INDEX(Vinos!$N$2:$N$301,MATCH($B34,Vinos!$A$2:$A$301,0))),0),"Bajo mínimo: reponer","OK")))</f>
        <v/>
      </c>
      <c r="O34" s="14" t="n"/>
      <c r="P34" s="14" t="n"/>
      <c r="Q34" s="20">
        <f>IF($B34="","",IFERROR(INDEX(Vinos!$C$2:$C$301,MATCH($B34,Vinos!$A$2:$A$301,0)),""))</f>
        <v/>
      </c>
      <c r="R34" s="20">
        <f>IF(OR($A34="",$A34&lt;&gt;'Resumen del inventario'!$C$3,$N34="",$N34="OK"),"",IF(COUNTIFS($A$2:$A34,$A34,$B$2:$B34,$B34)=1,1,""))</f>
        <v/>
      </c>
      <c r="S34" s="20">
        <f>IF($R34=1,COUNTIF($R$2:$R34,1),"")</f>
        <v/>
      </c>
    </row>
    <row r="35">
      <c r="A35" s="19" t="n"/>
      <c r="B35" s="14" t="n"/>
      <c r="C35" s="20">
        <f>IF($B35="","",IFERROR(INDEX(Vinos!$B$2:$B$301,MATCH($B35,Vinos!$A$2:$A$301,0)),"Código no cargado"))</f>
        <v/>
      </c>
      <c r="D35" s="14" t="n"/>
      <c r="E35" s="14" t="n"/>
      <c r="F35" s="18" t="n"/>
      <c r="G35" s="18" t="n"/>
      <c r="H35" s="21">
        <f>IF(AND($F35="",$G35=""),"",N($F35)*IFERROR(N(INDEX(Vinos!$H$2:$H$301,MATCH($B35,Vinos!$A$2:$A$301,0))),0)+N($G35))</f>
        <v/>
      </c>
      <c r="I35" s="18" t="n"/>
      <c r="J35" s="21">
        <f>IF(OR($H35="",$I35=""),"",$H35-$I35)</f>
        <v/>
      </c>
      <c r="K35" s="16">
        <f>IF($H35="","",IFERROR(IF(INDEX(Vinos!$J$2:$J$301,MATCH($B35,Vinos!$A$2:$A$301,0))="","",$H35*INDEX(Vinos!$J$2:$J$301,MATCH($B35,Vinos!$A$2:$A$301,0))),""))</f>
        <v/>
      </c>
      <c r="L35" s="16">
        <f>IF($H35="","",IFERROR(IF(INDEX(Vinos!$K$2:$K$301,MATCH($B35,Vinos!$A$2:$A$301,0))="","",$H35*INDEX(Vinos!$K$2:$K$301,MATCH($B35,Vinos!$A$2:$A$301,0))),""))</f>
        <v/>
      </c>
      <c r="M35" s="21">
        <f>IF(OR($A35="",$B35=""),"",SUMIFS($H$2:$H$2001,$A$2:$A$2001,$A35,$B$2:$B$2001,$B35))</f>
        <v/>
      </c>
      <c r="N35" s="20">
        <f>IF($M35="","",IF($M35&lt;=0,"Sin stock: reponer ya",IF($M35&lt;IFERROR(N(INDEX(Vinos!$N$2:$N$301,MATCH($B35,Vinos!$A$2:$A$301,0))),0),"Bajo mínimo: reponer","OK")))</f>
        <v/>
      </c>
      <c r="O35" s="14" t="n"/>
      <c r="P35" s="14" t="n"/>
      <c r="Q35" s="20">
        <f>IF($B35="","",IFERROR(INDEX(Vinos!$C$2:$C$301,MATCH($B35,Vinos!$A$2:$A$301,0)),""))</f>
        <v/>
      </c>
      <c r="R35" s="20">
        <f>IF(OR($A35="",$A35&lt;&gt;'Resumen del inventario'!$C$3,$N35="",$N35="OK"),"",IF(COUNTIFS($A$2:$A35,$A35,$B$2:$B35,$B35)=1,1,""))</f>
        <v/>
      </c>
      <c r="S35" s="20">
        <f>IF($R35=1,COUNTIF($R$2:$R35,1),"")</f>
        <v/>
      </c>
    </row>
    <row r="36">
      <c r="A36" s="19" t="n"/>
      <c r="B36" s="14" t="n"/>
      <c r="C36" s="20">
        <f>IF($B36="","",IFERROR(INDEX(Vinos!$B$2:$B$301,MATCH($B36,Vinos!$A$2:$A$301,0)),"Código no cargado"))</f>
        <v/>
      </c>
      <c r="D36" s="14" t="n"/>
      <c r="E36" s="14" t="n"/>
      <c r="F36" s="18" t="n"/>
      <c r="G36" s="18" t="n"/>
      <c r="H36" s="21">
        <f>IF(AND($F36="",$G36=""),"",N($F36)*IFERROR(N(INDEX(Vinos!$H$2:$H$301,MATCH($B36,Vinos!$A$2:$A$301,0))),0)+N($G36))</f>
        <v/>
      </c>
      <c r="I36" s="18" t="n"/>
      <c r="J36" s="21">
        <f>IF(OR($H36="",$I36=""),"",$H36-$I36)</f>
        <v/>
      </c>
      <c r="K36" s="16">
        <f>IF($H36="","",IFERROR(IF(INDEX(Vinos!$J$2:$J$301,MATCH($B36,Vinos!$A$2:$A$301,0))="","",$H36*INDEX(Vinos!$J$2:$J$301,MATCH($B36,Vinos!$A$2:$A$301,0))),""))</f>
        <v/>
      </c>
      <c r="L36" s="16">
        <f>IF($H36="","",IFERROR(IF(INDEX(Vinos!$K$2:$K$301,MATCH($B36,Vinos!$A$2:$A$301,0))="","",$H36*INDEX(Vinos!$K$2:$K$301,MATCH($B36,Vinos!$A$2:$A$301,0))),""))</f>
        <v/>
      </c>
      <c r="M36" s="21">
        <f>IF(OR($A36="",$B36=""),"",SUMIFS($H$2:$H$2001,$A$2:$A$2001,$A36,$B$2:$B$2001,$B36))</f>
        <v/>
      </c>
      <c r="N36" s="20">
        <f>IF($M36="","",IF($M36&lt;=0,"Sin stock: reponer ya",IF($M36&lt;IFERROR(N(INDEX(Vinos!$N$2:$N$301,MATCH($B36,Vinos!$A$2:$A$301,0))),0),"Bajo mínimo: reponer","OK")))</f>
        <v/>
      </c>
      <c r="O36" s="14" t="n"/>
      <c r="P36" s="14" t="n"/>
      <c r="Q36" s="20">
        <f>IF($B36="","",IFERROR(INDEX(Vinos!$C$2:$C$301,MATCH($B36,Vinos!$A$2:$A$301,0)),""))</f>
        <v/>
      </c>
      <c r="R36" s="20">
        <f>IF(OR($A36="",$A36&lt;&gt;'Resumen del inventario'!$C$3,$N36="",$N36="OK"),"",IF(COUNTIFS($A$2:$A36,$A36,$B$2:$B36,$B36)=1,1,""))</f>
        <v/>
      </c>
      <c r="S36" s="20">
        <f>IF($R36=1,COUNTIF($R$2:$R36,1),"")</f>
        <v/>
      </c>
    </row>
    <row r="37">
      <c r="A37" s="19" t="n"/>
      <c r="B37" s="14" t="n"/>
      <c r="C37" s="20">
        <f>IF($B37="","",IFERROR(INDEX(Vinos!$B$2:$B$301,MATCH($B37,Vinos!$A$2:$A$301,0)),"Código no cargado"))</f>
        <v/>
      </c>
      <c r="D37" s="14" t="n"/>
      <c r="E37" s="14" t="n"/>
      <c r="F37" s="18" t="n"/>
      <c r="G37" s="18" t="n"/>
      <c r="H37" s="21">
        <f>IF(AND($F37="",$G37=""),"",N($F37)*IFERROR(N(INDEX(Vinos!$H$2:$H$301,MATCH($B37,Vinos!$A$2:$A$301,0))),0)+N($G37))</f>
        <v/>
      </c>
      <c r="I37" s="18" t="n"/>
      <c r="J37" s="21">
        <f>IF(OR($H37="",$I37=""),"",$H37-$I37)</f>
        <v/>
      </c>
      <c r="K37" s="16">
        <f>IF($H37="","",IFERROR(IF(INDEX(Vinos!$J$2:$J$301,MATCH($B37,Vinos!$A$2:$A$301,0))="","",$H37*INDEX(Vinos!$J$2:$J$301,MATCH($B37,Vinos!$A$2:$A$301,0))),""))</f>
        <v/>
      </c>
      <c r="L37" s="16">
        <f>IF($H37="","",IFERROR(IF(INDEX(Vinos!$K$2:$K$301,MATCH($B37,Vinos!$A$2:$A$301,0))="","",$H37*INDEX(Vinos!$K$2:$K$301,MATCH($B37,Vinos!$A$2:$A$301,0))),""))</f>
        <v/>
      </c>
      <c r="M37" s="21">
        <f>IF(OR($A37="",$B37=""),"",SUMIFS($H$2:$H$2001,$A$2:$A$2001,$A37,$B$2:$B$2001,$B37))</f>
        <v/>
      </c>
      <c r="N37" s="20">
        <f>IF($M37="","",IF($M37&lt;=0,"Sin stock: reponer ya",IF($M37&lt;IFERROR(N(INDEX(Vinos!$N$2:$N$301,MATCH($B37,Vinos!$A$2:$A$301,0))),0),"Bajo mínimo: reponer","OK")))</f>
        <v/>
      </c>
      <c r="O37" s="14" t="n"/>
      <c r="P37" s="14" t="n"/>
      <c r="Q37" s="20">
        <f>IF($B37="","",IFERROR(INDEX(Vinos!$C$2:$C$301,MATCH($B37,Vinos!$A$2:$A$301,0)),""))</f>
        <v/>
      </c>
      <c r="R37" s="20">
        <f>IF(OR($A37="",$A37&lt;&gt;'Resumen del inventario'!$C$3,$N37="",$N37="OK"),"",IF(COUNTIFS($A$2:$A37,$A37,$B$2:$B37,$B37)=1,1,""))</f>
        <v/>
      </c>
      <c r="S37" s="20">
        <f>IF($R37=1,COUNTIF($R$2:$R37,1),"")</f>
        <v/>
      </c>
    </row>
    <row r="38">
      <c r="A38" s="19" t="n"/>
      <c r="B38" s="14" t="n"/>
      <c r="C38" s="20">
        <f>IF($B38="","",IFERROR(INDEX(Vinos!$B$2:$B$301,MATCH($B38,Vinos!$A$2:$A$301,0)),"Código no cargado"))</f>
        <v/>
      </c>
      <c r="D38" s="14" t="n"/>
      <c r="E38" s="14" t="n"/>
      <c r="F38" s="18" t="n"/>
      <c r="G38" s="18" t="n"/>
      <c r="H38" s="21">
        <f>IF(AND($F38="",$G38=""),"",N($F38)*IFERROR(N(INDEX(Vinos!$H$2:$H$301,MATCH($B38,Vinos!$A$2:$A$301,0))),0)+N($G38))</f>
        <v/>
      </c>
      <c r="I38" s="18" t="n"/>
      <c r="J38" s="21">
        <f>IF(OR($H38="",$I38=""),"",$H38-$I38)</f>
        <v/>
      </c>
      <c r="K38" s="16">
        <f>IF($H38="","",IFERROR(IF(INDEX(Vinos!$J$2:$J$301,MATCH($B38,Vinos!$A$2:$A$301,0))="","",$H38*INDEX(Vinos!$J$2:$J$301,MATCH($B38,Vinos!$A$2:$A$301,0))),""))</f>
        <v/>
      </c>
      <c r="L38" s="16">
        <f>IF($H38="","",IFERROR(IF(INDEX(Vinos!$K$2:$K$301,MATCH($B38,Vinos!$A$2:$A$301,0))="","",$H38*INDEX(Vinos!$K$2:$K$301,MATCH($B38,Vinos!$A$2:$A$301,0))),""))</f>
        <v/>
      </c>
      <c r="M38" s="21">
        <f>IF(OR($A38="",$B38=""),"",SUMIFS($H$2:$H$2001,$A$2:$A$2001,$A38,$B$2:$B$2001,$B38))</f>
        <v/>
      </c>
      <c r="N38" s="20">
        <f>IF($M38="","",IF($M38&lt;=0,"Sin stock: reponer ya",IF($M38&lt;IFERROR(N(INDEX(Vinos!$N$2:$N$301,MATCH($B38,Vinos!$A$2:$A$301,0))),0),"Bajo mínimo: reponer","OK")))</f>
        <v/>
      </c>
      <c r="O38" s="14" t="n"/>
      <c r="P38" s="14" t="n"/>
      <c r="Q38" s="20">
        <f>IF($B38="","",IFERROR(INDEX(Vinos!$C$2:$C$301,MATCH($B38,Vinos!$A$2:$A$301,0)),""))</f>
        <v/>
      </c>
      <c r="R38" s="20">
        <f>IF(OR($A38="",$A38&lt;&gt;'Resumen del inventario'!$C$3,$N38="",$N38="OK"),"",IF(COUNTIFS($A$2:$A38,$A38,$B$2:$B38,$B38)=1,1,""))</f>
        <v/>
      </c>
      <c r="S38" s="20">
        <f>IF($R38=1,COUNTIF($R$2:$R38,1),"")</f>
        <v/>
      </c>
    </row>
    <row r="39">
      <c r="A39" s="19" t="n"/>
      <c r="B39" s="14" t="n"/>
      <c r="C39" s="20">
        <f>IF($B39="","",IFERROR(INDEX(Vinos!$B$2:$B$301,MATCH($B39,Vinos!$A$2:$A$301,0)),"Código no cargado"))</f>
        <v/>
      </c>
      <c r="D39" s="14" t="n"/>
      <c r="E39" s="14" t="n"/>
      <c r="F39" s="18" t="n"/>
      <c r="G39" s="18" t="n"/>
      <c r="H39" s="21">
        <f>IF(AND($F39="",$G39=""),"",N($F39)*IFERROR(N(INDEX(Vinos!$H$2:$H$301,MATCH($B39,Vinos!$A$2:$A$301,0))),0)+N($G39))</f>
        <v/>
      </c>
      <c r="I39" s="18" t="n"/>
      <c r="J39" s="21">
        <f>IF(OR($H39="",$I39=""),"",$H39-$I39)</f>
        <v/>
      </c>
      <c r="K39" s="16">
        <f>IF($H39="","",IFERROR(IF(INDEX(Vinos!$J$2:$J$301,MATCH($B39,Vinos!$A$2:$A$301,0))="","",$H39*INDEX(Vinos!$J$2:$J$301,MATCH($B39,Vinos!$A$2:$A$301,0))),""))</f>
        <v/>
      </c>
      <c r="L39" s="16">
        <f>IF($H39="","",IFERROR(IF(INDEX(Vinos!$K$2:$K$301,MATCH($B39,Vinos!$A$2:$A$301,0))="","",$H39*INDEX(Vinos!$K$2:$K$301,MATCH($B39,Vinos!$A$2:$A$301,0))),""))</f>
        <v/>
      </c>
      <c r="M39" s="21">
        <f>IF(OR($A39="",$B39=""),"",SUMIFS($H$2:$H$2001,$A$2:$A$2001,$A39,$B$2:$B$2001,$B39))</f>
        <v/>
      </c>
      <c r="N39" s="20">
        <f>IF($M39="","",IF($M39&lt;=0,"Sin stock: reponer ya",IF($M39&lt;IFERROR(N(INDEX(Vinos!$N$2:$N$301,MATCH($B39,Vinos!$A$2:$A$301,0))),0),"Bajo mínimo: reponer","OK")))</f>
        <v/>
      </c>
      <c r="O39" s="14" t="n"/>
      <c r="P39" s="14" t="n"/>
      <c r="Q39" s="20">
        <f>IF($B39="","",IFERROR(INDEX(Vinos!$C$2:$C$301,MATCH($B39,Vinos!$A$2:$A$301,0)),""))</f>
        <v/>
      </c>
      <c r="R39" s="20">
        <f>IF(OR($A39="",$A39&lt;&gt;'Resumen del inventario'!$C$3,$N39="",$N39="OK"),"",IF(COUNTIFS($A$2:$A39,$A39,$B$2:$B39,$B39)=1,1,""))</f>
        <v/>
      </c>
      <c r="S39" s="20">
        <f>IF($R39=1,COUNTIF($R$2:$R39,1),"")</f>
        <v/>
      </c>
    </row>
    <row r="40">
      <c r="A40" s="19" t="n"/>
      <c r="B40" s="14" t="n"/>
      <c r="C40" s="20">
        <f>IF($B40="","",IFERROR(INDEX(Vinos!$B$2:$B$301,MATCH($B40,Vinos!$A$2:$A$301,0)),"Código no cargado"))</f>
        <v/>
      </c>
      <c r="D40" s="14" t="n"/>
      <c r="E40" s="14" t="n"/>
      <c r="F40" s="18" t="n"/>
      <c r="G40" s="18" t="n"/>
      <c r="H40" s="21">
        <f>IF(AND($F40="",$G40=""),"",N($F40)*IFERROR(N(INDEX(Vinos!$H$2:$H$301,MATCH($B40,Vinos!$A$2:$A$301,0))),0)+N($G40))</f>
        <v/>
      </c>
      <c r="I40" s="18" t="n"/>
      <c r="J40" s="21">
        <f>IF(OR($H40="",$I40=""),"",$H40-$I40)</f>
        <v/>
      </c>
      <c r="K40" s="16">
        <f>IF($H40="","",IFERROR(IF(INDEX(Vinos!$J$2:$J$301,MATCH($B40,Vinos!$A$2:$A$301,0))="","",$H40*INDEX(Vinos!$J$2:$J$301,MATCH($B40,Vinos!$A$2:$A$301,0))),""))</f>
        <v/>
      </c>
      <c r="L40" s="16">
        <f>IF($H40="","",IFERROR(IF(INDEX(Vinos!$K$2:$K$301,MATCH($B40,Vinos!$A$2:$A$301,0))="","",$H40*INDEX(Vinos!$K$2:$K$301,MATCH($B40,Vinos!$A$2:$A$301,0))),""))</f>
        <v/>
      </c>
      <c r="M40" s="21">
        <f>IF(OR($A40="",$B40=""),"",SUMIFS($H$2:$H$2001,$A$2:$A$2001,$A40,$B$2:$B$2001,$B40))</f>
        <v/>
      </c>
      <c r="N40" s="20">
        <f>IF($M40="","",IF($M40&lt;=0,"Sin stock: reponer ya",IF($M40&lt;IFERROR(N(INDEX(Vinos!$N$2:$N$301,MATCH($B40,Vinos!$A$2:$A$301,0))),0),"Bajo mínimo: reponer","OK")))</f>
        <v/>
      </c>
      <c r="O40" s="14" t="n"/>
      <c r="P40" s="14" t="n"/>
      <c r="Q40" s="20">
        <f>IF($B40="","",IFERROR(INDEX(Vinos!$C$2:$C$301,MATCH($B40,Vinos!$A$2:$A$301,0)),""))</f>
        <v/>
      </c>
      <c r="R40" s="20">
        <f>IF(OR($A40="",$A40&lt;&gt;'Resumen del inventario'!$C$3,$N40="",$N40="OK"),"",IF(COUNTIFS($A$2:$A40,$A40,$B$2:$B40,$B40)=1,1,""))</f>
        <v/>
      </c>
      <c r="S40" s="20">
        <f>IF($R40=1,COUNTIF($R$2:$R40,1),"")</f>
        <v/>
      </c>
    </row>
    <row r="41">
      <c r="A41" s="19" t="n"/>
      <c r="B41" s="14" t="n"/>
      <c r="C41" s="20">
        <f>IF($B41="","",IFERROR(INDEX(Vinos!$B$2:$B$301,MATCH($B41,Vinos!$A$2:$A$301,0)),"Código no cargado"))</f>
        <v/>
      </c>
      <c r="D41" s="14" t="n"/>
      <c r="E41" s="14" t="n"/>
      <c r="F41" s="18" t="n"/>
      <c r="G41" s="18" t="n"/>
      <c r="H41" s="21">
        <f>IF(AND($F41="",$G41=""),"",N($F41)*IFERROR(N(INDEX(Vinos!$H$2:$H$301,MATCH($B41,Vinos!$A$2:$A$301,0))),0)+N($G41))</f>
        <v/>
      </c>
      <c r="I41" s="18" t="n"/>
      <c r="J41" s="21">
        <f>IF(OR($H41="",$I41=""),"",$H41-$I41)</f>
        <v/>
      </c>
      <c r="K41" s="16">
        <f>IF($H41="","",IFERROR(IF(INDEX(Vinos!$J$2:$J$301,MATCH($B41,Vinos!$A$2:$A$301,0))="","",$H41*INDEX(Vinos!$J$2:$J$301,MATCH($B41,Vinos!$A$2:$A$301,0))),""))</f>
        <v/>
      </c>
      <c r="L41" s="16">
        <f>IF($H41="","",IFERROR(IF(INDEX(Vinos!$K$2:$K$301,MATCH($B41,Vinos!$A$2:$A$301,0))="","",$H41*INDEX(Vinos!$K$2:$K$301,MATCH($B41,Vinos!$A$2:$A$301,0))),""))</f>
        <v/>
      </c>
      <c r="M41" s="21">
        <f>IF(OR($A41="",$B41=""),"",SUMIFS($H$2:$H$2001,$A$2:$A$2001,$A41,$B$2:$B$2001,$B41))</f>
        <v/>
      </c>
      <c r="N41" s="20">
        <f>IF($M41="","",IF($M41&lt;=0,"Sin stock: reponer ya",IF($M41&lt;IFERROR(N(INDEX(Vinos!$N$2:$N$301,MATCH($B41,Vinos!$A$2:$A$301,0))),0),"Bajo mínimo: reponer","OK")))</f>
        <v/>
      </c>
      <c r="O41" s="14" t="n"/>
      <c r="P41" s="14" t="n"/>
      <c r="Q41" s="20">
        <f>IF($B41="","",IFERROR(INDEX(Vinos!$C$2:$C$301,MATCH($B41,Vinos!$A$2:$A$301,0)),""))</f>
        <v/>
      </c>
      <c r="R41" s="20">
        <f>IF(OR($A41="",$A41&lt;&gt;'Resumen del inventario'!$C$3,$N41="",$N41="OK"),"",IF(COUNTIFS($A$2:$A41,$A41,$B$2:$B41,$B41)=1,1,""))</f>
        <v/>
      </c>
      <c r="S41" s="20">
        <f>IF($R41=1,COUNTIF($R$2:$R41,1),"")</f>
        <v/>
      </c>
    </row>
    <row r="42">
      <c r="A42" s="19" t="n"/>
      <c r="B42" s="14" t="n"/>
      <c r="C42" s="20">
        <f>IF($B42="","",IFERROR(INDEX(Vinos!$B$2:$B$301,MATCH($B42,Vinos!$A$2:$A$301,0)),"Código no cargado"))</f>
        <v/>
      </c>
      <c r="D42" s="14" t="n"/>
      <c r="E42" s="14" t="n"/>
      <c r="F42" s="18" t="n"/>
      <c r="G42" s="18" t="n"/>
      <c r="H42" s="21">
        <f>IF(AND($F42="",$G42=""),"",N($F42)*IFERROR(N(INDEX(Vinos!$H$2:$H$301,MATCH($B42,Vinos!$A$2:$A$301,0))),0)+N($G42))</f>
        <v/>
      </c>
      <c r="I42" s="18" t="n"/>
      <c r="J42" s="21">
        <f>IF(OR($H42="",$I42=""),"",$H42-$I42)</f>
        <v/>
      </c>
      <c r="K42" s="16">
        <f>IF($H42="","",IFERROR(IF(INDEX(Vinos!$J$2:$J$301,MATCH($B42,Vinos!$A$2:$A$301,0))="","",$H42*INDEX(Vinos!$J$2:$J$301,MATCH($B42,Vinos!$A$2:$A$301,0))),""))</f>
        <v/>
      </c>
      <c r="L42" s="16">
        <f>IF($H42="","",IFERROR(IF(INDEX(Vinos!$K$2:$K$301,MATCH($B42,Vinos!$A$2:$A$301,0))="","",$H42*INDEX(Vinos!$K$2:$K$301,MATCH($B42,Vinos!$A$2:$A$301,0))),""))</f>
        <v/>
      </c>
      <c r="M42" s="21">
        <f>IF(OR($A42="",$B42=""),"",SUMIFS($H$2:$H$2001,$A$2:$A$2001,$A42,$B$2:$B$2001,$B42))</f>
        <v/>
      </c>
      <c r="N42" s="20">
        <f>IF($M42="","",IF($M42&lt;=0,"Sin stock: reponer ya",IF($M42&lt;IFERROR(N(INDEX(Vinos!$N$2:$N$301,MATCH($B42,Vinos!$A$2:$A$301,0))),0),"Bajo mínimo: reponer","OK")))</f>
        <v/>
      </c>
      <c r="O42" s="14" t="n"/>
      <c r="P42" s="14" t="n"/>
      <c r="Q42" s="20">
        <f>IF($B42="","",IFERROR(INDEX(Vinos!$C$2:$C$301,MATCH($B42,Vinos!$A$2:$A$301,0)),""))</f>
        <v/>
      </c>
      <c r="R42" s="20">
        <f>IF(OR($A42="",$A42&lt;&gt;'Resumen del inventario'!$C$3,$N42="",$N42="OK"),"",IF(COUNTIFS($A$2:$A42,$A42,$B$2:$B42,$B42)=1,1,""))</f>
        <v/>
      </c>
      <c r="S42" s="20">
        <f>IF($R42=1,COUNTIF($R$2:$R42,1),"")</f>
        <v/>
      </c>
    </row>
    <row r="43">
      <c r="A43" s="19" t="n"/>
      <c r="B43" s="14" t="n"/>
      <c r="C43" s="20">
        <f>IF($B43="","",IFERROR(INDEX(Vinos!$B$2:$B$301,MATCH($B43,Vinos!$A$2:$A$301,0)),"Código no cargado"))</f>
        <v/>
      </c>
      <c r="D43" s="14" t="n"/>
      <c r="E43" s="14" t="n"/>
      <c r="F43" s="18" t="n"/>
      <c r="G43" s="18" t="n"/>
      <c r="H43" s="21">
        <f>IF(AND($F43="",$G43=""),"",N($F43)*IFERROR(N(INDEX(Vinos!$H$2:$H$301,MATCH($B43,Vinos!$A$2:$A$301,0))),0)+N($G43))</f>
        <v/>
      </c>
      <c r="I43" s="18" t="n"/>
      <c r="J43" s="21">
        <f>IF(OR($H43="",$I43=""),"",$H43-$I43)</f>
        <v/>
      </c>
      <c r="K43" s="16">
        <f>IF($H43="","",IFERROR(IF(INDEX(Vinos!$J$2:$J$301,MATCH($B43,Vinos!$A$2:$A$301,0))="","",$H43*INDEX(Vinos!$J$2:$J$301,MATCH($B43,Vinos!$A$2:$A$301,0))),""))</f>
        <v/>
      </c>
      <c r="L43" s="16">
        <f>IF($H43="","",IFERROR(IF(INDEX(Vinos!$K$2:$K$301,MATCH($B43,Vinos!$A$2:$A$301,0))="","",$H43*INDEX(Vinos!$K$2:$K$301,MATCH($B43,Vinos!$A$2:$A$301,0))),""))</f>
        <v/>
      </c>
      <c r="M43" s="21">
        <f>IF(OR($A43="",$B43=""),"",SUMIFS($H$2:$H$2001,$A$2:$A$2001,$A43,$B$2:$B$2001,$B43))</f>
        <v/>
      </c>
      <c r="N43" s="20">
        <f>IF($M43="","",IF($M43&lt;=0,"Sin stock: reponer ya",IF($M43&lt;IFERROR(N(INDEX(Vinos!$N$2:$N$301,MATCH($B43,Vinos!$A$2:$A$301,0))),0),"Bajo mínimo: reponer","OK")))</f>
        <v/>
      </c>
      <c r="O43" s="14" t="n"/>
      <c r="P43" s="14" t="n"/>
      <c r="Q43" s="20">
        <f>IF($B43="","",IFERROR(INDEX(Vinos!$C$2:$C$301,MATCH($B43,Vinos!$A$2:$A$301,0)),""))</f>
        <v/>
      </c>
      <c r="R43" s="20">
        <f>IF(OR($A43="",$A43&lt;&gt;'Resumen del inventario'!$C$3,$N43="",$N43="OK"),"",IF(COUNTIFS($A$2:$A43,$A43,$B$2:$B43,$B43)=1,1,""))</f>
        <v/>
      </c>
      <c r="S43" s="20">
        <f>IF($R43=1,COUNTIF($R$2:$R43,1),"")</f>
        <v/>
      </c>
    </row>
    <row r="44">
      <c r="A44" s="19" t="n"/>
      <c r="B44" s="14" t="n"/>
      <c r="C44" s="20">
        <f>IF($B44="","",IFERROR(INDEX(Vinos!$B$2:$B$301,MATCH($B44,Vinos!$A$2:$A$301,0)),"Código no cargado"))</f>
        <v/>
      </c>
      <c r="D44" s="14" t="n"/>
      <c r="E44" s="14" t="n"/>
      <c r="F44" s="18" t="n"/>
      <c r="G44" s="18" t="n"/>
      <c r="H44" s="21">
        <f>IF(AND($F44="",$G44=""),"",N($F44)*IFERROR(N(INDEX(Vinos!$H$2:$H$301,MATCH($B44,Vinos!$A$2:$A$301,0))),0)+N($G44))</f>
        <v/>
      </c>
      <c r="I44" s="18" t="n"/>
      <c r="J44" s="21">
        <f>IF(OR($H44="",$I44=""),"",$H44-$I44)</f>
        <v/>
      </c>
      <c r="K44" s="16">
        <f>IF($H44="","",IFERROR(IF(INDEX(Vinos!$J$2:$J$301,MATCH($B44,Vinos!$A$2:$A$301,0))="","",$H44*INDEX(Vinos!$J$2:$J$301,MATCH($B44,Vinos!$A$2:$A$301,0))),""))</f>
        <v/>
      </c>
      <c r="L44" s="16">
        <f>IF($H44="","",IFERROR(IF(INDEX(Vinos!$K$2:$K$301,MATCH($B44,Vinos!$A$2:$A$301,0))="","",$H44*INDEX(Vinos!$K$2:$K$301,MATCH($B44,Vinos!$A$2:$A$301,0))),""))</f>
        <v/>
      </c>
      <c r="M44" s="21">
        <f>IF(OR($A44="",$B44=""),"",SUMIFS($H$2:$H$2001,$A$2:$A$2001,$A44,$B$2:$B$2001,$B44))</f>
        <v/>
      </c>
      <c r="N44" s="20">
        <f>IF($M44="","",IF($M44&lt;=0,"Sin stock: reponer ya",IF($M44&lt;IFERROR(N(INDEX(Vinos!$N$2:$N$301,MATCH($B44,Vinos!$A$2:$A$301,0))),0),"Bajo mínimo: reponer","OK")))</f>
        <v/>
      </c>
      <c r="O44" s="14" t="n"/>
      <c r="P44" s="14" t="n"/>
      <c r="Q44" s="20">
        <f>IF($B44="","",IFERROR(INDEX(Vinos!$C$2:$C$301,MATCH($B44,Vinos!$A$2:$A$301,0)),""))</f>
        <v/>
      </c>
      <c r="R44" s="20">
        <f>IF(OR($A44="",$A44&lt;&gt;'Resumen del inventario'!$C$3,$N44="",$N44="OK"),"",IF(COUNTIFS($A$2:$A44,$A44,$B$2:$B44,$B44)=1,1,""))</f>
        <v/>
      </c>
      <c r="S44" s="20">
        <f>IF($R44=1,COUNTIF($R$2:$R44,1),"")</f>
        <v/>
      </c>
    </row>
    <row r="45">
      <c r="A45" s="19" t="n"/>
      <c r="B45" s="14" t="n"/>
      <c r="C45" s="20">
        <f>IF($B45="","",IFERROR(INDEX(Vinos!$B$2:$B$301,MATCH($B45,Vinos!$A$2:$A$301,0)),"Código no cargado"))</f>
        <v/>
      </c>
      <c r="D45" s="14" t="n"/>
      <c r="E45" s="14" t="n"/>
      <c r="F45" s="18" t="n"/>
      <c r="G45" s="18" t="n"/>
      <c r="H45" s="21">
        <f>IF(AND($F45="",$G45=""),"",N($F45)*IFERROR(N(INDEX(Vinos!$H$2:$H$301,MATCH($B45,Vinos!$A$2:$A$301,0))),0)+N($G45))</f>
        <v/>
      </c>
      <c r="I45" s="18" t="n"/>
      <c r="J45" s="21">
        <f>IF(OR($H45="",$I45=""),"",$H45-$I45)</f>
        <v/>
      </c>
      <c r="K45" s="16">
        <f>IF($H45="","",IFERROR(IF(INDEX(Vinos!$J$2:$J$301,MATCH($B45,Vinos!$A$2:$A$301,0))="","",$H45*INDEX(Vinos!$J$2:$J$301,MATCH($B45,Vinos!$A$2:$A$301,0))),""))</f>
        <v/>
      </c>
      <c r="L45" s="16">
        <f>IF($H45="","",IFERROR(IF(INDEX(Vinos!$K$2:$K$301,MATCH($B45,Vinos!$A$2:$A$301,0))="","",$H45*INDEX(Vinos!$K$2:$K$301,MATCH($B45,Vinos!$A$2:$A$301,0))),""))</f>
        <v/>
      </c>
      <c r="M45" s="21">
        <f>IF(OR($A45="",$B45=""),"",SUMIFS($H$2:$H$2001,$A$2:$A$2001,$A45,$B$2:$B$2001,$B45))</f>
        <v/>
      </c>
      <c r="N45" s="20">
        <f>IF($M45="","",IF($M45&lt;=0,"Sin stock: reponer ya",IF($M45&lt;IFERROR(N(INDEX(Vinos!$N$2:$N$301,MATCH($B45,Vinos!$A$2:$A$301,0))),0),"Bajo mínimo: reponer","OK")))</f>
        <v/>
      </c>
      <c r="O45" s="14" t="n"/>
      <c r="P45" s="14" t="n"/>
      <c r="Q45" s="20">
        <f>IF($B45="","",IFERROR(INDEX(Vinos!$C$2:$C$301,MATCH($B45,Vinos!$A$2:$A$301,0)),""))</f>
        <v/>
      </c>
      <c r="R45" s="20">
        <f>IF(OR($A45="",$A45&lt;&gt;'Resumen del inventario'!$C$3,$N45="",$N45="OK"),"",IF(COUNTIFS($A$2:$A45,$A45,$B$2:$B45,$B45)=1,1,""))</f>
        <v/>
      </c>
      <c r="S45" s="20">
        <f>IF($R45=1,COUNTIF($R$2:$R45,1),"")</f>
        <v/>
      </c>
    </row>
    <row r="46">
      <c r="A46" s="19" t="n"/>
      <c r="B46" s="14" t="n"/>
      <c r="C46" s="20">
        <f>IF($B46="","",IFERROR(INDEX(Vinos!$B$2:$B$301,MATCH($B46,Vinos!$A$2:$A$301,0)),"Código no cargado"))</f>
        <v/>
      </c>
      <c r="D46" s="14" t="n"/>
      <c r="E46" s="14" t="n"/>
      <c r="F46" s="18" t="n"/>
      <c r="G46" s="18" t="n"/>
      <c r="H46" s="21">
        <f>IF(AND($F46="",$G46=""),"",N($F46)*IFERROR(N(INDEX(Vinos!$H$2:$H$301,MATCH($B46,Vinos!$A$2:$A$301,0))),0)+N($G46))</f>
        <v/>
      </c>
      <c r="I46" s="18" t="n"/>
      <c r="J46" s="21">
        <f>IF(OR($H46="",$I46=""),"",$H46-$I46)</f>
        <v/>
      </c>
      <c r="K46" s="16">
        <f>IF($H46="","",IFERROR(IF(INDEX(Vinos!$J$2:$J$301,MATCH($B46,Vinos!$A$2:$A$301,0))="","",$H46*INDEX(Vinos!$J$2:$J$301,MATCH($B46,Vinos!$A$2:$A$301,0))),""))</f>
        <v/>
      </c>
      <c r="L46" s="16">
        <f>IF($H46="","",IFERROR(IF(INDEX(Vinos!$K$2:$K$301,MATCH($B46,Vinos!$A$2:$A$301,0))="","",$H46*INDEX(Vinos!$K$2:$K$301,MATCH($B46,Vinos!$A$2:$A$301,0))),""))</f>
        <v/>
      </c>
      <c r="M46" s="21">
        <f>IF(OR($A46="",$B46=""),"",SUMIFS($H$2:$H$2001,$A$2:$A$2001,$A46,$B$2:$B$2001,$B46))</f>
        <v/>
      </c>
      <c r="N46" s="20">
        <f>IF($M46="","",IF($M46&lt;=0,"Sin stock: reponer ya",IF($M46&lt;IFERROR(N(INDEX(Vinos!$N$2:$N$301,MATCH($B46,Vinos!$A$2:$A$301,0))),0),"Bajo mínimo: reponer","OK")))</f>
        <v/>
      </c>
      <c r="O46" s="14" t="n"/>
      <c r="P46" s="14" t="n"/>
      <c r="Q46" s="20">
        <f>IF($B46="","",IFERROR(INDEX(Vinos!$C$2:$C$301,MATCH($B46,Vinos!$A$2:$A$301,0)),""))</f>
        <v/>
      </c>
      <c r="R46" s="20">
        <f>IF(OR($A46="",$A46&lt;&gt;'Resumen del inventario'!$C$3,$N46="",$N46="OK"),"",IF(COUNTIFS($A$2:$A46,$A46,$B$2:$B46,$B46)=1,1,""))</f>
        <v/>
      </c>
      <c r="S46" s="20">
        <f>IF($R46=1,COUNTIF($R$2:$R46,1),"")</f>
        <v/>
      </c>
    </row>
    <row r="47">
      <c r="A47" s="19" t="n"/>
      <c r="B47" s="14" t="n"/>
      <c r="C47" s="20">
        <f>IF($B47="","",IFERROR(INDEX(Vinos!$B$2:$B$301,MATCH($B47,Vinos!$A$2:$A$301,0)),"Código no cargado"))</f>
        <v/>
      </c>
      <c r="D47" s="14" t="n"/>
      <c r="E47" s="14" t="n"/>
      <c r="F47" s="18" t="n"/>
      <c r="G47" s="18" t="n"/>
      <c r="H47" s="21">
        <f>IF(AND($F47="",$G47=""),"",N($F47)*IFERROR(N(INDEX(Vinos!$H$2:$H$301,MATCH($B47,Vinos!$A$2:$A$301,0))),0)+N($G47))</f>
        <v/>
      </c>
      <c r="I47" s="18" t="n"/>
      <c r="J47" s="21">
        <f>IF(OR($H47="",$I47=""),"",$H47-$I47)</f>
        <v/>
      </c>
      <c r="K47" s="16">
        <f>IF($H47="","",IFERROR(IF(INDEX(Vinos!$J$2:$J$301,MATCH($B47,Vinos!$A$2:$A$301,0))="","",$H47*INDEX(Vinos!$J$2:$J$301,MATCH($B47,Vinos!$A$2:$A$301,0))),""))</f>
        <v/>
      </c>
      <c r="L47" s="16">
        <f>IF($H47="","",IFERROR(IF(INDEX(Vinos!$K$2:$K$301,MATCH($B47,Vinos!$A$2:$A$301,0))="","",$H47*INDEX(Vinos!$K$2:$K$301,MATCH($B47,Vinos!$A$2:$A$301,0))),""))</f>
        <v/>
      </c>
      <c r="M47" s="21">
        <f>IF(OR($A47="",$B47=""),"",SUMIFS($H$2:$H$2001,$A$2:$A$2001,$A47,$B$2:$B$2001,$B47))</f>
        <v/>
      </c>
      <c r="N47" s="20">
        <f>IF($M47="","",IF($M47&lt;=0,"Sin stock: reponer ya",IF($M47&lt;IFERROR(N(INDEX(Vinos!$N$2:$N$301,MATCH($B47,Vinos!$A$2:$A$301,0))),0),"Bajo mínimo: reponer","OK")))</f>
        <v/>
      </c>
      <c r="O47" s="14" t="n"/>
      <c r="P47" s="14" t="n"/>
      <c r="Q47" s="20">
        <f>IF($B47="","",IFERROR(INDEX(Vinos!$C$2:$C$301,MATCH($B47,Vinos!$A$2:$A$301,0)),""))</f>
        <v/>
      </c>
      <c r="R47" s="20">
        <f>IF(OR($A47="",$A47&lt;&gt;'Resumen del inventario'!$C$3,$N47="",$N47="OK"),"",IF(COUNTIFS($A$2:$A47,$A47,$B$2:$B47,$B47)=1,1,""))</f>
        <v/>
      </c>
      <c r="S47" s="20">
        <f>IF($R47=1,COUNTIF($R$2:$R47,1),"")</f>
        <v/>
      </c>
    </row>
    <row r="48">
      <c r="A48" s="19" t="n"/>
      <c r="B48" s="14" t="n"/>
      <c r="C48" s="20">
        <f>IF($B48="","",IFERROR(INDEX(Vinos!$B$2:$B$301,MATCH($B48,Vinos!$A$2:$A$301,0)),"Código no cargado"))</f>
        <v/>
      </c>
      <c r="D48" s="14" t="n"/>
      <c r="E48" s="14" t="n"/>
      <c r="F48" s="18" t="n"/>
      <c r="G48" s="18" t="n"/>
      <c r="H48" s="21">
        <f>IF(AND($F48="",$G48=""),"",N($F48)*IFERROR(N(INDEX(Vinos!$H$2:$H$301,MATCH($B48,Vinos!$A$2:$A$301,0))),0)+N($G48))</f>
        <v/>
      </c>
      <c r="I48" s="18" t="n"/>
      <c r="J48" s="21">
        <f>IF(OR($H48="",$I48=""),"",$H48-$I48)</f>
        <v/>
      </c>
      <c r="K48" s="16">
        <f>IF($H48="","",IFERROR(IF(INDEX(Vinos!$J$2:$J$301,MATCH($B48,Vinos!$A$2:$A$301,0))="","",$H48*INDEX(Vinos!$J$2:$J$301,MATCH($B48,Vinos!$A$2:$A$301,0))),""))</f>
        <v/>
      </c>
      <c r="L48" s="16">
        <f>IF($H48="","",IFERROR(IF(INDEX(Vinos!$K$2:$K$301,MATCH($B48,Vinos!$A$2:$A$301,0))="","",$H48*INDEX(Vinos!$K$2:$K$301,MATCH($B48,Vinos!$A$2:$A$301,0))),""))</f>
        <v/>
      </c>
      <c r="M48" s="21">
        <f>IF(OR($A48="",$B48=""),"",SUMIFS($H$2:$H$2001,$A$2:$A$2001,$A48,$B$2:$B$2001,$B48))</f>
        <v/>
      </c>
      <c r="N48" s="20">
        <f>IF($M48="","",IF($M48&lt;=0,"Sin stock: reponer ya",IF($M48&lt;IFERROR(N(INDEX(Vinos!$N$2:$N$301,MATCH($B48,Vinos!$A$2:$A$301,0))),0),"Bajo mínimo: reponer","OK")))</f>
        <v/>
      </c>
      <c r="O48" s="14" t="n"/>
      <c r="P48" s="14" t="n"/>
      <c r="Q48" s="20">
        <f>IF($B48="","",IFERROR(INDEX(Vinos!$C$2:$C$301,MATCH($B48,Vinos!$A$2:$A$301,0)),""))</f>
        <v/>
      </c>
      <c r="R48" s="20">
        <f>IF(OR($A48="",$A48&lt;&gt;'Resumen del inventario'!$C$3,$N48="",$N48="OK"),"",IF(COUNTIFS($A$2:$A48,$A48,$B$2:$B48,$B48)=1,1,""))</f>
        <v/>
      </c>
      <c r="S48" s="20">
        <f>IF($R48=1,COUNTIF($R$2:$R48,1),"")</f>
        <v/>
      </c>
    </row>
    <row r="49">
      <c r="A49" s="19" t="n"/>
      <c r="B49" s="14" t="n"/>
      <c r="C49" s="20">
        <f>IF($B49="","",IFERROR(INDEX(Vinos!$B$2:$B$301,MATCH($B49,Vinos!$A$2:$A$301,0)),"Código no cargado"))</f>
        <v/>
      </c>
      <c r="D49" s="14" t="n"/>
      <c r="E49" s="14" t="n"/>
      <c r="F49" s="18" t="n"/>
      <c r="G49" s="18" t="n"/>
      <c r="H49" s="21">
        <f>IF(AND($F49="",$G49=""),"",N($F49)*IFERROR(N(INDEX(Vinos!$H$2:$H$301,MATCH($B49,Vinos!$A$2:$A$301,0))),0)+N($G49))</f>
        <v/>
      </c>
      <c r="I49" s="18" t="n"/>
      <c r="J49" s="21">
        <f>IF(OR($H49="",$I49=""),"",$H49-$I49)</f>
        <v/>
      </c>
      <c r="K49" s="16">
        <f>IF($H49="","",IFERROR(IF(INDEX(Vinos!$J$2:$J$301,MATCH($B49,Vinos!$A$2:$A$301,0))="","",$H49*INDEX(Vinos!$J$2:$J$301,MATCH($B49,Vinos!$A$2:$A$301,0))),""))</f>
        <v/>
      </c>
      <c r="L49" s="16">
        <f>IF($H49="","",IFERROR(IF(INDEX(Vinos!$K$2:$K$301,MATCH($B49,Vinos!$A$2:$A$301,0))="","",$H49*INDEX(Vinos!$K$2:$K$301,MATCH($B49,Vinos!$A$2:$A$301,0))),""))</f>
        <v/>
      </c>
      <c r="M49" s="21">
        <f>IF(OR($A49="",$B49=""),"",SUMIFS($H$2:$H$2001,$A$2:$A$2001,$A49,$B$2:$B$2001,$B49))</f>
        <v/>
      </c>
      <c r="N49" s="20">
        <f>IF($M49="","",IF($M49&lt;=0,"Sin stock: reponer ya",IF($M49&lt;IFERROR(N(INDEX(Vinos!$N$2:$N$301,MATCH($B49,Vinos!$A$2:$A$301,0))),0),"Bajo mínimo: reponer","OK")))</f>
        <v/>
      </c>
      <c r="O49" s="14" t="n"/>
      <c r="P49" s="14" t="n"/>
      <c r="Q49" s="20">
        <f>IF($B49="","",IFERROR(INDEX(Vinos!$C$2:$C$301,MATCH($B49,Vinos!$A$2:$A$301,0)),""))</f>
        <v/>
      </c>
      <c r="R49" s="20">
        <f>IF(OR($A49="",$A49&lt;&gt;'Resumen del inventario'!$C$3,$N49="",$N49="OK"),"",IF(COUNTIFS($A$2:$A49,$A49,$B$2:$B49,$B49)=1,1,""))</f>
        <v/>
      </c>
      <c r="S49" s="20">
        <f>IF($R49=1,COUNTIF($R$2:$R49,1),"")</f>
        <v/>
      </c>
    </row>
    <row r="50">
      <c r="A50" s="19" t="n"/>
      <c r="B50" s="14" t="n"/>
      <c r="C50" s="20">
        <f>IF($B50="","",IFERROR(INDEX(Vinos!$B$2:$B$301,MATCH($B50,Vinos!$A$2:$A$301,0)),"Código no cargado"))</f>
        <v/>
      </c>
      <c r="D50" s="14" t="n"/>
      <c r="E50" s="14" t="n"/>
      <c r="F50" s="18" t="n"/>
      <c r="G50" s="18" t="n"/>
      <c r="H50" s="21">
        <f>IF(AND($F50="",$G50=""),"",N($F50)*IFERROR(N(INDEX(Vinos!$H$2:$H$301,MATCH($B50,Vinos!$A$2:$A$301,0))),0)+N($G50))</f>
        <v/>
      </c>
      <c r="I50" s="18" t="n"/>
      <c r="J50" s="21">
        <f>IF(OR($H50="",$I50=""),"",$H50-$I50)</f>
        <v/>
      </c>
      <c r="K50" s="16">
        <f>IF($H50="","",IFERROR(IF(INDEX(Vinos!$J$2:$J$301,MATCH($B50,Vinos!$A$2:$A$301,0))="","",$H50*INDEX(Vinos!$J$2:$J$301,MATCH($B50,Vinos!$A$2:$A$301,0))),""))</f>
        <v/>
      </c>
      <c r="L50" s="16">
        <f>IF($H50="","",IFERROR(IF(INDEX(Vinos!$K$2:$K$301,MATCH($B50,Vinos!$A$2:$A$301,0))="","",$H50*INDEX(Vinos!$K$2:$K$301,MATCH($B50,Vinos!$A$2:$A$301,0))),""))</f>
        <v/>
      </c>
      <c r="M50" s="21">
        <f>IF(OR($A50="",$B50=""),"",SUMIFS($H$2:$H$2001,$A$2:$A$2001,$A50,$B$2:$B$2001,$B50))</f>
        <v/>
      </c>
      <c r="N50" s="20">
        <f>IF($M50="","",IF($M50&lt;=0,"Sin stock: reponer ya",IF($M50&lt;IFERROR(N(INDEX(Vinos!$N$2:$N$301,MATCH($B50,Vinos!$A$2:$A$301,0))),0),"Bajo mínimo: reponer","OK")))</f>
        <v/>
      </c>
      <c r="O50" s="14" t="n"/>
      <c r="P50" s="14" t="n"/>
      <c r="Q50" s="20">
        <f>IF($B50="","",IFERROR(INDEX(Vinos!$C$2:$C$301,MATCH($B50,Vinos!$A$2:$A$301,0)),""))</f>
        <v/>
      </c>
      <c r="R50" s="20">
        <f>IF(OR($A50="",$A50&lt;&gt;'Resumen del inventario'!$C$3,$N50="",$N50="OK"),"",IF(COUNTIFS($A$2:$A50,$A50,$B$2:$B50,$B50)=1,1,""))</f>
        <v/>
      </c>
      <c r="S50" s="20">
        <f>IF($R50=1,COUNTIF($R$2:$R50,1),"")</f>
        <v/>
      </c>
    </row>
    <row r="51">
      <c r="A51" s="19" t="n"/>
      <c r="B51" s="14" t="n"/>
      <c r="C51" s="20">
        <f>IF($B51="","",IFERROR(INDEX(Vinos!$B$2:$B$301,MATCH($B51,Vinos!$A$2:$A$301,0)),"Código no cargado"))</f>
        <v/>
      </c>
      <c r="D51" s="14" t="n"/>
      <c r="E51" s="14" t="n"/>
      <c r="F51" s="18" t="n"/>
      <c r="G51" s="18" t="n"/>
      <c r="H51" s="21">
        <f>IF(AND($F51="",$G51=""),"",N($F51)*IFERROR(N(INDEX(Vinos!$H$2:$H$301,MATCH($B51,Vinos!$A$2:$A$301,0))),0)+N($G51))</f>
        <v/>
      </c>
      <c r="I51" s="18" t="n"/>
      <c r="J51" s="21">
        <f>IF(OR($H51="",$I51=""),"",$H51-$I51)</f>
        <v/>
      </c>
      <c r="K51" s="16">
        <f>IF($H51="","",IFERROR(IF(INDEX(Vinos!$J$2:$J$301,MATCH($B51,Vinos!$A$2:$A$301,0))="","",$H51*INDEX(Vinos!$J$2:$J$301,MATCH($B51,Vinos!$A$2:$A$301,0))),""))</f>
        <v/>
      </c>
      <c r="L51" s="16">
        <f>IF($H51="","",IFERROR(IF(INDEX(Vinos!$K$2:$K$301,MATCH($B51,Vinos!$A$2:$A$301,0))="","",$H51*INDEX(Vinos!$K$2:$K$301,MATCH($B51,Vinos!$A$2:$A$301,0))),""))</f>
        <v/>
      </c>
      <c r="M51" s="21">
        <f>IF(OR($A51="",$B51=""),"",SUMIFS($H$2:$H$2001,$A$2:$A$2001,$A51,$B$2:$B$2001,$B51))</f>
        <v/>
      </c>
      <c r="N51" s="20">
        <f>IF($M51="","",IF($M51&lt;=0,"Sin stock: reponer ya",IF($M51&lt;IFERROR(N(INDEX(Vinos!$N$2:$N$301,MATCH($B51,Vinos!$A$2:$A$301,0))),0),"Bajo mínimo: reponer","OK")))</f>
        <v/>
      </c>
      <c r="O51" s="14" t="n"/>
      <c r="P51" s="14" t="n"/>
      <c r="Q51" s="20">
        <f>IF($B51="","",IFERROR(INDEX(Vinos!$C$2:$C$301,MATCH($B51,Vinos!$A$2:$A$301,0)),""))</f>
        <v/>
      </c>
      <c r="R51" s="20">
        <f>IF(OR($A51="",$A51&lt;&gt;'Resumen del inventario'!$C$3,$N51="",$N51="OK"),"",IF(COUNTIFS($A$2:$A51,$A51,$B$2:$B51,$B51)=1,1,""))</f>
        <v/>
      </c>
      <c r="S51" s="20">
        <f>IF($R51=1,COUNTIF($R$2:$R51,1),"")</f>
        <v/>
      </c>
    </row>
    <row r="52">
      <c r="A52" s="19" t="n"/>
      <c r="B52" s="14" t="n"/>
      <c r="C52" s="20">
        <f>IF($B52="","",IFERROR(INDEX(Vinos!$B$2:$B$301,MATCH($B52,Vinos!$A$2:$A$301,0)),"Código no cargado"))</f>
        <v/>
      </c>
      <c r="D52" s="14" t="n"/>
      <c r="E52" s="14" t="n"/>
      <c r="F52" s="18" t="n"/>
      <c r="G52" s="18" t="n"/>
      <c r="H52" s="21">
        <f>IF(AND($F52="",$G52=""),"",N($F52)*IFERROR(N(INDEX(Vinos!$H$2:$H$301,MATCH($B52,Vinos!$A$2:$A$301,0))),0)+N($G52))</f>
        <v/>
      </c>
      <c r="I52" s="18" t="n"/>
      <c r="J52" s="21">
        <f>IF(OR($H52="",$I52=""),"",$H52-$I52)</f>
        <v/>
      </c>
      <c r="K52" s="16">
        <f>IF($H52="","",IFERROR(IF(INDEX(Vinos!$J$2:$J$301,MATCH($B52,Vinos!$A$2:$A$301,0))="","",$H52*INDEX(Vinos!$J$2:$J$301,MATCH($B52,Vinos!$A$2:$A$301,0))),""))</f>
        <v/>
      </c>
      <c r="L52" s="16">
        <f>IF($H52="","",IFERROR(IF(INDEX(Vinos!$K$2:$K$301,MATCH($B52,Vinos!$A$2:$A$301,0))="","",$H52*INDEX(Vinos!$K$2:$K$301,MATCH($B52,Vinos!$A$2:$A$301,0))),""))</f>
        <v/>
      </c>
      <c r="M52" s="21">
        <f>IF(OR($A52="",$B52=""),"",SUMIFS($H$2:$H$2001,$A$2:$A$2001,$A52,$B$2:$B$2001,$B52))</f>
        <v/>
      </c>
      <c r="N52" s="20">
        <f>IF($M52="","",IF($M52&lt;=0,"Sin stock: reponer ya",IF($M52&lt;IFERROR(N(INDEX(Vinos!$N$2:$N$301,MATCH($B52,Vinos!$A$2:$A$301,0))),0),"Bajo mínimo: reponer","OK")))</f>
        <v/>
      </c>
      <c r="O52" s="14" t="n"/>
      <c r="P52" s="14" t="n"/>
      <c r="Q52" s="20">
        <f>IF($B52="","",IFERROR(INDEX(Vinos!$C$2:$C$301,MATCH($B52,Vinos!$A$2:$A$301,0)),""))</f>
        <v/>
      </c>
      <c r="R52" s="20">
        <f>IF(OR($A52="",$A52&lt;&gt;'Resumen del inventario'!$C$3,$N52="",$N52="OK"),"",IF(COUNTIFS($A$2:$A52,$A52,$B$2:$B52,$B52)=1,1,""))</f>
        <v/>
      </c>
      <c r="S52" s="20">
        <f>IF($R52=1,COUNTIF($R$2:$R52,1),"")</f>
        <v/>
      </c>
    </row>
    <row r="53">
      <c r="A53" s="19" t="n"/>
      <c r="B53" s="14" t="n"/>
      <c r="C53" s="20">
        <f>IF($B53="","",IFERROR(INDEX(Vinos!$B$2:$B$301,MATCH($B53,Vinos!$A$2:$A$301,0)),"Código no cargado"))</f>
        <v/>
      </c>
      <c r="D53" s="14" t="n"/>
      <c r="E53" s="14" t="n"/>
      <c r="F53" s="18" t="n"/>
      <c r="G53" s="18" t="n"/>
      <c r="H53" s="21">
        <f>IF(AND($F53="",$G53=""),"",N($F53)*IFERROR(N(INDEX(Vinos!$H$2:$H$301,MATCH($B53,Vinos!$A$2:$A$301,0))),0)+N($G53))</f>
        <v/>
      </c>
      <c r="I53" s="18" t="n"/>
      <c r="J53" s="21">
        <f>IF(OR($H53="",$I53=""),"",$H53-$I53)</f>
        <v/>
      </c>
      <c r="K53" s="16">
        <f>IF($H53="","",IFERROR(IF(INDEX(Vinos!$J$2:$J$301,MATCH($B53,Vinos!$A$2:$A$301,0))="","",$H53*INDEX(Vinos!$J$2:$J$301,MATCH($B53,Vinos!$A$2:$A$301,0))),""))</f>
        <v/>
      </c>
      <c r="L53" s="16">
        <f>IF($H53="","",IFERROR(IF(INDEX(Vinos!$K$2:$K$301,MATCH($B53,Vinos!$A$2:$A$301,0))="","",$H53*INDEX(Vinos!$K$2:$K$301,MATCH($B53,Vinos!$A$2:$A$301,0))),""))</f>
        <v/>
      </c>
      <c r="M53" s="21">
        <f>IF(OR($A53="",$B53=""),"",SUMIFS($H$2:$H$2001,$A$2:$A$2001,$A53,$B$2:$B$2001,$B53))</f>
        <v/>
      </c>
      <c r="N53" s="20">
        <f>IF($M53="","",IF($M53&lt;=0,"Sin stock: reponer ya",IF($M53&lt;IFERROR(N(INDEX(Vinos!$N$2:$N$301,MATCH($B53,Vinos!$A$2:$A$301,0))),0),"Bajo mínimo: reponer","OK")))</f>
        <v/>
      </c>
      <c r="O53" s="14" t="n"/>
      <c r="P53" s="14" t="n"/>
      <c r="Q53" s="20">
        <f>IF($B53="","",IFERROR(INDEX(Vinos!$C$2:$C$301,MATCH($B53,Vinos!$A$2:$A$301,0)),""))</f>
        <v/>
      </c>
      <c r="R53" s="20">
        <f>IF(OR($A53="",$A53&lt;&gt;'Resumen del inventario'!$C$3,$N53="",$N53="OK"),"",IF(COUNTIFS($A$2:$A53,$A53,$B$2:$B53,$B53)=1,1,""))</f>
        <v/>
      </c>
      <c r="S53" s="20">
        <f>IF($R53=1,COUNTIF($R$2:$R53,1),"")</f>
        <v/>
      </c>
    </row>
    <row r="54">
      <c r="A54" s="19" t="n"/>
      <c r="B54" s="14" t="n"/>
      <c r="C54" s="20">
        <f>IF($B54="","",IFERROR(INDEX(Vinos!$B$2:$B$301,MATCH($B54,Vinos!$A$2:$A$301,0)),"Código no cargado"))</f>
        <v/>
      </c>
      <c r="D54" s="14" t="n"/>
      <c r="E54" s="14" t="n"/>
      <c r="F54" s="18" t="n"/>
      <c r="G54" s="18" t="n"/>
      <c r="H54" s="21">
        <f>IF(AND($F54="",$G54=""),"",N($F54)*IFERROR(N(INDEX(Vinos!$H$2:$H$301,MATCH($B54,Vinos!$A$2:$A$301,0))),0)+N($G54))</f>
        <v/>
      </c>
      <c r="I54" s="18" t="n"/>
      <c r="J54" s="21">
        <f>IF(OR($H54="",$I54=""),"",$H54-$I54)</f>
        <v/>
      </c>
      <c r="K54" s="16">
        <f>IF($H54="","",IFERROR(IF(INDEX(Vinos!$J$2:$J$301,MATCH($B54,Vinos!$A$2:$A$301,0))="","",$H54*INDEX(Vinos!$J$2:$J$301,MATCH($B54,Vinos!$A$2:$A$301,0))),""))</f>
        <v/>
      </c>
      <c r="L54" s="16">
        <f>IF($H54="","",IFERROR(IF(INDEX(Vinos!$K$2:$K$301,MATCH($B54,Vinos!$A$2:$A$301,0))="","",$H54*INDEX(Vinos!$K$2:$K$301,MATCH($B54,Vinos!$A$2:$A$301,0))),""))</f>
        <v/>
      </c>
      <c r="M54" s="21">
        <f>IF(OR($A54="",$B54=""),"",SUMIFS($H$2:$H$2001,$A$2:$A$2001,$A54,$B$2:$B$2001,$B54))</f>
        <v/>
      </c>
      <c r="N54" s="20">
        <f>IF($M54="","",IF($M54&lt;=0,"Sin stock: reponer ya",IF($M54&lt;IFERROR(N(INDEX(Vinos!$N$2:$N$301,MATCH($B54,Vinos!$A$2:$A$301,0))),0),"Bajo mínimo: reponer","OK")))</f>
        <v/>
      </c>
      <c r="O54" s="14" t="n"/>
      <c r="P54" s="14" t="n"/>
      <c r="Q54" s="20">
        <f>IF($B54="","",IFERROR(INDEX(Vinos!$C$2:$C$301,MATCH($B54,Vinos!$A$2:$A$301,0)),""))</f>
        <v/>
      </c>
      <c r="R54" s="20">
        <f>IF(OR($A54="",$A54&lt;&gt;'Resumen del inventario'!$C$3,$N54="",$N54="OK"),"",IF(COUNTIFS($A$2:$A54,$A54,$B$2:$B54,$B54)=1,1,""))</f>
        <v/>
      </c>
      <c r="S54" s="20">
        <f>IF($R54=1,COUNTIF($R$2:$R54,1),"")</f>
        <v/>
      </c>
    </row>
    <row r="55">
      <c r="A55" s="19" t="n"/>
      <c r="B55" s="14" t="n"/>
      <c r="C55" s="20">
        <f>IF($B55="","",IFERROR(INDEX(Vinos!$B$2:$B$301,MATCH($B55,Vinos!$A$2:$A$301,0)),"Código no cargado"))</f>
        <v/>
      </c>
      <c r="D55" s="14" t="n"/>
      <c r="E55" s="14" t="n"/>
      <c r="F55" s="18" t="n"/>
      <c r="G55" s="18" t="n"/>
      <c r="H55" s="21">
        <f>IF(AND($F55="",$G55=""),"",N($F55)*IFERROR(N(INDEX(Vinos!$H$2:$H$301,MATCH($B55,Vinos!$A$2:$A$301,0))),0)+N($G55))</f>
        <v/>
      </c>
      <c r="I55" s="18" t="n"/>
      <c r="J55" s="21">
        <f>IF(OR($H55="",$I55=""),"",$H55-$I55)</f>
        <v/>
      </c>
      <c r="K55" s="16">
        <f>IF($H55="","",IFERROR(IF(INDEX(Vinos!$J$2:$J$301,MATCH($B55,Vinos!$A$2:$A$301,0))="","",$H55*INDEX(Vinos!$J$2:$J$301,MATCH($B55,Vinos!$A$2:$A$301,0))),""))</f>
        <v/>
      </c>
      <c r="L55" s="16">
        <f>IF($H55="","",IFERROR(IF(INDEX(Vinos!$K$2:$K$301,MATCH($B55,Vinos!$A$2:$A$301,0))="","",$H55*INDEX(Vinos!$K$2:$K$301,MATCH($B55,Vinos!$A$2:$A$301,0))),""))</f>
        <v/>
      </c>
      <c r="M55" s="21">
        <f>IF(OR($A55="",$B55=""),"",SUMIFS($H$2:$H$2001,$A$2:$A$2001,$A55,$B$2:$B$2001,$B55))</f>
        <v/>
      </c>
      <c r="N55" s="20">
        <f>IF($M55="","",IF($M55&lt;=0,"Sin stock: reponer ya",IF($M55&lt;IFERROR(N(INDEX(Vinos!$N$2:$N$301,MATCH($B55,Vinos!$A$2:$A$301,0))),0),"Bajo mínimo: reponer","OK")))</f>
        <v/>
      </c>
      <c r="O55" s="14" t="n"/>
      <c r="P55" s="14" t="n"/>
      <c r="Q55" s="20">
        <f>IF($B55="","",IFERROR(INDEX(Vinos!$C$2:$C$301,MATCH($B55,Vinos!$A$2:$A$301,0)),""))</f>
        <v/>
      </c>
      <c r="R55" s="20">
        <f>IF(OR($A55="",$A55&lt;&gt;'Resumen del inventario'!$C$3,$N55="",$N55="OK"),"",IF(COUNTIFS($A$2:$A55,$A55,$B$2:$B55,$B55)=1,1,""))</f>
        <v/>
      </c>
      <c r="S55" s="20">
        <f>IF($R55=1,COUNTIF($R$2:$R55,1),"")</f>
        <v/>
      </c>
    </row>
    <row r="56">
      <c r="A56" s="19" t="n"/>
      <c r="B56" s="14" t="n"/>
      <c r="C56" s="20">
        <f>IF($B56="","",IFERROR(INDEX(Vinos!$B$2:$B$301,MATCH($B56,Vinos!$A$2:$A$301,0)),"Código no cargado"))</f>
        <v/>
      </c>
      <c r="D56" s="14" t="n"/>
      <c r="E56" s="14" t="n"/>
      <c r="F56" s="18" t="n"/>
      <c r="G56" s="18" t="n"/>
      <c r="H56" s="21">
        <f>IF(AND($F56="",$G56=""),"",N($F56)*IFERROR(N(INDEX(Vinos!$H$2:$H$301,MATCH($B56,Vinos!$A$2:$A$301,0))),0)+N($G56))</f>
        <v/>
      </c>
      <c r="I56" s="18" t="n"/>
      <c r="J56" s="21">
        <f>IF(OR($H56="",$I56=""),"",$H56-$I56)</f>
        <v/>
      </c>
      <c r="K56" s="16">
        <f>IF($H56="","",IFERROR(IF(INDEX(Vinos!$J$2:$J$301,MATCH($B56,Vinos!$A$2:$A$301,0))="","",$H56*INDEX(Vinos!$J$2:$J$301,MATCH($B56,Vinos!$A$2:$A$301,0))),""))</f>
        <v/>
      </c>
      <c r="L56" s="16">
        <f>IF($H56="","",IFERROR(IF(INDEX(Vinos!$K$2:$K$301,MATCH($B56,Vinos!$A$2:$A$301,0))="","",$H56*INDEX(Vinos!$K$2:$K$301,MATCH($B56,Vinos!$A$2:$A$301,0))),""))</f>
        <v/>
      </c>
      <c r="M56" s="21">
        <f>IF(OR($A56="",$B56=""),"",SUMIFS($H$2:$H$2001,$A$2:$A$2001,$A56,$B$2:$B$2001,$B56))</f>
        <v/>
      </c>
      <c r="N56" s="20">
        <f>IF($M56="","",IF($M56&lt;=0,"Sin stock: reponer ya",IF($M56&lt;IFERROR(N(INDEX(Vinos!$N$2:$N$301,MATCH($B56,Vinos!$A$2:$A$301,0))),0),"Bajo mínimo: reponer","OK")))</f>
        <v/>
      </c>
      <c r="O56" s="14" t="n"/>
      <c r="P56" s="14" t="n"/>
      <c r="Q56" s="20">
        <f>IF($B56="","",IFERROR(INDEX(Vinos!$C$2:$C$301,MATCH($B56,Vinos!$A$2:$A$301,0)),""))</f>
        <v/>
      </c>
      <c r="R56" s="20">
        <f>IF(OR($A56="",$A56&lt;&gt;'Resumen del inventario'!$C$3,$N56="",$N56="OK"),"",IF(COUNTIFS($A$2:$A56,$A56,$B$2:$B56,$B56)=1,1,""))</f>
        <v/>
      </c>
      <c r="S56" s="20">
        <f>IF($R56=1,COUNTIF($R$2:$R56,1),"")</f>
        <v/>
      </c>
    </row>
    <row r="57">
      <c r="A57" s="19" t="n"/>
      <c r="B57" s="14" t="n"/>
      <c r="C57" s="20">
        <f>IF($B57="","",IFERROR(INDEX(Vinos!$B$2:$B$301,MATCH($B57,Vinos!$A$2:$A$301,0)),"Código no cargado"))</f>
        <v/>
      </c>
      <c r="D57" s="14" t="n"/>
      <c r="E57" s="14" t="n"/>
      <c r="F57" s="18" t="n"/>
      <c r="G57" s="18" t="n"/>
      <c r="H57" s="21">
        <f>IF(AND($F57="",$G57=""),"",N($F57)*IFERROR(N(INDEX(Vinos!$H$2:$H$301,MATCH($B57,Vinos!$A$2:$A$301,0))),0)+N($G57))</f>
        <v/>
      </c>
      <c r="I57" s="18" t="n"/>
      <c r="J57" s="21">
        <f>IF(OR($H57="",$I57=""),"",$H57-$I57)</f>
        <v/>
      </c>
      <c r="K57" s="16">
        <f>IF($H57="","",IFERROR(IF(INDEX(Vinos!$J$2:$J$301,MATCH($B57,Vinos!$A$2:$A$301,0))="","",$H57*INDEX(Vinos!$J$2:$J$301,MATCH($B57,Vinos!$A$2:$A$301,0))),""))</f>
        <v/>
      </c>
      <c r="L57" s="16">
        <f>IF($H57="","",IFERROR(IF(INDEX(Vinos!$K$2:$K$301,MATCH($B57,Vinos!$A$2:$A$301,0))="","",$H57*INDEX(Vinos!$K$2:$K$301,MATCH($B57,Vinos!$A$2:$A$301,0))),""))</f>
        <v/>
      </c>
      <c r="M57" s="21">
        <f>IF(OR($A57="",$B57=""),"",SUMIFS($H$2:$H$2001,$A$2:$A$2001,$A57,$B$2:$B$2001,$B57))</f>
        <v/>
      </c>
      <c r="N57" s="20">
        <f>IF($M57="","",IF($M57&lt;=0,"Sin stock: reponer ya",IF($M57&lt;IFERROR(N(INDEX(Vinos!$N$2:$N$301,MATCH($B57,Vinos!$A$2:$A$301,0))),0),"Bajo mínimo: reponer","OK")))</f>
        <v/>
      </c>
      <c r="O57" s="14" t="n"/>
      <c r="P57" s="14" t="n"/>
      <c r="Q57" s="20">
        <f>IF($B57="","",IFERROR(INDEX(Vinos!$C$2:$C$301,MATCH($B57,Vinos!$A$2:$A$301,0)),""))</f>
        <v/>
      </c>
      <c r="R57" s="20">
        <f>IF(OR($A57="",$A57&lt;&gt;'Resumen del inventario'!$C$3,$N57="",$N57="OK"),"",IF(COUNTIFS($A$2:$A57,$A57,$B$2:$B57,$B57)=1,1,""))</f>
        <v/>
      </c>
      <c r="S57" s="20">
        <f>IF($R57=1,COUNTIF($R$2:$R57,1),"")</f>
        <v/>
      </c>
    </row>
    <row r="58">
      <c r="A58" s="19" t="n"/>
      <c r="B58" s="14" t="n"/>
      <c r="C58" s="20">
        <f>IF($B58="","",IFERROR(INDEX(Vinos!$B$2:$B$301,MATCH($B58,Vinos!$A$2:$A$301,0)),"Código no cargado"))</f>
        <v/>
      </c>
      <c r="D58" s="14" t="n"/>
      <c r="E58" s="14" t="n"/>
      <c r="F58" s="18" t="n"/>
      <c r="G58" s="18" t="n"/>
      <c r="H58" s="21">
        <f>IF(AND($F58="",$G58=""),"",N($F58)*IFERROR(N(INDEX(Vinos!$H$2:$H$301,MATCH($B58,Vinos!$A$2:$A$301,0))),0)+N($G58))</f>
        <v/>
      </c>
      <c r="I58" s="18" t="n"/>
      <c r="J58" s="21">
        <f>IF(OR($H58="",$I58=""),"",$H58-$I58)</f>
        <v/>
      </c>
      <c r="K58" s="16">
        <f>IF($H58="","",IFERROR(IF(INDEX(Vinos!$J$2:$J$301,MATCH($B58,Vinos!$A$2:$A$301,0))="","",$H58*INDEX(Vinos!$J$2:$J$301,MATCH($B58,Vinos!$A$2:$A$301,0))),""))</f>
        <v/>
      </c>
      <c r="L58" s="16">
        <f>IF($H58="","",IFERROR(IF(INDEX(Vinos!$K$2:$K$301,MATCH($B58,Vinos!$A$2:$A$301,0))="","",$H58*INDEX(Vinos!$K$2:$K$301,MATCH($B58,Vinos!$A$2:$A$301,0))),""))</f>
        <v/>
      </c>
      <c r="M58" s="21">
        <f>IF(OR($A58="",$B58=""),"",SUMIFS($H$2:$H$2001,$A$2:$A$2001,$A58,$B$2:$B$2001,$B58))</f>
        <v/>
      </c>
      <c r="N58" s="20">
        <f>IF($M58="","",IF($M58&lt;=0,"Sin stock: reponer ya",IF($M58&lt;IFERROR(N(INDEX(Vinos!$N$2:$N$301,MATCH($B58,Vinos!$A$2:$A$301,0))),0),"Bajo mínimo: reponer","OK")))</f>
        <v/>
      </c>
      <c r="O58" s="14" t="n"/>
      <c r="P58" s="14" t="n"/>
      <c r="Q58" s="20">
        <f>IF($B58="","",IFERROR(INDEX(Vinos!$C$2:$C$301,MATCH($B58,Vinos!$A$2:$A$301,0)),""))</f>
        <v/>
      </c>
      <c r="R58" s="20">
        <f>IF(OR($A58="",$A58&lt;&gt;'Resumen del inventario'!$C$3,$N58="",$N58="OK"),"",IF(COUNTIFS($A$2:$A58,$A58,$B$2:$B58,$B58)=1,1,""))</f>
        <v/>
      </c>
      <c r="S58" s="20">
        <f>IF($R58=1,COUNTIF($R$2:$R58,1),"")</f>
        <v/>
      </c>
    </row>
    <row r="59">
      <c r="A59" s="19" t="n"/>
      <c r="B59" s="14" t="n"/>
      <c r="C59" s="20">
        <f>IF($B59="","",IFERROR(INDEX(Vinos!$B$2:$B$301,MATCH($B59,Vinos!$A$2:$A$301,0)),"Código no cargado"))</f>
        <v/>
      </c>
      <c r="D59" s="14" t="n"/>
      <c r="E59" s="14" t="n"/>
      <c r="F59" s="18" t="n"/>
      <c r="G59" s="18" t="n"/>
      <c r="H59" s="21">
        <f>IF(AND($F59="",$G59=""),"",N($F59)*IFERROR(N(INDEX(Vinos!$H$2:$H$301,MATCH($B59,Vinos!$A$2:$A$301,0))),0)+N($G59))</f>
        <v/>
      </c>
      <c r="I59" s="18" t="n"/>
      <c r="J59" s="21">
        <f>IF(OR($H59="",$I59=""),"",$H59-$I59)</f>
        <v/>
      </c>
      <c r="K59" s="16">
        <f>IF($H59="","",IFERROR(IF(INDEX(Vinos!$J$2:$J$301,MATCH($B59,Vinos!$A$2:$A$301,0))="","",$H59*INDEX(Vinos!$J$2:$J$301,MATCH($B59,Vinos!$A$2:$A$301,0))),""))</f>
        <v/>
      </c>
      <c r="L59" s="16">
        <f>IF($H59="","",IFERROR(IF(INDEX(Vinos!$K$2:$K$301,MATCH($B59,Vinos!$A$2:$A$301,0))="","",$H59*INDEX(Vinos!$K$2:$K$301,MATCH($B59,Vinos!$A$2:$A$301,0))),""))</f>
        <v/>
      </c>
      <c r="M59" s="21">
        <f>IF(OR($A59="",$B59=""),"",SUMIFS($H$2:$H$2001,$A$2:$A$2001,$A59,$B$2:$B$2001,$B59))</f>
        <v/>
      </c>
      <c r="N59" s="20">
        <f>IF($M59="","",IF($M59&lt;=0,"Sin stock: reponer ya",IF($M59&lt;IFERROR(N(INDEX(Vinos!$N$2:$N$301,MATCH($B59,Vinos!$A$2:$A$301,0))),0),"Bajo mínimo: reponer","OK")))</f>
        <v/>
      </c>
      <c r="O59" s="14" t="n"/>
      <c r="P59" s="14" t="n"/>
      <c r="Q59" s="20">
        <f>IF($B59="","",IFERROR(INDEX(Vinos!$C$2:$C$301,MATCH($B59,Vinos!$A$2:$A$301,0)),""))</f>
        <v/>
      </c>
      <c r="R59" s="20">
        <f>IF(OR($A59="",$A59&lt;&gt;'Resumen del inventario'!$C$3,$N59="",$N59="OK"),"",IF(COUNTIFS($A$2:$A59,$A59,$B$2:$B59,$B59)=1,1,""))</f>
        <v/>
      </c>
      <c r="S59" s="20">
        <f>IF($R59=1,COUNTIF($R$2:$R59,1),"")</f>
        <v/>
      </c>
    </row>
    <row r="60">
      <c r="A60" s="19" t="n"/>
      <c r="B60" s="14" t="n"/>
      <c r="C60" s="20">
        <f>IF($B60="","",IFERROR(INDEX(Vinos!$B$2:$B$301,MATCH($B60,Vinos!$A$2:$A$301,0)),"Código no cargado"))</f>
        <v/>
      </c>
      <c r="D60" s="14" t="n"/>
      <c r="E60" s="14" t="n"/>
      <c r="F60" s="18" t="n"/>
      <c r="G60" s="18" t="n"/>
      <c r="H60" s="21">
        <f>IF(AND($F60="",$G60=""),"",N($F60)*IFERROR(N(INDEX(Vinos!$H$2:$H$301,MATCH($B60,Vinos!$A$2:$A$301,0))),0)+N($G60))</f>
        <v/>
      </c>
      <c r="I60" s="18" t="n"/>
      <c r="J60" s="21">
        <f>IF(OR($H60="",$I60=""),"",$H60-$I60)</f>
        <v/>
      </c>
      <c r="K60" s="16">
        <f>IF($H60="","",IFERROR(IF(INDEX(Vinos!$J$2:$J$301,MATCH($B60,Vinos!$A$2:$A$301,0))="","",$H60*INDEX(Vinos!$J$2:$J$301,MATCH($B60,Vinos!$A$2:$A$301,0))),""))</f>
        <v/>
      </c>
      <c r="L60" s="16">
        <f>IF($H60="","",IFERROR(IF(INDEX(Vinos!$K$2:$K$301,MATCH($B60,Vinos!$A$2:$A$301,0))="","",$H60*INDEX(Vinos!$K$2:$K$301,MATCH($B60,Vinos!$A$2:$A$301,0))),""))</f>
        <v/>
      </c>
      <c r="M60" s="21">
        <f>IF(OR($A60="",$B60=""),"",SUMIFS($H$2:$H$2001,$A$2:$A$2001,$A60,$B$2:$B$2001,$B60))</f>
        <v/>
      </c>
      <c r="N60" s="20">
        <f>IF($M60="","",IF($M60&lt;=0,"Sin stock: reponer ya",IF($M60&lt;IFERROR(N(INDEX(Vinos!$N$2:$N$301,MATCH($B60,Vinos!$A$2:$A$301,0))),0),"Bajo mínimo: reponer","OK")))</f>
        <v/>
      </c>
      <c r="O60" s="14" t="n"/>
      <c r="P60" s="14" t="n"/>
      <c r="Q60" s="20">
        <f>IF($B60="","",IFERROR(INDEX(Vinos!$C$2:$C$301,MATCH($B60,Vinos!$A$2:$A$301,0)),""))</f>
        <v/>
      </c>
      <c r="R60" s="20">
        <f>IF(OR($A60="",$A60&lt;&gt;'Resumen del inventario'!$C$3,$N60="",$N60="OK"),"",IF(COUNTIFS($A$2:$A60,$A60,$B$2:$B60,$B60)=1,1,""))</f>
        <v/>
      </c>
      <c r="S60" s="20">
        <f>IF($R60=1,COUNTIF($R$2:$R60,1),"")</f>
        <v/>
      </c>
    </row>
    <row r="61">
      <c r="A61" s="19" t="n"/>
      <c r="B61" s="14" t="n"/>
      <c r="C61" s="20">
        <f>IF($B61="","",IFERROR(INDEX(Vinos!$B$2:$B$301,MATCH($B61,Vinos!$A$2:$A$301,0)),"Código no cargado"))</f>
        <v/>
      </c>
      <c r="D61" s="14" t="n"/>
      <c r="E61" s="14" t="n"/>
      <c r="F61" s="18" t="n"/>
      <c r="G61" s="18" t="n"/>
      <c r="H61" s="21">
        <f>IF(AND($F61="",$G61=""),"",N($F61)*IFERROR(N(INDEX(Vinos!$H$2:$H$301,MATCH($B61,Vinos!$A$2:$A$301,0))),0)+N($G61))</f>
        <v/>
      </c>
      <c r="I61" s="18" t="n"/>
      <c r="J61" s="21">
        <f>IF(OR($H61="",$I61=""),"",$H61-$I61)</f>
        <v/>
      </c>
      <c r="K61" s="16">
        <f>IF($H61="","",IFERROR(IF(INDEX(Vinos!$J$2:$J$301,MATCH($B61,Vinos!$A$2:$A$301,0))="","",$H61*INDEX(Vinos!$J$2:$J$301,MATCH($B61,Vinos!$A$2:$A$301,0))),""))</f>
        <v/>
      </c>
      <c r="L61" s="16">
        <f>IF($H61="","",IFERROR(IF(INDEX(Vinos!$K$2:$K$301,MATCH($B61,Vinos!$A$2:$A$301,0))="","",$H61*INDEX(Vinos!$K$2:$K$301,MATCH($B61,Vinos!$A$2:$A$301,0))),""))</f>
        <v/>
      </c>
      <c r="M61" s="21">
        <f>IF(OR($A61="",$B61=""),"",SUMIFS($H$2:$H$2001,$A$2:$A$2001,$A61,$B$2:$B$2001,$B61))</f>
        <v/>
      </c>
      <c r="N61" s="20">
        <f>IF($M61="","",IF($M61&lt;=0,"Sin stock: reponer ya",IF($M61&lt;IFERROR(N(INDEX(Vinos!$N$2:$N$301,MATCH($B61,Vinos!$A$2:$A$301,0))),0),"Bajo mínimo: reponer","OK")))</f>
        <v/>
      </c>
      <c r="O61" s="14" t="n"/>
      <c r="P61" s="14" t="n"/>
      <c r="Q61" s="20">
        <f>IF($B61="","",IFERROR(INDEX(Vinos!$C$2:$C$301,MATCH($B61,Vinos!$A$2:$A$301,0)),""))</f>
        <v/>
      </c>
      <c r="R61" s="20">
        <f>IF(OR($A61="",$A61&lt;&gt;'Resumen del inventario'!$C$3,$N61="",$N61="OK"),"",IF(COUNTIFS($A$2:$A61,$A61,$B$2:$B61,$B61)=1,1,""))</f>
        <v/>
      </c>
      <c r="S61" s="20">
        <f>IF($R61=1,COUNTIF($R$2:$R61,1),"")</f>
        <v/>
      </c>
    </row>
    <row r="62">
      <c r="A62" s="19" t="n"/>
      <c r="B62" s="14" t="n"/>
      <c r="C62" s="20">
        <f>IF($B62="","",IFERROR(INDEX(Vinos!$B$2:$B$301,MATCH($B62,Vinos!$A$2:$A$301,0)),"Código no cargado"))</f>
        <v/>
      </c>
      <c r="D62" s="14" t="n"/>
      <c r="E62" s="14" t="n"/>
      <c r="F62" s="18" t="n"/>
      <c r="G62" s="18" t="n"/>
      <c r="H62" s="21">
        <f>IF(AND($F62="",$G62=""),"",N($F62)*IFERROR(N(INDEX(Vinos!$H$2:$H$301,MATCH($B62,Vinos!$A$2:$A$301,0))),0)+N($G62))</f>
        <v/>
      </c>
      <c r="I62" s="18" t="n"/>
      <c r="J62" s="21">
        <f>IF(OR($H62="",$I62=""),"",$H62-$I62)</f>
        <v/>
      </c>
      <c r="K62" s="16">
        <f>IF($H62="","",IFERROR(IF(INDEX(Vinos!$J$2:$J$301,MATCH($B62,Vinos!$A$2:$A$301,0))="","",$H62*INDEX(Vinos!$J$2:$J$301,MATCH($B62,Vinos!$A$2:$A$301,0))),""))</f>
        <v/>
      </c>
      <c r="L62" s="16">
        <f>IF($H62="","",IFERROR(IF(INDEX(Vinos!$K$2:$K$301,MATCH($B62,Vinos!$A$2:$A$301,0))="","",$H62*INDEX(Vinos!$K$2:$K$301,MATCH($B62,Vinos!$A$2:$A$301,0))),""))</f>
        <v/>
      </c>
      <c r="M62" s="21">
        <f>IF(OR($A62="",$B62=""),"",SUMIFS($H$2:$H$2001,$A$2:$A$2001,$A62,$B$2:$B$2001,$B62))</f>
        <v/>
      </c>
      <c r="N62" s="20">
        <f>IF($M62="","",IF($M62&lt;=0,"Sin stock: reponer ya",IF($M62&lt;IFERROR(N(INDEX(Vinos!$N$2:$N$301,MATCH($B62,Vinos!$A$2:$A$301,0))),0),"Bajo mínimo: reponer","OK")))</f>
        <v/>
      </c>
      <c r="O62" s="14" t="n"/>
      <c r="P62" s="14" t="n"/>
      <c r="Q62" s="20">
        <f>IF($B62="","",IFERROR(INDEX(Vinos!$C$2:$C$301,MATCH($B62,Vinos!$A$2:$A$301,0)),""))</f>
        <v/>
      </c>
      <c r="R62" s="20">
        <f>IF(OR($A62="",$A62&lt;&gt;'Resumen del inventario'!$C$3,$N62="",$N62="OK"),"",IF(COUNTIFS($A$2:$A62,$A62,$B$2:$B62,$B62)=1,1,""))</f>
        <v/>
      </c>
      <c r="S62" s="20">
        <f>IF($R62=1,COUNTIF($R$2:$R62,1),"")</f>
        <v/>
      </c>
    </row>
    <row r="63">
      <c r="A63" s="19" t="n"/>
      <c r="B63" s="14" t="n"/>
      <c r="C63" s="20">
        <f>IF($B63="","",IFERROR(INDEX(Vinos!$B$2:$B$301,MATCH($B63,Vinos!$A$2:$A$301,0)),"Código no cargado"))</f>
        <v/>
      </c>
      <c r="D63" s="14" t="n"/>
      <c r="E63" s="14" t="n"/>
      <c r="F63" s="18" t="n"/>
      <c r="G63" s="18" t="n"/>
      <c r="H63" s="21">
        <f>IF(AND($F63="",$G63=""),"",N($F63)*IFERROR(N(INDEX(Vinos!$H$2:$H$301,MATCH($B63,Vinos!$A$2:$A$301,0))),0)+N($G63))</f>
        <v/>
      </c>
      <c r="I63" s="18" t="n"/>
      <c r="J63" s="21">
        <f>IF(OR($H63="",$I63=""),"",$H63-$I63)</f>
        <v/>
      </c>
      <c r="K63" s="16">
        <f>IF($H63="","",IFERROR(IF(INDEX(Vinos!$J$2:$J$301,MATCH($B63,Vinos!$A$2:$A$301,0))="","",$H63*INDEX(Vinos!$J$2:$J$301,MATCH($B63,Vinos!$A$2:$A$301,0))),""))</f>
        <v/>
      </c>
      <c r="L63" s="16">
        <f>IF($H63="","",IFERROR(IF(INDEX(Vinos!$K$2:$K$301,MATCH($B63,Vinos!$A$2:$A$301,0))="","",$H63*INDEX(Vinos!$K$2:$K$301,MATCH($B63,Vinos!$A$2:$A$301,0))),""))</f>
        <v/>
      </c>
      <c r="M63" s="21">
        <f>IF(OR($A63="",$B63=""),"",SUMIFS($H$2:$H$2001,$A$2:$A$2001,$A63,$B$2:$B$2001,$B63))</f>
        <v/>
      </c>
      <c r="N63" s="20">
        <f>IF($M63="","",IF($M63&lt;=0,"Sin stock: reponer ya",IF($M63&lt;IFERROR(N(INDEX(Vinos!$N$2:$N$301,MATCH($B63,Vinos!$A$2:$A$301,0))),0),"Bajo mínimo: reponer","OK")))</f>
        <v/>
      </c>
      <c r="O63" s="14" t="n"/>
      <c r="P63" s="14" t="n"/>
      <c r="Q63" s="20">
        <f>IF($B63="","",IFERROR(INDEX(Vinos!$C$2:$C$301,MATCH($B63,Vinos!$A$2:$A$301,0)),""))</f>
        <v/>
      </c>
      <c r="R63" s="20">
        <f>IF(OR($A63="",$A63&lt;&gt;'Resumen del inventario'!$C$3,$N63="",$N63="OK"),"",IF(COUNTIFS($A$2:$A63,$A63,$B$2:$B63,$B63)=1,1,""))</f>
        <v/>
      </c>
      <c r="S63" s="20">
        <f>IF($R63=1,COUNTIF($R$2:$R63,1),"")</f>
        <v/>
      </c>
    </row>
    <row r="64">
      <c r="A64" s="19" t="n"/>
      <c r="B64" s="14" t="n"/>
      <c r="C64" s="20">
        <f>IF($B64="","",IFERROR(INDEX(Vinos!$B$2:$B$301,MATCH($B64,Vinos!$A$2:$A$301,0)),"Código no cargado"))</f>
        <v/>
      </c>
      <c r="D64" s="14" t="n"/>
      <c r="E64" s="14" t="n"/>
      <c r="F64" s="18" t="n"/>
      <c r="G64" s="18" t="n"/>
      <c r="H64" s="21">
        <f>IF(AND($F64="",$G64=""),"",N($F64)*IFERROR(N(INDEX(Vinos!$H$2:$H$301,MATCH($B64,Vinos!$A$2:$A$301,0))),0)+N($G64))</f>
        <v/>
      </c>
      <c r="I64" s="18" t="n"/>
      <c r="J64" s="21">
        <f>IF(OR($H64="",$I64=""),"",$H64-$I64)</f>
        <v/>
      </c>
      <c r="K64" s="16">
        <f>IF($H64="","",IFERROR(IF(INDEX(Vinos!$J$2:$J$301,MATCH($B64,Vinos!$A$2:$A$301,0))="","",$H64*INDEX(Vinos!$J$2:$J$301,MATCH($B64,Vinos!$A$2:$A$301,0))),""))</f>
        <v/>
      </c>
      <c r="L64" s="16">
        <f>IF($H64="","",IFERROR(IF(INDEX(Vinos!$K$2:$K$301,MATCH($B64,Vinos!$A$2:$A$301,0))="","",$H64*INDEX(Vinos!$K$2:$K$301,MATCH($B64,Vinos!$A$2:$A$301,0))),""))</f>
        <v/>
      </c>
      <c r="M64" s="21">
        <f>IF(OR($A64="",$B64=""),"",SUMIFS($H$2:$H$2001,$A$2:$A$2001,$A64,$B$2:$B$2001,$B64))</f>
        <v/>
      </c>
      <c r="N64" s="20">
        <f>IF($M64="","",IF($M64&lt;=0,"Sin stock: reponer ya",IF($M64&lt;IFERROR(N(INDEX(Vinos!$N$2:$N$301,MATCH($B64,Vinos!$A$2:$A$301,0))),0),"Bajo mínimo: reponer","OK")))</f>
        <v/>
      </c>
      <c r="O64" s="14" t="n"/>
      <c r="P64" s="14" t="n"/>
      <c r="Q64" s="20">
        <f>IF($B64="","",IFERROR(INDEX(Vinos!$C$2:$C$301,MATCH($B64,Vinos!$A$2:$A$301,0)),""))</f>
        <v/>
      </c>
      <c r="R64" s="20">
        <f>IF(OR($A64="",$A64&lt;&gt;'Resumen del inventario'!$C$3,$N64="",$N64="OK"),"",IF(COUNTIFS($A$2:$A64,$A64,$B$2:$B64,$B64)=1,1,""))</f>
        <v/>
      </c>
      <c r="S64" s="20">
        <f>IF($R64=1,COUNTIF($R$2:$R64,1),"")</f>
        <v/>
      </c>
    </row>
    <row r="65">
      <c r="A65" s="19" t="n"/>
      <c r="B65" s="14" t="n"/>
      <c r="C65" s="20">
        <f>IF($B65="","",IFERROR(INDEX(Vinos!$B$2:$B$301,MATCH($B65,Vinos!$A$2:$A$301,0)),"Código no cargado"))</f>
        <v/>
      </c>
      <c r="D65" s="14" t="n"/>
      <c r="E65" s="14" t="n"/>
      <c r="F65" s="18" t="n"/>
      <c r="G65" s="18" t="n"/>
      <c r="H65" s="21">
        <f>IF(AND($F65="",$G65=""),"",N($F65)*IFERROR(N(INDEX(Vinos!$H$2:$H$301,MATCH($B65,Vinos!$A$2:$A$301,0))),0)+N($G65))</f>
        <v/>
      </c>
      <c r="I65" s="18" t="n"/>
      <c r="J65" s="21">
        <f>IF(OR($H65="",$I65=""),"",$H65-$I65)</f>
        <v/>
      </c>
      <c r="K65" s="16">
        <f>IF($H65="","",IFERROR(IF(INDEX(Vinos!$J$2:$J$301,MATCH($B65,Vinos!$A$2:$A$301,0))="","",$H65*INDEX(Vinos!$J$2:$J$301,MATCH($B65,Vinos!$A$2:$A$301,0))),""))</f>
        <v/>
      </c>
      <c r="L65" s="16">
        <f>IF($H65="","",IFERROR(IF(INDEX(Vinos!$K$2:$K$301,MATCH($B65,Vinos!$A$2:$A$301,0))="","",$H65*INDEX(Vinos!$K$2:$K$301,MATCH($B65,Vinos!$A$2:$A$301,0))),""))</f>
        <v/>
      </c>
      <c r="M65" s="21">
        <f>IF(OR($A65="",$B65=""),"",SUMIFS($H$2:$H$2001,$A$2:$A$2001,$A65,$B$2:$B$2001,$B65))</f>
        <v/>
      </c>
      <c r="N65" s="20">
        <f>IF($M65="","",IF($M65&lt;=0,"Sin stock: reponer ya",IF($M65&lt;IFERROR(N(INDEX(Vinos!$N$2:$N$301,MATCH($B65,Vinos!$A$2:$A$301,0))),0),"Bajo mínimo: reponer","OK")))</f>
        <v/>
      </c>
      <c r="O65" s="14" t="n"/>
      <c r="P65" s="14" t="n"/>
      <c r="Q65" s="20">
        <f>IF($B65="","",IFERROR(INDEX(Vinos!$C$2:$C$301,MATCH($B65,Vinos!$A$2:$A$301,0)),""))</f>
        <v/>
      </c>
      <c r="R65" s="20">
        <f>IF(OR($A65="",$A65&lt;&gt;'Resumen del inventario'!$C$3,$N65="",$N65="OK"),"",IF(COUNTIFS($A$2:$A65,$A65,$B$2:$B65,$B65)=1,1,""))</f>
        <v/>
      </c>
      <c r="S65" s="20">
        <f>IF($R65=1,COUNTIF($R$2:$R65,1),"")</f>
        <v/>
      </c>
    </row>
    <row r="66">
      <c r="A66" s="19" t="n"/>
      <c r="B66" s="14" t="n"/>
      <c r="C66" s="20">
        <f>IF($B66="","",IFERROR(INDEX(Vinos!$B$2:$B$301,MATCH($B66,Vinos!$A$2:$A$301,0)),"Código no cargado"))</f>
        <v/>
      </c>
      <c r="D66" s="14" t="n"/>
      <c r="E66" s="14" t="n"/>
      <c r="F66" s="18" t="n"/>
      <c r="G66" s="18" t="n"/>
      <c r="H66" s="21">
        <f>IF(AND($F66="",$G66=""),"",N($F66)*IFERROR(N(INDEX(Vinos!$H$2:$H$301,MATCH($B66,Vinos!$A$2:$A$301,0))),0)+N($G66))</f>
        <v/>
      </c>
      <c r="I66" s="18" t="n"/>
      <c r="J66" s="21">
        <f>IF(OR($H66="",$I66=""),"",$H66-$I66)</f>
        <v/>
      </c>
      <c r="K66" s="16">
        <f>IF($H66="","",IFERROR(IF(INDEX(Vinos!$J$2:$J$301,MATCH($B66,Vinos!$A$2:$A$301,0))="","",$H66*INDEX(Vinos!$J$2:$J$301,MATCH($B66,Vinos!$A$2:$A$301,0))),""))</f>
        <v/>
      </c>
      <c r="L66" s="16">
        <f>IF($H66="","",IFERROR(IF(INDEX(Vinos!$K$2:$K$301,MATCH($B66,Vinos!$A$2:$A$301,0))="","",$H66*INDEX(Vinos!$K$2:$K$301,MATCH($B66,Vinos!$A$2:$A$301,0))),""))</f>
        <v/>
      </c>
      <c r="M66" s="21">
        <f>IF(OR($A66="",$B66=""),"",SUMIFS($H$2:$H$2001,$A$2:$A$2001,$A66,$B$2:$B$2001,$B66))</f>
        <v/>
      </c>
      <c r="N66" s="20">
        <f>IF($M66="","",IF($M66&lt;=0,"Sin stock: reponer ya",IF($M66&lt;IFERROR(N(INDEX(Vinos!$N$2:$N$301,MATCH($B66,Vinos!$A$2:$A$301,0))),0),"Bajo mínimo: reponer","OK")))</f>
        <v/>
      </c>
      <c r="O66" s="14" t="n"/>
      <c r="P66" s="14" t="n"/>
      <c r="Q66" s="20">
        <f>IF($B66="","",IFERROR(INDEX(Vinos!$C$2:$C$301,MATCH($B66,Vinos!$A$2:$A$301,0)),""))</f>
        <v/>
      </c>
      <c r="R66" s="20">
        <f>IF(OR($A66="",$A66&lt;&gt;'Resumen del inventario'!$C$3,$N66="",$N66="OK"),"",IF(COUNTIFS($A$2:$A66,$A66,$B$2:$B66,$B66)=1,1,""))</f>
        <v/>
      </c>
      <c r="S66" s="20">
        <f>IF($R66=1,COUNTIF($R$2:$R66,1),"")</f>
        <v/>
      </c>
    </row>
    <row r="67">
      <c r="A67" s="19" t="n"/>
      <c r="B67" s="14" t="n"/>
      <c r="C67" s="20">
        <f>IF($B67="","",IFERROR(INDEX(Vinos!$B$2:$B$301,MATCH($B67,Vinos!$A$2:$A$301,0)),"Código no cargado"))</f>
        <v/>
      </c>
      <c r="D67" s="14" t="n"/>
      <c r="E67" s="14" t="n"/>
      <c r="F67" s="18" t="n"/>
      <c r="G67" s="18" t="n"/>
      <c r="H67" s="21">
        <f>IF(AND($F67="",$G67=""),"",N($F67)*IFERROR(N(INDEX(Vinos!$H$2:$H$301,MATCH($B67,Vinos!$A$2:$A$301,0))),0)+N($G67))</f>
        <v/>
      </c>
      <c r="I67" s="18" t="n"/>
      <c r="J67" s="21">
        <f>IF(OR($H67="",$I67=""),"",$H67-$I67)</f>
        <v/>
      </c>
      <c r="K67" s="16">
        <f>IF($H67="","",IFERROR(IF(INDEX(Vinos!$J$2:$J$301,MATCH($B67,Vinos!$A$2:$A$301,0))="","",$H67*INDEX(Vinos!$J$2:$J$301,MATCH($B67,Vinos!$A$2:$A$301,0))),""))</f>
        <v/>
      </c>
      <c r="L67" s="16">
        <f>IF($H67="","",IFERROR(IF(INDEX(Vinos!$K$2:$K$301,MATCH($B67,Vinos!$A$2:$A$301,0))="","",$H67*INDEX(Vinos!$K$2:$K$301,MATCH($B67,Vinos!$A$2:$A$301,0))),""))</f>
        <v/>
      </c>
      <c r="M67" s="21">
        <f>IF(OR($A67="",$B67=""),"",SUMIFS($H$2:$H$2001,$A$2:$A$2001,$A67,$B$2:$B$2001,$B67))</f>
        <v/>
      </c>
      <c r="N67" s="20">
        <f>IF($M67="","",IF($M67&lt;=0,"Sin stock: reponer ya",IF($M67&lt;IFERROR(N(INDEX(Vinos!$N$2:$N$301,MATCH($B67,Vinos!$A$2:$A$301,0))),0),"Bajo mínimo: reponer","OK")))</f>
        <v/>
      </c>
      <c r="O67" s="14" t="n"/>
      <c r="P67" s="14" t="n"/>
      <c r="Q67" s="20">
        <f>IF($B67="","",IFERROR(INDEX(Vinos!$C$2:$C$301,MATCH($B67,Vinos!$A$2:$A$301,0)),""))</f>
        <v/>
      </c>
      <c r="R67" s="20">
        <f>IF(OR($A67="",$A67&lt;&gt;'Resumen del inventario'!$C$3,$N67="",$N67="OK"),"",IF(COUNTIFS($A$2:$A67,$A67,$B$2:$B67,$B67)=1,1,""))</f>
        <v/>
      </c>
      <c r="S67" s="20">
        <f>IF($R67=1,COUNTIF($R$2:$R67,1),"")</f>
        <v/>
      </c>
    </row>
    <row r="68">
      <c r="A68" s="19" t="n"/>
      <c r="B68" s="14" t="n"/>
      <c r="C68" s="20">
        <f>IF($B68="","",IFERROR(INDEX(Vinos!$B$2:$B$301,MATCH($B68,Vinos!$A$2:$A$301,0)),"Código no cargado"))</f>
        <v/>
      </c>
      <c r="D68" s="14" t="n"/>
      <c r="E68" s="14" t="n"/>
      <c r="F68" s="18" t="n"/>
      <c r="G68" s="18" t="n"/>
      <c r="H68" s="21">
        <f>IF(AND($F68="",$G68=""),"",N($F68)*IFERROR(N(INDEX(Vinos!$H$2:$H$301,MATCH($B68,Vinos!$A$2:$A$301,0))),0)+N($G68))</f>
        <v/>
      </c>
      <c r="I68" s="18" t="n"/>
      <c r="J68" s="21">
        <f>IF(OR($H68="",$I68=""),"",$H68-$I68)</f>
        <v/>
      </c>
      <c r="K68" s="16">
        <f>IF($H68="","",IFERROR(IF(INDEX(Vinos!$J$2:$J$301,MATCH($B68,Vinos!$A$2:$A$301,0))="","",$H68*INDEX(Vinos!$J$2:$J$301,MATCH($B68,Vinos!$A$2:$A$301,0))),""))</f>
        <v/>
      </c>
      <c r="L68" s="16">
        <f>IF($H68="","",IFERROR(IF(INDEX(Vinos!$K$2:$K$301,MATCH($B68,Vinos!$A$2:$A$301,0))="","",$H68*INDEX(Vinos!$K$2:$K$301,MATCH($B68,Vinos!$A$2:$A$301,0))),""))</f>
        <v/>
      </c>
      <c r="M68" s="21">
        <f>IF(OR($A68="",$B68=""),"",SUMIFS($H$2:$H$2001,$A$2:$A$2001,$A68,$B$2:$B$2001,$B68))</f>
        <v/>
      </c>
      <c r="N68" s="20">
        <f>IF($M68="","",IF($M68&lt;=0,"Sin stock: reponer ya",IF($M68&lt;IFERROR(N(INDEX(Vinos!$N$2:$N$301,MATCH($B68,Vinos!$A$2:$A$301,0))),0),"Bajo mínimo: reponer","OK")))</f>
        <v/>
      </c>
      <c r="O68" s="14" t="n"/>
      <c r="P68" s="14" t="n"/>
      <c r="Q68" s="20">
        <f>IF($B68="","",IFERROR(INDEX(Vinos!$C$2:$C$301,MATCH($B68,Vinos!$A$2:$A$301,0)),""))</f>
        <v/>
      </c>
      <c r="R68" s="20">
        <f>IF(OR($A68="",$A68&lt;&gt;'Resumen del inventario'!$C$3,$N68="",$N68="OK"),"",IF(COUNTIFS($A$2:$A68,$A68,$B$2:$B68,$B68)=1,1,""))</f>
        <v/>
      </c>
      <c r="S68" s="20">
        <f>IF($R68=1,COUNTIF($R$2:$R68,1),"")</f>
        <v/>
      </c>
    </row>
    <row r="69">
      <c r="A69" s="19" t="n"/>
      <c r="B69" s="14" t="n"/>
      <c r="C69" s="20">
        <f>IF($B69="","",IFERROR(INDEX(Vinos!$B$2:$B$301,MATCH($B69,Vinos!$A$2:$A$301,0)),"Código no cargado"))</f>
        <v/>
      </c>
      <c r="D69" s="14" t="n"/>
      <c r="E69" s="14" t="n"/>
      <c r="F69" s="18" t="n"/>
      <c r="G69" s="18" t="n"/>
      <c r="H69" s="21">
        <f>IF(AND($F69="",$G69=""),"",N($F69)*IFERROR(N(INDEX(Vinos!$H$2:$H$301,MATCH($B69,Vinos!$A$2:$A$301,0))),0)+N($G69))</f>
        <v/>
      </c>
      <c r="I69" s="18" t="n"/>
      <c r="J69" s="21">
        <f>IF(OR($H69="",$I69=""),"",$H69-$I69)</f>
        <v/>
      </c>
      <c r="K69" s="16">
        <f>IF($H69="","",IFERROR(IF(INDEX(Vinos!$J$2:$J$301,MATCH($B69,Vinos!$A$2:$A$301,0))="","",$H69*INDEX(Vinos!$J$2:$J$301,MATCH($B69,Vinos!$A$2:$A$301,0))),""))</f>
        <v/>
      </c>
      <c r="L69" s="16">
        <f>IF($H69="","",IFERROR(IF(INDEX(Vinos!$K$2:$K$301,MATCH($B69,Vinos!$A$2:$A$301,0))="","",$H69*INDEX(Vinos!$K$2:$K$301,MATCH($B69,Vinos!$A$2:$A$301,0))),""))</f>
        <v/>
      </c>
      <c r="M69" s="21">
        <f>IF(OR($A69="",$B69=""),"",SUMIFS($H$2:$H$2001,$A$2:$A$2001,$A69,$B$2:$B$2001,$B69))</f>
        <v/>
      </c>
      <c r="N69" s="20">
        <f>IF($M69="","",IF($M69&lt;=0,"Sin stock: reponer ya",IF($M69&lt;IFERROR(N(INDEX(Vinos!$N$2:$N$301,MATCH($B69,Vinos!$A$2:$A$301,0))),0),"Bajo mínimo: reponer","OK")))</f>
        <v/>
      </c>
      <c r="O69" s="14" t="n"/>
      <c r="P69" s="14" t="n"/>
      <c r="Q69" s="20">
        <f>IF($B69="","",IFERROR(INDEX(Vinos!$C$2:$C$301,MATCH($B69,Vinos!$A$2:$A$301,0)),""))</f>
        <v/>
      </c>
      <c r="R69" s="20">
        <f>IF(OR($A69="",$A69&lt;&gt;'Resumen del inventario'!$C$3,$N69="",$N69="OK"),"",IF(COUNTIFS($A$2:$A69,$A69,$B$2:$B69,$B69)=1,1,""))</f>
        <v/>
      </c>
      <c r="S69" s="20">
        <f>IF($R69=1,COUNTIF($R$2:$R69,1),"")</f>
        <v/>
      </c>
    </row>
    <row r="70">
      <c r="A70" s="19" t="n"/>
      <c r="B70" s="14" t="n"/>
      <c r="C70" s="20">
        <f>IF($B70="","",IFERROR(INDEX(Vinos!$B$2:$B$301,MATCH($B70,Vinos!$A$2:$A$301,0)),"Código no cargado"))</f>
        <v/>
      </c>
      <c r="D70" s="14" t="n"/>
      <c r="E70" s="14" t="n"/>
      <c r="F70" s="18" t="n"/>
      <c r="G70" s="18" t="n"/>
      <c r="H70" s="21">
        <f>IF(AND($F70="",$G70=""),"",N($F70)*IFERROR(N(INDEX(Vinos!$H$2:$H$301,MATCH($B70,Vinos!$A$2:$A$301,0))),0)+N($G70))</f>
        <v/>
      </c>
      <c r="I70" s="18" t="n"/>
      <c r="J70" s="21">
        <f>IF(OR($H70="",$I70=""),"",$H70-$I70)</f>
        <v/>
      </c>
      <c r="K70" s="16">
        <f>IF($H70="","",IFERROR(IF(INDEX(Vinos!$J$2:$J$301,MATCH($B70,Vinos!$A$2:$A$301,0))="","",$H70*INDEX(Vinos!$J$2:$J$301,MATCH($B70,Vinos!$A$2:$A$301,0))),""))</f>
        <v/>
      </c>
      <c r="L70" s="16">
        <f>IF($H70="","",IFERROR(IF(INDEX(Vinos!$K$2:$K$301,MATCH($B70,Vinos!$A$2:$A$301,0))="","",$H70*INDEX(Vinos!$K$2:$K$301,MATCH($B70,Vinos!$A$2:$A$301,0))),""))</f>
        <v/>
      </c>
      <c r="M70" s="21">
        <f>IF(OR($A70="",$B70=""),"",SUMIFS($H$2:$H$2001,$A$2:$A$2001,$A70,$B$2:$B$2001,$B70))</f>
        <v/>
      </c>
      <c r="N70" s="20">
        <f>IF($M70="","",IF($M70&lt;=0,"Sin stock: reponer ya",IF($M70&lt;IFERROR(N(INDEX(Vinos!$N$2:$N$301,MATCH($B70,Vinos!$A$2:$A$301,0))),0),"Bajo mínimo: reponer","OK")))</f>
        <v/>
      </c>
      <c r="O70" s="14" t="n"/>
      <c r="P70" s="14" t="n"/>
      <c r="Q70" s="20">
        <f>IF($B70="","",IFERROR(INDEX(Vinos!$C$2:$C$301,MATCH($B70,Vinos!$A$2:$A$301,0)),""))</f>
        <v/>
      </c>
      <c r="R70" s="20">
        <f>IF(OR($A70="",$A70&lt;&gt;'Resumen del inventario'!$C$3,$N70="",$N70="OK"),"",IF(COUNTIFS($A$2:$A70,$A70,$B$2:$B70,$B70)=1,1,""))</f>
        <v/>
      </c>
      <c r="S70" s="20">
        <f>IF($R70=1,COUNTIF($R$2:$R70,1),"")</f>
        <v/>
      </c>
    </row>
    <row r="71">
      <c r="A71" s="19" t="n"/>
      <c r="B71" s="14" t="n"/>
      <c r="C71" s="20">
        <f>IF($B71="","",IFERROR(INDEX(Vinos!$B$2:$B$301,MATCH($B71,Vinos!$A$2:$A$301,0)),"Código no cargado"))</f>
        <v/>
      </c>
      <c r="D71" s="14" t="n"/>
      <c r="E71" s="14" t="n"/>
      <c r="F71" s="18" t="n"/>
      <c r="G71" s="18" t="n"/>
      <c r="H71" s="21">
        <f>IF(AND($F71="",$G71=""),"",N($F71)*IFERROR(N(INDEX(Vinos!$H$2:$H$301,MATCH($B71,Vinos!$A$2:$A$301,0))),0)+N($G71))</f>
        <v/>
      </c>
      <c r="I71" s="18" t="n"/>
      <c r="J71" s="21">
        <f>IF(OR($H71="",$I71=""),"",$H71-$I71)</f>
        <v/>
      </c>
      <c r="K71" s="16">
        <f>IF($H71="","",IFERROR(IF(INDEX(Vinos!$J$2:$J$301,MATCH($B71,Vinos!$A$2:$A$301,0))="","",$H71*INDEX(Vinos!$J$2:$J$301,MATCH($B71,Vinos!$A$2:$A$301,0))),""))</f>
        <v/>
      </c>
      <c r="L71" s="16">
        <f>IF($H71="","",IFERROR(IF(INDEX(Vinos!$K$2:$K$301,MATCH($B71,Vinos!$A$2:$A$301,0))="","",$H71*INDEX(Vinos!$K$2:$K$301,MATCH($B71,Vinos!$A$2:$A$301,0))),""))</f>
        <v/>
      </c>
      <c r="M71" s="21">
        <f>IF(OR($A71="",$B71=""),"",SUMIFS($H$2:$H$2001,$A$2:$A$2001,$A71,$B$2:$B$2001,$B71))</f>
        <v/>
      </c>
      <c r="N71" s="20">
        <f>IF($M71="","",IF($M71&lt;=0,"Sin stock: reponer ya",IF($M71&lt;IFERROR(N(INDEX(Vinos!$N$2:$N$301,MATCH($B71,Vinos!$A$2:$A$301,0))),0),"Bajo mínimo: reponer","OK")))</f>
        <v/>
      </c>
      <c r="O71" s="14" t="n"/>
      <c r="P71" s="14" t="n"/>
      <c r="Q71" s="20">
        <f>IF($B71="","",IFERROR(INDEX(Vinos!$C$2:$C$301,MATCH($B71,Vinos!$A$2:$A$301,0)),""))</f>
        <v/>
      </c>
      <c r="R71" s="20">
        <f>IF(OR($A71="",$A71&lt;&gt;'Resumen del inventario'!$C$3,$N71="",$N71="OK"),"",IF(COUNTIFS($A$2:$A71,$A71,$B$2:$B71,$B71)=1,1,""))</f>
        <v/>
      </c>
      <c r="S71" s="20">
        <f>IF($R71=1,COUNTIF($R$2:$R71,1),"")</f>
        <v/>
      </c>
    </row>
    <row r="72">
      <c r="A72" s="19" t="n"/>
      <c r="B72" s="14" t="n"/>
      <c r="C72" s="20">
        <f>IF($B72="","",IFERROR(INDEX(Vinos!$B$2:$B$301,MATCH($B72,Vinos!$A$2:$A$301,0)),"Código no cargado"))</f>
        <v/>
      </c>
      <c r="D72" s="14" t="n"/>
      <c r="E72" s="14" t="n"/>
      <c r="F72" s="18" t="n"/>
      <c r="G72" s="18" t="n"/>
      <c r="H72" s="21">
        <f>IF(AND($F72="",$G72=""),"",N($F72)*IFERROR(N(INDEX(Vinos!$H$2:$H$301,MATCH($B72,Vinos!$A$2:$A$301,0))),0)+N($G72))</f>
        <v/>
      </c>
      <c r="I72" s="18" t="n"/>
      <c r="J72" s="21">
        <f>IF(OR($H72="",$I72=""),"",$H72-$I72)</f>
        <v/>
      </c>
      <c r="K72" s="16">
        <f>IF($H72="","",IFERROR(IF(INDEX(Vinos!$J$2:$J$301,MATCH($B72,Vinos!$A$2:$A$301,0))="","",$H72*INDEX(Vinos!$J$2:$J$301,MATCH($B72,Vinos!$A$2:$A$301,0))),""))</f>
        <v/>
      </c>
      <c r="L72" s="16">
        <f>IF($H72="","",IFERROR(IF(INDEX(Vinos!$K$2:$K$301,MATCH($B72,Vinos!$A$2:$A$301,0))="","",$H72*INDEX(Vinos!$K$2:$K$301,MATCH($B72,Vinos!$A$2:$A$301,0))),""))</f>
        <v/>
      </c>
      <c r="M72" s="21">
        <f>IF(OR($A72="",$B72=""),"",SUMIFS($H$2:$H$2001,$A$2:$A$2001,$A72,$B$2:$B$2001,$B72))</f>
        <v/>
      </c>
      <c r="N72" s="20">
        <f>IF($M72="","",IF($M72&lt;=0,"Sin stock: reponer ya",IF($M72&lt;IFERROR(N(INDEX(Vinos!$N$2:$N$301,MATCH($B72,Vinos!$A$2:$A$301,0))),0),"Bajo mínimo: reponer","OK")))</f>
        <v/>
      </c>
      <c r="O72" s="14" t="n"/>
      <c r="P72" s="14" t="n"/>
      <c r="Q72" s="20">
        <f>IF($B72="","",IFERROR(INDEX(Vinos!$C$2:$C$301,MATCH($B72,Vinos!$A$2:$A$301,0)),""))</f>
        <v/>
      </c>
      <c r="R72" s="20">
        <f>IF(OR($A72="",$A72&lt;&gt;'Resumen del inventario'!$C$3,$N72="",$N72="OK"),"",IF(COUNTIFS($A$2:$A72,$A72,$B$2:$B72,$B72)=1,1,""))</f>
        <v/>
      </c>
      <c r="S72" s="20">
        <f>IF($R72=1,COUNTIF($R$2:$R72,1),"")</f>
        <v/>
      </c>
    </row>
    <row r="73">
      <c r="A73" s="19" t="n"/>
      <c r="B73" s="14" t="n"/>
      <c r="C73" s="20">
        <f>IF($B73="","",IFERROR(INDEX(Vinos!$B$2:$B$301,MATCH($B73,Vinos!$A$2:$A$301,0)),"Código no cargado"))</f>
        <v/>
      </c>
      <c r="D73" s="14" t="n"/>
      <c r="E73" s="14" t="n"/>
      <c r="F73" s="18" t="n"/>
      <c r="G73" s="18" t="n"/>
      <c r="H73" s="21">
        <f>IF(AND($F73="",$G73=""),"",N($F73)*IFERROR(N(INDEX(Vinos!$H$2:$H$301,MATCH($B73,Vinos!$A$2:$A$301,0))),0)+N($G73))</f>
        <v/>
      </c>
      <c r="I73" s="18" t="n"/>
      <c r="J73" s="21">
        <f>IF(OR($H73="",$I73=""),"",$H73-$I73)</f>
        <v/>
      </c>
      <c r="K73" s="16">
        <f>IF($H73="","",IFERROR(IF(INDEX(Vinos!$J$2:$J$301,MATCH($B73,Vinos!$A$2:$A$301,0))="","",$H73*INDEX(Vinos!$J$2:$J$301,MATCH($B73,Vinos!$A$2:$A$301,0))),""))</f>
        <v/>
      </c>
      <c r="L73" s="16">
        <f>IF($H73="","",IFERROR(IF(INDEX(Vinos!$K$2:$K$301,MATCH($B73,Vinos!$A$2:$A$301,0))="","",$H73*INDEX(Vinos!$K$2:$K$301,MATCH($B73,Vinos!$A$2:$A$301,0))),""))</f>
        <v/>
      </c>
      <c r="M73" s="21">
        <f>IF(OR($A73="",$B73=""),"",SUMIFS($H$2:$H$2001,$A$2:$A$2001,$A73,$B$2:$B$2001,$B73))</f>
        <v/>
      </c>
      <c r="N73" s="20">
        <f>IF($M73="","",IF($M73&lt;=0,"Sin stock: reponer ya",IF($M73&lt;IFERROR(N(INDEX(Vinos!$N$2:$N$301,MATCH($B73,Vinos!$A$2:$A$301,0))),0),"Bajo mínimo: reponer","OK")))</f>
        <v/>
      </c>
      <c r="O73" s="14" t="n"/>
      <c r="P73" s="14" t="n"/>
      <c r="Q73" s="20">
        <f>IF($B73="","",IFERROR(INDEX(Vinos!$C$2:$C$301,MATCH($B73,Vinos!$A$2:$A$301,0)),""))</f>
        <v/>
      </c>
      <c r="R73" s="20">
        <f>IF(OR($A73="",$A73&lt;&gt;'Resumen del inventario'!$C$3,$N73="",$N73="OK"),"",IF(COUNTIFS($A$2:$A73,$A73,$B$2:$B73,$B73)=1,1,""))</f>
        <v/>
      </c>
      <c r="S73" s="20">
        <f>IF($R73=1,COUNTIF($R$2:$R73,1),"")</f>
        <v/>
      </c>
    </row>
    <row r="74">
      <c r="A74" s="19" t="n"/>
      <c r="B74" s="14" t="n"/>
      <c r="C74" s="20">
        <f>IF($B74="","",IFERROR(INDEX(Vinos!$B$2:$B$301,MATCH($B74,Vinos!$A$2:$A$301,0)),"Código no cargado"))</f>
        <v/>
      </c>
      <c r="D74" s="14" t="n"/>
      <c r="E74" s="14" t="n"/>
      <c r="F74" s="18" t="n"/>
      <c r="G74" s="18" t="n"/>
      <c r="H74" s="21">
        <f>IF(AND($F74="",$G74=""),"",N($F74)*IFERROR(N(INDEX(Vinos!$H$2:$H$301,MATCH($B74,Vinos!$A$2:$A$301,0))),0)+N($G74))</f>
        <v/>
      </c>
      <c r="I74" s="18" t="n"/>
      <c r="J74" s="21">
        <f>IF(OR($H74="",$I74=""),"",$H74-$I74)</f>
        <v/>
      </c>
      <c r="K74" s="16">
        <f>IF($H74="","",IFERROR(IF(INDEX(Vinos!$J$2:$J$301,MATCH($B74,Vinos!$A$2:$A$301,0))="","",$H74*INDEX(Vinos!$J$2:$J$301,MATCH($B74,Vinos!$A$2:$A$301,0))),""))</f>
        <v/>
      </c>
      <c r="L74" s="16">
        <f>IF($H74="","",IFERROR(IF(INDEX(Vinos!$K$2:$K$301,MATCH($B74,Vinos!$A$2:$A$301,0))="","",$H74*INDEX(Vinos!$K$2:$K$301,MATCH($B74,Vinos!$A$2:$A$301,0))),""))</f>
        <v/>
      </c>
      <c r="M74" s="21">
        <f>IF(OR($A74="",$B74=""),"",SUMIFS($H$2:$H$2001,$A$2:$A$2001,$A74,$B$2:$B$2001,$B74))</f>
        <v/>
      </c>
      <c r="N74" s="20">
        <f>IF($M74="","",IF($M74&lt;=0,"Sin stock: reponer ya",IF($M74&lt;IFERROR(N(INDEX(Vinos!$N$2:$N$301,MATCH($B74,Vinos!$A$2:$A$301,0))),0),"Bajo mínimo: reponer","OK")))</f>
        <v/>
      </c>
      <c r="O74" s="14" t="n"/>
      <c r="P74" s="14" t="n"/>
      <c r="Q74" s="20">
        <f>IF($B74="","",IFERROR(INDEX(Vinos!$C$2:$C$301,MATCH($B74,Vinos!$A$2:$A$301,0)),""))</f>
        <v/>
      </c>
      <c r="R74" s="20">
        <f>IF(OR($A74="",$A74&lt;&gt;'Resumen del inventario'!$C$3,$N74="",$N74="OK"),"",IF(COUNTIFS($A$2:$A74,$A74,$B$2:$B74,$B74)=1,1,""))</f>
        <v/>
      </c>
      <c r="S74" s="20">
        <f>IF($R74=1,COUNTIF($R$2:$R74,1),"")</f>
        <v/>
      </c>
    </row>
    <row r="75">
      <c r="A75" s="19" t="n"/>
      <c r="B75" s="14" t="n"/>
      <c r="C75" s="20">
        <f>IF($B75="","",IFERROR(INDEX(Vinos!$B$2:$B$301,MATCH($B75,Vinos!$A$2:$A$301,0)),"Código no cargado"))</f>
        <v/>
      </c>
      <c r="D75" s="14" t="n"/>
      <c r="E75" s="14" t="n"/>
      <c r="F75" s="18" t="n"/>
      <c r="G75" s="18" t="n"/>
      <c r="H75" s="21">
        <f>IF(AND($F75="",$G75=""),"",N($F75)*IFERROR(N(INDEX(Vinos!$H$2:$H$301,MATCH($B75,Vinos!$A$2:$A$301,0))),0)+N($G75))</f>
        <v/>
      </c>
      <c r="I75" s="18" t="n"/>
      <c r="J75" s="21">
        <f>IF(OR($H75="",$I75=""),"",$H75-$I75)</f>
        <v/>
      </c>
      <c r="K75" s="16">
        <f>IF($H75="","",IFERROR(IF(INDEX(Vinos!$J$2:$J$301,MATCH($B75,Vinos!$A$2:$A$301,0))="","",$H75*INDEX(Vinos!$J$2:$J$301,MATCH($B75,Vinos!$A$2:$A$301,0))),""))</f>
        <v/>
      </c>
      <c r="L75" s="16">
        <f>IF($H75="","",IFERROR(IF(INDEX(Vinos!$K$2:$K$301,MATCH($B75,Vinos!$A$2:$A$301,0))="","",$H75*INDEX(Vinos!$K$2:$K$301,MATCH($B75,Vinos!$A$2:$A$301,0))),""))</f>
        <v/>
      </c>
      <c r="M75" s="21">
        <f>IF(OR($A75="",$B75=""),"",SUMIFS($H$2:$H$2001,$A$2:$A$2001,$A75,$B$2:$B$2001,$B75))</f>
        <v/>
      </c>
      <c r="N75" s="20">
        <f>IF($M75="","",IF($M75&lt;=0,"Sin stock: reponer ya",IF($M75&lt;IFERROR(N(INDEX(Vinos!$N$2:$N$301,MATCH($B75,Vinos!$A$2:$A$301,0))),0),"Bajo mínimo: reponer","OK")))</f>
        <v/>
      </c>
      <c r="O75" s="14" t="n"/>
      <c r="P75" s="14" t="n"/>
      <c r="Q75" s="20">
        <f>IF($B75="","",IFERROR(INDEX(Vinos!$C$2:$C$301,MATCH($B75,Vinos!$A$2:$A$301,0)),""))</f>
        <v/>
      </c>
      <c r="R75" s="20">
        <f>IF(OR($A75="",$A75&lt;&gt;'Resumen del inventario'!$C$3,$N75="",$N75="OK"),"",IF(COUNTIFS($A$2:$A75,$A75,$B$2:$B75,$B75)=1,1,""))</f>
        <v/>
      </c>
      <c r="S75" s="20">
        <f>IF($R75=1,COUNTIF($R$2:$R75,1),"")</f>
        <v/>
      </c>
    </row>
    <row r="76">
      <c r="A76" s="19" t="n"/>
      <c r="B76" s="14" t="n"/>
      <c r="C76" s="20">
        <f>IF($B76="","",IFERROR(INDEX(Vinos!$B$2:$B$301,MATCH($B76,Vinos!$A$2:$A$301,0)),"Código no cargado"))</f>
        <v/>
      </c>
      <c r="D76" s="14" t="n"/>
      <c r="E76" s="14" t="n"/>
      <c r="F76" s="18" t="n"/>
      <c r="G76" s="18" t="n"/>
      <c r="H76" s="21">
        <f>IF(AND($F76="",$G76=""),"",N($F76)*IFERROR(N(INDEX(Vinos!$H$2:$H$301,MATCH($B76,Vinos!$A$2:$A$301,0))),0)+N($G76))</f>
        <v/>
      </c>
      <c r="I76" s="18" t="n"/>
      <c r="J76" s="21">
        <f>IF(OR($H76="",$I76=""),"",$H76-$I76)</f>
        <v/>
      </c>
      <c r="K76" s="16">
        <f>IF($H76="","",IFERROR(IF(INDEX(Vinos!$J$2:$J$301,MATCH($B76,Vinos!$A$2:$A$301,0))="","",$H76*INDEX(Vinos!$J$2:$J$301,MATCH($B76,Vinos!$A$2:$A$301,0))),""))</f>
        <v/>
      </c>
      <c r="L76" s="16">
        <f>IF($H76="","",IFERROR(IF(INDEX(Vinos!$K$2:$K$301,MATCH($B76,Vinos!$A$2:$A$301,0))="","",$H76*INDEX(Vinos!$K$2:$K$301,MATCH($B76,Vinos!$A$2:$A$301,0))),""))</f>
        <v/>
      </c>
      <c r="M76" s="21">
        <f>IF(OR($A76="",$B76=""),"",SUMIFS($H$2:$H$2001,$A$2:$A$2001,$A76,$B$2:$B$2001,$B76))</f>
        <v/>
      </c>
      <c r="N76" s="20">
        <f>IF($M76="","",IF($M76&lt;=0,"Sin stock: reponer ya",IF($M76&lt;IFERROR(N(INDEX(Vinos!$N$2:$N$301,MATCH($B76,Vinos!$A$2:$A$301,0))),0),"Bajo mínimo: reponer","OK")))</f>
        <v/>
      </c>
      <c r="O76" s="14" t="n"/>
      <c r="P76" s="14" t="n"/>
      <c r="Q76" s="20">
        <f>IF($B76="","",IFERROR(INDEX(Vinos!$C$2:$C$301,MATCH($B76,Vinos!$A$2:$A$301,0)),""))</f>
        <v/>
      </c>
      <c r="R76" s="20">
        <f>IF(OR($A76="",$A76&lt;&gt;'Resumen del inventario'!$C$3,$N76="",$N76="OK"),"",IF(COUNTIFS($A$2:$A76,$A76,$B$2:$B76,$B76)=1,1,""))</f>
        <v/>
      </c>
      <c r="S76" s="20">
        <f>IF($R76=1,COUNTIF($R$2:$R76,1),"")</f>
        <v/>
      </c>
    </row>
    <row r="77">
      <c r="A77" s="19" t="n"/>
      <c r="B77" s="14" t="n"/>
      <c r="C77" s="20">
        <f>IF($B77="","",IFERROR(INDEX(Vinos!$B$2:$B$301,MATCH($B77,Vinos!$A$2:$A$301,0)),"Código no cargado"))</f>
        <v/>
      </c>
      <c r="D77" s="14" t="n"/>
      <c r="E77" s="14" t="n"/>
      <c r="F77" s="18" t="n"/>
      <c r="G77" s="18" t="n"/>
      <c r="H77" s="21">
        <f>IF(AND($F77="",$G77=""),"",N($F77)*IFERROR(N(INDEX(Vinos!$H$2:$H$301,MATCH($B77,Vinos!$A$2:$A$301,0))),0)+N($G77))</f>
        <v/>
      </c>
      <c r="I77" s="18" t="n"/>
      <c r="J77" s="21">
        <f>IF(OR($H77="",$I77=""),"",$H77-$I77)</f>
        <v/>
      </c>
      <c r="K77" s="16">
        <f>IF($H77="","",IFERROR(IF(INDEX(Vinos!$J$2:$J$301,MATCH($B77,Vinos!$A$2:$A$301,0))="","",$H77*INDEX(Vinos!$J$2:$J$301,MATCH($B77,Vinos!$A$2:$A$301,0))),""))</f>
        <v/>
      </c>
      <c r="L77" s="16">
        <f>IF($H77="","",IFERROR(IF(INDEX(Vinos!$K$2:$K$301,MATCH($B77,Vinos!$A$2:$A$301,0))="","",$H77*INDEX(Vinos!$K$2:$K$301,MATCH($B77,Vinos!$A$2:$A$301,0))),""))</f>
        <v/>
      </c>
      <c r="M77" s="21">
        <f>IF(OR($A77="",$B77=""),"",SUMIFS($H$2:$H$2001,$A$2:$A$2001,$A77,$B$2:$B$2001,$B77))</f>
        <v/>
      </c>
      <c r="N77" s="20">
        <f>IF($M77="","",IF($M77&lt;=0,"Sin stock: reponer ya",IF($M77&lt;IFERROR(N(INDEX(Vinos!$N$2:$N$301,MATCH($B77,Vinos!$A$2:$A$301,0))),0),"Bajo mínimo: reponer","OK")))</f>
        <v/>
      </c>
      <c r="O77" s="14" t="n"/>
      <c r="P77" s="14" t="n"/>
      <c r="Q77" s="20">
        <f>IF($B77="","",IFERROR(INDEX(Vinos!$C$2:$C$301,MATCH($B77,Vinos!$A$2:$A$301,0)),""))</f>
        <v/>
      </c>
      <c r="R77" s="20">
        <f>IF(OR($A77="",$A77&lt;&gt;'Resumen del inventario'!$C$3,$N77="",$N77="OK"),"",IF(COUNTIFS($A$2:$A77,$A77,$B$2:$B77,$B77)=1,1,""))</f>
        <v/>
      </c>
      <c r="S77" s="20">
        <f>IF($R77=1,COUNTIF($R$2:$R77,1),"")</f>
        <v/>
      </c>
    </row>
    <row r="78">
      <c r="A78" s="19" t="n"/>
      <c r="B78" s="14" t="n"/>
      <c r="C78" s="20">
        <f>IF($B78="","",IFERROR(INDEX(Vinos!$B$2:$B$301,MATCH($B78,Vinos!$A$2:$A$301,0)),"Código no cargado"))</f>
        <v/>
      </c>
      <c r="D78" s="14" t="n"/>
      <c r="E78" s="14" t="n"/>
      <c r="F78" s="18" t="n"/>
      <c r="G78" s="18" t="n"/>
      <c r="H78" s="21">
        <f>IF(AND($F78="",$G78=""),"",N($F78)*IFERROR(N(INDEX(Vinos!$H$2:$H$301,MATCH($B78,Vinos!$A$2:$A$301,0))),0)+N($G78))</f>
        <v/>
      </c>
      <c r="I78" s="18" t="n"/>
      <c r="J78" s="21">
        <f>IF(OR($H78="",$I78=""),"",$H78-$I78)</f>
        <v/>
      </c>
      <c r="K78" s="16">
        <f>IF($H78="","",IFERROR(IF(INDEX(Vinos!$J$2:$J$301,MATCH($B78,Vinos!$A$2:$A$301,0))="","",$H78*INDEX(Vinos!$J$2:$J$301,MATCH($B78,Vinos!$A$2:$A$301,0))),""))</f>
        <v/>
      </c>
      <c r="L78" s="16">
        <f>IF($H78="","",IFERROR(IF(INDEX(Vinos!$K$2:$K$301,MATCH($B78,Vinos!$A$2:$A$301,0))="","",$H78*INDEX(Vinos!$K$2:$K$301,MATCH($B78,Vinos!$A$2:$A$301,0))),""))</f>
        <v/>
      </c>
      <c r="M78" s="21">
        <f>IF(OR($A78="",$B78=""),"",SUMIFS($H$2:$H$2001,$A$2:$A$2001,$A78,$B$2:$B$2001,$B78))</f>
        <v/>
      </c>
      <c r="N78" s="20">
        <f>IF($M78="","",IF($M78&lt;=0,"Sin stock: reponer ya",IF($M78&lt;IFERROR(N(INDEX(Vinos!$N$2:$N$301,MATCH($B78,Vinos!$A$2:$A$301,0))),0),"Bajo mínimo: reponer","OK")))</f>
        <v/>
      </c>
      <c r="O78" s="14" t="n"/>
      <c r="P78" s="14" t="n"/>
      <c r="Q78" s="20">
        <f>IF($B78="","",IFERROR(INDEX(Vinos!$C$2:$C$301,MATCH($B78,Vinos!$A$2:$A$301,0)),""))</f>
        <v/>
      </c>
      <c r="R78" s="20">
        <f>IF(OR($A78="",$A78&lt;&gt;'Resumen del inventario'!$C$3,$N78="",$N78="OK"),"",IF(COUNTIFS($A$2:$A78,$A78,$B$2:$B78,$B78)=1,1,""))</f>
        <v/>
      </c>
      <c r="S78" s="20">
        <f>IF($R78=1,COUNTIF($R$2:$R78,1),"")</f>
        <v/>
      </c>
    </row>
    <row r="79">
      <c r="A79" s="19" t="n"/>
      <c r="B79" s="14" t="n"/>
      <c r="C79" s="20">
        <f>IF($B79="","",IFERROR(INDEX(Vinos!$B$2:$B$301,MATCH($B79,Vinos!$A$2:$A$301,0)),"Código no cargado"))</f>
        <v/>
      </c>
      <c r="D79" s="14" t="n"/>
      <c r="E79" s="14" t="n"/>
      <c r="F79" s="18" t="n"/>
      <c r="G79" s="18" t="n"/>
      <c r="H79" s="21">
        <f>IF(AND($F79="",$G79=""),"",N($F79)*IFERROR(N(INDEX(Vinos!$H$2:$H$301,MATCH($B79,Vinos!$A$2:$A$301,0))),0)+N($G79))</f>
        <v/>
      </c>
      <c r="I79" s="18" t="n"/>
      <c r="J79" s="21">
        <f>IF(OR($H79="",$I79=""),"",$H79-$I79)</f>
        <v/>
      </c>
      <c r="K79" s="16">
        <f>IF($H79="","",IFERROR(IF(INDEX(Vinos!$J$2:$J$301,MATCH($B79,Vinos!$A$2:$A$301,0))="","",$H79*INDEX(Vinos!$J$2:$J$301,MATCH($B79,Vinos!$A$2:$A$301,0))),""))</f>
        <v/>
      </c>
      <c r="L79" s="16">
        <f>IF($H79="","",IFERROR(IF(INDEX(Vinos!$K$2:$K$301,MATCH($B79,Vinos!$A$2:$A$301,0))="","",$H79*INDEX(Vinos!$K$2:$K$301,MATCH($B79,Vinos!$A$2:$A$301,0))),""))</f>
        <v/>
      </c>
      <c r="M79" s="21">
        <f>IF(OR($A79="",$B79=""),"",SUMIFS($H$2:$H$2001,$A$2:$A$2001,$A79,$B$2:$B$2001,$B79))</f>
        <v/>
      </c>
      <c r="N79" s="20">
        <f>IF($M79="","",IF($M79&lt;=0,"Sin stock: reponer ya",IF($M79&lt;IFERROR(N(INDEX(Vinos!$N$2:$N$301,MATCH($B79,Vinos!$A$2:$A$301,0))),0),"Bajo mínimo: reponer","OK")))</f>
        <v/>
      </c>
      <c r="O79" s="14" t="n"/>
      <c r="P79" s="14" t="n"/>
      <c r="Q79" s="20">
        <f>IF($B79="","",IFERROR(INDEX(Vinos!$C$2:$C$301,MATCH($B79,Vinos!$A$2:$A$301,0)),""))</f>
        <v/>
      </c>
      <c r="R79" s="20">
        <f>IF(OR($A79="",$A79&lt;&gt;'Resumen del inventario'!$C$3,$N79="",$N79="OK"),"",IF(COUNTIFS($A$2:$A79,$A79,$B$2:$B79,$B79)=1,1,""))</f>
        <v/>
      </c>
      <c r="S79" s="20">
        <f>IF($R79=1,COUNTIF($R$2:$R79,1),"")</f>
        <v/>
      </c>
    </row>
    <row r="80">
      <c r="A80" s="19" t="n"/>
      <c r="B80" s="14" t="n"/>
      <c r="C80" s="20">
        <f>IF($B80="","",IFERROR(INDEX(Vinos!$B$2:$B$301,MATCH($B80,Vinos!$A$2:$A$301,0)),"Código no cargado"))</f>
        <v/>
      </c>
      <c r="D80" s="14" t="n"/>
      <c r="E80" s="14" t="n"/>
      <c r="F80" s="18" t="n"/>
      <c r="G80" s="18" t="n"/>
      <c r="H80" s="21">
        <f>IF(AND($F80="",$G80=""),"",N($F80)*IFERROR(N(INDEX(Vinos!$H$2:$H$301,MATCH($B80,Vinos!$A$2:$A$301,0))),0)+N($G80))</f>
        <v/>
      </c>
      <c r="I80" s="18" t="n"/>
      <c r="J80" s="21">
        <f>IF(OR($H80="",$I80=""),"",$H80-$I80)</f>
        <v/>
      </c>
      <c r="K80" s="16">
        <f>IF($H80="","",IFERROR(IF(INDEX(Vinos!$J$2:$J$301,MATCH($B80,Vinos!$A$2:$A$301,0))="","",$H80*INDEX(Vinos!$J$2:$J$301,MATCH($B80,Vinos!$A$2:$A$301,0))),""))</f>
        <v/>
      </c>
      <c r="L80" s="16">
        <f>IF($H80="","",IFERROR(IF(INDEX(Vinos!$K$2:$K$301,MATCH($B80,Vinos!$A$2:$A$301,0))="","",$H80*INDEX(Vinos!$K$2:$K$301,MATCH($B80,Vinos!$A$2:$A$301,0))),""))</f>
        <v/>
      </c>
      <c r="M80" s="21">
        <f>IF(OR($A80="",$B80=""),"",SUMIFS($H$2:$H$2001,$A$2:$A$2001,$A80,$B$2:$B$2001,$B80))</f>
        <v/>
      </c>
      <c r="N80" s="20">
        <f>IF($M80="","",IF($M80&lt;=0,"Sin stock: reponer ya",IF($M80&lt;IFERROR(N(INDEX(Vinos!$N$2:$N$301,MATCH($B80,Vinos!$A$2:$A$301,0))),0),"Bajo mínimo: reponer","OK")))</f>
        <v/>
      </c>
      <c r="O80" s="14" t="n"/>
      <c r="P80" s="14" t="n"/>
      <c r="Q80" s="20">
        <f>IF($B80="","",IFERROR(INDEX(Vinos!$C$2:$C$301,MATCH($B80,Vinos!$A$2:$A$301,0)),""))</f>
        <v/>
      </c>
      <c r="R80" s="20">
        <f>IF(OR($A80="",$A80&lt;&gt;'Resumen del inventario'!$C$3,$N80="",$N80="OK"),"",IF(COUNTIFS($A$2:$A80,$A80,$B$2:$B80,$B80)=1,1,""))</f>
        <v/>
      </c>
      <c r="S80" s="20">
        <f>IF($R80=1,COUNTIF($R$2:$R80,1),"")</f>
        <v/>
      </c>
    </row>
    <row r="81">
      <c r="A81" s="19" t="n"/>
      <c r="B81" s="14" t="n"/>
      <c r="C81" s="20">
        <f>IF($B81="","",IFERROR(INDEX(Vinos!$B$2:$B$301,MATCH($B81,Vinos!$A$2:$A$301,0)),"Código no cargado"))</f>
        <v/>
      </c>
      <c r="D81" s="14" t="n"/>
      <c r="E81" s="14" t="n"/>
      <c r="F81" s="18" t="n"/>
      <c r="G81" s="18" t="n"/>
      <c r="H81" s="21">
        <f>IF(AND($F81="",$G81=""),"",N($F81)*IFERROR(N(INDEX(Vinos!$H$2:$H$301,MATCH($B81,Vinos!$A$2:$A$301,0))),0)+N($G81))</f>
        <v/>
      </c>
      <c r="I81" s="18" t="n"/>
      <c r="J81" s="21">
        <f>IF(OR($H81="",$I81=""),"",$H81-$I81)</f>
        <v/>
      </c>
      <c r="K81" s="16">
        <f>IF($H81="","",IFERROR(IF(INDEX(Vinos!$J$2:$J$301,MATCH($B81,Vinos!$A$2:$A$301,0))="","",$H81*INDEX(Vinos!$J$2:$J$301,MATCH($B81,Vinos!$A$2:$A$301,0))),""))</f>
        <v/>
      </c>
      <c r="L81" s="16">
        <f>IF($H81="","",IFERROR(IF(INDEX(Vinos!$K$2:$K$301,MATCH($B81,Vinos!$A$2:$A$301,0))="","",$H81*INDEX(Vinos!$K$2:$K$301,MATCH($B81,Vinos!$A$2:$A$301,0))),""))</f>
        <v/>
      </c>
      <c r="M81" s="21">
        <f>IF(OR($A81="",$B81=""),"",SUMIFS($H$2:$H$2001,$A$2:$A$2001,$A81,$B$2:$B$2001,$B81))</f>
        <v/>
      </c>
      <c r="N81" s="20">
        <f>IF($M81="","",IF($M81&lt;=0,"Sin stock: reponer ya",IF($M81&lt;IFERROR(N(INDEX(Vinos!$N$2:$N$301,MATCH($B81,Vinos!$A$2:$A$301,0))),0),"Bajo mínimo: reponer","OK")))</f>
        <v/>
      </c>
      <c r="O81" s="14" t="n"/>
      <c r="P81" s="14" t="n"/>
      <c r="Q81" s="20">
        <f>IF($B81="","",IFERROR(INDEX(Vinos!$C$2:$C$301,MATCH($B81,Vinos!$A$2:$A$301,0)),""))</f>
        <v/>
      </c>
      <c r="R81" s="20">
        <f>IF(OR($A81="",$A81&lt;&gt;'Resumen del inventario'!$C$3,$N81="",$N81="OK"),"",IF(COUNTIFS($A$2:$A81,$A81,$B$2:$B81,$B81)=1,1,""))</f>
        <v/>
      </c>
      <c r="S81" s="20">
        <f>IF($R81=1,COUNTIF($R$2:$R81,1),"")</f>
        <v/>
      </c>
    </row>
    <row r="82">
      <c r="A82" s="19" t="n"/>
      <c r="B82" s="14" t="n"/>
      <c r="C82" s="20">
        <f>IF($B82="","",IFERROR(INDEX(Vinos!$B$2:$B$301,MATCH($B82,Vinos!$A$2:$A$301,0)),"Código no cargado"))</f>
        <v/>
      </c>
      <c r="D82" s="14" t="n"/>
      <c r="E82" s="14" t="n"/>
      <c r="F82" s="18" t="n"/>
      <c r="G82" s="18" t="n"/>
      <c r="H82" s="21">
        <f>IF(AND($F82="",$G82=""),"",N($F82)*IFERROR(N(INDEX(Vinos!$H$2:$H$301,MATCH($B82,Vinos!$A$2:$A$301,0))),0)+N($G82))</f>
        <v/>
      </c>
      <c r="I82" s="18" t="n"/>
      <c r="J82" s="21">
        <f>IF(OR($H82="",$I82=""),"",$H82-$I82)</f>
        <v/>
      </c>
      <c r="K82" s="16">
        <f>IF($H82="","",IFERROR(IF(INDEX(Vinos!$J$2:$J$301,MATCH($B82,Vinos!$A$2:$A$301,0))="","",$H82*INDEX(Vinos!$J$2:$J$301,MATCH($B82,Vinos!$A$2:$A$301,0))),""))</f>
        <v/>
      </c>
      <c r="L82" s="16">
        <f>IF($H82="","",IFERROR(IF(INDEX(Vinos!$K$2:$K$301,MATCH($B82,Vinos!$A$2:$A$301,0))="","",$H82*INDEX(Vinos!$K$2:$K$301,MATCH($B82,Vinos!$A$2:$A$301,0))),""))</f>
        <v/>
      </c>
      <c r="M82" s="21">
        <f>IF(OR($A82="",$B82=""),"",SUMIFS($H$2:$H$2001,$A$2:$A$2001,$A82,$B$2:$B$2001,$B82))</f>
        <v/>
      </c>
      <c r="N82" s="20">
        <f>IF($M82="","",IF($M82&lt;=0,"Sin stock: reponer ya",IF($M82&lt;IFERROR(N(INDEX(Vinos!$N$2:$N$301,MATCH($B82,Vinos!$A$2:$A$301,0))),0),"Bajo mínimo: reponer","OK")))</f>
        <v/>
      </c>
      <c r="O82" s="14" t="n"/>
      <c r="P82" s="14" t="n"/>
      <c r="Q82" s="20">
        <f>IF($B82="","",IFERROR(INDEX(Vinos!$C$2:$C$301,MATCH($B82,Vinos!$A$2:$A$301,0)),""))</f>
        <v/>
      </c>
      <c r="R82" s="20">
        <f>IF(OR($A82="",$A82&lt;&gt;'Resumen del inventario'!$C$3,$N82="",$N82="OK"),"",IF(COUNTIFS($A$2:$A82,$A82,$B$2:$B82,$B82)=1,1,""))</f>
        <v/>
      </c>
      <c r="S82" s="20">
        <f>IF($R82=1,COUNTIF($R$2:$R82,1),"")</f>
        <v/>
      </c>
    </row>
    <row r="83">
      <c r="A83" s="19" t="n"/>
      <c r="B83" s="14" t="n"/>
      <c r="C83" s="20">
        <f>IF($B83="","",IFERROR(INDEX(Vinos!$B$2:$B$301,MATCH($B83,Vinos!$A$2:$A$301,0)),"Código no cargado"))</f>
        <v/>
      </c>
      <c r="D83" s="14" t="n"/>
      <c r="E83" s="14" t="n"/>
      <c r="F83" s="18" t="n"/>
      <c r="G83" s="18" t="n"/>
      <c r="H83" s="21">
        <f>IF(AND($F83="",$G83=""),"",N($F83)*IFERROR(N(INDEX(Vinos!$H$2:$H$301,MATCH($B83,Vinos!$A$2:$A$301,0))),0)+N($G83))</f>
        <v/>
      </c>
      <c r="I83" s="18" t="n"/>
      <c r="J83" s="21">
        <f>IF(OR($H83="",$I83=""),"",$H83-$I83)</f>
        <v/>
      </c>
      <c r="K83" s="16">
        <f>IF($H83="","",IFERROR(IF(INDEX(Vinos!$J$2:$J$301,MATCH($B83,Vinos!$A$2:$A$301,0))="","",$H83*INDEX(Vinos!$J$2:$J$301,MATCH($B83,Vinos!$A$2:$A$301,0))),""))</f>
        <v/>
      </c>
      <c r="L83" s="16">
        <f>IF($H83="","",IFERROR(IF(INDEX(Vinos!$K$2:$K$301,MATCH($B83,Vinos!$A$2:$A$301,0))="","",$H83*INDEX(Vinos!$K$2:$K$301,MATCH($B83,Vinos!$A$2:$A$301,0))),""))</f>
        <v/>
      </c>
      <c r="M83" s="21">
        <f>IF(OR($A83="",$B83=""),"",SUMIFS($H$2:$H$2001,$A$2:$A$2001,$A83,$B$2:$B$2001,$B83))</f>
        <v/>
      </c>
      <c r="N83" s="20">
        <f>IF($M83="","",IF($M83&lt;=0,"Sin stock: reponer ya",IF($M83&lt;IFERROR(N(INDEX(Vinos!$N$2:$N$301,MATCH($B83,Vinos!$A$2:$A$301,0))),0),"Bajo mínimo: reponer","OK")))</f>
        <v/>
      </c>
      <c r="O83" s="14" t="n"/>
      <c r="P83" s="14" t="n"/>
      <c r="Q83" s="20">
        <f>IF($B83="","",IFERROR(INDEX(Vinos!$C$2:$C$301,MATCH($B83,Vinos!$A$2:$A$301,0)),""))</f>
        <v/>
      </c>
      <c r="R83" s="20">
        <f>IF(OR($A83="",$A83&lt;&gt;'Resumen del inventario'!$C$3,$N83="",$N83="OK"),"",IF(COUNTIFS($A$2:$A83,$A83,$B$2:$B83,$B83)=1,1,""))</f>
        <v/>
      </c>
      <c r="S83" s="20">
        <f>IF($R83=1,COUNTIF($R$2:$R83,1),"")</f>
        <v/>
      </c>
    </row>
    <row r="84">
      <c r="A84" s="19" t="n"/>
      <c r="B84" s="14" t="n"/>
      <c r="C84" s="20">
        <f>IF($B84="","",IFERROR(INDEX(Vinos!$B$2:$B$301,MATCH($B84,Vinos!$A$2:$A$301,0)),"Código no cargado"))</f>
        <v/>
      </c>
      <c r="D84" s="14" t="n"/>
      <c r="E84" s="14" t="n"/>
      <c r="F84" s="18" t="n"/>
      <c r="G84" s="18" t="n"/>
      <c r="H84" s="21">
        <f>IF(AND($F84="",$G84=""),"",N($F84)*IFERROR(N(INDEX(Vinos!$H$2:$H$301,MATCH($B84,Vinos!$A$2:$A$301,0))),0)+N($G84))</f>
        <v/>
      </c>
      <c r="I84" s="18" t="n"/>
      <c r="J84" s="21">
        <f>IF(OR($H84="",$I84=""),"",$H84-$I84)</f>
        <v/>
      </c>
      <c r="K84" s="16">
        <f>IF($H84="","",IFERROR(IF(INDEX(Vinos!$J$2:$J$301,MATCH($B84,Vinos!$A$2:$A$301,0))="","",$H84*INDEX(Vinos!$J$2:$J$301,MATCH($B84,Vinos!$A$2:$A$301,0))),""))</f>
        <v/>
      </c>
      <c r="L84" s="16">
        <f>IF($H84="","",IFERROR(IF(INDEX(Vinos!$K$2:$K$301,MATCH($B84,Vinos!$A$2:$A$301,0))="","",$H84*INDEX(Vinos!$K$2:$K$301,MATCH($B84,Vinos!$A$2:$A$301,0))),""))</f>
        <v/>
      </c>
      <c r="M84" s="21">
        <f>IF(OR($A84="",$B84=""),"",SUMIFS($H$2:$H$2001,$A$2:$A$2001,$A84,$B$2:$B$2001,$B84))</f>
        <v/>
      </c>
      <c r="N84" s="20">
        <f>IF($M84="","",IF($M84&lt;=0,"Sin stock: reponer ya",IF($M84&lt;IFERROR(N(INDEX(Vinos!$N$2:$N$301,MATCH($B84,Vinos!$A$2:$A$301,0))),0),"Bajo mínimo: reponer","OK")))</f>
        <v/>
      </c>
      <c r="O84" s="14" t="n"/>
      <c r="P84" s="14" t="n"/>
      <c r="Q84" s="20">
        <f>IF($B84="","",IFERROR(INDEX(Vinos!$C$2:$C$301,MATCH($B84,Vinos!$A$2:$A$301,0)),""))</f>
        <v/>
      </c>
      <c r="R84" s="20">
        <f>IF(OR($A84="",$A84&lt;&gt;'Resumen del inventario'!$C$3,$N84="",$N84="OK"),"",IF(COUNTIFS($A$2:$A84,$A84,$B$2:$B84,$B84)=1,1,""))</f>
        <v/>
      </c>
      <c r="S84" s="20">
        <f>IF($R84=1,COUNTIF($R$2:$R84,1),"")</f>
        <v/>
      </c>
    </row>
    <row r="85">
      <c r="A85" s="19" t="n"/>
      <c r="B85" s="14" t="n"/>
      <c r="C85" s="20">
        <f>IF($B85="","",IFERROR(INDEX(Vinos!$B$2:$B$301,MATCH($B85,Vinos!$A$2:$A$301,0)),"Código no cargado"))</f>
        <v/>
      </c>
      <c r="D85" s="14" t="n"/>
      <c r="E85" s="14" t="n"/>
      <c r="F85" s="18" t="n"/>
      <c r="G85" s="18" t="n"/>
      <c r="H85" s="21">
        <f>IF(AND($F85="",$G85=""),"",N($F85)*IFERROR(N(INDEX(Vinos!$H$2:$H$301,MATCH($B85,Vinos!$A$2:$A$301,0))),0)+N($G85))</f>
        <v/>
      </c>
      <c r="I85" s="18" t="n"/>
      <c r="J85" s="21">
        <f>IF(OR($H85="",$I85=""),"",$H85-$I85)</f>
        <v/>
      </c>
      <c r="K85" s="16">
        <f>IF($H85="","",IFERROR(IF(INDEX(Vinos!$J$2:$J$301,MATCH($B85,Vinos!$A$2:$A$301,0))="","",$H85*INDEX(Vinos!$J$2:$J$301,MATCH($B85,Vinos!$A$2:$A$301,0))),""))</f>
        <v/>
      </c>
      <c r="L85" s="16">
        <f>IF($H85="","",IFERROR(IF(INDEX(Vinos!$K$2:$K$301,MATCH($B85,Vinos!$A$2:$A$301,0))="","",$H85*INDEX(Vinos!$K$2:$K$301,MATCH($B85,Vinos!$A$2:$A$301,0))),""))</f>
        <v/>
      </c>
      <c r="M85" s="21">
        <f>IF(OR($A85="",$B85=""),"",SUMIFS($H$2:$H$2001,$A$2:$A$2001,$A85,$B$2:$B$2001,$B85))</f>
        <v/>
      </c>
      <c r="N85" s="20">
        <f>IF($M85="","",IF($M85&lt;=0,"Sin stock: reponer ya",IF($M85&lt;IFERROR(N(INDEX(Vinos!$N$2:$N$301,MATCH($B85,Vinos!$A$2:$A$301,0))),0),"Bajo mínimo: reponer","OK")))</f>
        <v/>
      </c>
      <c r="O85" s="14" t="n"/>
      <c r="P85" s="14" t="n"/>
      <c r="Q85" s="20">
        <f>IF($B85="","",IFERROR(INDEX(Vinos!$C$2:$C$301,MATCH($B85,Vinos!$A$2:$A$301,0)),""))</f>
        <v/>
      </c>
      <c r="R85" s="20">
        <f>IF(OR($A85="",$A85&lt;&gt;'Resumen del inventario'!$C$3,$N85="",$N85="OK"),"",IF(COUNTIFS($A$2:$A85,$A85,$B$2:$B85,$B85)=1,1,""))</f>
        <v/>
      </c>
      <c r="S85" s="20">
        <f>IF($R85=1,COUNTIF($R$2:$R85,1),"")</f>
        <v/>
      </c>
    </row>
    <row r="86">
      <c r="A86" s="19" t="n"/>
      <c r="B86" s="14" t="n"/>
      <c r="C86" s="20">
        <f>IF($B86="","",IFERROR(INDEX(Vinos!$B$2:$B$301,MATCH($B86,Vinos!$A$2:$A$301,0)),"Código no cargado"))</f>
        <v/>
      </c>
      <c r="D86" s="14" t="n"/>
      <c r="E86" s="14" t="n"/>
      <c r="F86" s="18" t="n"/>
      <c r="G86" s="18" t="n"/>
      <c r="H86" s="21">
        <f>IF(AND($F86="",$G86=""),"",N($F86)*IFERROR(N(INDEX(Vinos!$H$2:$H$301,MATCH($B86,Vinos!$A$2:$A$301,0))),0)+N($G86))</f>
        <v/>
      </c>
      <c r="I86" s="18" t="n"/>
      <c r="J86" s="21">
        <f>IF(OR($H86="",$I86=""),"",$H86-$I86)</f>
        <v/>
      </c>
      <c r="K86" s="16">
        <f>IF($H86="","",IFERROR(IF(INDEX(Vinos!$J$2:$J$301,MATCH($B86,Vinos!$A$2:$A$301,0))="","",$H86*INDEX(Vinos!$J$2:$J$301,MATCH($B86,Vinos!$A$2:$A$301,0))),""))</f>
        <v/>
      </c>
      <c r="L86" s="16">
        <f>IF($H86="","",IFERROR(IF(INDEX(Vinos!$K$2:$K$301,MATCH($B86,Vinos!$A$2:$A$301,0))="","",$H86*INDEX(Vinos!$K$2:$K$301,MATCH($B86,Vinos!$A$2:$A$301,0))),""))</f>
        <v/>
      </c>
      <c r="M86" s="21">
        <f>IF(OR($A86="",$B86=""),"",SUMIFS($H$2:$H$2001,$A$2:$A$2001,$A86,$B$2:$B$2001,$B86))</f>
        <v/>
      </c>
      <c r="N86" s="20">
        <f>IF($M86="","",IF($M86&lt;=0,"Sin stock: reponer ya",IF($M86&lt;IFERROR(N(INDEX(Vinos!$N$2:$N$301,MATCH($B86,Vinos!$A$2:$A$301,0))),0),"Bajo mínimo: reponer","OK")))</f>
        <v/>
      </c>
      <c r="O86" s="14" t="n"/>
      <c r="P86" s="14" t="n"/>
      <c r="Q86" s="20">
        <f>IF($B86="","",IFERROR(INDEX(Vinos!$C$2:$C$301,MATCH($B86,Vinos!$A$2:$A$301,0)),""))</f>
        <v/>
      </c>
      <c r="R86" s="20">
        <f>IF(OR($A86="",$A86&lt;&gt;'Resumen del inventario'!$C$3,$N86="",$N86="OK"),"",IF(COUNTIFS($A$2:$A86,$A86,$B$2:$B86,$B86)=1,1,""))</f>
        <v/>
      </c>
      <c r="S86" s="20">
        <f>IF($R86=1,COUNTIF($R$2:$R86,1),"")</f>
        <v/>
      </c>
    </row>
    <row r="87">
      <c r="A87" s="19" t="n"/>
      <c r="B87" s="14" t="n"/>
      <c r="C87" s="20">
        <f>IF($B87="","",IFERROR(INDEX(Vinos!$B$2:$B$301,MATCH($B87,Vinos!$A$2:$A$301,0)),"Código no cargado"))</f>
        <v/>
      </c>
      <c r="D87" s="14" t="n"/>
      <c r="E87" s="14" t="n"/>
      <c r="F87" s="18" t="n"/>
      <c r="G87" s="18" t="n"/>
      <c r="H87" s="21">
        <f>IF(AND($F87="",$G87=""),"",N($F87)*IFERROR(N(INDEX(Vinos!$H$2:$H$301,MATCH($B87,Vinos!$A$2:$A$301,0))),0)+N($G87))</f>
        <v/>
      </c>
      <c r="I87" s="18" t="n"/>
      <c r="J87" s="21">
        <f>IF(OR($H87="",$I87=""),"",$H87-$I87)</f>
        <v/>
      </c>
      <c r="K87" s="16">
        <f>IF($H87="","",IFERROR(IF(INDEX(Vinos!$J$2:$J$301,MATCH($B87,Vinos!$A$2:$A$301,0))="","",$H87*INDEX(Vinos!$J$2:$J$301,MATCH($B87,Vinos!$A$2:$A$301,0))),""))</f>
        <v/>
      </c>
      <c r="L87" s="16">
        <f>IF($H87="","",IFERROR(IF(INDEX(Vinos!$K$2:$K$301,MATCH($B87,Vinos!$A$2:$A$301,0))="","",$H87*INDEX(Vinos!$K$2:$K$301,MATCH($B87,Vinos!$A$2:$A$301,0))),""))</f>
        <v/>
      </c>
      <c r="M87" s="21">
        <f>IF(OR($A87="",$B87=""),"",SUMIFS($H$2:$H$2001,$A$2:$A$2001,$A87,$B$2:$B$2001,$B87))</f>
        <v/>
      </c>
      <c r="N87" s="20">
        <f>IF($M87="","",IF($M87&lt;=0,"Sin stock: reponer ya",IF($M87&lt;IFERROR(N(INDEX(Vinos!$N$2:$N$301,MATCH($B87,Vinos!$A$2:$A$301,0))),0),"Bajo mínimo: reponer","OK")))</f>
        <v/>
      </c>
      <c r="O87" s="14" t="n"/>
      <c r="P87" s="14" t="n"/>
      <c r="Q87" s="20">
        <f>IF($B87="","",IFERROR(INDEX(Vinos!$C$2:$C$301,MATCH($B87,Vinos!$A$2:$A$301,0)),""))</f>
        <v/>
      </c>
      <c r="R87" s="20">
        <f>IF(OR($A87="",$A87&lt;&gt;'Resumen del inventario'!$C$3,$N87="",$N87="OK"),"",IF(COUNTIFS($A$2:$A87,$A87,$B$2:$B87,$B87)=1,1,""))</f>
        <v/>
      </c>
      <c r="S87" s="20">
        <f>IF($R87=1,COUNTIF($R$2:$R87,1),"")</f>
        <v/>
      </c>
    </row>
    <row r="88">
      <c r="A88" s="19" t="n"/>
      <c r="B88" s="14" t="n"/>
      <c r="C88" s="20">
        <f>IF($B88="","",IFERROR(INDEX(Vinos!$B$2:$B$301,MATCH($B88,Vinos!$A$2:$A$301,0)),"Código no cargado"))</f>
        <v/>
      </c>
      <c r="D88" s="14" t="n"/>
      <c r="E88" s="14" t="n"/>
      <c r="F88" s="18" t="n"/>
      <c r="G88" s="18" t="n"/>
      <c r="H88" s="21">
        <f>IF(AND($F88="",$G88=""),"",N($F88)*IFERROR(N(INDEX(Vinos!$H$2:$H$301,MATCH($B88,Vinos!$A$2:$A$301,0))),0)+N($G88))</f>
        <v/>
      </c>
      <c r="I88" s="18" t="n"/>
      <c r="J88" s="21">
        <f>IF(OR($H88="",$I88=""),"",$H88-$I88)</f>
        <v/>
      </c>
      <c r="K88" s="16">
        <f>IF($H88="","",IFERROR(IF(INDEX(Vinos!$J$2:$J$301,MATCH($B88,Vinos!$A$2:$A$301,0))="","",$H88*INDEX(Vinos!$J$2:$J$301,MATCH($B88,Vinos!$A$2:$A$301,0))),""))</f>
        <v/>
      </c>
      <c r="L88" s="16">
        <f>IF($H88="","",IFERROR(IF(INDEX(Vinos!$K$2:$K$301,MATCH($B88,Vinos!$A$2:$A$301,0))="","",$H88*INDEX(Vinos!$K$2:$K$301,MATCH($B88,Vinos!$A$2:$A$301,0))),""))</f>
        <v/>
      </c>
      <c r="M88" s="21">
        <f>IF(OR($A88="",$B88=""),"",SUMIFS($H$2:$H$2001,$A$2:$A$2001,$A88,$B$2:$B$2001,$B88))</f>
        <v/>
      </c>
      <c r="N88" s="20">
        <f>IF($M88="","",IF($M88&lt;=0,"Sin stock: reponer ya",IF($M88&lt;IFERROR(N(INDEX(Vinos!$N$2:$N$301,MATCH($B88,Vinos!$A$2:$A$301,0))),0),"Bajo mínimo: reponer","OK")))</f>
        <v/>
      </c>
      <c r="O88" s="14" t="n"/>
      <c r="P88" s="14" t="n"/>
      <c r="Q88" s="20">
        <f>IF($B88="","",IFERROR(INDEX(Vinos!$C$2:$C$301,MATCH($B88,Vinos!$A$2:$A$301,0)),""))</f>
        <v/>
      </c>
      <c r="R88" s="20">
        <f>IF(OR($A88="",$A88&lt;&gt;'Resumen del inventario'!$C$3,$N88="",$N88="OK"),"",IF(COUNTIFS($A$2:$A88,$A88,$B$2:$B88,$B88)=1,1,""))</f>
        <v/>
      </c>
      <c r="S88" s="20">
        <f>IF($R88=1,COUNTIF($R$2:$R88,1),"")</f>
        <v/>
      </c>
    </row>
    <row r="89">
      <c r="A89" s="19" t="n"/>
      <c r="B89" s="14" t="n"/>
      <c r="C89" s="20">
        <f>IF($B89="","",IFERROR(INDEX(Vinos!$B$2:$B$301,MATCH($B89,Vinos!$A$2:$A$301,0)),"Código no cargado"))</f>
        <v/>
      </c>
      <c r="D89" s="14" t="n"/>
      <c r="E89" s="14" t="n"/>
      <c r="F89" s="18" t="n"/>
      <c r="G89" s="18" t="n"/>
      <c r="H89" s="21">
        <f>IF(AND($F89="",$G89=""),"",N($F89)*IFERROR(N(INDEX(Vinos!$H$2:$H$301,MATCH($B89,Vinos!$A$2:$A$301,0))),0)+N($G89))</f>
        <v/>
      </c>
      <c r="I89" s="18" t="n"/>
      <c r="J89" s="21">
        <f>IF(OR($H89="",$I89=""),"",$H89-$I89)</f>
        <v/>
      </c>
      <c r="K89" s="16">
        <f>IF($H89="","",IFERROR(IF(INDEX(Vinos!$J$2:$J$301,MATCH($B89,Vinos!$A$2:$A$301,0))="","",$H89*INDEX(Vinos!$J$2:$J$301,MATCH($B89,Vinos!$A$2:$A$301,0))),""))</f>
        <v/>
      </c>
      <c r="L89" s="16">
        <f>IF($H89="","",IFERROR(IF(INDEX(Vinos!$K$2:$K$301,MATCH($B89,Vinos!$A$2:$A$301,0))="","",$H89*INDEX(Vinos!$K$2:$K$301,MATCH($B89,Vinos!$A$2:$A$301,0))),""))</f>
        <v/>
      </c>
      <c r="M89" s="21">
        <f>IF(OR($A89="",$B89=""),"",SUMIFS($H$2:$H$2001,$A$2:$A$2001,$A89,$B$2:$B$2001,$B89))</f>
        <v/>
      </c>
      <c r="N89" s="20">
        <f>IF($M89="","",IF($M89&lt;=0,"Sin stock: reponer ya",IF($M89&lt;IFERROR(N(INDEX(Vinos!$N$2:$N$301,MATCH($B89,Vinos!$A$2:$A$301,0))),0),"Bajo mínimo: reponer","OK")))</f>
        <v/>
      </c>
      <c r="O89" s="14" t="n"/>
      <c r="P89" s="14" t="n"/>
      <c r="Q89" s="20">
        <f>IF($B89="","",IFERROR(INDEX(Vinos!$C$2:$C$301,MATCH($B89,Vinos!$A$2:$A$301,0)),""))</f>
        <v/>
      </c>
      <c r="R89" s="20">
        <f>IF(OR($A89="",$A89&lt;&gt;'Resumen del inventario'!$C$3,$N89="",$N89="OK"),"",IF(COUNTIFS($A$2:$A89,$A89,$B$2:$B89,$B89)=1,1,""))</f>
        <v/>
      </c>
      <c r="S89" s="20">
        <f>IF($R89=1,COUNTIF($R$2:$R89,1),"")</f>
        <v/>
      </c>
    </row>
    <row r="90">
      <c r="A90" s="19" t="n"/>
      <c r="B90" s="14" t="n"/>
      <c r="C90" s="20">
        <f>IF($B90="","",IFERROR(INDEX(Vinos!$B$2:$B$301,MATCH($B90,Vinos!$A$2:$A$301,0)),"Código no cargado"))</f>
        <v/>
      </c>
      <c r="D90" s="14" t="n"/>
      <c r="E90" s="14" t="n"/>
      <c r="F90" s="18" t="n"/>
      <c r="G90" s="18" t="n"/>
      <c r="H90" s="21">
        <f>IF(AND($F90="",$G90=""),"",N($F90)*IFERROR(N(INDEX(Vinos!$H$2:$H$301,MATCH($B90,Vinos!$A$2:$A$301,0))),0)+N($G90))</f>
        <v/>
      </c>
      <c r="I90" s="18" t="n"/>
      <c r="J90" s="21">
        <f>IF(OR($H90="",$I90=""),"",$H90-$I90)</f>
        <v/>
      </c>
      <c r="K90" s="16">
        <f>IF($H90="","",IFERROR(IF(INDEX(Vinos!$J$2:$J$301,MATCH($B90,Vinos!$A$2:$A$301,0))="","",$H90*INDEX(Vinos!$J$2:$J$301,MATCH($B90,Vinos!$A$2:$A$301,0))),""))</f>
        <v/>
      </c>
      <c r="L90" s="16">
        <f>IF($H90="","",IFERROR(IF(INDEX(Vinos!$K$2:$K$301,MATCH($B90,Vinos!$A$2:$A$301,0))="","",$H90*INDEX(Vinos!$K$2:$K$301,MATCH($B90,Vinos!$A$2:$A$301,0))),""))</f>
        <v/>
      </c>
      <c r="M90" s="21">
        <f>IF(OR($A90="",$B90=""),"",SUMIFS($H$2:$H$2001,$A$2:$A$2001,$A90,$B$2:$B$2001,$B90))</f>
        <v/>
      </c>
      <c r="N90" s="20">
        <f>IF($M90="","",IF($M90&lt;=0,"Sin stock: reponer ya",IF($M90&lt;IFERROR(N(INDEX(Vinos!$N$2:$N$301,MATCH($B90,Vinos!$A$2:$A$301,0))),0),"Bajo mínimo: reponer","OK")))</f>
        <v/>
      </c>
      <c r="O90" s="14" t="n"/>
      <c r="P90" s="14" t="n"/>
      <c r="Q90" s="20">
        <f>IF($B90="","",IFERROR(INDEX(Vinos!$C$2:$C$301,MATCH($B90,Vinos!$A$2:$A$301,0)),""))</f>
        <v/>
      </c>
      <c r="R90" s="20">
        <f>IF(OR($A90="",$A90&lt;&gt;'Resumen del inventario'!$C$3,$N90="",$N90="OK"),"",IF(COUNTIFS($A$2:$A90,$A90,$B$2:$B90,$B90)=1,1,""))</f>
        <v/>
      </c>
      <c r="S90" s="20">
        <f>IF($R90=1,COUNTIF($R$2:$R90,1),"")</f>
        <v/>
      </c>
    </row>
    <row r="91">
      <c r="A91" s="19" t="n"/>
      <c r="B91" s="14" t="n"/>
      <c r="C91" s="20">
        <f>IF($B91="","",IFERROR(INDEX(Vinos!$B$2:$B$301,MATCH($B91,Vinos!$A$2:$A$301,0)),"Código no cargado"))</f>
        <v/>
      </c>
      <c r="D91" s="14" t="n"/>
      <c r="E91" s="14" t="n"/>
      <c r="F91" s="18" t="n"/>
      <c r="G91" s="18" t="n"/>
      <c r="H91" s="21">
        <f>IF(AND($F91="",$G91=""),"",N($F91)*IFERROR(N(INDEX(Vinos!$H$2:$H$301,MATCH($B91,Vinos!$A$2:$A$301,0))),0)+N($G91))</f>
        <v/>
      </c>
      <c r="I91" s="18" t="n"/>
      <c r="J91" s="21">
        <f>IF(OR($H91="",$I91=""),"",$H91-$I91)</f>
        <v/>
      </c>
      <c r="K91" s="16">
        <f>IF($H91="","",IFERROR(IF(INDEX(Vinos!$J$2:$J$301,MATCH($B91,Vinos!$A$2:$A$301,0))="","",$H91*INDEX(Vinos!$J$2:$J$301,MATCH($B91,Vinos!$A$2:$A$301,0))),""))</f>
        <v/>
      </c>
      <c r="L91" s="16">
        <f>IF($H91="","",IFERROR(IF(INDEX(Vinos!$K$2:$K$301,MATCH($B91,Vinos!$A$2:$A$301,0))="","",$H91*INDEX(Vinos!$K$2:$K$301,MATCH($B91,Vinos!$A$2:$A$301,0))),""))</f>
        <v/>
      </c>
      <c r="M91" s="21">
        <f>IF(OR($A91="",$B91=""),"",SUMIFS($H$2:$H$2001,$A$2:$A$2001,$A91,$B$2:$B$2001,$B91))</f>
        <v/>
      </c>
      <c r="N91" s="20">
        <f>IF($M91="","",IF($M91&lt;=0,"Sin stock: reponer ya",IF($M91&lt;IFERROR(N(INDEX(Vinos!$N$2:$N$301,MATCH($B91,Vinos!$A$2:$A$301,0))),0),"Bajo mínimo: reponer","OK")))</f>
        <v/>
      </c>
      <c r="O91" s="14" t="n"/>
      <c r="P91" s="14" t="n"/>
      <c r="Q91" s="20">
        <f>IF($B91="","",IFERROR(INDEX(Vinos!$C$2:$C$301,MATCH($B91,Vinos!$A$2:$A$301,0)),""))</f>
        <v/>
      </c>
      <c r="R91" s="20">
        <f>IF(OR($A91="",$A91&lt;&gt;'Resumen del inventario'!$C$3,$N91="",$N91="OK"),"",IF(COUNTIFS($A$2:$A91,$A91,$B$2:$B91,$B91)=1,1,""))</f>
        <v/>
      </c>
      <c r="S91" s="20">
        <f>IF($R91=1,COUNTIF($R$2:$R91,1),"")</f>
        <v/>
      </c>
    </row>
    <row r="92">
      <c r="A92" s="19" t="n"/>
      <c r="B92" s="14" t="n"/>
      <c r="C92" s="20">
        <f>IF($B92="","",IFERROR(INDEX(Vinos!$B$2:$B$301,MATCH($B92,Vinos!$A$2:$A$301,0)),"Código no cargado"))</f>
        <v/>
      </c>
      <c r="D92" s="14" t="n"/>
      <c r="E92" s="14" t="n"/>
      <c r="F92" s="18" t="n"/>
      <c r="G92" s="18" t="n"/>
      <c r="H92" s="21">
        <f>IF(AND($F92="",$G92=""),"",N($F92)*IFERROR(N(INDEX(Vinos!$H$2:$H$301,MATCH($B92,Vinos!$A$2:$A$301,0))),0)+N($G92))</f>
        <v/>
      </c>
      <c r="I92" s="18" t="n"/>
      <c r="J92" s="21">
        <f>IF(OR($H92="",$I92=""),"",$H92-$I92)</f>
        <v/>
      </c>
      <c r="K92" s="16">
        <f>IF($H92="","",IFERROR(IF(INDEX(Vinos!$J$2:$J$301,MATCH($B92,Vinos!$A$2:$A$301,0))="","",$H92*INDEX(Vinos!$J$2:$J$301,MATCH($B92,Vinos!$A$2:$A$301,0))),""))</f>
        <v/>
      </c>
      <c r="L92" s="16">
        <f>IF($H92="","",IFERROR(IF(INDEX(Vinos!$K$2:$K$301,MATCH($B92,Vinos!$A$2:$A$301,0))="","",$H92*INDEX(Vinos!$K$2:$K$301,MATCH($B92,Vinos!$A$2:$A$301,0))),""))</f>
        <v/>
      </c>
      <c r="M92" s="21">
        <f>IF(OR($A92="",$B92=""),"",SUMIFS($H$2:$H$2001,$A$2:$A$2001,$A92,$B$2:$B$2001,$B92))</f>
        <v/>
      </c>
      <c r="N92" s="20">
        <f>IF($M92="","",IF($M92&lt;=0,"Sin stock: reponer ya",IF($M92&lt;IFERROR(N(INDEX(Vinos!$N$2:$N$301,MATCH($B92,Vinos!$A$2:$A$301,0))),0),"Bajo mínimo: reponer","OK")))</f>
        <v/>
      </c>
      <c r="O92" s="14" t="n"/>
      <c r="P92" s="14" t="n"/>
      <c r="Q92" s="20">
        <f>IF($B92="","",IFERROR(INDEX(Vinos!$C$2:$C$301,MATCH($B92,Vinos!$A$2:$A$301,0)),""))</f>
        <v/>
      </c>
      <c r="R92" s="20">
        <f>IF(OR($A92="",$A92&lt;&gt;'Resumen del inventario'!$C$3,$N92="",$N92="OK"),"",IF(COUNTIFS($A$2:$A92,$A92,$B$2:$B92,$B92)=1,1,""))</f>
        <v/>
      </c>
      <c r="S92" s="20">
        <f>IF($R92=1,COUNTIF($R$2:$R92,1),"")</f>
        <v/>
      </c>
    </row>
    <row r="93">
      <c r="A93" s="19" t="n"/>
      <c r="B93" s="14" t="n"/>
      <c r="C93" s="20">
        <f>IF($B93="","",IFERROR(INDEX(Vinos!$B$2:$B$301,MATCH($B93,Vinos!$A$2:$A$301,0)),"Código no cargado"))</f>
        <v/>
      </c>
      <c r="D93" s="14" t="n"/>
      <c r="E93" s="14" t="n"/>
      <c r="F93" s="18" t="n"/>
      <c r="G93" s="18" t="n"/>
      <c r="H93" s="21">
        <f>IF(AND($F93="",$G93=""),"",N($F93)*IFERROR(N(INDEX(Vinos!$H$2:$H$301,MATCH($B93,Vinos!$A$2:$A$301,0))),0)+N($G93))</f>
        <v/>
      </c>
      <c r="I93" s="18" t="n"/>
      <c r="J93" s="21">
        <f>IF(OR($H93="",$I93=""),"",$H93-$I93)</f>
        <v/>
      </c>
      <c r="K93" s="16">
        <f>IF($H93="","",IFERROR(IF(INDEX(Vinos!$J$2:$J$301,MATCH($B93,Vinos!$A$2:$A$301,0))="","",$H93*INDEX(Vinos!$J$2:$J$301,MATCH($B93,Vinos!$A$2:$A$301,0))),""))</f>
        <v/>
      </c>
      <c r="L93" s="16">
        <f>IF($H93="","",IFERROR(IF(INDEX(Vinos!$K$2:$K$301,MATCH($B93,Vinos!$A$2:$A$301,0))="","",$H93*INDEX(Vinos!$K$2:$K$301,MATCH($B93,Vinos!$A$2:$A$301,0))),""))</f>
        <v/>
      </c>
      <c r="M93" s="21">
        <f>IF(OR($A93="",$B93=""),"",SUMIFS($H$2:$H$2001,$A$2:$A$2001,$A93,$B$2:$B$2001,$B93))</f>
        <v/>
      </c>
      <c r="N93" s="20">
        <f>IF($M93="","",IF($M93&lt;=0,"Sin stock: reponer ya",IF($M93&lt;IFERROR(N(INDEX(Vinos!$N$2:$N$301,MATCH($B93,Vinos!$A$2:$A$301,0))),0),"Bajo mínimo: reponer","OK")))</f>
        <v/>
      </c>
      <c r="O93" s="14" t="n"/>
      <c r="P93" s="14" t="n"/>
      <c r="Q93" s="20">
        <f>IF($B93="","",IFERROR(INDEX(Vinos!$C$2:$C$301,MATCH($B93,Vinos!$A$2:$A$301,0)),""))</f>
        <v/>
      </c>
      <c r="R93" s="20">
        <f>IF(OR($A93="",$A93&lt;&gt;'Resumen del inventario'!$C$3,$N93="",$N93="OK"),"",IF(COUNTIFS($A$2:$A93,$A93,$B$2:$B93,$B93)=1,1,""))</f>
        <v/>
      </c>
      <c r="S93" s="20">
        <f>IF($R93=1,COUNTIF($R$2:$R93,1),"")</f>
        <v/>
      </c>
    </row>
    <row r="94">
      <c r="A94" s="19" t="n"/>
      <c r="B94" s="14" t="n"/>
      <c r="C94" s="20">
        <f>IF($B94="","",IFERROR(INDEX(Vinos!$B$2:$B$301,MATCH($B94,Vinos!$A$2:$A$301,0)),"Código no cargado"))</f>
        <v/>
      </c>
      <c r="D94" s="14" t="n"/>
      <c r="E94" s="14" t="n"/>
      <c r="F94" s="18" t="n"/>
      <c r="G94" s="18" t="n"/>
      <c r="H94" s="21">
        <f>IF(AND($F94="",$G94=""),"",N($F94)*IFERROR(N(INDEX(Vinos!$H$2:$H$301,MATCH($B94,Vinos!$A$2:$A$301,0))),0)+N($G94))</f>
        <v/>
      </c>
      <c r="I94" s="18" t="n"/>
      <c r="J94" s="21">
        <f>IF(OR($H94="",$I94=""),"",$H94-$I94)</f>
        <v/>
      </c>
      <c r="K94" s="16">
        <f>IF($H94="","",IFERROR(IF(INDEX(Vinos!$J$2:$J$301,MATCH($B94,Vinos!$A$2:$A$301,0))="","",$H94*INDEX(Vinos!$J$2:$J$301,MATCH($B94,Vinos!$A$2:$A$301,0))),""))</f>
        <v/>
      </c>
      <c r="L94" s="16">
        <f>IF($H94="","",IFERROR(IF(INDEX(Vinos!$K$2:$K$301,MATCH($B94,Vinos!$A$2:$A$301,0))="","",$H94*INDEX(Vinos!$K$2:$K$301,MATCH($B94,Vinos!$A$2:$A$301,0))),""))</f>
        <v/>
      </c>
      <c r="M94" s="21">
        <f>IF(OR($A94="",$B94=""),"",SUMIFS($H$2:$H$2001,$A$2:$A$2001,$A94,$B$2:$B$2001,$B94))</f>
        <v/>
      </c>
      <c r="N94" s="20">
        <f>IF($M94="","",IF($M94&lt;=0,"Sin stock: reponer ya",IF($M94&lt;IFERROR(N(INDEX(Vinos!$N$2:$N$301,MATCH($B94,Vinos!$A$2:$A$301,0))),0),"Bajo mínimo: reponer","OK")))</f>
        <v/>
      </c>
      <c r="O94" s="14" t="n"/>
      <c r="P94" s="14" t="n"/>
      <c r="Q94" s="20">
        <f>IF($B94="","",IFERROR(INDEX(Vinos!$C$2:$C$301,MATCH($B94,Vinos!$A$2:$A$301,0)),""))</f>
        <v/>
      </c>
      <c r="R94" s="20">
        <f>IF(OR($A94="",$A94&lt;&gt;'Resumen del inventario'!$C$3,$N94="",$N94="OK"),"",IF(COUNTIFS($A$2:$A94,$A94,$B$2:$B94,$B94)=1,1,""))</f>
        <v/>
      </c>
      <c r="S94" s="20">
        <f>IF($R94=1,COUNTIF($R$2:$R94,1),"")</f>
        <v/>
      </c>
    </row>
    <row r="95">
      <c r="A95" s="19" t="n"/>
      <c r="B95" s="14" t="n"/>
      <c r="C95" s="20">
        <f>IF($B95="","",IFERROR(INDEX(Vinos!$B$2:$B$301,MATCH($B95,Vinos!$A$2:$A$301,0)),"Código no cargado"))</f>
        <v/>
      </c>
      <c r="D95" s="14" t="n"/>
      <c r="E95" s="14" t="n"/>
      <c r="F95" s="18" t="n"/>
      <c r="G95" s="18" t="n"/>
      <c r="H95" s="21">
        <f>IF(AND($F95="",$G95=""),"",N($F95)*IFERROR(N(INDEX(Vinos!$H$2:$H$301,MATCH($B95,Vinos!$A$2:$A$301,0))),0)+N($G95))</f>
        <v/>
      </c>
      <c r="I95" s="18" t="n"/>
      <c r="J95" s="21">
        <f>IF(OR($H95="",$I95=""),"",$H95-$I95)</f>
        <v/>
      </c>
      <c r="K95" s="16">
        <f>IF($H95="","",IFERROR(IF(INDEX(Vinos!$J$2:$J$301,MATCH($B95,Vinos!$A$2:$A$301,0))="","",$H95*INDEX(Vinos!$J$2:$J$301,MATCH($B95,Vinos!$A$2:$A$301,0))),""))</f>
        <v/>
      </c>
      <c r="L95" s="16">
        <f>IF($H95="","",IFERROR(IF(INDEX(Vinos!$K$2:$K$301,MATCH($B95,Vinos!$A$2:$A$301,0))="","",$H95*INDEX(Vinos!$K$2:$K$301,MATCH($B95,Vinos!$A$2:$A$301,0))),""))</f>
        <v/>
      </c>
      <c r="M95" s="21">
        <f>IF(OR($A95="",$B95=""),"",SUMIFS($H$2:$H$2001,$A$2:$A$2001,$A95,$B$2:$B$2001,$B95))</f>
        <v/>
      </c>
      <c r="N95" s="20">
        <f>IF($M95="","",IF($M95&lt;=0,"Sin stock: reponer ya",IF($M95&lt;IFERROR(N(INDEX(Vinos!$N$2:$N$301,MATCH($B95,Vinos!$A$2:$A$301,0))),0),"Bajo mínimo: reponer","OK")))</f>
        <v/>
      </c>
      <c r="O95" s="14" t="n"/>
      <c r="P95" s="14" t="n"/>
      <c r="Q95" s="20">
        <f>IF($B95="","",IFERROR(INDEX(Vinos!$C$2:$C$301,MATCH($B95,Vinos!$A$2:$A$301,0)),""))</f>
        <v/>
      </c>
      <c r="R95" s="20">
        <f>IF(OR($A95="",$A95&lt;&gt;'Resumen del inventario'!$C$3,$N95="",$N95="OK"),"",IF(COUNTIFS($A$2:$A95,$A95,$B$2:$B95,$B95)=1,1,""))</f>
        <v/>
      </c>
      <c r="S95" s="20">
        <f>IF($R95=1,COUNTIF($R$2:$R95,1),"")</f>
        <v/>
      </c>
    </row>
    <row r="96">
      <c r="A96" s="19" t="n"/>
      <c r="B96" s="14" t="n"/>
      <c r="C96" s="20">
        <f>IF($B96="","",IFERROR(INDEX(Vinos!$B$2:$B$301,MATCH($B96,Vinos!$A$2:$A$301,0)),"Código no cargado"))</f>
        <v/>
      </c>
      <c r="D96" s="14" t="n"/>
      <c r="E96" s="14" t="n"/>
      <c r="F96" s="18" t="n"/>
      <c r="G96" s="18" t="n"/>
      <c r="H96" s="21">
        <f>IF(AND($F96="",$G96=""),"",N($F96)*IFERROR(N(INDEX(Vinos!$H$2:$H$301,MATCH($B96,Vinos!$A$2:$A$301,0))),0)+N($G96))</f>
        <v/>
      </c>
      <c r="I96" s="18" t="n"/>
      <c r="J96" s="21">
        <f>IF(OR($H96="",$I96=""),"",$H96-$I96)</f>
        <v/>
      </c>
      <c r="K96" s="16">
        <f>IF($H96="","",IFERROR(IF(INDEX(Vinos!$J$2:$J$301,MATCH($B96,Vinos!$A$2:$A$301,0))="","",$H96*INDEX(Vinos!$J$2:$J$301,MATCH($B96,Vinos!$A$2:$A$301,0))),""))</f>
        <v/>
      </c>
      <c r="L96" s="16">
        <f>IF($H96="","",IFERROR(IF(INDEX(Vinos!$K$2:$K$301,MATCH($B96,Vinos!$A$2:$A$301,0))="","",$H96*INDEX(Vinos!$K$2:$K$301,MATCH($B96,Vinos!$A$2:$A$301,0))),""))</f>
        <v/>
      </c>
      <c r="M96" s="21">
        <f>IF(OR($A96="",$B96=""),"",SUMIFS($H$2:$H$2001,$A$2:$A$2001,$A96,$B$2:$B$2001,$B96))</f>
        <v/>
      </c>
      <c r="N96" s="20">
        <f>IF($M96="","",IF($M96&lt;=0,"Sin stock: reponer ya",IF($M96&lt;IFERROR(N(INDEX(Vinos!$N$2:$N$301,MATCH($B96,Vinos!$A$2:$A$301,0))),0),"Bajo mínimo: reponer","OK")))</f>
        <v/>
      </c>
      <c r="O96" s="14" t="n"/>
      <c r="P96" s="14" t="n"/>
      <c r="Q96" s="20">
        <f>IF($B96="","",IFERROR(INDEX(Vinos!$C$2:$C$301,MATCH($B96,Vinos!$A$2:$A$301,0)),""))</f>
        <v/>
      </c>
      <c r="R96" s="20">
        <f>IF(OR($A96="",$A96&lt;&gt;'Resumen del inventario'!$C$3,$N96="",$N96="OK"),"",IF(COUNTIFS($A$2:$A96,$A96,$B$2:$B96,$B96)=1,1,""))</f>
        <v/>
      </c>
      <c r="S96" s="20">
        <f>IF($R96=1,COUNTIF($R$2:$R96,1),"")</f>
        <v/>
      </c>
    </row>
    <row r="97">
      <c r="A97" s="19" t="n"/>
      <c r="B97" s="14" t="n"/>
      <c r="C97" s="20">
        <f>IF($B97="","",IFERROR(INDEX(Vinos!$B$2:$B$301,MATCH($B97,Vinos!$A$2:$A$301,0)),"Código no cargado"))</f>
        <v/>
      </c>
      <c r="D97" s="14" t="n"/>
      <c r="E97" s="14" t="n"/>
      <c r="F97" s="18" t="n"/>
      <c r="G97" s="18" t="n"/>
      <c r="H97" s="21">
        <f>IF(AND($F97="",$G97=""),"",N($F97)*IFERROR(N(INDEX(Vinos!$H$2:$H$301,MATCH($B97,Vinos!$A$2:$A$301,0))),0)+N($G97))</f>
        <v/>
      </c>
      <c r="I97" s="18" t="n"/>
      <c r="J97" s="21">
        <f>IF(OR($H97="",$I97=""),"",$H97-$I97)</f>
        <v/>
      </c>
      <c r="K97" s="16">
        <f>IF($H97="","",IFERROR(IF(INDEX(Vinos!$J$2:$J$301,MATCH($B97,Vinos!$A$2:$A$301,0))="","",$H97*INDEX(Vinos!$J$2:$J$301,MATCH($B97,Vinos!$A$2:$A$301,0))),""))</f>
        <v/>
      </c>
      <c r="L97" s="16">
        <f>IF($H97="","",IFERROR(IF(INDEX(Vinos!$K$2:$K$301,MATCH($B97,Vinos!$A$2:$A$301,0))="","",$H97*INDEX(Vinos!$K$2:$K$301,MATCH($B97,Vinos!$A$2:$A$301,0))),""))</f>
        <v/>
      </c>
      <c r="M97" s="21">
        <f>IF(OR($A97="",$B97=""),"",SUMIFS($H$2:$H$2001,$A$2:$A$2001,$A97,$B$2:$B$2001,$B97))</f>
        <v/>
      </c>
      <c r="N97" s="20">
        <f>IF($M97="","",IF($M97&lt;=0,"Sin stock: reponer ya",IF($M97&lt;IFERROR(N(INDEX(Vinos!$N$2:$N$301,MATCH($B97,Vinos!$A$2:$A$301,0))),0),"Bajo mínimo: reponer","OK")))</f>
        <v/>
      </c>
      <c r="O97" s="14" t="n"/>
      <c r="P97" s="14" t="n"/>
      <c r="Q97" s="20">
        <f>IF($B97="","",IFERROR(INDEX(Vinos!$C$2:$C$301,MATCH($B97,Vinos!$A$2:$A$301,0)),""))</f>
        <v/>
      </c>
      <c r="R97" s="20">
        <f>IF(OR($A97="",$A97&lt;&gt;'Resumen del inventario'!$C$3,$N97="",$N97="OK"),"",IF(COUNTIFS($A$2:$A97,$A97,$B$2:$B97,$B97)=1,1,""))</f>
        <v/>
      </c>
      <c r="S97" s="20">
        <f>IF($R97=1,COUNTIF($R$2:$R97,1),"")</f>
        <v/>
      </c>
    </row>
    <row r="98">
      <c r="A98" s="19" t="n"/>
      <c r="B98" s="14" t="n"/>
      <c r="C98" s="20">
        <f>IF($B98="","",IFERROR(INDEX(Vinos!$B$2:$B$301,MATCH($B98,Vinos!$A$2:$A$301,0)),"Código no cargado"))</f>
        <v/>
      </c>
      <c r="D98" s="14" t="n"/>
      <c r="E98" s="14" t="n"/>
      <c r="F98" s="18" t="n"/>
      <c r="G98" s="18" t="n"/>
      <c r="H98" s="21">
        <f>IF(AND($F98="",$G98=""),"",N($F98)*IFERROR(N(INDEX(Vinos!$H$2:$H$301,MATCH($B98,Vinos!$A$2:$A$301,0))),0)+N($G98))</f>
        <v/>
      </c>
      <c r="I98" s="18" t="n"/>
      <c r="J98" s="21">
        <f>IF(OR($H98="",$I98=""),"",$H98-$I98)</f>
        <v/>
      </c>
      <c r="K98" s="16">
        <f>IF($H98="","",IFERROR(IF(INDEX(Vinos!$J$2:$J$301,MATCH($B98,Vinos!$A$2:$A$301,0))="","",$H98*INDEX(Vinos!$J$2:$J$301,MATCH($B98,Vinos!$A$2:$A$301,0))),""))</f>
        <v/>
      </c>
      <c r="L98" s="16">
        <f>IF($H98="","",IFERROR(IF(INDEX(Vinos!$K$2:$K$301,MATCH($B98,Vinos!$A$2:$A$301,0))="","",$H98*INDEX(Vinos!$K$2:$K$301,MATCH($B98,Vinos!$A$2:$A$301,0))),""))</f>
        <v/>
      </c>
      <c r="M98" s="21">
        <f>IF(OR($A98="",$B98=""),"",SUMIFS($H$2:$H$2001,$A$2:$A$2001,$A98,$B$2:$B$2001,$B98))</f>
        <v/>
      </c>
      <c r="N98" s="20">
        <f>IF($M98="","",IF($M98&lt;=0,"Sin stock: reponer ya",IF($M98&lt;IFERROR(N(INDEX(Vinos!$N$2:$N$301,MATCH($B98,Vinos!$A$2:$A$301,0))),0),"Bajo mínimo: reponer","OK")))</f>
        <v/>
      </c>
      <c r="O98" s="14" t="n"/>
      <c r="P98" s="14" t="n"/>
      <c r="Q98" s="20">
        <f>IF($B98="","",IFERROR(INDEX(Vinos!$C$2:$C$301,MATCH($B98,Vinos!$A$2:$A$301,0)),""))</f>
        <v/>
      </c>
      <c r="R98" s="20">
        <f>IF(OR($A98="",$A98&lt;&gt;'Resumen del inventario'!$C$3,$N98="",$N98="OK"),"",IF(COUNTIFS($A$2:$A98,$A98,$B$2:$B98,$B98)=1,1,""))</f>
        <v/>
      </c>
      <c r="S98" s="20">
        <f>IF($R98=1,COUNTIF($R$2:$R98,1),"")</f>
        <v/>
      </c>
    </row>
    <row r="99">
      <c r="A99" s="19" t="n"/>
      <c r="B99" s="14" t="n"/>
      <c r="C99" s="20">
        <f>IF($B99="","",IFERROR(INDEX(Vinos!$B$2:$B$301,MATCH($B99,Vinos!$A$2:$A$301,0)),"Código no cargado"))</f>
        <v/>
      </c>
      <c r="D99" s="14" t="n"/>
      <c r="E99" s="14" t="n"/>
      <c r="F99" s="18" t="n"/>
      <c r="G99" s="18" t="n"/>
      <c r="H99" s="21">
        <f>IF(AND($F99="",$G99=""),"",N($F99)*IFERROR(N(INDEX(Vinos!$H$2:$H$301,MATCH($B99,Vinos!$A$2:$A$301,0))),0)+N($G99))</f>
        <v/>
      </c>
      <c r="I99" s="18" t="n"/>
      <c r="J99" s="21">
        <f>IF(OR($H99="",$I99=""),"",$H99-$I99)</f>
        <v/>
      </c>
      <c r="K99" s="16">
        <f>IF($H99="","",IFERROR(IF(INDEX(Vinos!$J$2:$J$301,MATCH($B99,Vinos!$A$2:$A$301,0))="","",$H99*INDEX(Vinos!$J$2:$J$301,MATCH($B99,Vinos!$A$2:$A$301,0))),""))</f>
        <v/>
      </c>
      <c r="L99" s="16">
        <f>IF($H99="","",IFERROR(IF(INDEX(Vinos!$K$2:$K$301,MATCH($B99,Vinos!$A$2:$A$301,0))="","",$H99*INDEX(Vinos!$K$2:$K$301,MATCH($B99,Vinos!$A$2:$A$301,0))),""))</f>
        <v/>
      </c>
      <c r="M99" s="21">
        <f>IF(OR($A99="",$B99=""),"",SUMIFS($H$2:$H$2001,$A$2:$A$2001,$A99,$B$2:$B$2001,$B99))</f>
        <v/>
      </c>
      <c r="N99" s="20">
        <f>IF($M99="","",IF($M99&lt;=0,"Sin stock: reponer ya",IF($M99&lt;IFERROR(N(INDEX(Vinos!$N$2:$N$301,MATCH($B99,Vinos!$A$2:$A$301,0))),0),"Bajo mínimo: reponer","OK")))</f>
        <v/>
      </c>
      <c r="O99" s="14" t="n"/>
      <c r="P99" s="14" t="n"/>
      <c r="Q99" s="20">
        <f>IF($B99="","",IFERROR(INDEX(Vinos!$C$2:$C$301,MATCH($B99,Vinos!$A$2:$A$301,0)),""))</f>
        <v/>
      </c>
      <c r="R99" s="20">
        <f>IF(OR($A99="",$A99&lt;&gt;'Resumen del inventario'!$C$3,$N99="",$N99="OK"),"",IF(COUNTIFS($A$2:$A99,$A99,$B$2:$B99,$B99)=1,1,""))</f>
        <v/>
      </c>
      <c r="S99" s="20">
        <f>IF($R99=1,COUNTIF($R$2:$R99,1),"")</f>
        <v/>
      </c>
    </row>
    <row r="100">
      <c r="A100" s="19" t="n"/>
      <c r="B100" s="14" t="n"/>
      <c r="C100" s="20">
        <f>IF($B100="","",IFERROR(INDEX(Vinos!$B$2:$B$301,MATCH($B100,Vinos!$A$2:$A$301,0)),"Código no cargado"))</f>
        <v/>
      </c>
      <c r="D100" s="14" t="n"/>
      <c r="E100" s="14" t="n"/>
      <c r="F100" s="18" t="n"/>
      <c r="G100" s="18" t="n"/>
      <c r="H100" s="21">
        <f>IF(AND($F100="",$G100=""),"",N($F100)*IFERROR(N(INDEX(Vinos!$H$2:$H$301,MATCH($B100,Vinos!$A$2:$A$301,0))),0)+N($G100))</f>
        <v/>
      </c>
      <c r="I100" s="18" t="n"/>
      <c r="J100" s="21">
        <f>IF(OR($H100="",$I100=""),"",$H100-$I100)</f>
        <v/>
      </c>
      <c r="K100" s="16">
        <f>IF($H100="","",IFERROR(IF(INDEX(Vinos!$J$2:$J$301,MATCH($B100,Vinos!$A$2:$A$301,0))="","",$H100*INDEX(Vinos!$J$2:$J$301,MATCH($B100,Vinos!$A$2:$A$301,0))),""))</f>
        <v/>
      </c>
      <c r="L100" s="16">
        <f>IF($H100="","",IFERROR(IF(INDEX(Vinos!$K$2:$K$301,MATCH($B100,Vinos!$A$2:$A$301,0))="","",$H100*INDEX(Vinos!$K$2:$K$301,MATCH($B100,Vinos!$A$2:$A$301,0))),""))</f>
        <v/>
      </c>
      <c r="M100" s="21">
        <f>IF(OR($A100="",$B100=""),"",SUMIFS($H$2:$H$2001,$A$2:$A$2001,$A100,$B$2:$B$2001,$B100))</f>
        <v/>
      </c>
      <c r="N100" s="20">
        <f>IF($M100="","",IF($M100&lt;=0,"Sin stock: reponer ya",IF($M100&lt;IFERROR(N(INDEX(Vinos!$N$2:$N$301,MATCH($B100,Vinos!$A$2:$A$301,0))),0),"Bajo mínimo: reponer","OK")))</f>
        <v/>
      </c>
      <c r="O100" s="14" t="n"/>
      <c r="P100" s="14" t="n"/>
      <c r="Q100" s="20">
        <f>IF($B100="","",IFERROR(INDEX(Vinos!$C$2:$C$301,MATCH($B100,Vinos!$A$2:$A$301,0)),""))</f>
        <v/>
      </c>
      <c r="R100" s="20">
        <f>IF(OR($A100="",$A100&lt;&gt;'Resumen del inventario'!$C$3,$N100="",$N100="OK"),"",IF(COUNTIFS($A$2:$A100,$A100,$B$2:$B100,$B100)=1,1,""))</f>
        <v/>
      </c>
      <c r="S100" s="20">
        <f>IF($R100=1,COUNTIF($R$2:$R100,1),"")</f>
        <v/>
      </c>
    </row>
    <row r="101">
      <c r="A101" s="19" t="n"/>
      <c r="B101" s="14" t="n"/>
      <c r="C101" s="20">
        <f>IF($B101="","",IFERROR(INDEX(Vinos!$B$2:$B$301,MATCH($B101,Vinos!$A$2:$A$301,0)),"Código no cargado"))</f>
        <v/>
      </c>
      <c r="D101" s="14" t="n"/>
      <c r="E101" s="14" t="n"/>
      <c r="F101" s="18" t="n"/>
      <c r="G101" s="18" t="n"/>
      <c r="H101" s="21">
        <f>IF(AND($F101="",$G101=""),"",N($F101)*IFERROR(N(INDEX(Vinos!$H$2:$H$301,MATCH($B101,Vinos!$A$2:$A$301,0))),0)+N($G101))</f>
        <v/>
      </c>
      <c r="I101" s="18" t="n"/>
      <c r="J101" s="21">
        <f>IF(OR($H101="",$I101=""),"",$H101-$I101)</f>
        <v/>
      </c>
      <c r="K101" s="16">
        <f>IF($H101="","",IFERROR(IF(INDEX(Vinos!$J$2:$J$301,MATCH($B101,Vinos!$A$2:$A$301,0))="","",$H101*INDEX(Vinos!$J$2:$J$301,MATCH($B101,Vinos!$A$2:$A$301,0))),""))</f>
        <v/>
      </c>
      <c r="L101" s="16">
        <f>IF($H101="","",IFERROR(IF(INDEX(Vinos!$K$2:$K$301,MATCH($B101,Vinos!$A$2:$A$301,0))="","",$H101*INDEX(Vinos!$K$2:$K$301,MATCH($B101,Vinos!$A$2:$A$301,0))),""))</f>
        <v/>
      </c>
      <c r="M101" s="21">
        <f>IF(OR($A101="",$B101=""),"",SUMIFS($H$2:$H$2001,$A$2:$A$2001,$A101,$B$2:$B$2001,$B101))</f>
        <v/>
      </c>
      <c r="N101" s="20">
        <f>IF($M101="","",IF($M101&lt;=0,"Sin stock: reponer ya",IF($M101&lt;IFERROR(N(INDEX(Vinos!$N$2:$N$301,MATCH($B101,Vinos!$A$2:$A$301,0))),0),"Bajo mínimo: reponer","OK")))</f>
        <v/>
      </c>
      <c r="O101" s="14" t="n"/>
      <c r="P101" s="14" t="n"/>
      <c r="Q101" s="20">
        <f>IF($B101="","",IFERROR(INDEX(Vinos!$C$2:$C$301,MATCH($B101,Vinos!$A$2:$A$301,0)),""))</f>
        <v/>
      </c>
      <c r="R101" s="20">
        <f>IF(OR($A101="",$A101&lt;&gt;'Resumen del inventario'!$C$3,$N101="",$N101="OK"),"",IF(COUNTIFS($A$2:$A101,$A101,$B$2:$B101,$B101)=1,1,""))</f>
        <v/>
      </c>
      <c r="S101" s="20">
        <f>IF($R101=1,COUNTIF($R$2:$R101,1),"")</f>
        <v/>
      </c>
    </row>
    <row r="102">
      <c r="A102" s="19" t="n"/>
      <c r="B102" s="14" t="n"/>
      <c r="C102" s="20">
        <f>IF($B102="","",IFERROR(INDEX(Vinos!$B$2:$B$301,MATCH($B102,Vinos!$A$2:$A$301,0)),"Código no cargado"))</f>
        <v/>
      </c>
      <c r="D102" s="14" t="n"/>
      <c r="E102" s="14" t="n"/>
      <c r="F102" s="18" t="n"/>
      <c r="G102" s="18" t="n"/>
      <c r="H102" s="21">
        <f>IF(AND($F102="",$G102=""),"",N($F102)*IFERROR(N(INDEX(Vinos!$H$2:$H$301,MATCH($B102,Vinos!$A$2:$A$301,0))),0)+N($G102))</f>
        <v/>
      </c>
      <c r="I102" s="18" t="n"/>
      <c r="J102" s="21">
        <f>IF(OR($H102="",$I102=""),"",$H102-$I102)</f>
        <v/>
      </c>
      <c r="K102" s="16">
        <f>IF($H102="","",IFERROR(IF(INDEX(Vinos!$J$2:$J$301,MATCH($B102,Vinos!$A$2:$A$301,0))="","",$H102*INDEX(Vinos!$J$2:$J$301,MATCH($B102,Vinos!$A$2:$A$301,0))),""))</f>
        <v/>
      </c>
      <c r="L102" s="16">
        <f>IF($H102="","",IFERROR(IF(INDEX(Vinos!$K$2:$K$301,MATCH($B102,Vinos!$A$2:$A$301,0))="","",$H102*INDEX(Vinos!$K$2:$K$301,MATCH($B102,Vinos!$A$2:$A$301,0))),""))</f>
        <v/>
      </c>
      <c r="M102" s="21">
        <f>IF(OR($A102="",$B102=""),"",SUMIFS($H$2:$H$2001,$A$2:$A$2001,$A102,$B$2:$B$2001,$B102))</f>
        <v/>
      </c>
      <c r="N102" s="20">
        <f>IF($M102="","",IF($M102&lt;=0,"Sin stock: reponer ya",IF($M102&lt;IFERROR(N(INDEX(Vinos!$N$2:$N$301,MATCH($B102,Vinos!$A$2:$A$301,0))),0),"Bajo mínimo: reponer","OK")))</f>
        <v/>
      </c>
      <c r="O102" s="14" t="n"/>
      <c r="P102" s="14" t="n"/>
      <c r="Q102" s="20">
        <f>IF($B102="","",IFERROR(INDEX(Vinos!$C$2:$C$301,MATCH($B102,Vinos!$A$2:$A$301,0)),""))</f>
        <v/>
      </c>
      <c r="R102" s="20">
        <f>IF(OR($A102="",$A102&lt;&gt;'Resumen del inventario'!$C$3,$N102="",$N102="OK"),"",IF(COUNTIFS($A$2:$A102,$A102,$B$2:$B102,$B102)=1,1,""))</f>
        <v/>
      </c>
      <c r="S102" s="20">
        <f>IF($R102=1,COUNTIF($R$2:$R102,1),"")</f>
        <v/>
      </c>
    </row>
    <row r="103">
      <c r="A103" s="19" t="n"/>
      <c r="B103" s="14" t="n"/>
      <c r="C103" s="20">
        <f>IF($B103="","",IFERROR(INDEX(Vinos!$B$2:$B$301,MATCH($B103,Vinos!$A$2:$A$301,0)),"Código no cargado"))</f>
        <v/>
      </c>
      <c r="D103" s="14" t="n"/>
      <c r="E103" s="14" t="n"/>
      <c r="F103" s="18" t="n"/>
      <c r="G103" s="18" t="n"/>
      <c r="H103" s="21">
        <f>IF(AND($F103="",$G103=""),"",N($F103)*IFERROR(N(INDEX(Vinos!$H$2:$H$301,MATCH($B103,Vinos!$A$2:$A$301,0))),0)+N($G103))</f>
        <v/>
      </c>
      <c r="I103" s="18" t="n"/>
      <c r="J103" s="21">
        <f>IF(OR($H103="",$I103=""),"",$H103-$I103)</f>
        <v/>
      </c>
      <c r="K103" s="16">
        <f>IF($H103="","",IFERROR(IF(INDEX(Vinos!$J$2:$J$301,MATCH($B103,Vinos!$A$2:$A$301,0))="","",$H103*INDEX(Vinos!$J$2:$J$301,MATCH($B103,Vinos!$A$2:$A$301,0))),""))</f>
        <v/>
      </c>
      <c r="L103" s="16">
        <f>IF($H103="","",IFERROR(IF(INDEX(Vinos!$K$2:$K$301,MATCH($B103,Vinos!$A$2:$A$301,0))="","",$H103*INDEX(Vinos!$K$2:$K$301,MATCH($B103,Vinos!$A$2:$A$301,0))),""))</f>
        <v/>
      </c>
      <c r="M103" s="21">
        <f>IF(OR($A103="",$B103=""),"",SUMIFS($H$2:$H$2001,$A$2:$A$2001,$A103,$B$2:$B$2001,$B103))</f>
        <v/>
      </c>
      <c r="N103" s="20">
        <f>IF($M103="","",IF($M103&lt;=0,"Sin stock: reponer ya",IF($M103&lt;IFERROR(N(INDEX(Vinos!$N$2:$N$301,MATCH($B103,Vinos!$A$2:$A$301,0))),0),"Bajo mínimo: reponer","OK")))</f>
        <v/>
      </c>
      <c r="O103" s="14" t="n"/>
      <c r="P103" s="14" t="n"/>
      <c r="Q103" s="20">
        <f>IF($B103="","",IFERROR(INDEX(Vinos!$C$2:$C$301,MATCH($B103,Vinos!$A$2:$A$301,0)),""))</f>
        <v/>
      </c>
      <c r="R103" s="20">
        <f>IF(OR($A103="",$A103&lt;&gt;'Resumen del inventario'!$C$3,$N103="",$N103="OK"),"",IF(COUNTIFS($A$2:$A103,$A103,$B$2:$B103,$B103)=1,1,""))</f>
        <v/>
      </c>
      <c r="S103" s="20">
        <f>IF($R103=1,COUNTIF($R$2:$R103,1),"")</f>
        <v/>
      </c>
    </row>
    <row r="104">
      <c r="A104" s="19" t="n"/>
      <c r="B104" s="14" t="n"/>
      <c r="C104" s="20">
        <f>IF($B104="","",IFERROR(INDEX(Vinos!$B$2:$B$301,MATCH($B104,Vinos!$A$2:$A$301,0)),"Código no cargado"))</f>
        <v/>
      </c>
      <c r="D104" s="14" t="n"/>
      <c r="E104" s="14" t="n"/>
      <c r="F104" s="18" t="n"/>
      <c r="G104" s="18" t="n"/>
      <c r="H104" s="21">
        <f>IF(AND($F104="",$G104=""),"",N($F104)*IFERROR(N(INDEX(Vinos!$H$2:$H$301,MATCH($B104,Vinos!$A$2:$A$301,0))),0)+N($G104))</f>
        <v/>
      </c>
      <c r="I104" s="18" t="n"/>
      <c r="J104" s="21">
        <f>IF(OR($H104="",$I104=""),"",$H104-$I104)</f>
        <v/>
      </c>
      <c r="K104" s="16">
        <f>IF($H104="","",IFERROR(IF(INDEX(Vinos!$J$2:$J$301,MATCH($B104,Vinos!$A$2:$A$301,0))="","",$H104*INDEX(Vinos!$J$2:$J$301,MATCH($B104,Vinos!$A$2:$A$301,0))),""))</f>
        <v/>
      </c>
      <c r="L104" s="16">
        <f>IF($H104="","",IFERROR(IF(INDEX(Vinos!$K$2:$K$301,MATCH($B104,Vinos!$A$2:$A$301,0))="","",$H104*INDEX(Vinos!$K$2:$K$301,MATCH($B104,Vinos!$A$2:$A$301,0))),""))</f>
        <v/>
      </c>
      <c r="M104" s="21">
        <f>IF(OR($A104="",$B104=""),"",SUMIFS($H$2:$H$2001,$A$2:$A$2001,$A104,$B$2:$B$2001,$B104))</f>
        <v/>
      </c>
      <c r="N104" s="20">
        <f>IF($M104="","",IF($M104&lt;=0,"Sin stock: reponer ya",IF($M104&lt;IFERROR(N(INDEX(Vinos!$N$2:$N$301,MATCH($B104,Vinos!$A$2:$A$301,0))),0),"Bajo mínimo: reponer","OK")))</f>
        <v/>
      </c>
      <c r="O104" s="14" t="n"/>
      <c r="P104" s="14" t="n"/>
      <c r="Q104" s="20">
        <f>IF($B104="","",IFERROR(INDEX(Vinos!$C$2:$C$301,MATCH($B104,Vinos!$A$2:$A$301,0)),""))</f>
        <v/>
      </c>
      <c r="R104" s="20">
        <f>IF(OR($A104="",$A104&lt;&gt;'Resumen del inventario'!$C$3,$N104="",$N104="OK"),"",IF(COUNTIFS($A$2:$A104,$A104,$B$2:$B104,$B104)=1,1,""))</f>
        <v/>
      </c>
      <c r="S104" s="20">
        <f>IF($R104=1,COUNTIF($R$2:$R104,1),"")</f>
        <v/>
      </c>
    </row>
    <row r="105">
      <c r="A105" s="19" t="n"/>
      <c r="B105" s="14" t="n"/>
      <c r="C105" s="20">
        <f>IF($B105="","",IFERROR(INDEX(Vinos!$B$2:$B$301,MATCH($B105,Vinos!$A$2:$A$301,0)),"Código no cargado"))</f>
        <v/>
      </c>
      <c r="D105" s="14" t="n"/>
      <c r="E105" s="14" t="n"/>
      <c r="F105" s="18" t="n"/>
      <c r="G105" s="18" t="n"/>
      <c r="H105" s="21">
        <f>IF(AND($F105="",$G105=""),"",N($F105)*IFERROR(N(INDEX(Vinos!$H$2:$H$301,MATCH($B105,Vinos!$A$2:$A$301,0))),0)+N($G105))</f>
        <v/>
      </c>
      <c r="I105" s="18" t="n"/>
      <c r="J105" s="21">
        <f>IF(OR($H105="",$I105=""),"",$H105-$I105)</f>
        <v/>
      </c>
      <c r="K105" s="16">
        <f>IF($H105="","",IFERROR(IF(INDEX(Vinos!$J$2:$J$301,MATCH($B105,Vinos!$A$2:$A$301,0))="","",$H105*INDEX(Vinos!$J$2:$J$301,MATCH($B105,Vinos!$A$2:$A$301,0))),""))</f>
        <v/>
      </c>
      <c r="L105" s="16">
        <f>IF($H105="","",IFERROR(IF(INDEX(Vinos!$K$2:$K$301,MATCH($B105,Vinos!$A$2:$A$301,0))="","",$H105*INDEX(Vinos!$K$2:$K$301,MATCH($B105,Vinos!$A$2:$A$301,0))),""))</f>
        <v/>
      </c>
      <c r="M105" s="21">
        <f>IF(OR($A105="",$B105=""),"",SUMIFS($H$2:$H$2001,$A$2:$A$2001,$A105,$B$2:$B$2001,$B105))</f>
        <v/>
      </c>
      <c r="N105" s="20">
        <f>IF($M105="","",IF($M105&lt;=0,"Sin stock: reponer ya",IF($M105&lt;IFERROR(N(INDEX(Vinos!$N$2:$N$301,MATCH($B105,Vinos!$A$2:$A$301,0))),0),"Bajo mínimo: reponer","OK")))</f>
        <v/>
      </c>
      <c r="O105" s="14" t="n"/>
      <c r="P105" s="14" t="n"/>
      <c r="Q105" s="20">
        <f>IF($B105="","",IFERROR(INDEX(Vinos!$C$2:$C$301,MATCH($B105,Vinos!$A$2:$A$301,0)),""))</f>
        <v/>
      </c>
      <c r="R105" s="20">
        <f>IF(OR($A105="",$A105&lt;&gt;'Resumen del inventario'!$C$3,$N105="",$N105="OK"),"",IF(COUNTIFS($A$2:$A105,$A105,$B$2:$B105,$B105)=1,1,""))</f>
        <v/>
      </c>
      <c r="S105" s="20">
        <f>IF($R105=1,COUNTIF($R$2:$R105,1),"")</f>
        <v/>
      </c>
    </row>
    <row r="106">
      <c r="A106" s="19" t="n"/>
      <c r="B106" s="14" t="n"/>
      <c r="C106" s="20">
        <f>IF($B106="","",IFERROR(INDEX(Vinos!$B$2:$B$301,MATCH($B106,Vinos!$A$2:$A$301,0)),"Código no cargado"))</f>
        <v/>
      </c>
      <c r="D106" s="14" t="n"/>
      <c r="E106" s="14" t="n"/>
      <c r="F106" s="18" t="n"/>
      <c r="G106" s="18" t="n"/>
      <c r="H106" s="21">
        <f>IF(AND($F106="",$G106=""),"",N($F106)*IFERROR(N(INDEX(Vinos!$H$2:$H$301,MATCH($B106,Vinos!$A$2:$A$301,0))),0)+N($G106))</f>
        <v/>
      </c>
      <c r="I106" s="18" t="n"/>
      <c r="J106" s="21">
        <f>IF(OR($H106="",$I106=""),"",$H106-$I106)</f>
        <v/>
      </c>
      <c r="K106" s="16">
        <f>IF($H106="","",IFERROR(IF(INDEX(Vinos!$J$2:$J$301,MATCH($B106,Vinos!$A$2:$A$301,0))="","",$H106*INDEX(Vinos!$J$2:$J$301,MATCH($B106,Vinos!$A$2:$A$301,0))),""))</f>
        <v/>
      </c>
      <c r="L106" s="16">
        <f>IF($H106="","",IFERROR(IF(INDEX(Vinos!$K$2:$K$301,MATCH($B106,Vinos!$A$2:$A$301,0))="","",$H106*INDEX(Vinos!$K$2:$K$301,MATCH($B106,Vinos!$A$2:$A$301,0))),""))</f>
        <v/>
      </c>
      <c r="M106" s="21">
        <f>IF(OR($A106="",$B106=""),"",SUMIFS($H$2:$H$2001,$A$2:$A$2001,$A106,$B$2:$B$2001,$B106))</f>
        <v/>
      </c>
      <c r="N106" s="20">
        <f>IF($M106="","",IF($M106&lt;=0,"Sin stock: reponer ya",IF($M106&lt;IFERROR(N(INDEX(Vinos!$N$2:$N$301,MATCH($B106,Vinos!$A$2:$A$301,0))),0),"Bajo mínimo: reponer","OK")))</f>
        <v/>
      </c>
      <c r="O106" s="14" t="n"/>
      <c r="P106" s="14" t="n"/>
      <c r="Q106" s="20">
        <f>IF($B106="","",IFERROR(INDEX(Vinos!$C$2:$C$301,MATCH($B106,Vinos!$A$2:$A$301,0)),""))</f>
        <v/>
      </c>
      <c r="R106" s="20">
        <f>IF(OR($A106="",$A106&lt;&gt;'Resumen del inventario'!$C$3,$N106="",$N106="OK"),"",IF(COUNTIFS($A$2:$A106,$A106,$B$2:$B106,$B106)=1,1,""))</f>
        <v/>
      </c>
      <c r="S106" s="20">
        <f>IF($R106=1,COUNTIF($R$2:$R106,1),"")</f>
        <v/>
      </c>
    </row>
    <row r="107">
      <c r="A107" s="19" t="n"/>
      <c r="B107" s="14" t="n"/>
      <c r="C107" s="20">
        <f>IF($B107="","",IFERROR(INDEX(Vinos!$B$2:$B$301,MATCH($B107,Vinos!$A$2:$A$301,0)),"Código no cargado"))</f>
        <v/>
      </c>
      <c r="D107" s="14" t="n"/>
      <c r="E107" s="14" t="n"/>
      <c r="F107" s="18" t="n"/>
      <c r="G107" s="18" t="n"/>
      <c r="H107" s="21">
        <f>IF(AND($F107="",$G107=""),"",N($F107)*IFERROR(N(INDEX(Vinos!$H$2:$H$301,MATCH($B107,Vinos!$A$2:$A$301,0))),0)+N($G107))</f>
        <v/>
      </c>
      <c r="I107" s="18" t="n"/>
      <c r="J107" s="21">
        <f>IF(OR($H107="",$I107=""),"",$H107-$I107)</f>
        <v/>
      </c>
      <c r="K107" s="16">
        <f>IF($H107="","",IFERROR(IF(INDEX(Vinos!$J$2:$J$301,MATCH($B107,Vinos!$A$2:$A$301,0))="","",$H107*INDEX(Vinos!$J$2:$J$301,MATCH($B107,Vinos!$A$2:$A$301,0))),""))</f>
        <v/>
      </c>
      <c r="L107" s="16">
        <f>IF($H107="","",IFERROR(IF(INDEX(Vinos!$K$2:$K$301,MATCH($B107,Vinos!$A$2:$A$301,0))="","",$H107*INDEX(Vinos!$K$2:$K$301,MATCH($B107,Vinos!$A$2:$A$301,0))),""))</f>
        <v/>
      </c>
      <c r="M107" s="21">
        <f>IF(OR($A107="",$B107=""),"",SUMIFS($H$2:$H$2001,$A$2:$A$2001,$A107,$B$2:$B$2001,$B107))</f>
        <v/>
      </c>
      <c r="N107" s="20">
        <f>IF($M107="","",IF($M107&lt;=0,"Sin stock: reponer ya",IF($M107&lt;IFERROR(N(INDEX(Vinos!$N$2:$N$301,MATCH($B107,Vinos!$A$2:$A$301,0))),0),"Bajo mínimo: reponer","OK")))</f>
        <v/>
      </c>
      <c r="O107" s="14" t="n"/>
      <c r="P107" s="14" t="n"/>
      <c r="Q107" s="20">
        <f>IF($B107="","",IFERROR(INDEX(Vinos!$C$2:$C$301,MATCH($B107,Vinos!$A$2:$A$301,0)),""))</f>
        <v/>
      </c>
      <c r="R107" s="20">
        <f>IF(OR($A107="",$A107&lt;&gt;'Resumen del inventario'!$C$3,$N107="",$N107="OK"),"",IF(COUNTIFS($A$2:$A107,$A107,$B$2:$B107,$B107)=1,1,""))</f>
        <v/>
      </c>
      <c r="S107" s="20">
        <f>IF($R107=1,COUNTIF($R$2:$R107,1),"")</f>
        <v/>
      </c>
    </row>
    <row r="108">
      <c r="A108" s="19" t="n"/>
      <c r="B108" s="14" t="n"/>
      <c r="C108" s="20">
        <f>IF($B108="","",IFERROR(INDEX(Vinos!$B$2:$B$301,MATCH($B108,Vinos!$A$2:$A$301,0)),"Código no cargado"))</f>
        <v/>
      </c>
      <c r="D108" s="14" t="n"/>
      <c r="E108" s="14" t="n"/>
      <c r="F108" s="18" t="n"/>
      <c r="G108" s="18" t="n"/>
      <c r="H108" s="21">
        <f>IF(AND($F108="",$G108=""),"",N($F108)*IFERROR(N(INDEX(Vinos!$H$2:$H$301,MATCH($B108,Vinos!$A$2:$A$301,0))),0)+N($G108))</f>
        <v/>
      </c>
      <c r="I108" s="18" t="n"/>
      <c r="J108" s="21">
        <f>IF(OR($H108="",$I108=""),"",$H108-$I108)</f>
        <v/>
      </c>
      <c r="K108" s="16">
        <f>IF($H108="","",IFERROR(IF(INDEX(Vinos!$J$2:$J$301,MATCH($B108,Vinos!$A$2:$A$301,0))="","",$H108*INDEX(Vinos!$J$2:$J$301,MATCH($B108,Vinos!$A$2:$A$301,0))),""))</f>
        <v/>
      </c>
      <c r="L108" s="16">
        <f>IF($H108="","",IFERROR(IF(INDEX(Vinos!$K$2:$K$301,MATCH($B108,Vinos!$A$2:$A$301,0))="","",$H108*INDEX(Vinos!$K$2:$K$301,MATCH($B108,Vinos!$A$2:$A$301,0))),""))</f>
        <v/>
      </c>
      <c r="M108" s="21">
        <f>IF(OR($A108="",$B108=""),"",SUMIFS($H$2:$H$2001,$A$2:$A$2001,$A108,$B$2:$B$2001,$B108))</f>
        <v/>
      </c>
      <c r="N108" s="20">
        <f>IF($M108="","",IF($M108&lt;=0,"Sin stock: reponer ya",IF($M108&lt;IFERROR(N(INDEX(Vinos!$N$2:$N$301,MATCH($B108,Vinos!$A$2:$A$301,0))),0),"Bajo mínimo: reponer","OK")))</f>
        <v/>
      </c>
      <c r="O108" s="14" t="n"/>
      <c r="P108" s="14" t="n"/>
      <c r="Q108" s="20">
        <f>IF($B108="","",IFERROR(INDEX(Vinos!$C$2:$C$301,MATCH($B108,Vinos!$A$2:$A$301,0)),""))</f>
        <v/>
      </c>
      <c r="R108" s="20">
        <f>IF(OR($A108="",$A108&lt;&gt;'Resumen del inventario'!$C$3,$N108="",$N108="OK"),"",IF(COUNTIFS($A$2:$A108,$A108,$B$2:$B108,$B108)=1,1,""))</f>
        <v/>
      </c>
      <c r="S108" s="20">
        <f>IF($R108=1,COUNTIF($R$2:$R108,1),"")</f>
        <v/>
      </c>
    </row>
    <row r="109">
      <c r="A109" s="19" t="n"/>
      <c r="B109" s="14" t="n"/>
      <c r="C109" s="20">
        <f>IF($B109="","",IFERROR(INDEX(Vinos!$B$2:$B$301,MATCH($B109,Vinos!$A$2:$A$301,0)),"Código no cargado"))</f>
        <v/>
      </c>
      <c r="D109" s="14" t="n"/>
      <c r="E109" s="14" t="n"/>
      <c r="F109" s="18" t="n"/>
      <c r="G109" s="18" t="n"/>
      <c r="H109" s="21">
        <f>IF(AND($F109="",$G109=""),"",N($F109)*IFERROR(N(INDEX(Vinos!$H$2:$H$301,MATCH($B109,Vinos!$A$2:$A$301,0))),0)+N($G109))</f>
        <v/>
      </c>
      <c r="I109" s="18" t="n"/>
      <c r="J109" s="21">
        <f>IF(OR($H109="",$I109=""),"",$H109-$I109)</f>
        <v/>
      </c>
      <c r="K109" s="16">
        <f>IF($H109="","",IFERROR(IF(INDEX(Vinos!$J$2:$J$301,MATCH($B109,Vinos!$A$2:$A$301,0))="","",$H109*INDEX(Vinos!$J$2:$J$301,MATCH($B109,Vinos!$A$2:$A$301,0))),""))</f>
        <v/>
      </c>
      <c r="L109" s="16">
        <f>IF($H109="","",IFERROR(IF(INDEX(Vinos!$K$2:$K$301,MATCH($B109,Vinos!$A$2:$A$301,0))="","",$H109*INDEX(Vinos!$K$2:$K$301,MATCH($B109,Vinos!$A$2:$A$301,0))),""))</f>
        <v/>
      </c>
      <c r="M109" s="21">
        <f>IF(OR($A109="",$B109=""),"",SUMIFS($H$2:$H$2001,$A$2:$A$2001,$A109,$B$2:$B$2001,$B109))</f>
        <v/>
      </c>
      <c r="N109" s="20">
        <f>IF($M109="","",IF($M109&lt;=0,"Sin stock: reponer ya",IF($M109&lt;IFERROR(N(INDEX(Vinos!$N$2:$N$301,MATCH($B109,Vinos!$A$2:$A$301,0))),0),"Bajo mínimo: reponer","OK")))</f>
        <v/>
      </c>
      <c r="O109" s="14" t="n"/>
      <c r="P109" s="14" t="n"/>
      <c r="Q109" s="20">
        <f>IF($B109="","",IFERROR(INDEX(Vinos!$C$2:$C$301,MATCH($B109,Vinos!$A$2:$A$301,0)),""))</f>
        <v/>
      </c>
      <c r="R109" s="20">
        <f>IF(OR($A109="",$A109&lt;&gt;'Resumen del inventario'!$C$3,$N109="",$N109="OK"),"",IF(COUNTIFS($A$2:$A109,$A109,$B$2:$B109,$B109)=1,1,""))</f>
        <v/>
      </c>
      <c r="S109" s="20">
        <f>IF($R109=1,COUNTIF($R$2:$R109,1),"")</f>
        <v/>
      </c>
    </row>
    <row r="110">
      <c r="A110" s="19" t="n"/>
      <c r="B110" s="14" t="n"/>
      <c r="C110" s="20">
        <f>IF($B110="","",IFERROR(INDEX(Vinos!$B$2:$B$301,MATCH($B110,Vinos!$A$2:$A$301,0)),"Código no cargado"))</f>
        <v/>
      </c>
      <c r="D110" s="14" t="n"/>
      <c r="E110" s="14" t="n"/>
      <c r="F110" s="18" t="n"/>
      <c r="G110" s="18" t="n"/>
      <c r="H110" s="21">
        <f>IF(AND($F110="",$G110=""),"",N($F110)*IFERROR(N(INDEX(Vinos!$H$2:$H$301,MATCH($B110,Vinos!$A$2:$A$301,0))),0)+N($G110))</f>
        <v/>
      </c>
      <c r="I110" s="18" t="n"/>
      <c r="J110" s="21">
        <f>IF(OR($H110="",$I110=""),"",$H110-$I110)</f>
        <v/>
      </c>
      <c r="K110" s="16">
        <f>IF($H110="","",IFERROR(IF(INDEX(Vinos!$J$2:$J$301,MATCH($B110,Vinos!$A$2:$A$301,0))="","",$H110*INDEX(Vinos!$J$2:$J$301,MATCH($B110,Vinos!$A$2:$A$301,0))),""))</f>
        <v/>
      </c>
      <c r="L110" s="16">
        <f>IF($H110="","",IFERROR(IF(INDEX(Vinos!$K$2:$K$301,MATCH($B110,Vinos!$A$2:$A$301,0))="","",$H110*INDEX(Vinos!$K$2:$K$301,MATCH($B110,Vinos!$A$2:$A$301,0))),""))</f>
        <v/>
      </c>
      <c r="M110" s="21">
        <f>IF(OR($A110="",$B110=""),"",SUMIFS($H$2:$H$2001,$A$2:$A$2001,$A110,$B$2:$B$2001,$B110))</f>
        <v/>
      </c>
      <c r="N110" s="20">
        <f>IF($M110="","",IF($M110&lt;=0,"Sin stock: reponer ya",IF($M110&lt;IFERROR(N(INDEX(Vinos!$N$2:$N$301,MATCH($B110,Vinos!$A$2:$A$301,0))),0),"Bajo mínimo: reponer","OK")))</f>
        <v/>
      </c>
      <c r="O110" s="14" t="n"/>
      <c r="P110" s="14" t="n"/>
      <c r="Q110" s="20">
        <f>IF($B110="","",IFERROR(INDEX(Vinos!$C$2:$C$301,MATCH($B110,Vinos!$A$2:$A$301,0)),""))</f>
        <v/>
      </c>
      <c r="R110" s="20">
        <f>IF(OR($A110="",$A110&lt;&gt;'Resumen del inventario'!$C$3,$N110="",$N110="OK"),"",IF(COUNTIFS($A$2:$A110,$A110,$B$2:$B110,$B110)=1,1,""))</f>
        <v/>
      </c>
      <c r="S110" s="20">
        <f>IF($R110=1,COUNTIF($R$2:$R110,1),"")</f>
        <v/>
      </c>
    </row>
    <row r="111">
      <c r="A111" s="19" t="n"/>
      <c r="B111" s="14" t="n"/>
      <c r="C111" s="20">
        <f>IF($B111="","",IFERROR(INDEX(Vinos!$B$2:$B$301,MATCH($B111,Vinos!$A$2:$A$301,0)),"Código no cargado"))</f>
        <v/>
      </c>
      <c r="D111" s="14" t="n"/>
      <c r="E111" s="14" t="n"/>
      <c r="F111" s="18" t="n"/>
      <c r="G111" s="18" t="n"/>
      <c r="H111" s="21">
        <f>IF(AND($F111="",$G111=""),"",N($F111)*IFERROR(N(INDEX(Vinos!$H$2:$H$301,MATCH($B111,Vinos!$A$2:$A$301,0))),0)+N($G111))</f>
        <v/>
      </c>
      <c r="I111" s="18" t="n"/>
      <c r="J111" s="21">
        <f>IF(OR($H111="",$I111=""),"",$H111-$I111)</f>
        <v/>
      </c>
      <c r="K111" s="16">
        <f>IF($H111="","",IFERROR(IF(INDEX(Vinos!$J$2:$J$301,MATCH($B111,Vinos!$A$2:$A$301,0))="","",$H111*INDEX(Vinos!$J$2:$J$301,MATCH($B111,Vinos!$A$2:$A$301,0))),""))</f>
        <v/>
      </c>
      <c r="L111" s="16">
        <f>IF($H111="","",IFERROR(IF(INDEX(Vinos!$K$2:$K$301,MATCH($B111,Vinos!$A$2:$A$301,0))="","",$H111*INDEX(Vinos!$K$2:$K$301,MATCH($B111,Vinos!$A$2:$A$301,0))),""))</f>
        <v/>
      </c>
      <c r="M111" s="21">
        <f>IF(OR($A111="",$B111=""),"",SUMIFS($H$2:$H$2001,$A$2:$A$2001,$A111,$B$2:$B$2001,$B111))</f>
        <v/>
      </c>
      <c r="N111" s="20">
        <f>IF($M111="","",IF($M111&lt;=0,"Sin stock: reponer ya",IF($M111&lt;IFERROR(N(INDEX(Vinos!$N$2:$N$301,MATCH($B111,Vinos!$A$2:$A$301,0))),0),"Bajo mínimo: reponer","OK")))</f>
        <v/>
      </c>
      <c r="O111" s="14" t="n"/>
      <c r="P111" s="14" t="n"/>
      <c r="Q111" s="20">
        <f>IF($B111="","",IFERROR(INDEX(Vinos!$C$2:$C$301,MATCH($B111,Vinos!$A$2:$A$301,0)),""))</f>
        <v/>
      </c>
      <c r="R111" s="20">
        <f>IF(OR($A111="",$A111&lt;&gt;'Resumen del inventario'!$C$3,$N111="",$N111="OK"),"",IF(COUNTIFS($A$2:$A111,$A111,$B$2:$B111,$B111)=1,1,""))</f>
        <v/>
      </c>
      <c r="S111" s="20">
        <f>IF($R111=1,COUNTIF($R$2:$R111,1),"")</f>
        <v/>
      </c>
    </row>
    <row r="112">
      <c r="A112" s="19" t="n"/>
      <c r="B112" s="14" t="n"/>
      <c r="C112" s="20">
        <f>IF($B112="","",IFERROR(INDEX(Vinos!$B$2:$B$301,MATCH($B112,Vinos!$A$2:$A$301,0)),"Código no cargado"))</f>
        <v/>
      </c>
      <c r="D112" s="14" t="n"/>
      <c r="E112" s="14" t="n"/>
      <c r="F112" s="18" t="n"/>
      <c r="G112" s="18" t="n"/>
      <c r="H112" s="21">
        <f>IF(AND($F112="",$G112=""),"",N($F112)*IFERROR(N(INDEX(Vinos!$H$2:$H$301,MATCH($B112,Vinos!$A$2:$A$301,0))),0)+N($G112))</f>
        <v/>
      </c>
      <c r="I112" s="18" t="n"/>
      <c r="J112" s="21">
        <f>IF(OR($H112="",$I112=""),"",$H112-$I112)</f>
        <v/>
      </c>
      <c r="K112" s="16">
        <f>IF($H112="","",IFERROR(IF(INDEX(Vinos!$J$2:$J$301,MATCH($B112,Vinos!$A$2:$A$301,0))="","",$H112*INDEX(Vinos!$J$2:$J$301,MATCH($B112,Vinos!$A$2:$A$301,0))),""))</f>
        <v/>
      </c>
      <c r="L112" s="16">
        <f>IF($H112="","",IFERROR(IF(INDEX(Vinos!$K$2:$K$301,MATCH($B112,Vinos!$A$2:$A$301,0))="","",$H112*INDEX(Vinos!$K$2:$K$301,MATCH($B112,Vinos!$A$2:$A$301,0))),""))</f>
        <v/>
      </c>
      <c r="M112" s="21">
        <f>IF(OR($A112="",$B112=""),"",SUMIFS($H$2:$H$2001,$A$2:$A$2001,$A112,$B$2:$B$2001,$B112))</f>
        <v/>
      </c>
      <c r="N112" s="20">
        <f>IF($M112="","",IF($M112&lt;=0,"Sin stock: reponer ya",IF($M112&lt;IFERROR(N(INDEX(Vinos!$N$2:$N$301,MATCH($B112,Vinos!$A$2:$A$301,0))),0),"Bajo mínimo: reponer","OK")))</f>
        <v/>
      </c>
      <c r="O112" s="14" t="n"/>
      <c r="P112" s="14" t="n"/>
      <c r="Q112" s="20">
        <f>IF($B112="","",IFERROR(INDEX(Vinos!$C$2:$C$301,MATCH($B112,Vinos!$A$2:$A$301,0)),""))</f>
        <v/>
      </c>
      <c r="R112" s="20">
        <f>IF(OR($A112="",$A112&lt;&gt;'Resumen del inventario'!$C$3,$N112="",$N112="OK"),"",IF(COUNTIFS($A$2:$A112,$A112,$B$2:$B112,$B112)=1,1,""))</f>
        <v/>
      </c>
      <c r="S112" s="20">
        <f>IF($R112=1,COUNTIF($R$2:$R112,1),"")</f>
        <v/>
      </c>
    </row>
    <row r="113">
      <c r="A113" s="19" t="n"/>
      <c r="B113" s="14" t="n"/>
      <c r="C113" s="20">
        <f>IF($B113="","",IFERROR(INDEX(Vinos!$B$2:$B$301,MATCH($B113,Vinos!$A$2:$A$301,0)),"Código no cargado"))</f>
        <v/>
      </c>
      <c r="D113" s="14" t="n"/>
      <c r="E113" s="14" t="n"/>
      <c r="F113" s="18" t="n"/>
      <c r="G113" s="18" t="n"/>
      <c r="H113" s="21">
        <f>IF(AND($F113="",$G113=""),"",N($F113)*IFERROR(N(INDEX(Vinos!$H$2:$H$301,MATCH($B113,Vinos!$A$2:$A$301,0))),0)+N($G113))</f>
        <v/>
      </c>
      <c r="I113" s="18" t="n"/>
      <c r="J113" s="21">
        <f>IF(OR($H113="",$I113=""),"",$H113-$I113)</f>
        <v/>
      </c>
      <c r="K113" s="16">
        <f>IF($H113="","",IFERROR(IF(INDEX(Vinos!$J$2:$J$301,MATCH($B113,Vinos!$A$2:$A$301,0))="","",$H113*INDEX(Vinos!$J$2:$J$301,MATCH($B113,Vinos!$A$2:$A$301,0))),""))</f>
        <v/>
      </c>
      <c r="L113" s="16">
        <f>IF($H113="","",IFERROR(IF(INDEX(Vinos!$K$2:$K$301,MATCH($B113,Vinos!$A$2:$A$301,0))="","",$H113*INDEX(Vinos!$K$2:$K$301,MATCH($B113,Vinos!$A$2:$A$301,0))),""))</f>
        <v/>
      </c>
      <c r="M113" s="21">
        <f>IF(OR($A113="",$B113=""),"",SUMIFS($H$2:$H$2001,$A$2:$A$2001,$A113,$B$2:$B$2001,$B113))</f>
        <v/>
      </c>
      <c r="N113" s="20">
        <f>IF($M113="","",IF($M113&lt;=0,"Sin stock: reponer ya",IF($M113&lt;IFERROR(N(INDEX(Vinos!$N$2:$N$301,MATCH($B113,Vinos!$A$2:$A$301,0))),0),"Bajo mínimo: reponer","OK")))</f>
        <v/>
      </c>
      <c r="O113" s="14" t="n"/>
      <c r="P113" s="14" t="n"/>
      <c r="Q113" s="20">
        <f>IF($B113="","",IFERROR(INDEX(Vinos!$C$2:$C$301,MATCH($B113,Vinos!$A$2:$A$301,0)),""))</f>
        <v/>
      </c>
      <c r="R113" s="20">
        <f>IF(OR($A113="",$A113&lt;&gt;'Resumen del inventario'!$C$3,$N113="",$N113="OK"),"",IF(COUNTIFS($A$2:$A113,$A113,$B$2:$B113,$B113)=1,1,""))</f>
        <v/>
      </c>
      <c r="S113" s="20">
        <f>IF($R113=1,COUNTIF($R$2:$R113,1),"")</f>
        <v/>
      </c>
    </row>
    <row r="114">
      <c r="A114" s="19" t="n"/>
      <c r="B114" s="14" t="n"/>
      <c r="C114" s="20">
        <f>IF($B114="","",IFERROR(INDEX(Vinos!$B$2:$B$301,MATCH($B114,Vinos!$A$2:$A$301,0)),"Código no cargado"))</f>
        <v/>
      </c>
      <c r="D114" s="14" t="n"/>
      <c r="E114" s="14" t="n"/>
      <c r="F114" s="18" t="n"/>
      <c r="G114" s="18" t="n"/>
      <c r="H114" s="21">
        <f>IF(AND($F114="",$G114=""),"",N($F114)*IFERROR(N(INDEX(Vinos!$H$2:$H$301,MATCH($B114,Vinos!$A$2:$A$301,0))),0)+N($G114))</f>
        <v/>
      </c>
      <c r="I114" s="18" t="n"/>
      <c r="J114" s="21">
        <f>IF(OR($H114="",$I114=""),"",$H114-$I114)</f>
        <v/>
      </c>
      <c r="K114" s="16">
        <f>IF($H114="","",IFERROR(IF(INDEX(Vinos!$J$2:$J$301,MATCH($B114,Vinos!$A$2:$A$301,0))="","",$H114*INDEX(Vinos!$J$2:$J$301,MATCH($B114,Vinos!$A$2:$A$301,0))),""))</f>
        <v/>
      </c>
      <c r="L114" s="16">
        <f>IF($H114="","",IFERROR(IF(INDEX(Vinos!$K$2:$K$301,MATCH($B114,Vinos!$A$2:$A$301,0))="","",$H114*INDEX(Vinos!$K$2:$K$301,MATCH($B114,Vinos!$A$2:$A$301,0))),""))</f>
        <v/>
      </c>
      <c r="M114" s="21">
        <f>IF(OR($A114="",$B114=""),"",SUMIFS($H$2:$H$2001,$A$2:$A$2001,$A114,$B$2:$B$2001,$B114))</f>
        <v/>
      </c>
      <c r="N114" s="20">
        <f>IF($M114="","",IF($M114&lt;=0,"Sin stock: reponer ya",IF($M114&lt;IFERROR(N(INDEX(Vinos!$N$2:$N$301,MATCH($B114,Vinos!$A$2:$A$301,0))),0),"Bajo mínimo: reponer","OK")))</f>
        <v/>
      </c>
      <c r="O114" s="14" t="n"/>
      <c r="P114" s="14" t="n"/>
      <c r="Q114" s="20">
        <f>IF($B114="","",IFERROR(INDEX(Vinos!$C$2:$C$301,MATCH($B114,Vinos!$A$2:$A$301,0)),""))</f>
        <v/>
      </c>
      <c r="R114" s="20">
        <f>IF(OR($A114="",$A114&lt;&gt;'Resumen del inventario'!$C$3,$N114="",$N114="OK"),"",IF(COUNTIFS($A$2:$A114,$A114,$B$2:$B114,$B114)=1,1,""))</f>
        <v/>
      </c>
      <c r="S114" s="20">
        <f>IF($R114=1,COUNTIF($R$2:$R114,1),"")</f>
        <v/>
      </c>
    </row>
    <row r="115">
      <c r="A115" s="19" t="n"/>
      <c r="B115" s="14" t="n"/>
      <c r="C115" s="20">
        <f>IF($B115="","",IFERROR(INDEX(Vinos!$B$2:$B$301,MATCH($B115,Vinos!$A$2:$A$301,0)),"Código no cargado"))</f>
        <v/>
      </c>
      <c r="D115" s="14" t="n"/>
      <c r="E115" s="14" t="n"/>
      <c r="F115" s="18" t="n"/>
      <c r="G115" s="18" t="n"/>
      <c r="H115" s="21">
        <f>IF(AND($F115="",$G115=""),"",N($F115)*IFERROR(N(INDEX(Vinos!$H$2:$H$301,MATCH($B115,Vinos!$A$2:$A$301,0))),0)+N($G115))</f>
        <v/>
      </c>
      <c r="I115" s="18" t="n"/>
      <c r="J115" s="21">
        <f>IF(OR($H115="",$I115=""),"",$H115-$I115)</f>
        <v/>
      </c>
      <c r="K115" s="16">
        <f>IF($H115="","",IFERROR(IF(INDEX(Vinos!$J$2:$J$301,MATCH($B115,Vinos!$A$2:$A$301,0))="","",$H115*INDEX(Vinos!$J$2:$J$301,MATCH($B115,Vinos!$A$2:$A$301,0))),""))</f>
        <v/>
      </c>
      <c r="L115" s="16">
        <f>IF($H115="","",IFERROR(IF(INDEX(Vinos!$K$2:$K$301,MATCH($B115,Vinos!$A$2:$A$301,0))="","",$H115*INDEX(Vinos!$K$2:$K$301,MATCH($B115,Vinos!$A$2:$A$301,0))),""))</f>
        <v/>
      </c>
      <c r="M115" s="21">
        <f>IF(OR($A115="",$B115=""),"",SUMIFS($H$2:$H$2001,$A$2:$A$2001,$A115,$B$2:$B$2001,$B115))</f>
        <v/>
      </c>
      <c r="N115" s="20">
        <f>IF($M115="","",IF($M115&lt;=0,"Sin stock: reponer ya",IF($M115&lt;IFERROR(N(INDEX(Vinos!$N$2:$N$301,MATCH($B115,Vinos!$A$2:$A$301,0))),0),"Bajo mínimo: reponer","OK")))</f>
        <v/>
      </c>
      <c r="O115" s="14" t="n"/>
      <c r="P115" s="14" t="n"/>
      <c r="Q115" s="20">
        <f>IF($B115="","",IFERROR(INDEX(Vinos!$C$2:$C$301,MATCH($B115,Vinos!$A$2:$A$301,0)),""))</f>
        <v/>
      </c>
      <c r="R115" s="20">
        <f>IF(OR($A115="",$A115&lt;&gt;'Resumen del inventario'!$C$3,$N115="",$N115="OK"),"",IF(COUNTIFS($A$2:$A115,$A115,$B$2:$B115,$B115)=1,1,""))</f>
        <v/>
      </c>
      <c r="S115" s="20">
        <f>IF($R115=1,COUNTIF($R$2:$R115,1),"")</f>
        <v/>
      </c>
    </row>
    <row r="116">
      <c r="A116" s="19" t="n"/>
      <c r="B116" s="14" t="n"/>
      <c r="C116" s="20">
        <f>IF($B116="","",IFERROR(INDEX(Vinos!$B$2:$B$301,MATCH($B116,Vinos!$A$2:$A$301,0)),"Código no cargado"))</f>
        <v/>
      </c>
      <c r="D116" s="14" t="n"/>
      <c r="E116" s="14" t="n"/>
      <c r="F116" s="18" t="n"/>
      <c r="G116" s="18" t="n"/>
      <c r="H116" s="21">
        <f>IF(AND($F116="",$G116=""),"",N($F116)*IFERROR(N(INDEX(Vinos!$H$2:$H$301,MATCH($B116,Vinos!$A$2:$A$301,0))),0)+N($G116))</f>
        <v/>
      </c>
      <c r="I116" s="18" t="n"/>
      <c r="J116" s="21">
        <f>IF(OR($H116="",$I116=""),"",$H116-$I116)</f>
        <v/>
      </c>
      <c r="K116" s="16">
        <f>IF($H116="","",IFERROR(IF(INDEX(Vinos!$J$2:$J$301,MATCH($B116,Vinos!$A$2:$A$301,0))="","",$H116*INDEX(Vinos!$J$2:$J$301,MATCH($B116,Vinos!$A$2:$A$301,0))),""))</f>
        <v/>
      </c>
      <c r="L116" s="16">
        <f>IF($H116="","",IFERROR(IF(INDEX(Vinos!$K$2:$K$301,MATCH($B116,Vinos!$A$2:$A$301,0))="","",$H116*INDEX(Vinos!$K$2:$K$301,MATCH($B116,Vinos!$A$2:$A$301,0))),""))</f>
        <v/>
      </c>
      <c r="M116" s="21">
        <f>IF(OR($A116="",$B116=""),"",SUMIFS($H$2:$H$2001,$A$2:$A$2001,$A116,$B$2:$B$2001,$B116))</f>
        <v/>
      </c>
      <c r="N116" s="20">
        <f>IF($M116="","",IF($M116&lt;=0,"Sin stock: reponer ya",IF($M116&lt;IFERROR(N(INDEX(Vinos!$N$2:$N$301,MATCH($B116,Vinos!$A$2:$A$301,0))),0),"Bajo mínimo: reponer","OK")))</f>
        <v/>
      </c>
      <c r="O116" s="14" t="n"/>
      <c r="P116" s="14" t="n"/>
      <c r="Q116" s="20">
        <f>IF($B116="","",IFERROR(INDEX(Vinos!$C$2:$C$301,MATCH($B116,Vinos!$A$2:$A$301,0)),""))</f>
        <v/>
      </c>
      <c r="R116" s="20">
        <f>IF(OR($A116="",$A116&lt;&gt;'Resumen del inventario'!$C$3,$N116="",$N116="OK"),"",IF(COUNTIFS($A$2:$A116,$A116,$B$2:$B116,$B116)=1,1,""))</f>
        <v/>
      </c>
      <c r="S116" s="20">
        <f>IF($R116=1,COUNTIF($R$2:$R116,1),"")</f>
        <v/>
      </c>
    </row>
    <row r="117">
      <c r="A117" s="19" t="n"/>
      <c r="B117" s="14" t="n"/>
      <c r="C117" s="20">
        <f>IF($B117="","",IFERROR(INDEX(Vinos!$B$2:$B$301,MATCH($B117,Vinos!$A$2:$A$301,0)),"Código no cargado"))</f>
        <v/>
      </c>
      <c r="D117" s="14" t="n"/>
      <c r="E117" s="14" t="n"/>
      <c r="F117" s="18" t="n"/>
      <c r="G117" s="18" t="n"/>
      <c r="H117" s="21">
        <f>IF(AND($F117="",$G117=""),"",N($F117)*IFERROR(N(INDEX(Vinos!$H$2:$H$301,MATCH($B117,Vinos!$A$2:$A$301,0))),0)+N($G117))</f>
        <v/>
      </c>
      <c r="I117" s="18" t="n"/>
      <c r="J117" s="21">
        <f>IF(OR($H117="",$I117=""),"",$H117-$I117)</f>
        <v/>
      </c>
      <c r="K117" s="16">
        <f>IF($H117="","",IFERROR(IF(INDEX(Vinos!$J$2:$J$301,MATCH($B117,Vinos!$A$2:$A$301,0))="","",$H117*INDEX(Vinos!$J$2:$J$301,MATCH($B117,Vinos!$A$2:$A$301,0))),""))</f>
        <v/>
      </c>
      <c r="L117" s="16">
        <f>IF($H117="","",IFERROR(IF(INDEX(Vinos!$K$2:$K$301,MATCH($B117,Vinos!$A$2:$A$301,0))="","",$H117*INDEX(Vinos!$K$2:$K$301,MATCH($B117,Vinos!$A$2:$A$301,0))),""))</f>
        <v/>
      </c>
      <c r="M117" s="21">
        <f>IF(OR($A117="",$B117=""),"",SUMIFS($H$2:$H$2001,$A$2:$A$2001,$A117,$B$2:$B$2001,$B117))</f>
        <v/>
      </c>
      <c r="N117" s="20">
        <f>IF($M117="","",IF($M117&lt;=0,"Sin stock: reponer ya",IF($M117&lt;IFERROR(N(INDEX(Vinos!$N$2:$N$301,MATCH($B117,Vinos!$A$2:$A$301,0))),0),"Bajo mínimo: reponer","OK")))</f>
        <v/>
      </c>
      <c r="O117" s="14" t="n"/>
      <c r="P117" s="14" t="n"/>
      <c r="Q117" s="20">
        <f>IF($B117="","",IFERROR(INDEX(Vinos!$C$2:$C$301,MATCH($B117,Vinos!$A$2:$A$301,0)),""))</f>
        <v/>
      </c>
      <c r="R117" s="20">
        <f>IF(OR($A117="",$A117&lt;&gt;'Resumen del inventario'!$C$3,$N117="",$N117="OK"),"",IF(COUNTIFS($A$2:$A117,$A117,$B$2:$B117,$B117)=1,1,""))</f>
        <v/>
      </c>
      <c r="S117" s="20">
        <f>IF($R117=1,COUNTIF($R$2:$R117,1),"")</f>
        <v/>
      </c>
    </row>
    <row r="118">
      <c r="A118" s="19" t="n"/>
      <c r="B118" s="14" t="n"/>
      <c r="C118" s="20">
        <f>IF($B118="","",IFERROR(INDEX(Vinos!$B$2:$B$301,MATCH($B118,Vinos!$A$2:$A$301,0)),"Código no cargado"))</f>
        <v/>
      </c>
      <c r="D118" s="14" t="n"/>
      <c r="E118" s="14" t="n"/>
      <c r="F118" s="18" t="n"/>
      <c r="G118" s="18" t="n"/>
      <c r="H118" s="21">
        <f>IF(AND($F118="",$G118=""),"",N($F118)*IFERROR(N(INDEX(Vinos!$H$2:$H$301,MATCH($B118,Vinos!$A$2:$A$301,0))),0)+N($G118))</f>
        <v/>
      </c>
      <c r="I118" s="18" t="n"/>
      <c r="J118" s="21">
        <f>IF(OR($H118="",$I118=""),"",$H118-$I118)</f>
        <v/>
      </c>
      <c r="K118" s="16">
        <f>IF($H118="","",IFERROR(IF(INDEX(Vinos!$J$2:$J$301,MATCH($B118,Vinos!$A$2:$A$301,0))="","",$H118*INDEX(Vinos!$J$2:$J$301,MATCH($B118,Vinos!$A$2:$A$301,0))),""))</f>
        <v/>
      </c>
      <c r="L118" s="16">
        <f>IF($H118="","",IFERROR(IF(INDEX(Vinos!$K$2:$K$301,MATCH($B118,Vinos!$A$2:$A$301,0))="","",$H118*INDEX(Vinos!$K$2:$K$301,MATCH($B118,Vinos!$A$2:$A$301,0))),""))</f>
        <v/>
      </c>
      <c r="M118" s="21">
        <f>IF(OR($A118="",$B118=""),"",SUMIFS($H$2:$H$2001,$A$2:$A$2001,$A118,$B$2:$B$2001,$B118))</f>
        <v/>
      </c>
      <c r="N118" s="20">
        <f>IF($M118="","",IF($M118&lt;=0,"Sin stock: reponer ya",IF($M118&lt;IFERROR(N(INDEX(Vinos!$N$2:$N$301,MATCH($B118,Vinos!$A$2:$A$301,0))),0),"Bajo mínimo: reponer","OK")))</f>
        <v/>
      </c>
      <c r="O118" s="14" t="n"/>
      <c r="P118" s="14" t="n"/>
      <c r="Q118" s="20">
        <f>IF($B118="","",IFERROR(INDEX(Vinos!$C$2:$C$301,MATCH($B118,Vinos!$A$2:$A$301,0)),""))</f>
        <v/>
      </c>
      <c r="R118" s="20">
        <f>IF(OR($A118="",$A118&lt;&gt;'Resumen del inventario'!$C$3,$N118="",$N118="OK"),"",IF(COUNTIFS($A$2:$A118,$A118,$B$2:$B118,$B118)=1,1,""))</f>
        <v/>
      </c>
      <c r="S118" s="20">
        <f>IF($R118=1,COUNTIF($R$2:$R118,1),"")</f>
        <v/>
      </c>
    </row>
    <row r="119">
      <c r="A119" s="19" t="n"/>
      <c r="B119" s="14" t="n"/>
      <c r="C119" s="20">
        <f>IF($B119="","",IFERROR(INDEX(Vinos!$B$2:$B$301,MATCH($B119,Vinos!$A$2:$A$301,0)),"Código no cargado"))</f>
        <v/>
      </c>
      <c r="D119" s="14" t="n"/>
      <c r="E119" s="14" t="n"/>
      <c r="F119" s="18" t="n"/>
      <c r="G119" s="18" t="n"/>
      <c r="H119" s="21">
        <f>IF(AND($F119="",$G119=""),"",N($F119)*IFERROR(N(INDEX(Vinos!$H$2:$H$301,MATCH($B119,Vinos!$A$2:$A$301,0))),0)+N($G119))</f>
        <v/>
      </c>
      <c r="I119" s="18" t="n"/>
      <c r="J119" s="21">
        <f>IF(OR($H119="",$I119=""),"",$H119-$I119)</f>
        <v/>
      </c>
      <c r="K119" s="16">
        <f>IF($H119="","",IFERROR(IF(INDEX(Vinos!$J$2:$J$301,MATCH($B119,Vinos!$A$2:$A$301,0))="","",$H119*INDEX(Vinos!$J$2:$J$301,MATCH($B119,Vinos!$A$2:$A$301,0))),""))</f>
        <v/>
      </c>
      <c r="L119" s="16">
        <f>IF($H119="","",IFERROR(IF(INDEX(Vinos!$K$2:$K$301,MATCH($B119,Vinos!$A$2:$A$301,0))="","",$H119*INDEX(Vinos!$K$2:$K$301,MATCH($B119,Vinos!$A$2:$A$301,0))),""))</f>
        <v/>
      </c>
      <c r="M119" s="21">
        <f>IF(OR($A119="",$B119=""),"",SUMIFS($H$2:$H$2001,$A$2:$A$2001,$A119,$B$2:$B$2001,$B119))</f>
        <v/>
      </c>
      <c r="N119" s="20">
        <f>IF($M119="","",IF($M119&lt;=0,"Sin stock: reponer ya",IF($M119&lt;IFERROR(N(INDEX(Vinos!$N$2:$N$301,MATCH($B119,Vinos!$A$2:$A$301,0))),0),"Bajo mínimo: reponer","OK")))</f>
        <v/>
      </c>
      <c r="O119" s="14" t="n"/>
      <c r="P119" s="14" t="n"/>
      <c r="Q119" s="20">
        <f>IF($B119="","",IFERROR(INDEX(Vinos!$C$2:$C$301,MATCH($B119,Vinos!$A$2:$A$301,0)),""))</f>
        <v/>
      </c>
      <c r="R119" s="20">
        <f>IF(OR($A119="",$A119&lt;&gt;'Resumen del inventario'!$C$3,$N119="",$N119="OK"),"",IF(COUNTIFS($A$2:$A119,$A119,$B$2:$B119,$B119)=1,1,""))</f>
        <v/>
      </c>
      <c r="S119" s="20">
        <f>IF($R119=1,COUNTIF($R$2:$R119,1),"")</f>
        <v/>
      </c>
    </row>
    <row r="120">
      <c r="A120" s="19" t="n"/>
      <c r="B120" s="14" t="n"/>
      <c r="C120" s="20">
        <f>IF($B120="","",IFERROR(INDEX(Vinos!$B$2:$B$301,MATCH($B120,Vinos!$A$2:$A$301,0)),"Código no cargado"))</f>
        <v/>
      </c>
      <c r="D120" s="14" t="n"/>
      <c r="E120" s="14" t="n"/>
      <c r="F120" s="18" t="n"/>
      <c r="G120" s="18" t="n"/>
      <c r="H120" s="21">
        <f>IF(AND($F120="",$G120=""),"",N($F120)*IFERROR(N(INDEX(Vinos!$H$2:$H$301,MATCH($B120,Vinos!$A$2:$A$301,0))),0)+N($G120))</f>
        <v/>
      </c>
      <c r="I120" s="18" t="n"/>
      <c r="J120" s="21">
        <f>IF(OR($H120="",$I120=""),"",$H120-$I120)</f>
        <v/>
      </c>
      <c r="K120" s="16">
        <f>IF($H120="","",IFERROR(IF(INDEX(Vinos!$J$2:$J$301,MATCH($B120,Vinos!$A$2:$A$301,0))="","",$H120*INDEX(Vinos!$J$2:$J$301,MATCH($B120,Vinos!$A$2:$A$301,0))),""))</f>
        <v/>
      </c>
      <c r="L120" s="16">
        <f>IF($H120="","",IFERROR(IF(INDEX(Vinos!$K$2:$K$301,MATCH($B120,Vinos!$A$2:$A$301,0))="","",$H120*INDEX(Vinos!$K$2:$K$301,MATCH($B120,Vinos!$A$2:$A$301,0))),""))</f>
        <v/>
      </c>
      <c r="M120" s="21">
        <f>IF(OR($A120="",$B120=""),"",SUMIFS($H$2:$H$2001,$A$2:$A$2001,$A120,$B$2:$B$2001,$B120))</f>
        <v/>
      </c>
      <c r="N120" s="20">
        <f>IF($M120="","",IF($M120&lt;=0,"Sin stock: reponer ya",IF($M120&lt;IFERROR(N(INDEX(Vinos!$N$2:$N$301,MATCH($B120,Vinos!$A$2:$A$301,0))),0),"Bajo mínimo: reponer","OK")))</f>
        <v/>
      </c>
      <c r="O120" s="14" t="n"/>
      <c r="P120" s="14" t="n"/>
      <c r="Q120" s="20">
        <f>IF($B120="","",IFERROR(INDEX(Vinos!$C$2:$C$301,MATCH($B120,Vinos!$A$2:$A$301,0)),""))</f>
        <v/>
      </c>
      <c r="R120" s="20">
        <f>IF(OR($A120="",$A120&lt;&gt;'Resumen del inventario'!$C$3,$N120="",$N120="OK"),"",IF(COUNTIFS($A$2:$A120,$A120,$B$2:$B120,$B120)=1,1,""))</f>
        <v/>
      </c>
      <c r="S120" s="20">
        <f>IF($R120=1,COUNTIF($R$2:$R120,1),"")</f>
        <v/>
      </c>
    </row>
    <row r="121">
      <c r="A121" s="19" t="n"/>
      <c r="B121" s="14" t="n"/>
      <c r="C121" s="20">
        <f>IF($B121="","",IFERROR(INDEX(Vinos!$B$2:$B$301,MATCH($B121,Vinos!$A$2:$A$301,0)),"Código no cargado"))</f>
        <v/>
      </c>
      <c r="D121" s="14" t="n"/>
      <c r="E121" s="14" t="n"/>
      <c r="F121" s="18" t="n"/>
      <c r="G121" s="18" t="n"/>
      <c r="H121" s="21">
        <f>IF(AND($F121="",$G121=""),"",N($F121)*IFERROR(N(INDEX(Vinos!$H$2:$H$301,MATCH($B121,Vinos!$A$2:$A$301,0))),0)+N($G121))</f>
        <v/>
      </c>
      <c r="I121" s="18" t="n"/>
      <c r="J121" s="21">
        <f>IF(OR($H121="",$I121=""),"",$H121-$I121)</f>
        <v/>
      </c>
      <c r="K121" s="16">
        <f>IF($H121="","",IFERROR(IF(INDEX(Vinos!$J$2:$J$301,MATCH($B121,Vinos!$A$2:$A$301,0))="","",$H121*INDEX(Vinos!$J$2:$J$301,MATCH($B121,Vinos!$A$2:$A$301,0))),""))</f>
        <v/>
      </c>
      <c r="L121" s="16">
        <f>IF($H121="","",IFERROR(IF(INDEX(Vinos!$K$2:$K$301,MATCH($B121,Vinos!$A$2:$A$301,0))="","",$H121*INDEX(Vinos!$K$2:$K$301,MATCH($B121,Vinos!$A$2:$A$301,0))),""))</f>
        <v/>
      </c>
      <c r="M121" s="21">
        <f>IF(OR($A121="",$B121=""),"",SUMIFS($H$2:$H$2001,$A$2:$A$2001,$A121,$B$2:$B$2001,$B121))</f>
        <v/>
      </c>
      <c r="N121" s="20">
        <f>IF($M121="","",IF($M121&lt;=0,"Sin stock: reponer ya",IF($M121&lt;IFERROR(N(INDEX(Vinos!$N$2:$N$301,MATCH($B121,Vinos!$A$2:$A$301,0))),0),"Bajo mínimo: reponer","OK")))</f>
        <v/>
      </c>
      <c r="O121" s="14" t="n"/>
      <c r="P121" s="14" t="n"/>
      <c r="Q121" s="20">
        <f>IF($B121="","",IFERROR(INDEX(Vinos!$C$2:$C$301,MATCH($B121,Vinos!$A$2:$A$301,0)),""))</f>
        <v/>
      </c>
      <c r="R121" s="20">
        <f>IF(OR($A121="",$A121&lt;&gt;'Resumen del inventario'!$C$3,$N121="",$N121="OK"),"",IF(COUNTIFS($A$2:$A121,$A121,$B$2:$B121,$B121)=1,1,""))</f>
        <v/>
      </c>
      <c r="S121" s="20">
        <f>IF($R121=1,COUNTIF($R$2:$R121,1),"")</f>
        <v/>
      </c>
    </row>
    <row r="122">
      <c r="A122" s="19" t="n"/>
      <c r="B122" s="14" t="n"/>
      <c r="C122" s="20">
        <f>IF($B122="","",IFERROR(INDEX(Vinos!$B$2:$B$301,MATCH($B122,Vinos!$A$2:$A$301,0)),"Código no cargado"))</f>
        <v/>
      </c>
      <c r="D122" s="14" t="n"/>
      <c r="E122" s="14" t="n"/>
      <c r="F122" s="18" t="n"/>
      <c r="G122" s="18" t="n"/>
      <c r="H122" s="21">
        <f>IF(AND($F122="",$G122=""),"",N($F122)*IFERROR(N(INDEX(Vinos!$H$2:$H$301,MATCH($B122,Vinos!$A$2:$A$301,0))),0)+N($G122))</f>
        <v/>
      </c>
      <c r="I122" s="18" t="n"/>
      <c r="J122" s="21">
        <f>IF(OR($H122="",$I122=""),"",$H122-$I122)</f>
        <v/>
      </c>
      <c r="K122" s="16">
        <f>IF($H122="","",IFERROR(IF(INDEX(Vinos!$J$2:$J$301,MATCH($B122,Vinos!$A$2:$A$301,0))="","",$H122*INDEX(Vinos!$J$2:$J$301,MATCH($B122,Vinos!$A$2:$A$301,0))),""))</f>
        <v/>
      </c>
      <c r="L122" s="16">
        <f>IF($H122="","",IFERROR(IF(INDEX(Vinos!$K$2:$K$301,MATCH($B122,Vinos!$A$2:$A$301,0))="","",$H122*INDEX(Vinos!$K$2:$K$301,MATCH($B122,Vinos!$A$2:$A$301,0))),""))</f>
        <v/>
      </c>
      <c r="M122" s="21">
        <f>IF(OR($A122="",$B122=""),"",SUMIFS($H$2:$H$2001,$A$2:$A$2001,$A122,$B$2:$B$2001,$B122))</f>
        <v/>
      </c>
      <c r="N122" s="20">
        <f>IF($M122="","",IF($M122&lt;=0,"Sin stock: reponer ya",IF($M122&lt;IFERROR(N(INDEX(Vinos!$N$2:$N$301,MATCH($B122,Vinos!$A$2:$A$301,0))),0),"Bajo mínimo: reponer","OK")))</f>
        <v/>
      </c>
      <c r="O122" s="14" t="n"/>
      <c r="P122" s="14" t="n"/>
      <c r="Q122" s="20">
        <f>IF($B122="","",IFERROR(INDEX(Vinos!$C$2:$C$301,MATCH($B122,Vinos!$A$2:$A$301,0)),""))</f>
        <v/>
      </c>
      <c r="R122" s="20">
        <f>IF(OR($A122="",$A122&lt;&gt;'Resumen del inventario'!$C$3,$N122="",$N122="OK"),"",IF(COUNTIFS($A$2:$A122,$A122,$B$2:$B122,$B122)=1,1,""))</f>
        <v/>
      </c>
      <c r="S122" s="20">
        <f>IF($R122=1,COUNTIF($R$2:$R122,1),"")</f>
        <v/>
      </c>
    </row>
    <row r="123">
      <c r="A123" s="19" t="n"/>
      <c r="B123" s="14" t="n"/>
      <c r="C123" s="20">
        <f>IF($B123="","",IFERROR(INDEX(Vinos!$B$2:$B$301,MATCH($B123,Vinos!$A$2:$A$301,0)),"Código no cargado"))</f>
        <v/>
      </c>
      <c r="D123" s="14" t="n"/>
      <c r="E123" s="14" t="n"/>
      <c r="F123" s="18" t="n"/>
      <c r="G123" s="18" t="n"/>
      <c r="H123" s="21">
        <f>IF(AND($F123="",$G123=""),"",N($F123)*IFERROR(N(INDEX(Vinos!$H$2:$H$301,MATCH($B123,Vinos!$A$2:$A$301,0))),0)+N($G123))</f>
        <v/>
      </c>
      <c r="I123" s="18" t="n"/>
      <c r="J123" s="21">
        <f>IF(OR($H123="",$I123=""),"",$H123-$I123)</f>
        <v/>
      </c>
      <c r="K123" s="16">
        <f>IF($H123="","",IFERROR(IF(INDEX(Vinos!$J$2:$J$301,MATCH($B123,Vinos!$A$2:$A$301,0))="","",$H123*INDEX(Vinos!$J$2:$J$301,MATCH($B123,Vinos!$A$2:$A$301,0))),""))</f>
        <v/>
      </c>
      <c r="L123" s="16">
        <f>IF($H123="","",IFERROR(IF(INDEX(Vinos!$K$2:$K$301,MATCH($B123,Vinos!$A$2:$A$301,0))="","",$H123*INDEX(Vinos!$K$2:$K$301,MATCH($B123,Vinos!$A$2:$A$301,0))),""))</f>
        <v/>
      </c>
      <c r="M123" s="21">
        <f>IF(OR($A123="",$B123=""),"",SUMIFS($H$2:$H$2001,$A$2:$A$2001,$A123,$B$2:$B$2001,$B123))</f>
        <v/>
      </c>
      <c r="N123" s="20">
        <f>IF($M123="","",IF($M123&lt;=0,"Sin stock: reponer ya",IF($M123&lt;IFERROR(N(INDEX(Vinos!$N$2:$N$301,MATCH($B123,Vinos!$A$2:$A$301,0))),0),"Bajo mínimo: reponer","OK")))</f>
        <v/>
      </c>
      <c r="O123" s="14" t="n"/>
      <c r="P123" s="14" t="n"/>
      <c r="Q123" s="20">
        <f>IF($B123="","",IFERROR(INDEX(Vinos!$C$2:$C$301,MATCH($B123,Vinos!$A$2:$A$301,0)),""))</f>
        <v/>
      </c>
      <c r="R123" s="20">
        <f>IF(OR($A123="",$A123&lt;&gt;'Resumen del inventario'!$C$3,$N123="",$N123="OK"),"",IF(COUNTIFS($A$2:$A123,$A123,$B$2:$B123,$B123)=1,1,""))</f>
        <v/>
      </c>
      <c r="S123" s="20">
        <f>IF($R123=1,COUNTIF($R$2:$R123,1),"")</f>
        <v/>
      </c>
    </row>
    <row r="124">
      <c r="A124" s="19" t="n"/>
      <c r="B124" s="14" t="n"/>
      <c r="C124" s="20">
        <f>IF($B124="","",IFERROR(INDEX(Vinos!$B$2:$B$301,MATCH($B124,Vinos!$A$2:$A$301,0)),"Código no cargado"))</f>
        <v/>
      </c>
      <c r="D124" s="14" t="n"/>
      <c r="E124" s="14" t="n"/>
      <c r="F124" s="18" t="n"/>
      <c r="G124" s="18" t="n"/>
      <c r="H124" s="21">
        <f>IF(AND($F124="",$G124=""),"",N($F124)*IFERROR(N(INDEX(Vinos!$H$2:$H$301,MATCH($B124,Vinos!$A$2:$A$301,0))),0)+N($G124))</f>
        <v/>
      </c>
      <c r="I124" s="18" t="n"/>
      <c r="J124" s="21">
        <f>IF(OR($H124="",$I124=""),"",$H124-$I124)</f>
        <v/>
      </c>
      <c r="K124" s="16">
        <f>IF($H124="","",IFERROR(IF(INDEX(Vinos!$J$2:$J$301,MATCH($B124,Vinos!$A$2:$A$301,0))="","",$H124*INDEX(Vinos!$J$2:$J$301,MATCH($B124,Vinos!$A$2:$A$301,0))),""))</f>
        <v/>
      </c>
      <c r="L124" s="16">
        <f>IF($H124="","",IFERROR(IF(INDEX(Vinos!$K$2:$K$301,MATCH($B124,Vinos!$A$2:$A$301,0))="","",$H124*INDEX(Vinos!$K$2:$K$301,MATCH($B124,Vinos!$A$2:$A$301,0))),""))</f>
        <v/>
      </c>
      <c r="M124" s="21">
        <f>IF(OR($A124="",$B124=""),"",SUMIFS($H$2:$H$2001,$A$2:$A$2001,$A124,$B$2:$B$2001,$B124))</f>
        <v/>
      </c>
      <c r="N124" s="20">
        <f>IF($M124="","",IF($M124&lt;=0,"Sin stock: reponer ya",IF($M124&lt;IFERROR(N(INDEX(Vinos!$N$2:$N$301,MATCH($B124,Vinos!$A$2:$A$301,0))),0),"Bajo mínimo: reponer","OK")))</f>
        <v/>
      </c>
      <c r="O124" s="14" t="n"/>
      <c r="P124" s="14" t="n"/>
      <c r="Q124" s="20">
        <f>IF($B124="","",IFERROR(INDEX(Vinos!$C$2:$C$301,MATCH($B124,Vinos!$A$2:$A$301,0)),""))</f>
        <v/>
      </c>
      <c r="R124" s="20">
        <f>IF(OR($A124="",$A124&lt;&gt;'Resumen del inventario'!$C$3,$N124="",$N124="OK"),"",IF(COUNTIFS($A$2:$A124,$A124,$B$2:$B124,$B124)=1,1,""))</f>
        <v/>
      </c>
      <c r="S124" s="20">
        <f>IF($R124=1,COUNTIF($R$2:$R124,1),"")</f>
        <v/>
      </c>
    </row>
    <row r="125">
      <c r="A125" s="19" t="n"/>
      <c r="B125" s="14" t="n"/>
      <c r="C125" s="20">
        <f>IF($B125="","",IFERROR(INDEX(Vinos!$B$2:$B$301,MATCH($B125,Vinos!$A$2:$A$301,0)),"Código no cargado"))</f>
        <v/>
      </c>
      <c r="D125" s="14" t="n"/>
      <c r="E125" s="14" t="n"/>
      <c r="F125" s="18" t="n"/>
      <c r="G125" s="18" t="n"/>
      <c r="H125" s="21">
        <f>IF(AND($F125="",$G125=""),"",N($F125)*IFERROR(N(INDEX(Vinos!$H$2:$H$301,MATCH($B125,Vinos!$A$2:$A$301,0))),0)+N($G125))</f>
        <v/>
      </c>
      <c r="I125" s="18" t="n"/>
      <c r="J125" s="21">
        <f>IF(OR($H125="",$I125=""),"",$H125-$I125)</f>
        <v/>
      </c>
      <c r="K125" s="16">
        <f>IF($H125="","",IFERROR(IF(INDEX(Vinos!$J$2:$J$301,MATCH($B125,Vinos!$A$2:$A$301,0))="","",$H125*INDEX(Vinos!$J$2:$J$301,MATCH($B125,Vinos!$A$2:$A$301,0))),""))</f>
        <v/>
      </c>
      <c r="L125" s="16">
        <f>IF($H125="","",IFERROR(IF(INDEX(Vinos!$K$2:$K$301,MATCH($B125,Vinos!$A$2:$A$301,0))="","",$H125*INDEX(Vinos!$K$2:$K$301,MATCH($B125,Vinos!$A$2:$A$301,0))),""))</f>
        <v/>
      </c>
      <c r="M125" s="21">
        <f>IF(OR($A125="",$B125=""),"",SUMIFS($H$2:$H$2001,$A$2:$A$2001,$A125,$B$2:$B$2001,$B125))</f>
        <v/>
      </c>
      <c r="N125" s="20">
        <f>IF($M125="","",IF($M125&lt;=0,"Sin stock: reponer ya",IF($M125&lt;IFERROR(N(INDEX(Vinos!$N$2:$N$301,MATCH($B125,Vinos!$A$2:$A$301,0))),0),"Bajo mínimo: reponer","OK")))</f>
        <v/>
      </c>
      <c r="O125" s="14" t="n"/>
      <c r="P125" s="14" t="n"/>
      <c r="Q125" s="20">
        <f>IF($B125="","",IFERROR(INDEX(Vinos!$C$2:$C$301,MATCH($B125,Vinos!$A$2:$A$301,0)),""))</f>
        <v/>
      </c>
      <c r="R125" s="20">
        <f>IF(OR($A125="",$A125&lt;&gt;'Resumen del inventario'!$C$3,$N125="",$N125="OK"),"",IF(COUNTIFS($A$2:$A125,$A125,$B$2:$B125,$B125)=1,1,""))</f>
        <v/>
      </c>
      <c r="S125" s="20">
        <f>IF($R125=1,COUNTIF($R$2:$R125,1),"")</f>
        <v/>
      </c>
    </row>
    <row r="126">
      <c r="A126" s="19" t="n"/>
      <c r="B126" s="14" t="n"/>
      <c r="C126" s="20">
        <f>IF($B126="","",IFERROR(INDEX(Vinos!$B$2:$B$301,MATCH($B126,Vinos!$A$2:$A$301,0)),"Código no cargado"))</f>
        <v/>
      </c>
      <c r="D126" s="14" t="n"/>
      <c r="E126" s="14" t="n"/>
      <c r="F126" s="18" t="n"/>
      <c r="G126" s="18" t="n"/>
      <c r="H126" s="21">
        <f>IF(AND($F126="",$G126=""),"",N($F126)*IFERROR(N(INDEX(Vinos!$H$2:$H$301,MATCH($B126,Vinos!$A$2:$A$301,0))),0)+N($G126))</f>
        <v/>
      </c>
      <c r="I126" s="18" t="n"/>
      <c r="J126" s="21">
        <f>IF(OR($H126="",$I126=""),"",$H126-$I126)</f>
        <v/>
      </c>
      <c r="K126" s="16">
        <f>IF($H126="","",IFERROR(IF(INDEX(Vinos!$J$2:$J$301,MATCH($B126,Vinos!$A$2:$A$301,0))="","",$H126*INDEX(Vinos!$J$2:$J$301,MATCH($B126,Vinos!$A$2:$A$301,0))),""))</f>
        <v/>
      </c>
      <c r="L126" s="16">
        <f>IF($H126="","",IFERROR(IF(INDEX(Vinos!$K$2:$K$301,MATCH($B126,Vinos!$A$2:$A$301,0))="","",$H126*INDEX(Vinos!$K$2:$K$301,MATCH($B126,Vinos!$A$2:$A$301,0))),""))</f>
        <v/>
      </c>
      <c r="M126" s="21">
        <f>IF(OR($A126="",$B126=""),"",SUMIFS($H$2:$H$2001,$A$2:$A$2001,$A126,$B$2:$B$2001,$B126))</f>
        <v/>
      </c>
      <c r="N126" s="20">
        <f>IF($M126="","",IF($M126&lt;=0,"Sin stock: reponer ya",IF($M126&lt;IFERROR(N(INDEX(Vinos!$N$2:$N$301,MATCH($B126,Vinos!$A$2:$A$301,0))),0),"Bajo mínimo: reponer","OK")))</f>
        <v/>
      </c>
      <c r="O126" s="14" t="n"/>
      <c r="P126" s="14" t="n"/>
      <c r="Q126" s="20">
        <f>IF($B126="","",IFERROR(INDEX(Vinos!$C$2:$C$301,MATCH($B126,Vinos!$A$2:$A$301,0)),""))</f>
        <v/>
      </c>
      <c r="R126" s="20">
        <f>IF(OR($A126="",$A126&lt;&gt;'Resumen del inventario'!$C$3,$N126="",$N126="OK"),"",IF(COUNTIFS($A$2:$A126,$A126,$B$2:$B126,$B126)=1,1,""))</f>
        <v/>
      </c>
      <c r="S126" s="20">
        <f>IF($R126=1,COUNTIF($R$2:$R126,1),"")</f>
        <v/>
      </c>
    </row>
    <row r="127">
      <c r="A127" s="19" t="n"/>
      <c r="B127" s="14" t="n"/>
      <c r="C127" s="20">
        <f>IF($B127="","",IFERROR(INDEX(Vinos!$B$2:$B$301,MATCH($B127,Vinos!$A$2:$A$301,0)),"Código no cargado"))</f>
        <v/>
      </c>
      <c r="D127" s="14" t="n"/>
      <c r="E127" s="14" t="n"/>
      <c r="F127" s="18" t="n"/>
      <c r="G127" s="18" t="n"/>
      <c r="H127" s="21">
        <f>IF(AND($F127="",$G127=""),"",N($F127)*IFERROR(N(INDEX(Vinos!$H$2:$H$301,MATCH($B127,Vinos!$A$2:$A$301,0))),0)+N($G127))</f>
        <v/>
      </c>
      <c r="I127" s="18" t="n"/>
      <c r="J127" s="21">
        <f>IF(OR($H127="",$I127=""),"",$H127-$I127)</f>
        <v/>
      </c>
      <c r="K127" s="16">
        <f>IF($H127="","",IFERROR(IF(INDEX(Vinos!$J$2:$J$301,MATCH($B127,Vinos!$A$2:$A$301,0))="","",$H127*INDEX(Vinos!$J$2:$J$301,MATCH($B127,Vinos!$A$2:$A$301,0))),""))</f>
        <v/>
      </c>
      <c r="L127" s="16">
        <f>IF($H127="","",IFERROR(IF(INDEX(Vinos!$K$2:$K$301,MATCH($B127,Vinos!$A$2:$A$301,0))="","",$H127*INDEX(Vinos!$K$2:$K$301,MATCH($B127,Vinos!$A$2:$A$301,0))),""))</f>
        <v/>
      </c>
      <c r="M127" s="21">
        <f>IF(OR($A127="",$B127=""),"",SUMIFS($H$2:$H$2001,$A$2:$A$2001,$A127,$B$2:$B$2001,$B127))</f>
        <v/>
      </c>
      <c r="N127" s="20">
        <f>IF($M127="","",IF($M127&lt;=0,"Sin stock: reponer ya",IF($M127&lt;IFERROR(N(INDEX(Vinos!$N$2:$N$301,MATCH($B127,Vinos!$A$2:$A$301,0))),0),"Bajo mínimo: reponer","OK")))</f>
        <v/>
      </c>
      <c r="O127" s="14" t="n"/>
      <c r="P127" s="14" t="n"/>
      <c r="Q127" s="20">
        <f>IF($B127="","",IFERROR(INDEX(Vinos!$C$2:$C$301,MATCH($B127,Vinos!$A$2:$A$301,0)),""))</f>
        <v/>
      </c>
      <c r="R127" s="20">
        <f>IF(OR($A127="",$A127&lt;&gt;'Resumen del inventario'!$C$3,$N127="",$N127="OK"),"",IF(COUNTIFS($A$2:$A127,$A127,$B$2:$B127,$B127)=1,1,""))</f>
        <v/>
      </c>
      <c r="S127" s="20">
        <f>IF($R127=1,COUNTIF($R$2:$R127,1),"")</f>
        <v/>
      </c>
    </row>
    <row r="128">
      <c r="A128" s="19" t="n"/>
      <c r="B128" s="14" t="n"/>
      <c r="C128" s="20">
        <f>IF($B128="","",IFERROR(INDEX(Vinos!$B$2:$B$301,MATCH($B128,Vinos!$A$2:$A$301,0)),"Código no cargado"))</f>
        <v/>
      </c>
      <c r="D128" s="14" t="n"/>
      <c r="E128" s="14" t="n"/>
      <c r="F128" s="18" t="n"/>
      <c r="G128" s="18" t="n"/>
      <c r="H128" s="21">
        <f>IF(AND($F128="",$G128=""),"",N($F128)*IFERROR(N(INDEX(Vinos!$H$2:$H$301,MATCH($B128,Vinos!$A$2:$A$301,0))),0)+N($G128))</f>
        <v/>
      </c>
      <c r="I128" s="18" t="n"/>
      <c r="J128" s="21">
        <f>IF(OR($H128="",$I128=""),"",$H128-$I128)</f>
        <v/>
      </c>
      <c r="K128" s="16">
        <f>IF($H128="","",IFERROR(IF(INDEX(Vinos!$J$2:$J$301,MATCH($B128,Vinos!$A$2:$A$301,0))="","",$H128*INDEX(Vinos!$J$2:$J$301,MATCH($B128,Vinos!$A$2:$A$301,0))),""))</f>
        <v/>
      </c>
      <c r="L128" s="16">
        <f>IF($H128="","",IFERROR(IF(INDEX(Vinos!$K$2:$K$301,MATCH($B128,Vinos!$A$2:$A$301,0))="","",$H128*INDEX(Vinos!$K$2:$K$301,MATCH($B128,Vinos!$A$2:$A$301,0))),""))</f>
        <v/>
      </c>
      <c r="M128" s="21">
        <f>IF(OR($A128="",$B128=""),"",SUMIFS($H$2:$H$2001,$A$2:$A$2001,$A128,$B$2:$B$2001,$B128))</f>
        <v/>
      </c>
      <c r="N128" s="20">
        <f>IF($M128="","",IF($M128&lt;=0,"Sin stock: reponer ya",IF($M128&lt;IFERROR(N(INDEX(Vinos!$N$2:$N$301,MATCH($B128,Vinos!$A$2:$A$301,0))),0),"Bajo mínimo: reponer","OK")))</f>
        <v/>
      </c>
      <c r="O128" s="14" t="n"/>
      <c r="P128" s="14" t="n"/>
      <c r="Q128" s="20">
        <f>IF($B128="","",IFERROR(INDEX(Vinos!$C$2:$C$301,MATCH($B128,Vinos!$A$2:$A$301,0)),""))</f>
        <v/>
      </c>
      <c r="R128" s="20">
        <f>IF(OR($A128="",$A128&lt;&gt;'Resumen del inventario'!$C$3,$N128="",$N128="OK"),"",IF(COUNTIFS($A$2:$A128,$A128,$B$2:$B128,$B128)=1,1,""))</f>
        <v/>
      </c>
      <c r="S128" s="20">
        <f>IF($R128=1,COUNTIF($R$2:$R128,1),"")</f>
        <v/>
      </c>
    </row>
    <row r="129">
      <c r="A129" s="19" t="n"/>
      <c r="B129" s="14" t="n"/>
      <c r="C129" s="20">
        <f>IF($B129="","",IFERROR(INDEX(Vinos!$B$2:$B$301,MATCH($B129,Vinos!$A$2:$A$301,0)),"Código no cargado"))</f>
        <v/>
      </c>
      <c r="D129" s="14" t="n"/>
      <c r="E129" s="14" t="n"/>
      <c r="F129" s="18" t="n"/>
      <c r="G129" s="18" t="n"/>
      <c r="H129" s="21">
        <f>IF(AND($F129="",$G129=""),"",N($F129)*IFERROR(N(INDEX(Vinos!$H$2:$H$301,MATCH($B129,Vinos!$A$2:$A$301,0))),0)+N($G129))</f>
        <v/>
      </c>
      <c r="I129" s="18" t="n"/>
      <c r="J129" s="21">
        <f>IF(OR($H129="",$I129=""),"",$H129-$I129)</f>
        <v/>
      </c>
      <c r="K129" s="16">
        <f>IF($H129="","",IFERROR(IF(INDEX(Vinos!$J$2:$J$301,MATCH($B129,Vinos!$A$2:$A$301,0))="","",$H129*INDEX(Vinos!$J$2:$J$301,MATCH($B129,Vinos!$A$2:$A$301,0))),""))</f>
        <v/>
      </c>
      <c r="L129" s="16">
        <f>IF($H129="","",IFERROR(IF(INDEX(Vinos!$K$2:$K$301,MATCH($B129,Vinos!$A$2:$A$301,0))="","",$H129*INDEX(Vinos!$K$2:$K$301,MATCH($B129,Vinos!$A$2:$A$301,0))),""))</f>
        <v/>
      </c>
      <c r="M129" s="21">
        <f>IF(OR($A129="",$B129=""),"",SUMIFS($H$2:$H$2001,$A$2:$A$2001,$A129,$B$2:$B$2001,$B129))</f>
        <v/>
      </c>
      <c r="N129" s="20">
        <f>IF($M129="","",IF($M129&lt;=0,"Sin stock: reponer ya",IF($M129&lt;IFERROR(N(INDEX(Vinos!$N$2:$N$301,MATCH($B129,Vinos!$A$2:$A$301,0))),0),"Bajo mínimo: reponer","OK")))</f>
        <v/>
      </c>
      <c r="O129" s="14" t="n"/>
      <c r="P129" s="14" t="n"/>
      <c r="Q129" s="20">
        <f>IF($B129="","",IFERROR(INDEX(Vinos!$C$2:$C$301,MATCH($B129,Vinos!$A$2:$A$301,0)),""))</f>
        <v/>
      </c>
      <c r="R129" s="20">
        <f>IF(OR($A129="",$A129&lt;&gt;'Resumen del inventario'!$C$3,$N129="",$N129="OK"),"",IF(COUNTIFS($A$2:$A129,$A129,$B$2:$B129,$B129)=1,1,""))</f>
        <v/>
      </c>
      <c r="S129" s="20">
        <f>IF($R129=1,COUNTIF($R$2:$R129,1),"")</f>
        <v/>
      </c>
    </row>
    <row r="130">
      <c r="A130" s="19" t="n"/>
      <c r="B130" s="14" t="n"/>
      <c r="C130" s="20">
        <f>IF($B130="","",IFERROR(INDEX(Vinos!$B$2:$B$301,MATCH($B130,Vinos!$A$2:$A$301,0)),"Código no cargado"))</f>
        <v/>
      </c>
      <c r="D130" s="14" t="n"/>
      <c r="E130" s="14" t="n"/>
      <c r="F130" s="18" t="n"/>
      <c r="G130" s="18" t="n"/>
      <c r="H130" s="21">
        <f>IF(AND($F130="",$G130=""),"",N($F130)*IFERROR(N(INDEX(Vinos!$H$2:$H$301,MATCH($B130,Vinos!$A$2:$A$301,0))),0)+N($G130))</f>
        <v/>
      </c>
      <c r="I130" s="18" t="n"/>
      <c r="J130" s="21">
        <f>IF(OR($H130="",$I130=""),"",$H130-$I130)</f>
        <v/>
      </c>
      <c r="K130" s="16">
        <f>IF($H130="","",IFERROR(IF(INDEX(Vinos!$J$2:$J$301,MATCH($B130,Vinos!$A$2:$A$301,0))="","",$H130*INDEX(Vinos!$J$2:$J$301,MATCH($B130,Vinos!$A$2:$A$301,0))),""))</f>
        <v/>
      </c>
      <c r="L130" s="16">
        <f>IF($H130="","",IFERROR(IF(INDEX(Vinos!$K$2:$K$301,MATCH($B130,Vinos!$A$2:$A$301,0))="","",$H130*INDEX(Vinos!$K$2:$K$301,MATCH($B130,Vinos!$A$2:$A$301,0))),""))</f>
        <v/>
      </c>
      <c r="M130" s="21">
        <f>IF(OR($A130="",$B130=""),"",SUMIFS($H$2:$H$2001,$A$2:$A$2001,$A130,$B$2:$B$2001,$B130))</f>
        <v/>
      </c>
      <c r="N130" s="20">
        <f>IF($M130="","",IF($M130&lt;=0,"Sin stock: reponer ya",IF($M130&lt;IFERROR(N(INDEX(Vinos!$N$2:$N$301,MATCH($B130,Vinos!$A$2:$A$301,0))),0),"Bajo mínimo: reponer","OK")))</f>
        <v/>
      </c>
      <c r="O130" s="14" t="n"/>
      <c r="P130" s="14" t="n"/>
      <c r="Q130" s="20">
        <f>IF($B130="","",IFERROR(INDEX(Vinos!$C$2:$C$301,MATCH($B130,Vinos!$A$2:$A$301,0)),""))</f>
        <v/>
      </c>
      <c r="R130" s="20">
        <f>IF(OR($A130="",$A130&lt;&gt;'Resumen del inventario'!$C$3,$N130="",$N130="OK"),"",IF(COUNTIFS($A$2:$A130,$A130,$B$2:$B130,$B130)=1,1,""))</f>
        <v/>
      </c>
      <c r="S130" s="20">
        <f>IF($R130=1,COUNTIF($R$2:$R130,1),"")</f>
        <v/>
      </c>
    </row>
    <row r="131">
      <c r="A131" s="19" t="n"/>
      <c r="B131" s="14" t="n"/>
      <c r="C131" s="20">
        <f>IF($B131="","",IFERROR(INDEX(Vinos!$B$2:$B$301,MATCH($B131,Vinos!$A$2:$A$301,0)),"Código no cargado"))</f>
        <v/>
      </c>
      <c r="D131" s="14" t="n"/>
      <c r="E131" s="14" t="n"/>
      <c r="F131" s="18" t="n"/>
      <c r="G131" s="18" t="n"/>
      <c r="H131" s="21">
        <f>IF(AND($F131="",$G131=""),"",N($F131)*IFERROR(N(INDEX(Vinos!$H$2:$H$301,MATCH($B131,Vinos!$A$2:$A$301,0))),0)+N($G131))</f>
        <v/>
      </c>
      <c r="I131" s="18" t="n"/>
      <c r="J131" s="21">
        <f>IF(OR($H131="",$I131=""),"",$H131-$I131)</f>
        <v/>
      </c>
      <c r="K131" s="16">
        <f>IF($H131="","",IFERROR(IF(INDEX(Vinos!$J$2:$J$301,MATCH($B131,Vinos!$A$2:$A$301,0))="","",$H131*INDEX(Vinos!$J$2:$J$301,MATCH($B131,Vinos!$A$2:$A$301,0))),""))</f>
        <v/>
      </c>
      <c r="L131" s="16">
        <f>IF($H131="","",IFERROR(IF(INDEX(Vinos!$K$2:$K$301,MATCH($B131,Vinos!$A$2:$A$301,0))="","",$H131*INDEX(Vinos!$K$2:$K$301,MATCH($B131,Vinos!$A$2:$A$301,0))),""))</f>
        <v/>
      </c>
      <c r="M131" s="21">
        <f>IF(OR($A131="",$B131=""),"",SUMIFS($H$2:$H$2001,$A$2:$A$2001,$A131,$B$2:$B$2001,$B131))</f>
        <v/>
      </c>
      <c r="N131" s="20">
        <f>IF($M131="","",IF($M131&lt;=0,"Sin stock: reponer ya",IF($M131&lt;IFERROR(N(INDEX(Vinos!$N$2:$N$301,MATCH($B131,Vinos!$A$2:$A$301,0))),0),"Bajo mínimo: reponer","OK")))</f>
        <v/>
      </c>
      <c r="O131" s="14" t="n"/>
      <c r="P131" s="14" t="n"/>
      <c r="Q131" s="20">
        <f>IF($B131="","",IFERROR(INDEX(Vinos!$C$2:$C$301,MATCH($B131,Vinos!$A$2:$A$301,0)),""))</f>
        <v/>
      </c>
      <c r="R131" s="20">
        <f>IF(OR($A131="",$A131&lt;&gt;'Resumen del inventario'!$C$3,$N131="",$N131="OK"),"",IF(COUNTIFS($A$2:$A131,$A131,$B$2:$B131,$B131)=1,1,""))</f>
        <v/>
      </c>
      <c r="S131" s="20">
        <f>IF($R131=1,COUNTIF($R$2:$R131,1),"")</f>
        <v/>
      </c>
    </row>
    <row r="132">
      <c r="A132" s="19" t="n"/>
      <c r="B132" s="14" t="n"/>
      <c r="C132" s="20">
        <f>IF($B132="","",IFERROR(INDEX(Vinos!$B$2:$B$301,MATCH($B132,Vinos!$A$2:$A$301,0)),"Código no cargado"))</f>
        <v/>
      </c>
      <c r="D132" s="14" t="n"/>
      <c r="E132" s="14" t="n"/>
      <c r="F132" s="18" t="n"/>
      <c r="G132" s="18" t="n"/>
      <c r="H132" s="21">
        <f>IF(AND($F132="",$G132=""),"",N($F132)*IFERROR(N(INDEX(Vinos!$H$2:$H$301,MATCH($B132,Vinos!$A$2:$A$301,0))),0)+N($G132))</f>
        <v/>
      </c>
      <c r="I132" s="18" t="n"/>
      <c r="J132" s="21">
        <f>IF(OR($H132="",$I132=""),"",$H132-$I132)</f>
        <v/>
      </c>
      <c r="K132" s="16">
        <f>IF($H132="","",IFERROR(IF(INDEX(Vinos!$J$2:$J$301,MATCH($B132,Vinos!$A$2:$A$301,0))="","",$H132*INDEX(Vinos!$J$2:$J$301,MATCH($B132,Vinos!$A$2:$A$301,0))),""))</f>
        <v/>
      </c>
      <c r="L132" s="16">
        <f>IF($H132="","",IFERROR(IF(INDEX(Vinos!$K$2:$K$301,MATCH($B132,Vinos!$A$2:$A$301,0))="","",$H132*INDEX(Vinos!$K$2:$K$301,MATCH($B132,Vinos!$A$2:$A$301,0))),""))</f>
        <v/>
      </c>
      <c r="M132" s="21">
        <f>IF(OR($A132="",$B132=""),"",SUMIFS($H$2:$H$2001,$A$2:$A$2001,$A132,$B$2:$B$2001,$B132))</f>
        <v/>
      </c>
      <c r="N132" s="20">
        <f>IF($M132="","",IF($M132&lt;=0,"Sin stock: reponer ya",IF($M132&lt;IFERROR(N(INDEX(Vinos!$N$2:$N$301,MATCH($B132,Vinos!$A$2:$A$301,0))),0),"Bajo mínimo: reponer","OK")))</f>
        <v/>
      </c>
      <c r="O132" s="14" t="n"/>
      <c r="P132" s="14" t="n"/>
      <c r="Q132" s="20">
        <f>IF($B132="","",IFERROR(INDEX(Vinos!$C$2:$C$301,MATCH($B132,Vinos!$A$2:$A$301,0)),""))</f>
        <v/>
      </c>
      <c r="R132" s="20">
        <f>IF(OR($A132="",$A132&lt;&gt;'Resumen del inventario'!$C$3,$N132="",$N132="OK"),"",IF(COUNTIFS($A$2:$A132,$A132,$B$2:$B132,$B132)=1,1,""))</f>
        <v/>
      </c>
      <c r="S132" s="20">
        <f>IF($R132=1,COUNTIF($R$2:$R132,1),"")</f>
        <v/>
      </c>
    </row>
    <row r="133">
      <c r="A133" s="19" t="n"/>
      <c r="B133" s="14" t="n"/>
      <c r="C133" s="20">
        <f>IF($B133="","",IFERROR(INDEX(Vinos!$B$2:$B$301,MATCH($B133,Vinos!$A$2:$A$301,0)),"Código no cargado"))</f>
        <v/>
      </c>
      <c r="D133" s="14" t="n"/>
      <c r="E133" s="14" t="n"/>
      <c r="F133" s="18" t="n"/>
      <c r="G133" s="18" t="n"/>
      <c r="H133" s="21">
        <f>IF(AND($F133="",$G133=""),"",N($F133)*IFERROR(N(INDEX(Vinos!$H$2:$H$301,MATCH($B133,Vinos!$A$2:$A$301,0))),0)+N($G133))</f>
        <v/>
      </c>
      <c r="I133" s="18" t="n"/>
      <c r="J133" s="21">
        <f>IF(OR($H133="",$I133=""),"",$H133-$I133)</f>
        <v/>
      </c>
      <c r="K133" s="16">
        <f>IF($H133="","",IFERROR(IF(INDEX(Vinos!$J$2:$J$301,MATCH($B133,Vinos!$A$2:$A$301,0))="","",$H133*INDEX(Vinos!$J$2:$J$301,MATCH($B133,Vinos!$A$2:$A$301,0))),""))</f>
        <v/>
      </c>
      <c r="L133" s="16">
        <f>IF($H133="","",IFERROR(IF(INDEX(Vinos!$K$2:$K$301,MATCH($B133,Vinos!$A$2:$A$301,0))="","",$H133*INDEX(Vinos!$K$2:$K$301,MATCH($B133,Vinos!$A$2:$A$301,0))),""))</f>
        <v/>
      </c>
      <c r="M133" s="21">
        <f>IF(OR($A133="",$B133=""),"",SUMIFS($H$2:$H$2001,$A$2:$A$2001,$A133,$B$2:$B$2001,$B133))</f>
        <v/>
      </c>
      <c r="N133" s="20">
        <f>IF($M133="","",IF($M133&lt;=0,"Sin stock: reponer ya",IF($M133&lt;IFERROR(N(INDEX(Vinos!$N$2:$N$301,MATCH($B133,Vinos!$A$2:$A$301,0))),0),"Bajo mínimo: reponer","OK")))</f>
        <v/>
      </c>
      <c r="O133" s="14" t="n"/>
      <c r="P133" s="14" t="n"/>
      <c r="Q133" s="20">
        <f>IF($B133="","",IFERROR(INDEX(Vinos!$C$2:$C$301,MATCH($B133,Vinos!$A$2:$A$301,0)),""))</f>
        <v/>
      </c>
      <c r="R133" s="20">
        <f>IF(OR($A133="",$A133&lt;&gt;'Resumen del inventario'!$C$3,$N133="",$N133="OK"),"",IF(COUNTIFS($A$2:$A133,$A133,$B$2:$B133,$B133)=1,1,""))</f>
        <v/>
      </c>
      <c r="S133" s="20">
        <f>IF($R133=1,COUNTIF($R$2:$R133,1),"")</f>
        <v/>
      </c>
    </row>
    <row r="134">
      <c r="A134" s="19" t="n"/>
      <c r="B134" s="14" t="n"/>
      <c r="C134" s="20">
        <f>IF($B134="","",IFERROR(INDEX(Vinos!$B$2:$B$301,MATCH($B134,Vinos!$A$2:$A$301,0)),"Código no cargado"))</f>
        <v/>
      </c>
      <c r="D134" s="14" t="n"/>
      <c r="E134" s="14" t="n"/>
      <c r="F134" s="18" t="n"/>
      <c r="G134" s="18" t="n"/>
      <c r="H134" s="21">
        <f>IF(AND($F134="",$G134=""),"",N($F134)*IFERROR(N(INDEX(Vinos!$H$2:$H$301,MATCH($B134,Vinos!$A$2:$A$301,0))),0)+N($G134))</f>
        <v/>
      </c>
      <c r="I134" s="18" t="n"/>
      <c r="J134" s="21">
        <f>IF(OR($H134="",$I134=""),"",$H134-$I134)</f>
        <v/>
      </c>
      <c r="K134" s="16">
        <f>IF($H134="","",IFERROR(IF(INDEX(Vinos!$J$2:$J$301,MATCH($B134,Vinos!$A$2:$A$301,0))="","",$H134*INDEX(Vinos!$J$2:$J$301,MATCH($B134,Vinos!$A$2:$A$301,0))),""))</f>
        <v/>
      </c>
      <c r="L134" s="16">
        <f>IF($H134="","",IFERROR(IF(INDEX(Vinos!$K$2:$K$301,MATCH($B134,Vinos!$A$2:$A$301,0))="","",$H134*INDEX(Vinos!$K$2:$K$301,MATCH($B134,Vinos!$A$2:$A$301,0))),""))</f>
        <v/>
      </c>
      <c r="M134" s="21">
        <f>IF(OR($A134="",$B134=""),"",SUMIFS($H$2:$H$2001,$A$2:$A$2001,$A134,$B$2:$B$2001,$B134))</f>
        <v/>
      </c>
      <c r="N134" s="20">
        <f>IF($M134="","",IF($M134&lt;=0,"Sin stock: reponer ya",IF($M134&lt;IFERROR(N(INDEX(Vinos!$N$2:$N$301,MATCH($B134,Vinos!$A$2:$A$301,0))),0),"Bajo mínimo: reponer","OK")))</f>
        <v/>
      </c>
      <c r="O134" s="14" t="n"/>
      <c r="P134" s="14" t="n"/>
      <c r="Q134" s="20">
        <f>IF($B134="","",IFERROR(INDEX(Vinos!$C$2:$C$301,MATCH($B134,Vinos!$A$2:$A$301,0)),""))</f>
        <v/>
      </c>
      <c r="R134" s="20">
        <f>IF(OR($A134="",$A134&lt;&gt;'Resumen del inventario'!$C$3,$N134="",$N134="OK"),"",IF(COUNTIFS($A$2:$A134,$A134,$B$2:$B134,$B134)=1,1,""))</f>
        <v/>
      </c>
      <c r="S134" s="20">
        <f>IF($R134=1,COUNTIF($R$2:$R134,1),"")</f>
        <v/>
      </c>
    </row>
    <row r="135">
      <c r="A135" s="19" t="n"/>
      <c r="B135" s="14" t="n"/>
      <c r="C135" s="20">
        <f>IF($B135="","",IFERROR(INDEX(Vinos!$B$2:$B$301,MATCH($B135,Vinos!$A$2:$A$301,0)),"Código no cargado"))</f>
        <v/>
      </c>
      <c r="D135" s="14" t="n"/>
      <c r="E135" s="14" t="n"/>
      <c r="F135" s="18" t="n"/>
      <c r="G135" s="18" t="n"/>
      <c r="H135" s="21">
        <f>IF(AND($F135="",$G135=""),"",N($F135)*IFERROR(N(INDEX(Vinos!$H$2:$H$301,MATCH($B135,Vinos!$A$2:$A$301,0))),0)+N($G135))</f>
        <v/>
      </c>
      <c r="I135" s="18" t="n"/>
      <c r="J135" s="21">
        <f>IF(OR($H135="",$I135=""),"",$H135-$I135)</f>
        <v/>
      </c>
      <c r="K135" s="16">
        <f>IF($H135="","",IFERROR(IF(INDEX(Vinos!$J$2:$J$301,MATCH($B135,Vinos!$A$2:$A$301,0))="","",$H135*INDEX(Vinos!$J$2:$J$301,MATCH($B135,Vinos!$A$2:$A$301,0))),""))</f>
        <v/>
      </c>
      <c r="L135" s="16">
        <f>IF($H135="","",IFERROR(IF(INDEX(Vinos!$K$2:$K$301,MATCH($B135,Vinos!$A$2:$A$301,0))="","",$H135*INDEX(Vinos!$K$2:$K$301,MATCH($B135,Vinos!$A$2:$A$301,0))),""))</f>
        <v/>
      </c>
      <c r="M135" s="21">
        <f>IF(OR($A135="",$B135=""),"",SUMIFS($H$2:$H$2001,$A$2:$A$2001,$A135,$B$2:$B$2001,$B135))</f>
        <v/>
      </c>
      <c r="N135" s="20">
        <f>IF($M135="","",IF($M135&lt;=0,"Sin stock: reponer ya",IF($M135&lt;IFERROR(N(INDEX(Vinos!$N$2:$N$301,MATCH($B135,Vinos!$A$2:$A$301,0))),0),"Bajo mínimo: reponer","OK")))</f>
        <v/>
      </c>
      <c r="O135" s="14" t="n"/>
      <c r="P135" s="14" t="n"/>
      <c r="Q135" s="20">
        <f>IF($B135="","",IFERROR(INDEX(Vinos!$C$2:$C$301,MATCH($B135,Vinos!$A$2:$A$301,0)),""))</f>
        <v/>
      </c>
      <c r="R135" s="20">
        <f>IF(OR($A135="",$A135&lt;&gt;'Resumen del inventario'!$C$3,$N135="",$N135="OK"),"",IF(COUNTIFS($A$2:$A135,$A135,$B$2:$B135,$B135)=1,1,""))</f>
        <v/>
      </c>
      <c r="S135" s="20">
        <f>IF($R135=1,COUNTIF($R$2:$R135,1),"")</f>
        <v/>
      </c>
    </row>
    <row r="136">
      <c r="A136" s="19" t="n"/>
      <c r="B136" s="14" t="n"/>
      <c r="C136" s="20">
        <f>IF($B136="","",IFERROR(INDEX(Vinos!$B$2:$B$301,MATCH($B136,Vinos!$A$2:$A$301,0)),"Código no cargado"))</f>
        <v/>
      </c>
      <c r="D136" s="14" t="n"/>
      <c r="E136" s="14" t="n"/>
      <c r="F136" s="18" t="n"/>
      <c r="G136" s="18" t="n"/>
      <c r="H136" s="21">
        <f>IF(AND($F136="",$G136=""),"",N($F136)*IFERROR(N(INDEX(Vinos!$H$2:$H$301,MATCH($B136,Vinos!$A$2:$A$301,0))),0)+N($G136))</f>
        <v/>
      </c>
      <c r="I136" s="18" t="n"/>
      <c r="J136" s="21">
        <f>IF(OR($H136="",$I136=""),"",$H136-$I136)</f>
        <v/>
      </c>
      <c r="K136" s="16">
        <f>IF($H136="","",IFERROR(IF(INDEX(Vinos!$J$2:$J$301,MATCH($B136,Vinos!$A$2:$A$301,0))="","",$H136*INDEX(Vinos!$J$2:$J$301,MATCH($B136,Vinos!$A$2:$A$301,0))),""))</f>
        <v/>
      </c>
      <c r="L136" s="16">
        <f>IF($H136="","",IFERROR(IF(INDEX(Vinos!$K$2:$K$301,MATCH($B136,Vinos!$A$2:$A$301,0))="","",$H136*INDEX(Vinos!$K$2:$K$301,MATCH($B136,Vinos!$A$2:$A$301,0))),""))</f>
        <v/>
      </c>
      <c r="M136" s="21">
        <f>IF(OR($A136="",$B136=""),"",SUMIFS($H$2:$H$2001,$A$2:$A$2001,$A136,$B$2:$B$2001,$B136))</f>
        <v/>
      </c>
      <c r="N136" s="20">
        <f>IF($M136="","",IF($M136&lt;=0,"Sin stock: reponer ya",IF($M136&lt;IFERROR(N(INDEX(Vinos!$N$2:$N$301,MATCH($B136,Vinos!$A$2:$A$301,0))),0),"Bajo mínimo: reponer","OK")))</f>
        <v/>
      </c>
      <c r="O136" s="14" t="n"/>
      <c r="P136" s="14" t="n"/>
      <c r="Q136" s="20">
        <f>IF($B136="","",IFERROR(INDEX(Vinos!$C$2:$C$301,MATCH($B136,Vinos!$A$2:$A$301,0)),""))</f>
        <v/>
      </c>
      <c r="R136" s="20">
        <f>IF(OR($A136="",$A136&lt;&gt;'Resumen del inventario'!$C$3,$N136="",$N136="OK"),"",IF(COUNTIFS($A$2:$A136,$A136,$B$2:$B136,$B136)=1,1,""))</f>
        <v/>
      </c>
      <c r="S136" s="20">
        <f>IF($R136=1,COUNTIF($R$2:$R136,1),"")</f>
        <v/>
      </c>
    </row>
    <row r="137">
      <c r="A137" s="19" t="n"/>
      <c r="B137" s="14" t="n"/>
      <c r="C137" s="20">
        <f>IF($B137="","",IFERROR(INDEX(Vinos!$B$2:$B$301,MATCH($B137,Vinos!$A$2:$A$301,0)),"Código no cargado"))</f>
        <v/>
      </c>
      <c r="D137" s="14" t="n"/>
      <c r="E137" s="14" t="n"/>
      <c r="F137" s="18" t="n"/>
      <c r="G137" s="18" t="n"/>
      <c r="H137" s="21">
        <f>IF(AND($F137="",$G137=""),"",N($F137)*IFERROR(N(INDEX(Vinos!$H$2:$H$301,MATCH($B137,Vinos!$A$2:$A$301,0))),0)+N($G137))</f>
        <v/>
      </c>
      <c r="I137" s="18" t="n"/>
      <c r="J137" s="21">
        <f>IF(OR($H137="",$I137=""),"",$H137-$I137)</f>
        <v/>
      </c>
      <c r="K137" s="16">
        <f>IF($H137="","",IFERROR(IF(INDEX(Vinos!$J$2:$J$301,MATCH($B137,Vinos!$A$2:$A$301,0))="","",$H137*INDEX(Vinos!$J$2:$J$301,MATCH($B137,Vinos!$A$2:$A$301,0))),""))</f>
        <v/>
      </c>
      <c r="L137" s="16">
        <f>IF($H137="","",IFERROR(IF(INDEX(Vinos!$K$2:$K$301,MATCH($B137,Vinos!$A$2:$A$301,0))="","",$H137*INDEX(Vinos!$K$2:$K$301,MATCH($B137,Vinos!$A$2:$A$301,0))),""))</f>
        <v/>
      </c>
      <c r="M137" s="21">
        <f>IF(OR($A137="",$B137=""),"",SUMIFS($H$2:$H$2001,$A$2:$A$2001,$A137,$B$2:$B$2001,$B137))</f>
        <v/>
      </c>
      <c r="N137" s="20">
        <f>IF($M137="","",IF($M137&lt;=0,"Sin stock: reponer ya",IF($M137&lt;IFERROR(N(INDEX(Vinos!$N$2:$N$301,MATCH($B137,Vinos!$A$2:$A$301,0))),0),"Bajo mínimo: reponer","OK")))</f>
        <v/>
      </c>
      <c r="O137" s="14" t="n"/>
      <c r="P137" s="14" t="n"/>
      <c r="Q137" s="20">
        <f>IF($B137="","",IFERROR(INDEX(Vinos!$C$2:$C$301,MATCH($B137,Vinos!$A$2:$A$301,0)),""))</f>
        <v/>
      </c>
      <c r="R137" s="20">
        <f>IF(OR($A137="",$A137&lt;&gt;'Resumen del inventario'!$C$3,$N137="",$N137="OK"),"",IF(COUNTIFS($A$2:$A137,$A137,$B$2:$B137,$B137)=1,1,""))</f>
        <v/>
      </c>
      <c r="S137" s="20">
        <f>IF($R137=1,COUNTIF($R$2:$R137,1),"")</f>
        <v/>
      </c>
    </row>
    <row r="138">
      <c r="A138" s="19" t="n"/>
      <c r="B138" s="14" t="n"/>
      <c r="C138" s="20">
        <f>IF($B138="","",IFERROR(INDEX(Vinos!$B$2:$B$301,MATCH($B138,Vinos!$A$2:$A$301,0)),"Código no cargado"))</f>
        <v/>
      </c>
      <c r="D138" s="14" t="n"/>
      <c r="E138" s="14" t="n"/>
      <c r="F138" s="18" t="n"/>
      <c r="G138" s="18" t="n"/>
      <c r="H138" s="21">
        <f>IF(AND($F138="",$G138=""),"",N($F138)*IFERROR(N(INDEX(Vinos!$H$2:$H$301,MATCH($B138,Vinos!$A$2:$A$301,0))),0)+N($G138))</f>
        <v/>
      </c>
      <c r="I138" s="18" t="n"/>
      <c r="J138" s="21">
        <f>IF(OR($H138="",$I138=""),"",$H138-$I138)</f>
        <v/>
      </c>
      <c r="K138" s="16">
        <f>IF($H138="","",IFERROR(IF(INDEX(Vinos!$J$2:$J$301,MATCH($B138,Vinos!$A$2:$A$301,0))="","",$H138*INDEX(Vinos!$J$2:$J$301,MATCH($B138,Vinos!$A$2:$A$301,0))),""))</f>
        <v/>
      </c>
      <c r="L138" s="16">
        <f>IF($H138="","",IFERROR(IF(INDEX(Vinos!$K$2:$K$301,MATCH($B138,Vinos!$A$2:$A$301,0))="","",$H138*INDEX(Vinos!$K$2:$K$301,MATCH($B138,Vinos!$A$2:$A$301,0))),""))</f>
        <v/>
      </c>
      <c r="M138" s="21">
        <f>IF(OR($A138="",$B138=""),"",SUMIFS($H$2:$H$2001,$A$2:$A$2001,$A138,$B$2:$B$2001,$B138))</f>
        <v/>
      </c>
      <c r="N138" s="20">
        <f>IF($M138="","",IF($M138&lt;=0,"Sin stock: reponer ya",IF($M138&lt;IFERROR(N(INDEX(Vinos!$N$2:$N$301,MATCH($B138,Vinos!$A$2:$A$301,0))),0),"Bajo mínimo: reponer","OK")))</f>
        <v/>
      </c>
      <c r="O138" s="14" t="n"/>
      <c r="P138" s="14" t="n"/>
      <c r="Q138" s="20">
        <f>IF($B138="","",IFERROR(INDEX(Vinos!$C$2:$C$301,MATCH($B138,Vinos!$A$2:$A$301,0)),""))</f>
        <v/>
      </c>
      <c r="R138" s="20">
        <f>IF(OR($A138="",$A138&lt;&gt;'Resumen del inventario'!$C$3,$N138="",$N138="OK"),"",IF(COUNTIFS($A$2:$A138,$A138,$B$2:$B138,$B138)=1,1,""))</f>
        <v/>
      </c>
      <c r="S138" s="20">
        <f>IF($R138=1,COUNTIF($R$2:$R138,1),"")</f>
        <v/>
      </c>
    </row>
    <row r="139">
      <c r="A139" s="19" t="n"/>
      <c r="B139" s="14" t="n"/>
      <c r="C139" s="20">
        <f>IF($B139="","",IFERROR(INDEX(Vinos!$B$2:$B$301,MATCH($B139,Vinos!$A$2:$A$301,0)),"Código no cargado"))</f>
        <v/>
      </c>
      <c r="D139" s="14" t="n"/>
      <c r="E139" s="14" t="n"/>
      <c r="F139" s="18" t="n"/>
      <c r="G139" s="18" t="n"/>
      <c r="H139" s="21">
        <f>IF(AND($F139="",$G139=""),"",N($F139)*IFERROR(N(INDEX(Vinos!$H$2:$H$301,MATCH($B139,Vinos!$A$2:$A$301,0))),0)+N($G139))</f>
        <v/>
      </c>
      <c r="I139" s="18" t="n"/>
      <c r="J139" s="21">
        <f>IF(OR($H139="",$I139=""),"",$H139-$I139)</f>
        <v/>
      </c>
      <c r="K139" s="16">
        <f>IF($H139="","",IFERROR(IF(INDEX(Vinos!$J$2:$J$301,MATCH($B139,Vinos!$A$2:$A$301,0))="","",$H139*INDEX(Vinos!$J$2:$J$301,MATCH($B139,Vinos!$A$2:$A$301,0))),""))</f>
        <v/>
      </c>
      <c r="L139" s="16">
        <f>IF($H139="","",IFERROR(IF(INDEX(Vinos!$K$2:$K$301,MATCH($B139,Vinos!$A$2:$A$301,0))="","",$H139*INDEX(Vinos!$K$2:$K$301,MATCH($B139,Vinos!$A$2:$A$301,0))),""))</f>
        <v/>
      </c>
      <c r="M139" s="21">
        <f>IF(OR($A139="",$B139=""),"",SUMIFS($H$2:$H$2001,$A$2:$A$2001,$A139,$B$2:$B$2001,$B139))</f>
        <v/>
      </c>
      <c r="N139" s="20">
        <f>IF($M139="","",IF($M139&lt;=0,"Sin stock: reponer ya",IF($M139&lt;IFERROR(N(INDEX(Vinos!$N$2:$N$301,MATCH($B139,Vinos!$A$2:$A$301,0))),0),"Bajo mínimo: reponer","OK")))</f>
        <v/>
      </c>
      <c r="O139" s="14" t="n"/>
      <c r="P139" s="14" t="n"/>
      <c r="Q139" s="20">
        <f>IF($B139="","",IFERROR(INDEX(Vinos!$C$2:$C$301,MATCH($B139,Vinos!$A$2:$A$301,0)),""))</f>
        <v/>
      </c>
      <c r="R139" s="20">
        <f>IF(OR($A139="",$A139&lt;&gt;'Resumen del inventario'!$C$3,$N139="",$N139="OK"),"",IF(COUNTIFS($A$2:$A139,$A139,$B$2:$B139,$B139)=1,1,""))</f>
        <v/>
      </c>
      <c r="S139" s="20">
        <f>IF($R139=1,COUNTIF($R$2:$R139,1),"")</f>
        <v/>
      </c>
    </row>
    <row r="140">
      <c r="A140" s="19" t="n"/>
      <c r="B140" s="14" t="n"/>
      <c r="C140" s="20">
        <f>IF($B140="","",IFERROR(INDEX(Vinos!$B$2:$B$301,MATCH($B140,Vinos!$A$2:$A$301,0)),"Código no cargado"))</f>
        <v/>
      </c>
      <c r="D140" s="14" t="n"/>
      <c r="E140" s="14" t="n"/>
      <c r="F140" s="18" t="n"/>
      <c r="G140" s="18" t="n"/>
      <c r="H140" s="21">
        <f>IF(AND($F140="",$G140=""),"",N($F140)*IFERROR(N(INDEX(Vinos!$H$2:$H$301,MATCH($B140,Vinos!$A$2:$A$301,0))),0)+N($G140))</f>
        <v/>
      </c>
      <c r="I140" s="18" t="n"/>
      <c r="J140" s="21">
        <f>IF(OR($H140="",$I140=""),"",$H140-$I140)</f>
        <v/>
      </c>
      <c r="K140" s="16">
        <f>IF($H140="","",IFERROR(IF(INDEX(Vinos!$J$2:$J$301,MATCH($B140,Vinos!$A$2:$A$301,0))="","",$H140*INDEX(Vinos!$J$2:$J$301,MATCH($B140,Vinos!$A$2:$A$301,0))),""))</f>
        <v/>
      </c>
      <c r="L140" s="16">
        <f>IF($H140="","",IFERROR(IF(INDEX(Vinos!$K$2:$K$301,MATCH($B140,Vinos!$A$2:$A$301,0))="","",$H140*INDEX(Vinos!$K$2:$K$301,MATCH($B140,Vinos!$A$2:$A$301,0))),""))</f>
        <v/>
      </c>
      <c r="M140" s="21">
        <f>IF(OR($A140="",$B140=""),"",SUMIFS($H$2:$H$2001,$A$2:$A$2001,$A140,$B$2:$B$2001,$B140))</f>
        <v/>
      </c>
      <c r="N140" s="20">
        <f>IF($M140="","",IF($M140&lt;=0,"Sin stock: reponer ya",IF($M140&lt;IFERROR(N(INDEX(Vinos!$N$2:$N$301,MATCH($B140,Vinos!$A$2:$A$301,0))),0),"Bajo mínimo: reponer","OK")))</f>
        <v/>
      </c>
      <c r="O140" s="14" t="n"/>
      <c r="P140" s="14" t="n"/>
      <c r="Q140" s="20">
        <f>IF($B140="","",IFERROR(INDEX(Vinos!$C$2:$C$301,MATCH($B140,Vinos!$A$2:$A$301,0)),""))</f>
        <v/>
      </c>
      <c r="R140" s="20">
        <f>IF(OR($A140="",$A140&lt;&gt;'Resumen del inventario'!$C$3,$N140="",$N140="OK"),"",IF(COUNTIFS($A$2:$A140,$A140,$B$2:$B140,$B140)=1,1,""))</f>
        <v/>
      </c>
      <c r="S140" s="20">
        <f>IF($R140=1,COUNTIF($R$2:$R140,1),"")</f>
        <v/>
      </c>
    </row>
    <row r="141">
      <c r="A141" s="19" t="n"/>
      <c r="B141" s="14" t="n"/>
      <c r="C141" s="20">
        <f>IF($B141="","",IFERROR(INDEX(Vinos!$B$2:$B$301,MATCH($B141,Vinos!$A$2:$A$301,0)),"Código no cargado"))</f>
        <v/>
      </c>
      <c r="D141" s="14" t="n"/>
      <c r="E141" s="14" t="n"/>
      <c r="F141" s="18" t="n"/>
      <c r="G141" s="18" t="n"/>
      <c r="H141" s="21">
        <f>IF(AND($F141="",$G141=""),"",N($F141)*IFERROR(N(INDEX(Vinos!$H$2:$H$301,MATCH($B141,Vinos!$A$2:$A$301,0))),0)+N($G141))</f>
        <v/>
      </c>
      <c r="I141" s="18" t="n"/>
      <c r="J141" s="21">
        <f>IF(OR($H141="",$I141=""),"",$H141-$I141)</f>
        <v/>
      </c>
      <c r="K141" s="16">
        <f>IF($H141="","",IFERROR(IF(INDEX(Vinos!$J$2:$J$301,MATCH($B141,Vinos!$A$2:$A$301,0))="","",$H141*INDEX(Vinos!$J$2:$J$301,MATCH($B141,Vinos!$A$2:$A$301,0))),""))</f>
        <v/>
      </c>
      <c r="L141" s="16">
        <f>IF($H141="","",IFERROR(IF(INDEX(Vinos!$K$2:$K$301,MATCH($B141,Vinos!$A$2:$A$301,0))="","",$H141*INDEX(Vinos!$K$2:$K$301,MATCH($B141,Vinos!$A$2:$A$301,0))),""))</f>
        <v/>
      </c>
      <c r="M141" s="21">
        <f>IF(OR($A141="",$B141=""),"",SUMIFS($H$2:$H$2001,$A$2:$A$2001,$A141,$B$2:$B$2001,$B141))</f>
        <v/>
      </c>
      <c r="N141" s="20">
        <f>IF($M141="","",IF($M141&lt;=0,"Sin stock: reponer ya",IF($M141&lt;IFERROR(N(INDEX(Vinos!$N$2:$N$301,MATCH($B141,Vinos!$A$2:$A$301,0))),0),"Bajo mínimo: reponer","OK")))</f>
        <v/>
      </c>
      <c r="O141" s="14" t="n"/>
      <c r="P141" s="14" t="n"/>
      <c r="Q141" s="20">
        <f>IF($B141="","",IFERROR(INDEX(Vinos!$C$2:$C$301,MATCH($B141,Vinos!$A$2:$A$301,0)),""))</f>
        <v/>
      </c>
      <c r="R141" s="20">
        <f>IF(OR($A141="",$A141&lt;&gt;'Resumen del inventario'!$C$3,$N141="",$N141="OK"),"",IF(COUNTIFS($A$2:$A141,$A141,$B$2:$B141,$B141)=1,1,""))</f>
        <v/>
      </c>
      <c r="S141" s="20">
        <f>IF($R141=1,COUNTIF($R$2:$R141,1),"")</f>
        <v/>
      </c>
    </row>
    <row r="142">
      <c r="A142" s="19" t="n"/>
      <c r="B142" s="14" t="n"/>
      <c r="C142" s="20">
        <f>IF($B142="","",IFERROR(INDEX(Vinos!$B$2:$B$301,MATCH($B142,Vinos!$A$2:$A$301,0)),"Código no cargado"))</f>
        <v/>
      </c>
      <c r="D142" s="14" t="n"/>
      <c r="E142" s="14" t="n"/>
      <c r="F142" s="18" t="n"/>
      <c r="G142" s="18" t="n"/>
      <c r="H142" s="21">
        <f>IF(AND($F142="",$G142=""),"",N($F142)*IFERROR(N(INDEX(Vinos!$H$2:$H$301,MATCH($B142,Vinos!$A$2:$A$301,0))),0)+N($G142))</f>
        <v/>
      </c>
      <c r="I142" s="18" t="n"/>
      <c r="J142" s="21">
        <f>IF(OR($H142="",$I142=""),"",$H142-$I142)</f>
        <v/>
      </c>
      <c r="K142" s="16">
        <f>IF($H142="","",IFERROR(IF(INDEX(Vinos!$J$2:$J$301,MATCH($B142,Vinos!$A$2:$A$301,0))="","",$H142*INDEX(Vinos!$J$2:$J$301,MATCH($B142,Vinos!$A$2:$A$301,0))),""))</f>
        <v/>
      </c>
      <c r="L142" s="16">
        <f>IF($H142="","",IFERROR(IF(INDEX(Vinos!$K$2:$K$301,MATCH($B142,Vinos!$A$2:$A$301,0))="","",$H142*INDEX(Vinos!$K$2:$K$301,MATCH($B142,Vinos!$A$2:$A$301,0))),""))</f>
        <v/>
      </c>
      <c r="M142" s="21">
        <f>IF(OR($A142="",$B142=""),"",SUMIFS($H$2:$H$2001,$A$2:$A$2001,$A142,$B$2:$B$2001,$B142))</f>
        <v/>
      </c>
      <c r="N142" s="20">
        <f>IF($M142="","",IF($M142&lt;=0,"Sin stock: reponer ya",IF($M142&lt;IFERROR(N(INDEX(Vinos!$N$2:$N$301,MATCH($B142,Vinos!$A$2:$A$301,0))),0),"Bajo mínimo: reponer","OK")))</f>
        <v/>
      </c>
      <c r="O142" s="14" t="n"/>
      <c r="P142" s="14" t="n"/>
      <c r="Q142" s="20">
        <f>IF($B142="","",IFERROR(INDEX(Vinos!$C$2:$C$301,MATCH($B142,Vinos!$A$2:$A$301,0)),""))</f>
        <v/>
      </c>
      <c r="R142" s="20">
        <f>IF(OR($A142="",$A142&lt;&gt;'Resumen del inventario'!$C$3,$N142="",$N142="OK"),"",IF(COUNTIFS($A$2:$A142,$A142,$B$2:$B142,$B142)=1,1,""))</f>
        <v/>
      </c>
      <c r="S142" s="20">
        <f>IF($R142=1,COUNTIF($R$2:$R142,1),"")</f>
        <v/>
      </c>
    </row>
    <row r="143">
      <c r="A143" s="19" t="n"/>
      <c r="B143" s="14" t="n"/>
      <c r="C143" s="20">
        <f>IF($B143="","",IFERROR(INDEX(Vinos!$B$2:$B$301,MATCH($B143,Vinos!$A$2:$A$301,0)),"Código no cargado"))</f>
        <v/>
      </c>
      <c r="D143" s="14" t="n"/>
      <c r="E143" s="14" t="n"/>
      <c r="F143" s="18" t="n"/>
      <c r="G143" s="18" t="n"/>
      <c r="H143" s="21">
        <f>IF(AND($F143="",$G143=""),"",N($F143)*IFERROR(N(INDEX(Vinos!$H$2:$H$301,MATCH($B143,Vinos!$A$2:$A$301,0))),0)+N($G143))</f>
        <v/>
      </c>
      <c r="I143" s="18" t="n"/>
      <c r="J143" s="21">
        <f>IF(OR($H143="",$I143=""),"",$H143-$I143)</f>
        <v/>
      </c>
      <c r="K143" s="16">
        <f>IF($H143="","",IFERROR(IF(INDEX(Vinos!$J$2:$J$301,MATCH($B143,Vinos!$A$2:$A$301,0))="","",$H143*INDEX(Vinos!$J$2:$J$301,MATCH($B143,Vinos!$A$2:$A$301,0))),""))</f>
        <v/>
      </c>
      <c r="L143" s="16">
        <f>IF($H143="","",IFERROR(IF(INDEX(Vinos!$K$2:$K$301,MATCH($B143,Vinos!$A$2:$A$301,0))="","",$H143*INDEX(Vinos!$K$2:$K$301,MATCH($B143,Vinos!$A$2:$A$301,0))),""))</f>
        <v/>
      </c>
      <c r="M143" s="21">
        <f>IF(OR($A143="",$B143=""),"",SUMIFS($H$2:$H$2001,$A$2:$A$2001,$A143,$B$2:$B$2001,$B143))</f>
        <v/>
      </c>
      <c r="N143" s="20">
        <f>IF($M143="","",IF($M143&lt;=0,"Sin stock: reponer ya",IF($M143&lt;IFERROR(N(INDEX(Vinos!$N$2:$N$301,MATCH($B143,Vinos!$A$2:$A$301,0))),0),"Bajo mínimo: reponer","OK")))</f>
        <v/>
      </c>
      <c r="O143" s="14" t="n"/>
      <c r="P143" s="14" t="n"/>
      <c r="Q143" s="20">
        <f>IF($B143="","",IFERROR(INDEX(Vinos!$C$2:$C$301,MATCH($B143,Vinos!$A$2:$A$301,0)),""))</f>
        <v/>
      </c>
      <c r="R143" s="20">
        <f>IF(OR($A143="",$A143&lt;&gt;'Resumen del inventario'!$C$3,$N143="",$N143="OK"),"",IF(COUNTIFS($A$2:$A143,$A143,$B$2:$B143,$B143)=1,1,""))</f>
        <v/>
      </c>
      <c r="S143" s="20">
        <f>IF($R143=1,COUNTIF($R$2:$R143,1),"")</f>
        <v/>
      </c>
    </row>
    <row r="144">
      <c r="A144" s="19" t="n"/>
      <c r="B144" s="14" t="n"/>
      <c r="C144" s="20">
        <f>IF($B144="","",IFERROR(INDEX(Vinos!$B$2:$B$301,MATCH($B144,Vinos!$A$2:$A$301,0)),"Código no cargado"))</f>
        <v/>
      </c>
      <c r="D144" s="14" t="n"/>
      <c r="E144" s="14" t="n"/>
      <c r="F144" s="18" t="n"/>
      <c r="G144" s="18" t="n"/>
      <c r="H144" s="21">
        <f>IF(AND($F144="",$G144=""),"",N($F144)*IFERROR(N(INDEX(Vinos!$H$2:$H$301,MATCH($B144,Vinos!$A$2:$A$301,0))),0)+N($G144))</f>
        <v/>
      </c>
      <c r="I144" s="18" t="n"/>
      <c r="J144" s="21">
        <f>IF(OR($H144="",$I144=""),"",$H144-$I144)</f>
        <v/>
      </c>
      <c r="K144" s="16">
        <f>IF($H144="","",IFERROR(IF(INDEX(Vinos!$J$2:$J$301,MATCH($B144,Vinos!$A$2:$A$301,0))="","",$H144*INDEX(Vinos!$J$2:$J$301,MATCH($B144,Vinos!$A$2:$A$301,0))),""))</f>
        <v/>
      </c>
      <c r="L144" s="16">
        <f>IF($H144="","",IFERROR(IF(INDEX(Vinos!$K$2:$K$301,MATCH($B144,Vinos!$A$2:$A$301,0))="","",$H144*INDEX(Vinos!$K$2:$K$301,MATCH($B144,Vinos!$A$2:$A$301,0))),""))</f>
        <v/>
      </c>
      <c r="M144" s="21">
        <f>IF(OR($A144="",$B144=""),"",SUMIFS($H$2:$H$2001,$A$2:$A$2001,$A144,$B$2:$B$2001,$B144))</f>
        <v/>
      </c>
      <c r="N144" s="20">
        <f>IF($M144="","",IF($M144&lt;=0,"Sin stock: reponer ya",IF($M144&lt;IFERROR(N(INDEX(Vinos!$N$2:$N$301,MATCH($B144,Vinos!$A$2:$A$301,0))),0),"Bajo mínimo: reponer","OK")))</f>
        <v/>
      </c>
      <c r="O144" s="14" t="n"/>
      <c r="P144" s="14" t="n"/>
      <c r="Q144" s="20">
        <f>IF($B144="","",IFERROR(INDEX(Vinos!$C$2:$C$301,MATCH($B144,Vinos!$A$2:$A$301,0)),""))</f>
        <v/>
      </c>
      <c r="R144" s="20">
        <f>IF(OR($A144="",$A144&lt;&gt;'Resumen del inventario'!$C$3,$N144="",$N144="OK"),"",IF(COUNTIFS($A$2:$A144,$A144,$B$2:$B144,$B144)=1,1,""))</f>
        <v/>
      </c>
      <c r="S144" s="20">
        <f>IF($R144=1,COUNTIF($R$2:$R144,1),"")</f>
        <v/>
      </c>
    </row>
    <row r="145">
      <c r="A145" s="19" t="n"/>
      <c r="B145" s="14" t="n"/>
      <c r="C145" s="20">
        <f>IF($B145="","",IFERROR(INDEX(Vinos!$B$2:$B$301,MATCH($B145,Vinos!$A$2:$A$301,0)),"Código no cargado"))</f>
        <v/>
      </c>
      <c r="D145" s="14" t="n"/>
      <c r="E145" s="14" t="n"/>
      <c r="F145" s="18" t="n"/>
      <c r="G145" s="18" t="n"/>
      <c r="H145" s="21">
        <f>IF(AND($F145="",$G145=""),"",N($F145)*IFERROR(N(INDEX(Vinos!$H$2:$H$301,MATCH($B145,Vinos!$A$2:$A$301,0))),0)+N($G145))</f>
        <v/>
      </c>
      <c r="I145" s="18" t="n"/>
      <c r="J145" s="21">
        <f>IF(OR($H145="",$I145=""),"",$H145-$I145)</f>
        <v/>
      </c>
      <c r="K145" s="16">
        <f>IF($H145="","",IFERROR(IF(INDEX(Vinos!$J$2:$J$301,MATCH($B145,Vinos!$A$2:$A$301,0))="","",$H145*INDEX(Vinos!$J$2:$J$301,MATCH($B145,Vinos!$A$2:$A$301,0))),""))</f>
        <v/>
      </c>
      <c r="L145" s="16">
        <f>IF($H145="","",IFERROR(IF(INDEX(Vinos!$K$2:$K$301,MATCH($B145,Vinos!$A$2:$A$301,0))="","",$H145*INDEX(Vinos!$K$2:$K$301,MATCH($B145,Vinos!$A$2:$A$301,0))),""))</f>
        <v/>
      </c>
      <c r="M145" s="21">
        <f>IF(OR($A145="",$B145=""),"",SUMIFS($H$2:$H$2001,$A$2:$A$2001,$A145,$B$2:$B$2001,$B145))</f>
        <v/>
      </c>
      <c r="N145" s="20">
        <f>IF($M145="","",IF($M145&lt;=0,"Sin stock: reponer ya",IF($M145&lt;IFERROR(N(INDEX(Vinos!$N$2:$N$301,MATCH($B145,Vinos!$A$2:$A$301,0))),0),"Bajo mínimo: reponer","OK")))</f>
        <v/>
      </c>
      <c r="O145" s="14" t="n"/>
      <c r="P145" s="14" t="n"/>
      <c r="Q145" s="20">
        <f>IF($B145="","",IFERROR(INDEX(Vinos!$C$2:$C$301,MATCH($B145,Vinos!$A$2:$A$301,0)),""))</f>
        <v/>
      </c>
      <c r="R145" s="20">
        <f>IF(OR($A145="",$A145&lt;&gt;'Resumen del inventario'!$C$3,$N145="",$N145="OK"),"",IF(COUNTIFS($A$2:$A145,$A145,$B$2:$B145,$B145)=1,1,""))</f>
        <v/>
      </c>
      <c r="S145" s="20">
        <f>IF($R145=1,COUNTIF($R$2:$R145,1),"")</f>
        <v/>
      </c>
    </row>
    <row r="146">
      <c r="A146" s="19" t="n"/>
      <c r="B146" s="14" t="n"/>
      <c r="C146" s="20">
        <f>IF($B146="","",IFERROR(INDEX(Vinos!$B$2:$B$301,MATCH($B146,Vinos!$A$2:$A$301,0)),"Código no cargado"))</f>
        <v/>
      </c>
      <c r="D146" s="14" t="n"/>
      <c r="E146" s="14" t="n"/>
      <c r="F146" s="18" t="n"/>
      <c r="G146" s="18" t="n"/>
      <c r="H146" s="21">
        <f>IF(AND($F146="",$G146=""),"",N($F146)*IFERROR(N(INDEX(Vinos!$H$2:$H$301,MATCH($B146,Vinos!$A$2:$A$301,0))),0)+N($G146))</f>
        <v/>
      </c>
      <c r="I146" s="18" t="n"/>
      <c r="J146" s="21">
        <f>IF(OR($H146="",$I146=""),"",$H146-$I146)</f>
        <v/>
      </c>
      <c r="K146" s="16">
        <f>IF($H146="","",IFERROR(IF(INDEX(Vinos!$J$2:$J$301,MATCH($B146,Vinos!$A$2:$A$301,0))="","",$H146*INDEX(Vinos!$J$2:$J$301,MATCH($B146,Vinos!$A$2:$A$301,0))),""))</f>
        <v/>
      </c>
      <c r="L146" s="16">
        <f>IF($H146="","",IFERROR(IF(INDEX(Vinos!$K$2:$K$301,MATCH($B146,Vinos!$A$2:$A$301,0))="","",$H146*INDEX(Vinos!$K$2:$K$301,MATCH($B146,Vinos!$A$2:$A$301,0))),""))</f>
        <v/>
      </c>
      <c r="M146" s="21">
        <f>IF(OR($A146="",$B146=""),"",SUMIFS($H$2:$H$2001,$A$2:$A$2001,$A146,$B$2:$B$2001,$B146))</f>
        <v/>
      </c>
      <c r="N146" s="20">
        <f>IF($M146="","",IF($M146&lt;=0,"Sin stock: reponer ya",IF($M146&lt;IFERROR(N(INDEX(Vinos!$N$2:$N$301,MATCH($B146,Vinos!$A$2:$A$301,0))),0),"Bajo mínimo: reponer","OK")))</f>
        <v/>
      </c>
      <c r="O146" s="14" t="n"/>
      <c r="P146" s="14" t="n"/>
      <c r="Q146" s="20">
        <f>IF($B146="","",IFERROR(INDEX(Vinos!$C$2:$C$301,MATCH($B146,Vinos!$A$2:$A$301,0)),""))</f>
        <v/>
      </c>
      <c r="R146" s="20">
        <f>IF(OR($A146="",$A146&lt;&gt;'Resumen del inventario'!$C$3,$N146="",$N146="OK"),"",IF(COUNTIFS($A$2:$A146,$A146,$B$2:$B146,$B146)=1,1,""))</f>
        <v/>
      </c>
      <c r="S146" s="20">
        <f>IF($R146=1,COUNTIF($R$2:$R146,1),"")</f>
        <v/>
      </c>
    </row>
    <row r="147">
      <c r="A147" s="19" t="n"/>
      <c r="B147" s="14" t="n"/>
      <c r="C147" s="20">
        <f>IF($B147="","",IFERROR(INDEX(Vinos!$B$2:$B$301,MATCH($B147,Vinos!$A$2:$A$301,0)),"Código no cargado"))</f>
        <v/>
      </c>
      <c r="D147" s="14" t="n"/>
      <c r="E147" s="14" t="n"/>
      <c r="F147" s="18" t="n"/>
      <c r="G147" s="18" t="n"/>
      <c r="H147" s="21">
        <f>IF(AND($F147="",$G147=""),"",N($F147)*IFERROR(N(INDEX(Vinos!$H$2:$H$301,MATCH($B147,Vinos!$A$2:$A$301,0))),0)+N($G147))</f>
        <v/>
      </c>
      <c r="I147" s="18" t="n"/>
      <c r="J147" s="21">
        <f>IF(OR($H147="",$I147=""),"",$H147-$I147)</f>
        <v/>
      </c>
      <c r="K147" s="16">
        <f>IF($H147="","",IFERROR(IF(INDEX(Vinos!$J$2:$J$301,MATCH($B147,Vinos!$A$2:$A$301,0))="","",$H147*INDEX(Vinos!$J$2:$J$301,MATCH($B147,Vinos!$A$2:$A$301,0))),""))</f>
        <v/>
      </c>
      <c r="L147" s="16">
        <f>IF($H147="","",IFERROR(IF(INDEX(Vinos!$K$2:$K$301,MATCH($B147,Vinos!$A$2:$A$301,0))="","",$H147*INDEX(Vinos!$K$2:$K$301,MATCH($B147,Vinos!$A$2:$A$301,0))),""))</f>
        <v/>
      </c>
      <c r="M147" s="21">
        <f>IF(OR($A147="",$B147=""),"",SUMIFS($H$2:$H$2001,$A$2:$A$2001,$A147,$B$2:$B$2001,$B147))</f>
        <v/>
      </c>
      <c r="N147" s="20">
        <f>IF($M147="","",IF($M147&lt;=0,"Sin stock: reponer ya",IF($M147&lt;IFERROR(N(INDEX(Vinos!$N$2:$N$301,MATCH($B147,Vinos!$A$2:$A$301,0))),0),"Bajo mínimo: reponer","OK")))</f>
        <v/>
      </c>
      <c r="O147" s="14" t="n"/>
      <c r="P147" s="14" t="n"/>
      <c r="Q147" s="20">
        <f>IF($B147="","",IFERROR(INDEX(Vinos!$C$2:$C$301,MATCH($B147,Vinos!$A$2:$A$301,0)),""))</f>
        <v/>
      </c>
      <c r="R147" s="20">
        <f>IF(OR($A147="",$A147&lt;&gt;'Resumen del inventario'!$C$3,$N147="",$N147="OK"),"",IF(COUNTIFS($A$2:$A147,$A147,$B$2:$B147,$B147)=1,1,""))</f>
        <v/>
      </c>
      <c r="S147" s="20">
        <f>IF($R147=1,COUNTIF($R$2:$R147,1),"")</f>
        <v/>
      </c>
    </row>
    <row r="148">
      <c r="A148" s="19" t="n"/>
      <c r="B148" s="14" t="n"/>
      <c r="C148" s="20">
        <f>IF($B148="","",IFERROR(INDEX(Vinos!$B$2:$B$301,MATCH($B148,Vinos!$A$2:$A$301,0)),"Código no cargado"))</f>
        <v/>
      </c>
      <c r="D148" s="14" t="n"/>
      <c r="E148" s="14" t="n"/>
      <c r="F148" s="18" t="n"/>
      <c r="G148" s="18" t="n"/>
      <c r="H148" s="21">
        <f>IF(AND($F148="",$G148=""),"",N($F148)*IFERROR(N(INDEX(Vinos!$H$2:$H$301,MATCH($B148,Vinos!$A$2:$A$301,0))),0)+N($G148))</f>
        <v/>
      </c>
      <c r="I148" s="18" t="n"/>
      <c r="J148" s="21">
        <f>IF(OR($H148="",$I148=""),"",$H148-$I148)</f>
        <v/>
      </c>
      <c r="K148" s="16">
        <f>IF($H148="","",IFERROR(IF(INDEX(Vinos!$J$2:$J$301,MATCH($B148,Vinos!$A$2:$A$301,0))="","",$H148*INDEX(Vinos!$J$2:$J$301,MATCH($B148,Vinos!$A$2:$A$301,0))),""))</f>
        <v/>
      </c>
      <c r="L148" s="16">
        <f>IF($H148="","",IFERROR(IF(INDEX(Vinos!$K$2:$K$301,MATCH($B148,Vinos!$A$2:$A$301,0))="","",$H148*INDEX(Vinos!$K$2:$K$301,MATCH($B148,Vinos!$A$2:$A$301,0))),""))</f>
        <v/>
      </c>
      <c r="M148" s="21">
        <f>IF(OR($A148="",$B148=""),"",SUMIFS($H$2:$H$2001,$A$2:$A$2001,$A148,$B$2:$B$2001,$B148))</f>
        <v/>
      </c>
      <c r="N148" s="20">
        <f>IF($M148="","",IF($M148&lt;=0,"Sin stock: reponer ya",IF($M148&lt;IFERROR(N(INDEX(Vinos!$N$2:$N$301,MATCH($B148,Vinos!$A$2:$A$301,0))),0),"Bajo mínimo: reponer","OK")))</f>
        <v/>
      </c>
      <c r="O148" s="14" t="n"/>
      <c r="P148" s="14" t="n"/>
      <c r="Q148" s="20">
        <f>IF($B148="","",IFERROR(INDEX(Vinos!$C$2:$C$301,MATCH($B148,Vinos!$A$2:$A$301,0)),""))</f>
        <v/>
      </c>
      <c r="R148" s="20">
        <f>IF(OR($A148="",$A148&lt;&gt;'Resumen del inventario'!$C$3,$N148="",$N148="OK"),"",IF(COUNTIFS($A$2:$A148,$A148,$B$2:$B148,$B148)=1,1,""))</f>
        <v/>
      </c>
      <c r="S148" s="20">
        <f>IF($R148=1,COUNTIF($R$2:$R148,1),"")</f>
        <v/>
      </c>
    </row>
    <row r="149">
      <c r="A149" s="19" t="n"/>
      <c r="B149" s="14" t="n"/>
      <c r="C149" s="20">
        <f>IF($B149="","",IFERROR(INDEX(Vinos!$B$2:$B$301,MATCH($B149,Vinos!$A$2:$A$301,0)),"Código no cargado"))</f>
        <v/>
      </c>
      <c r="D149" s="14" t="n"/>
      <c r="E149" s="14" t="n"/>
      <c r="F149" s="18" t="n"/>
      <c r="G149" s="18" t="n"/>
      <c r="H149" s="21">
        <f>IF(AND($F149="",$G149=""),"",N($F149)*IFERROR(N(INDEX(Vinos!$H$2:$H$301,MATCH($B149,Vinos!$A$2:$A$301,0))),0)+N($G149))</f>
        <v/>
      </c>
      <c r="I149" s="18" t="n"/>
      <c r="J149" s="21">
        <f>IF(OR($H149="",$I149=""),"",$H149-$I149)</f>
        <v/>
      </c>
      <c r="K149" s="16">
        <f>IF($H149="","",IFERROR(IF(INDEX(Vinos!$J$2:$J$301,MATCH($B149,Vinos!$A$2:$A$301,0))="","",$H149*INDEX(Vinos!$J$2:$J$301,MATCH($B149,Vinos!$A$2:$A$301,0))),""))</f>
        <v/>
      </c>
      <c r="L149" s="16">
        <f>IF($H149="","",IFERROR(IF(INDEX(Vinos!$K$2:$K$301,MATCH($B149,Vinos!$A$2:$A$301,0))="","",$H149*INDEX(Vinos!$K$2:$K$301,MATCH($B149,Vinos!$A$2:$A$301,0))),""))</f>
        <v/>
      </c>
      <c r="M149" s="21">
        <f>IF(OR($A149="",$B149=""),"",SUMIFS($H$2:$H$2001,$A$2:$A$2001,$A149,$B$2:$B$2001,$B149))</f>
        <v/>
      </c>
      <c r="N149" s="20">
        <f>IF($M149="","",IF($M149&lt;=0,"Sin stock: reponer ya",IF($M149&lt;IFERROR(N(INDEX(Vinos!$N$2:$N$301,MATCH($B149,Vinos!$A$2:$A$301,0))),0),"Bajo mínimo: reponer","OK")))</f>
        <v/>
      </c>
      <c r="O149" s="14" t="n"/>
      <c r="P149" s="14" t="n"/>
      <c r="Q149" s="20">
        <f>IF($B149="","",IFERROR(INDEX(Vinos!$C$2:$C$301,MATCH($B149,Vinos!$A$2:$A$301,0)),""))</f>
        <v/>
      </c>
      <c r="R149" s="20">
        <f>IF(OR($A149="",$A149&lt;&gt;'Resumen del inventario'!$C$3,$N149="",$N149="OK"),"",IF(COUNTIFS($A$2:$A149,$A149,$B$2:$B149,$B149)=1,1,""))</f>
        <v/>
      </c>
      <c r="S149" s="20">
        <f>IF($R149=1,COUNTIF($R$2:$R149,1),"")</f>
        <v/>
      </c>
    </row>
    <row r="150">
      <c r="A150" s="19" t="n"/>
      <c r="B150" s="14" t="n"/>
      <c r="C150" s="20">
        <f>IF($B150="","",IFERROR(INDEX(Vinos!$B$2:$B$301,MATCH($B150,Vinos!$A$2:$A$301,0)),"Código no cargado"))</f>
        <v/>
      </c>
      <c r="D150" s="14" t="n"/>
      <c r="E150" s="14" t="n"/>
      <c r="F150" s="18" t="n"/>
      <c r="G150" s="18" t="n"/>
      <c r="H150" s="21">
        <f>IF(AND($F150="",$G150=""),"",N($F150)*IFERROR(N(INDEX(Vinos!$H$2:$H$301,MATCH($B150,Vinos!$A$2:$A$301,0))),0)+N($G150))</f>
        <v/>
      </c>
      <c r="I150" s="18" t="n"/>
      <c r="J150" s="21">
        <f>IF(OR($H150="",$I150=""),"",$H150-$I150)</f>
        <v/>
      </c>
      <c r="K150" s="16">
        <f>IF($H150="","",IFERROR(IF(INDEX(Vinos!$J$2:$J$301,MATCH($B150,Vinos!$A$2:$A$301,0))="","",$H150*INDEX(Vinos!$J$2:$J$301,MATCH($B150,Vinos!$A$2:$A$301,0))),""))</f>
        <v/>
      </c>
      <c r="L150" s="16">
        <f>IF($H150="","",IFERROR(IF(INDEX(Vinos!$K$2:$K$301,MATCH($B150,Vinos!$A$2:$A$301,0))="","",$H150*INDEX(Vinos!$K$2:$K$301,MATCH($B150,Vinos!$A$2:$A$301,0))),""))</f>
        <v/>
      </c>
      <c r="M150" s="21">
        <f>IF(OR($A150="",$B150=""),"",SUMIFS($H$2:$H$2001,$A$2:$A$2001,$A150,$B$2:$B$2001,$B150))</f>
        <v/>
      </c>
      <c r="N150" s="20">
        <f>IF($M150="","",IF($M150&lt;=0,"Sin stock: reponer ya",IF($M150&lt;IFERROR(N(INDEX(Vinos!$N$2:$N$301,MATCH($B150,Vinos!$A$2:$A$301,0))),0),"Bajo mínimo: reponer","OK")))</f>
        <v/>
      </c>
      <c r="O150" s="14" t="n"/>
      <c r="P150" s="14" t="n"/>
      <c r="Q150" s="20">
        <f>IF($B150="","",IFERROR(INDEX(Vinos!$C$2:$C$301,MATCH($B150,Vinos!$A$2:$A$301,0)),""))</f>
        <v/>
      </c>
      <c r="R150" s="20">
        <f>IF(OR($A150="",$A150&lt;&gt;'Resumen del inventario'!$C$3,$N150="",$N150="OK"),"",IF(COUNTIFS($A$2:$A150,$A150,$B$2:$B150,$B150)=1,1,""))</f>
        <v/>
      </c>
      <c r="S150" s="20">
        <f>IF($R150=1,COUNTIF($R$2:$R150,1),"")</f>
        <v/>
      </c>
    </row>
    <row r="151">
      <c r="A151" s="19" t="n"/>
      <c r="B151" s="14" t="n"/>
      <c r="C151" s="20">
        <f>IF($B151="","",IFERROR(INDEX(Vinos!$B$2:$B$301,MATCH($B151,Vinos!$A$2:$A$301,0)),"Código no cargado"))</f>
        <v/>
      </c>
      <c r="D151" s="14" t="n"/>
      <c r="E151" s="14" t="n"/>
      <c r="F151" s="18" t="n"/>
      <c r="G151" s="18" t="n"/>
      <c r="H151" s="21">
        <f>IF(AND($F151="",$G151=""),"",N($F151)*IFERROR(N(INDEX(Vinos!$H$2:$H$301,MATCH($B151,Vinos!$A$2:$A$301,0))),0)+N($G151))</f>
        <v/>
      </c>
      <c r="I151" s="18" t="n"/>
      <c r="J151" s="21">
        <f>IF(OR($H151="",$I151=""),"",$H151-$I151)</f>
        <v/>
      </c>
      <c r="K151" s="16">
        <f>IF($H151="","",IFERROR(IF(INDEX(Vinos!$J$2:$J$301,MATCH($B151,Vinos!$A$2:$A$301,0))="","",$H151*INDEX(Vinos!$J$2:$J$301,MATCH($B151,Vinos!$A$2:$A$301,0))),""))</f>
        <v/>
      </c>
      <c r="L151" s="16">
        <f>IF($H151="","",IFERROR(IF(INDEX(Vinos!$K$2:$K$301,MATCH($B151,Vinos!$A$2:$A$301,0))="","",$H151*INDEX(Vinos!$K$2:$K$301,MATCH($B151,Vinos!$A$2:$A$301,0))),""))</f>
        <v/>
      </c>
      <c r="M151" s="21">
        <f>IF(OR($A151="",$B151=""),"",SUMIFS($H$2:$H$2001,$A$2:$A$2001,$A151,$B$2:$B$2001,$B151))</f>
        <v/>
      </c>
      <c r="N151" s="20">
        <f>IF($M151="","",IF($M151&lt;=0,"Sin stock: reponer ya",IF($M151&lt;IFERROR(N(INDEX(Vinos!$N$2:$N$301,MATCH($B151,Vinos!$A$2:$A$301,0))),0),"Bajo mínimo: reponer","OK")))</f>
        <v/>
      </c>
      <c r="O151" s="14" t="n"/>
      <c r="P151" s="14" t="n"/>
      <c r="Q151" s="20">
        <f>IF($B151="","",IFERROR(INDEX(Vinos!$C$2:$C$301,MATCH($B151,Vinos!$A$2:$A$301,0)),""))</f>
        <v/>
      </c>
      <c r="R151" s="20">
        <f>IF(OR($A151="",$A151&lt;&gt;'Resumen del inventario'!$C$3,$N151="",$N151="OK"),"",IF(COUNTIFS($A$2:$A151,$A151,$B$2:$B151,$B151)=1,1,""))</f>
        <v/>
      </c>
      <c r="S151" s="20">
        <f>IF($R151=1,COUNTIF($R$2:$R151,1),"")</f>
        <v/>
      </c>
    </row>
    <row r="152">
      <c r="A152" s="19" t="n"/>
      <c r="B152" s="14" t="n"/>
      <c r="C152" s="20">
        <f>IF($B152="","",IFERROR(INDEX(Vinos!$B$2:$B$301,MATCH($B152,Vinos!$A$2:$A$301,0)),"Código no cargado"))</f>
        <v/>
      </c>
      <c r="D152" s="14" t="n"/>
      <c r="E152" s="14" t="n"/>
      <c r="F152" s="18" t="n"/>
      <c r="G152" s="18" t="n"/>
      <c r="H152" s="21">
        <f>IF(AND($F152="",$G152=""),"",N($F152)*IFERROR(N(INDEX(Vinos!$H$2:$H$301,MATCH($B152,Vinos!$A$2:$A$301,0))),0)+N($G152))</f>
        <v/>
      </c>
      <c r="I152" s="18" t="n"/>
      <c r="J152" s="21">
        <f>IF(OR($H152="",$I152=""),"",$H152-$I152)</f>
        <v/>
      </c>
      <c r="K152" s="16">
        <f>IF($H152="","",IFERROR(IF(INDEX(Vinos!$J$2:$J$301,MATCH($B152,Vinos!$A$2:$A$301,0))="","",$H152*INDEX(Vinos!$J$2:$J$301,MATCH($B152,Vinos!$A$2:$A$301,0))),""))</f>
        <v/>
      </c>
      <c r="L152" s="16">
        <f>IF($H152="","",IFERROR(IF(INDEX(Vinos!$K$2:$K$301,MATCH($B152,Vinos!$A$2:$A$301,0))="","",$H152*INDEX(Vinos!$K$2:$K$301,MATCH($B152,Vinos!$A$2:$A$301,0))),""))</f>
        <v/>
      </c>
      <c r="M152" s="21">
        <f>IF(OR($A152="",$B152=""),"",SUMIFS($H$2:$H$2001,$A$2:$A$2001,$A152,$B$2:$B$2001,$B152))</f>
        <v/>
      </c>
      <c r="N152" s="20">
        <f>IF($M152="","",IF($M152&lt;=0,"Sin stock: reponer ya",IF($M152&lt;IFERROR(N(INDEX(Vinos!$N$2:$N$301,MATCH($B152,Vinos!$A$2:$A$301,0))),0),"Bajo mínimo: reponer","OK")))</f>
        <v/>
      </c>
      <c r="O152" s="14" t="n"/>
      <c r="P152" s="14" t="n"/>
      <c r="Q152" s="20">
        <f>IF($B152="","",IFERROR(INDEX(Vinos!$C$2:$C$301,MATCH($B152,Vinos!$A$2:$A$301,0)),""))</f>
        <v/>
      </c>
      <c r="R152" s="20">
        <f>IF(OR($A152="",$A152&lt;&gt;'Resumen del inventario'!$C$3,$N152="",$N152="OK"),"",IF(COUNTIFS($A$2:$A152,$A152,$B$2:$B152,$B152)=1,1,""))</f>
        <v/>
      </c>
      <c r="S152" s="20">
        <f>IF($R152=1,COUNTIF($R$2:$R152,1),"")</f>
        <v/>
      </c>
    </row>
    <row r="153">
      <c r="A153" s="19" t="n"/>
      <c r="B153" s="14" t="n"/>
      <c r="C153" s="20">
        <f>IF($B153="","",IFERROR(INDEX(Vinos!$B$2:$B$301,MATCH($B153,Vinos!$A$2:$A$301,0)),"Código no cargado"))</f>
        <v/>
      </c>
      <c r="D153" s="14" t="n"/>
      <c r="E153" s="14" t="n"/>
      <c r="F153" s="18" t="n"/>
      <c r="G153" s="18" t="n"/>
      <c r="H153" s="21">
        <f>IF(AND($F153="",$G153=""),"",N($F153)*IFERROR(N(INDEX(Vinos!$H$2:$H$301,MATCH($B153,Vinos!$A$2:$A$301,0))),0)+N($G153))</f>
        <v/>
      </c>
      <c r="I153" s="18" t="n"/>
      <c r="J153" s="21">
        <f>IF(OR($H153="",$I153=""),"",$H153-$I153)</f>
        <v/>
      </c>
      <c r="K153" s="16">
        <f>IF($H153="","",IFERROR(IF(INDEX(Vinos!$J$2:$J$301,MATCH($B153,Vinos!$A$2:$A$301,0))="","",$H153*INDEX(Vinos!$J$2:$J$301,MATCH($B153,Vinos!$A$2:$A$301,0))),""))</f>
        <v/>
      </c>
      <c r="L153" s="16">
        <f>IF($H153="","",IFERROR(IF(INDEX(Vinos!$K$2:$K$301,MATCH($B153,Vinos!$A$2:$A$301,0))="","",$H153*INDEX(Vinos!$K$2:$K$301,MATCH($B153,Vinos!$A$2:$A$301,0))),""))</f>
        <v/>
      </c>
      <c r="M153" s="21">
        <f>IF(OR($A153="",$B153=""),"",SUMIFS($H$2:$H$2001,$A$2:$A$2001,$A153,$B$2:$B$2001,$B153))</f>
        <v/>
      </c>
      <c r="N153" s="20">
        <f>IF($M153="","",IF($M153&lt;=0,"Sin stock: reponer ya",IF($M153&lt;IFERROR(N(INDEX(Vinos!$N$2:$N$301,MATCH($B153,Vinos!$A$2:$A$301,0))),0),"Bajo mínimo: reponer","OK")))</f>
        <v/>
      </c>
      <c r="O153" s="14" t="n"/>
      <c r="P153" s="14" t="n"/>
      <c r="Q153" s="20">
        <f>IF($B153="","",IFERROR(INDEX(Vinos!$C$2:$C$301,MATCH($B153,Vinos!$A$2:$A$301,0)),""))</f>
        <v/>
      </c>
      <c r="R153" s="20">
        <f>IF(OR($A153="",$A153&lt;&gt;'Resumen del inventario'!$C$3,$N153="",$N153="OK"),"",IF(COUNTIFS($A$2:$A153,$A153,$B$2:$B153,$B153)=1,1,""))</f>
        <v/>
      </c>
      <c r="S153" s="20">
        <f>IF($R153=1,COUNTIF($R$2:$R153,1),"")</f>
        <v/>
      </c>
    </row>
    <row r="154">
      <c r="A154" s="19" t="n"/>
      <c r="B154" s="14" t="n"/>
      <c r="C154" s="20">
        <f>IF($B154="","",IFERROR(INDEX(Vinos!$B$2:$B$301,MATCH($B154,Vinos!$A$2:$A$301,0)),"Código no cargado"))</f>
        <v/>
      </c>
      <c r="D154" s="14" t="n"/>
      <c r="E154" s="14" t="n"/>
      <c r="F154" s="18" t="n"/>
      <c r="G154" s="18" t="n"/>
      <c r="H154" s="21">
        <f>IF(AND($F154="",$G154=""),"",N($F154)*IFERROR(N(INDEX(Vinos!$H$2:$H$301,MATCH($B154,Vinos!$A$2:$A$301,0))),0)+N($G154))</f>
        <v/>
      </c>
      <c r="I154" s="18" t="n"/>
      <c r="J154" s="21">
        <f>IF(OR($H154="",$I154=""),"",$H154-$I154)</f>
        <v/>
      </c>
      <c r="K154" s="16">
        <f>IF($H154="","",IFERROR(IF(INDEX(Vinos!$J$2:$J$301,MATCH($B154,Vinos!$A$2:$A$301,0))="","",$H154*INDEX(Vinos!$J$2:$J$301,MATCH($B154,Vinos!$A$2:$A$301,0))),""))</f>
        <v/>
      </c>
      <c r="L154" s="16">
        <f>IF($H154="","",IFERROR(IF(INDEX(Vinos!$K$2:$K$301,MATCH($B154,Vinos!$A$2:$A$301,0))="","",$H154*INDEX(Vinos!$K$2:$K$301,MATCH($B154,Vinos!$A$2:$A$301,0))),""))</f>
        <v/>
      </c>
      <c r="M154" s="21">
        <f>IF(OR($A154="",$B154=""),"",SUMIFS($H$2:$H$2001,$A$2:$A$2001,$A154,$B$2:$B$2001,$B154))</f>
        <v/>
      </c>
      <c r="N154" s="20">
        <f>IF($M154="","",IF($M154&lt;=0,"Sin stock: reponer ya",IF($M154&lt;IFERROR(N(INDEX(Vinos!$N$2:$N$301,MATCH($B154,Vinos!$A$2:$A$301,0))),0),"Bajo mínimo: reponer","OK")))</f>
        <v/>
      </c>
      <c r="O154" s="14" t="n"/>
      <c r="P154" s="14" t="n"/>
      <c r="Q154" s="20">
        <f>IF($B154="","",IFERROR(INDEX(Vinos!$C$2:$C$301,MATCH($B154,Vinos!$A$2:$A$301,0)),""))</f>
        <v/>
      </c>
      <c r="R154" s="20">
        <f>IF(OR($A154="",$A154&lt;&gt;'Resumen del inventario'!$C$3,$N154="",$N154="OK"),"",IF(COUNTIFS($A$2:$A154,$A154,$B$2:$B154,$B154)=1,1,""))</f>
        <v/>
      </c>
      <c r="S154" s="20">
        <f>IF($R154=1,COUNTIF($R$2:$R154,1),"")</f>
        <v/>
      </c>
    </row>
    <row r="155">
      <c r="A155" s="19" t="n"/>
      <c r="B155" s="14" t="n"/>
      <c r="C155" s="20">
        <f>IF($B155="","",IFERROR(INDEX(Vinos!$B$2:$B$301,MATCH($B155,Vinos!$A$2:$A$301,0)),"Código no cargado"))</f>
        <v/>
      </c>
      <c r="D155" s="14" t="n"/>
      <c r="E155" s="14" t="n"/>
      <c r="F155" s="18" t="n"/>
      <c r="G155" s="18" t="n"/>
      <c r="H155" s="21">
        <f>IF(AND($F155="",$G155=""),"",N($F155)*IFERROR(N(INDEX(Vinos!$H$2:$H$301,MATCH($B155,Vinos!$A$2:$A$301,0))),0)+N($G155))</f>
        <v/>
      </c>
      <c r="I155" s="18" t="n"/>
      <c r="J155" s="21">
        <f>IF(OR($H155="",$I155=""),"",$H155-$I155)</f>
        <v/>
      </c>
      <c r="K155" s="16">
        <f>IF($H155="","",IFERROR(IF(INDEX(Vinos!$J$2:$J$301,MATCH($B155,Vinos!$A$2:$A$301,0))="","",$H155*INDEX(Vinos!$J$2:$J$301,MATCH($B155,Vinos!$A$2:$A$301,0))),""))</f>
        <v/>
      </c>
      <c r="L155" s="16">
        <f>IF($H155="","",IFERROR(IF(INDEX(Vinos!$K$2:$K$301,MATCH($B155,Vinos!$A$2:$A$301,0))="","",$H155*INDEX(Vinos!$K$2:$K$301,MATCH($B155,Vinos!$A$2:$A$301,0))),""))</f>
        <v/>
      </c>
      <c r="M155" s="21">
        <f>IF(OR($A155="",$B155=""),"",SUMIFS($H$2:$H$2001,$A$2:$A$2001,$A155,$B$2:$B$2001,$B155))</f>
        <v/>
      </c>
      <c r="N155" s="20">
        <f>IF($M155="","",IF($M155&lt;=0,"Sin stock: reponer ya",IF($M155&lt;IFERROR(N(INDEX(Vinos!$N$2:$N$301,MATCH($B155,Vinos!$A$2:$A$301,0))),0),"Bajo mínimo: reponer","OK")))</f>
        <v/>
      </c>
      <c r="O155" s="14" t="n"/>
      <c r="P155" s="14" t="n"/>
      <c r="Q155" s="20">
        <f>IF($B155="","",IFERROR(INDEX(Vinos!$C$2:$C$301,MATCH($B155,Vinos!$A$2:$A$301,0)),""))</f>
        <v/>
      </c>
      <c r="R155" s="20">
        <f>IF(OR($A155="",$A155&lt;&gt;'Resumen del inventario'!$C$3,$N155="",$N155="OK"),"",IF(COUNTIFS($A$2:$A155,$A155,$B$2:$B155,$B155)=1,1,""))</f>
        <v/>
      </c>
      <c r="S155" s="20">
        <f>IF($R155=1,COUNTIF($R$2:$R155,1),"")</f>
        <v/>
      </c>
    </row>
    <row r="156">
      <c r="A156" s="19" t="n"/>
      <c r="B156" s="14" t="n"/>
      <c r="C156" s="20">
        <f>IF($B156="","",IFERROR(INDEX(Vinos!$B$2:$B$301,MATCH($B156,Vinos!$A$2:$A$301,0)),"Código no cargado"))</f>
        <v/>
      </c>
      <c r="D156" s="14" t="n"/>
      <c r="E156" s="14" t="n"/>
      <c r="F156" s="18" t="n"/>
      <c r="G156" s="18" t="n"/>
      <c r="H156" s="21">
        <f>IF(AND($F156="",$G156=""),"",N($F156)*IFERROR(N(INDEX(Vinos!$H$2:$H$301,MATCH($B156,Vinos!$A$2:$A$301,0))),0)+N($G156))</f>
        <v/>
      </c>
      <c r="I156" s="18" t="n"/>
      <c r="J156" s="21">
        <f>IF(OR($H156="",$I156=""),"",$H156-$I156)</f>
        <v/>
      </c>
      <c r="K156" s="16">
        <f>IF($H156="","",IFERROR(IF(INDEX(Vinos!$J$2:$J$301,MATCH($B156,Vinos!$A$2:$A$301,0))="","",$H156*INDEX(Vinos!$J$2:$J$301,MATCH($B156,Vinos!$A$2:$A$301,0))),""))</f>
        <v/>
      </c>
      <c r="L156" s="16">
        <f>IF($H156="","",IFERROR(IF(INDEX(Vinos!$K$2:$K$301,MATCH($B156,Vinos!$A$2:$A$301,0))="","",$H156*INDEX(Vinos!$K$2:$K$301,MATCH($B156,Vinos!$A$2:$A$301,0))),""))</f>
        <v/>
      </c>
      <c r="M156" s="21">
        <f>IF(OR($A156="",$B156=""),"",SUMIFS($H$2:$H$2001,$A$2:$A$2001,$A156,$B$2:$B$2001,$B156))</f>
        <v/>
      </c>
      <c r="N156" s="20">
        <f>IF($M156="","",IF($M156&lt;=0,"Sin stock: reponer ya",IF($M156&lt;IFERROR(N(INDEX(Vinos!$N$2:$N$301,MATCH($B156,Vinos!$A$2:$A$301,0))),0),"Bajo mínimo: reponer","OK")))</f>
        <v/>
      </c>
      <c r="O156" s="14" t="n"/>
      <c r="P156" s="14" t="n"/>
      <c r="Q156" s="20">
        <f>IF($B156="","",IFERROR(INDEX(Vinos!$C$2:$C$301,MATCH($B156,Vinos!$A$2:$A$301,0)),""))</f>
        <v/>
      </c>
      <c r="R156" s="20">
        <f>IF(OR($A156="",$A156&lt;&gt;'Resumen del inventario'!$C$3,$N156="",$N156="OK"),"",IF(COUNTIFS($A$2:$A156,$A156,$B$2:$B156,$B156)=1,1,""))</f>
        <v/>
      </c>
      <c r="S156" s="20">
        <f>IF($R156=1,COUNTIF($R$2:$R156,1),"")</f>
        <v/>
      </c>
    </row>
    <row r="157">
      <c r="A157" s="19" t="n"/>
      <c r="B157" s="14" t="n"/>
      <c r="C157" s="20">
        <f>IF($B157="","",IFERROR(INDEX(Vinos!$B$2:$B$301,MATCH($B157,Vinos!$A$2:$A$301,0)),"Código no cargado"))</f>
        <v/>
      </c>
      <c r="D157" s="14" t="n"/>
      <c r="E157" s="14" t="n"/>
      <c r="F157" s="18" t="n"/>
      <c r="G157" s="18" t="n"/>
      <c r="H157" s="21">
        <f>IF(AND($F157="",$G157=""),"",N($F157)*IFERROR(N(INDEX(Vinos!$H$2:$H$301,MATCH($B157,Vinos!$A$2:$A$301,0))),0)+N($G157))</f>
        <v/>
      </c>
      <c r="I157" s="18" t="n"/>
      <c r="J157" s="21">
        <f>IF(OR($H157="",$I157=""),"",$H157-$I157)</f>
        <v/>
      </c>
      <c r="K157" s="16">
        <f>IF($H157="","",IFERROR(IF(INDEX(Vinos!$J$2:$J$301,MATCH($B157,Vinos!$A$2:$A$301,0))="","",$H157*INDEX(Vinos!$J$2:$J$301,MATCH($B157,Vinos!$A$2:$A$301,0))),""))</f>
        <v/>
      </c>
      <c r="L157" s="16">
        <f>IF($H157="","",IFERROR(IF(INDEX(Vinos!$K$2:$K$301,MATCH($B157,Vinos!$A$2:$A$301,0))="","",$H157*INDEX(Vinos!$K$2:$K$301,MATCH($B157,Vinos!$A$2:$A$301,0))),""))</f>
        <v/>
      </c>
      <c r="M157" s="21">
        <f>IF(OR($A157="",$B157=""),"",SUMIFS($H$2:$H$2001,$A$2:$A$2001,$A157,$B$2:$B$2001,$B157))</f>
        <v/>
      </c>
      <c r="N157" s="20">
        <f>IF($M157="","",IF($M157&lt;=0,"Sin stock: reponer ya",IF($M157&lt;IFERROR(N(INDEX(Vinos!$N$2:$N$301,MATCH($B157,Vinos!$A$2:$A$301,0))),0),"Bajo mínimo: reponer","OK")))</f>
        <v/>
      </c>
      <c r="O157" s="14" t="n"/>
      <c r="P157" s="14" t="n"/>
      <c r="Q157" s="20">
        <f>IF($B157="","",IFERROR(INDEX(Vinos!$C$2:$C$301,MATCH($B157,Vinos!$A$2:$A$301,0)),""))</f>
        <v/>
      </c>
      <c r="R157" s="20">
        <f>IF(OR($A157="",$A157&lt;&gt;'Resumen del inventario'!$C$3,$N157="",$N157="OK"),"",IF(COUNTIFS($A$2:$A157,$A157,$B$2:$B157,$B157)=1,1,""))</f>
        <v/>
      </c>
      <c r="S157" s="20">
        <f>IF($R157=1,COUNTIF($R$2:$R157,1),"")</f>
        <v/>
      </c>
    </row>
    <row r="158">
      <c r="A158" s="19" t="n"/>
      <c r="B158" s="14" t="n"/>
      <c r="C158" s="20">
        <f>IF($B158="","",IFERROR(INDEX(Vinos!$B$2:$B$301,MATCH($B158,Vinos!$A$2:$A$301,0)),"Código no cargado"))</f>
        <v/>
      </c>
      <c r="D158" s="14" t="n"/>
      <c r="E158" s="14" t="n"/>
      <c r="F158" s="18" t="n"/>
      <c r="G158" s="18" t="n"/>
      <c r="H158" s="21">
        <f>IF(AND($F158="",$G158=""),"",N($F158)*IFERROR(N(INDEX(Vinos!$H$2:$H$301,MATCH($B158,Vinos!$A$2:$A$301,0))),0)+N($G158))</f>
        <v/>
      </c>
      <c r="I158" s="18" t="n"/>
      <c r="J158" s="21">
        <f>IF(OR($H158="",$I158=""),"",$H158-$I158)</f>
        <v/>
      </c>
      <c r="K158" s="16">
        <f>IF($H158="","",IFERROR(IF(INDEX(Vinos!$J$2:$J$301,MATCH($B158,Vinos!$A$2:$A$301,0))="","",$H158*INDEX(Vinos!$J$2:$J$301,MATCH($B158,Vinos!$A$2:$A$301,0))),""))</f>
        <v/>
      </c>
      <c r="L158" s="16">
        <f>IF($H158="","",IFERROR(IF(INDEX(Vinos!$K$2:$K$301,MATCH($B158,Vinos!$A$2:$A$301,0))="","",$H158*INDEX(Vinos!$K$2:$K$301,MATCH($B158,Vinos!$A$2:$A$301,0))),""))</f>
        <v/>
      </c>
      <c r="M158" s="21">
        <f>IF(OR($A158="",$B158=""),"",SUMIFS($H$2:$H$2001,$A$2:$A$2001,$A158,$B$2:$B$2001,$B158))</f>
        <v/>
      </c>
      <c r="N158" s="20">
        <f>IF($M158="","",IF($M158&lt;=0,"Sin stock: reponer ya",IF($M158&lt;IFERROR(N(INDEX(Vinos!$N$2:$N$301,MATCH($B158,Vinos!$A$2:$A$301,0))),0),"Bajo mínimo: reponer","OK")))</f>
        <v/>
      </c>
      <c r="O158" s="14" t="n"/>
      <c r="P158" s="14" t="n"/>
      <c r="Q158" s="20">
        <f>IF($B158="","",IFERROR(INDEX(Vinos!$C$2:$C$301,MATCH($B158,Vinos!$A$2:$A$301,0)),""))</f>
        <v/>
      </c>
      <c r="R158" s="20">
        <f>IF(OR($A158="",$A158&lt;&gt;'Resumen del inventario'!$C$3,$N158="",$N158="OK"),"",IF(COUNTIFS($A$2:$A158,$A158,$B$2:$B158,$B158)=1,1,""))</f>
        <v/>
      </c>
      <c r="S158" s="20">
        <f>IF($R158=1,COUNTIF($R$2:$R158,1),"")</f>
        <v/>
      </c>
    </row>
    <row r="159">
      <c r="A159" s="19" t="n"/>
      <c r="B159" s="14" t="n"/>
      <c r="C159" s="20">
        <f>IF($B159="","",IFERROR(INDEX(Vinos!$B$2:$B$301,MATCH($B159,Vinos!$A$2:$A$301,0)),"Código no cargado"))</f>
        <v/>
      </c>
      <c r="D159" s="14" t="n"/>
      <c r="E159" s="14" t="n"/>
      <c r="F159" s="18" t="n"/>
      <c r="G159" s="18" t="n"/>
      <c r="H159" s="21">
        <f>IF(AND($F159="",$G159=""),"",N($F159)*IFERROR(N(INDEX(Vinos!$H$2:$H$301,MATCH($B159,Vinos!$A$2:$A$301,0))),0)+N($G159))</f>
        <v/>
      </c>
      <c r="I159" s="18" t="n"/>
      <c r="J159" s="21">
        <f>IF(OR($H159="",$I159=""),"",$H159-$I159)</f>
        <v/>
      </c>
      <c r="K159" s="16">
        <f>IF($H159="","",IFERROR(IF(INDEX(Vinos!$J$2:$J$301,MATCH($B159,Vinos!$A$2:$A$301,0))="","",$H159*INDEX(Vinos!$J$2:$J$301,MATCH($B159,Vinos!$A$2:$A$301,0))),""))</f>
        <v/>
      </c>
      <c r="L159" s="16">
        <f>IF($H159="","",IFERROR(IF(INDEX(Vinos!$K$2:$K$301,MATCH($B159,Vinos!$A$2:$A$301,0))="","",$H159*INDEX(Vinos!$K$2:$K$301,MATCH($B159,Vinos!$A$2:$A$301,0))),""))</f>
        <v/>
      </c>
      <c r="M159" s="21">
        <f>IF(OR($A159="",$B159=""),"",SUMIFS($H$2:$H$2001,$A$2:$A$2001,$A159,$B$2:$B$2001,$B159))</f>
        <v/>
      </c>
      <c r="N159" s="20">
        <f>IF($M159="","",IF($M159&lt;=0,"Sin stock: reponer ya",IF($M159&lt;IFERROR(N(INDEX(Vinos!$N$2:$N$301,MATCH($B159,Vinos!$A$2:$A$301,0))),0),"Bajo mínimo: reponer","OK")))</f>
        <v/>
      </c>
      <c r="O159" s="14" t="n"/>
      <c r="P159" s="14" t="n"/>
      <c r="Q159" s="20">
        <f>IF($B159="","",IFERROR(INDEX(Vinos!$C$2:$C$301,MATCH($B159,Vinos!$A$2:$A$301,0)),""))</f>
        <v/>
      </c>
      <c r="R159" s="20">
        <f>IF(OR($A159="",$A159&lt;&gt;'Resumen del inventario'!$C$3,$N159="",$N159="OK"),"",IF(COUNTIFS($A$2:$A159,$A159,$B$2:$B159,$B159)=1,1,""))</f>
        <v/>
      </c>
      <c r="S159" s="20">
        <f>IF($R159=1,COUNTIF($R$2:$R159,1),"")</f>
        <v/>
      </c>
    </row>
    <row r="160">
      <c r="A160" s="19" t="n"/>
      <c r="B160" s="14" t="n"/>
      <c r="C160" s="20">
        <f>IF($B160="","",IFERROR(INDEX(Vinos!$B$2:$B$301,MATCH($B160,Vinos!$A$2:$A$301,0)),"Código no cargado"))</f>
        <v/>
      </c>
      <c r="D160" s="14" t="n"/>
      <c r="E160" s="14" t="n"/>
      <c r="F160" s="18" t="n"/>
      <c r="G160" s="18" t="n"/>
      <c r="H160" s="21">
        <f>IF(AND($F160="",$G160=""),"",N($F160)*IFERROR(N(INDEX(Vinos!$H$2:$H$301,MATCH($B160,Vinos!$A$2:$A$301,0))),0)+N($G160))</f>
        <v/>
      </c>
      <c r="I160" s="18" t="n"/>
      <c r="J160" s="21">
        <f>IF(OR($H160="",$I160=""),"",$H160-$I160)</f>
        <v/>
      </c>
      <c r="K160" s="16">
        <f>IF($H160="","",IFERROR(IF(INDEX(Vinos!$J$2:$J$301,MATCH($B160,Vinos!$A$2:$A$301,0))="","",$H160*INDEX(Vinos!$J$2:$J$301,MATCH($B160,Vinos!$A$2:$A$301,0))),""))</f>
        <v/>
      </c>
      <c r="L160" s="16">
        <f>IF($H160="","",IFERROR(IF(INDEX(Vinos!$K$2:$K$301,MATCH($B160,Vinos!$A$2:$A$301,0))="","",$H160*INDEX(Vinos!$K$2:$K$301,MATCH($B160,Vinos!$A$2:$A$301,0))),""))</f>
        <v/>
      </c>
      <c r="M160" s="21">
        <f>IF(OR($A160="",$B160=""),"",SUMIFS($H$2:$H$2001,$A$2:$A$2001,$A160,$B$2:$B$2001,$B160))</f>
        <v/>
      </c>
      <c r="N160" s="20">
        <f>IF($M160="","",IF($M160&lt;=0,"Sin stock: reponer ya",IF($M160&lt;IFERROR(N(INDEX(Vinos!$N$2:$N$301,MATCH($B160,Vinos!$A$2:$A$301,0))),0),"Bajo mínimo: reponer","OK")))</f>
        <v/>
      </c>
      <c r="O160" s="14" t="n"/>
      <c r="P160" s="14" t="n"/>
      <c r="Q160" s="20">
        <f>IF($B160="","",IFERROR(INDEX(Vinos!$C$2:$C$301,MATCH($B160,Vinos!$A$2:$A$301,0)),""))</f>
        <v/>
      </c>
      <c r="R160" s="20">
        <f>IF(OR($A160="",$A160&lt;&gt;'Resumen del inventario'!$C$3,$N160="",$N160="OK"),"",IF(COUNTIFS($A$2:$A160,$A160,$B$2:$B160,$B160)=1,1,""))</f>
        <v/>
      </c>
      <c r="S160" s="20">
        <f>IF($R160=1,COUNTIF($R$2:$R160,1),"")</f>
        <v/>
      </c>
    </row>
    <row r="161">
      <c r="A161" s="19" t="n"/>
      <c r="B161" s="14" t="n"/>
      <c r="C161" s="20">
        <f>IF($B161="","",IFERROR(INDEX(Vinos!$B$2:$B$301,MATCH($B161,Vinos!$A$2:$A$301,0)),"Código no cargado"))</f>
        <v/>
      </c>
      <c r="D161" s="14" t="n"/>
      <c r="E161" s="14" t="n"/>
      <c r="F161" s="18" t="n"/>
      <c r="G161" s="18" t="n"/>
      <c r="H161" s="21">
        <f>IF(AND($F161="",$G161=""),"",N($F161)*IFERROR(N(INDEX(Vinos!$H$2:$H$301,MATCH($B161,Vinos!$A$2:$A$301,0))),0)+N($G161))</f>
        <v/>
      </c>
      <c r="I161" s="18" t="n"/>
      <c r="J161" s="21">
        <f>IF(OR($H161="",$I161=""),"",$H161-$I161)</f>
        <v/>
      </c>
      <c r="K161" s="16">
        <f>IF($H161="","",IFERROR(IF(INDEX(Vinos!$J$2:$J$301,MATCH($B161,Vinos!$A$2:$A$301,0))="","",$H161*INDEX(Vinos!$J$2:$J$301,MATCH($B161,Vinos!$A$2:$A$301,0))),""))</f>
        <v/>
      </c>
      <c r="L161" s="16">
        <f>IF($H161="","",IFERROR(IF(INDEX(Vinos!$K$2:$K$301,MATCH($B161,Vinos!$A$2:$A$301,0))="","",$H161*INDEX(Vinos!$K$2:$K$301,MATCH($B161,Vinos!$A$2:$A$301,0))),""))</f>
        <v/>
      </c>
      <c r="M161" s="21">
        <f>IF(OR($A161="",$B161=""),"",SUMIFS($H$2:$H$2001,$A$2:$A$2001,$A161,$B$2:$B$2001,$B161))</f>
        <v/>
      </c>
      <c r="N161" s="20">
        <f>IF($M161="","",IF($M161&lt;=0,"Sin stock: reponer ya",IF($M161&lt;IFERROR(N(INDEX(Vinos!$N$2:$N$301,MATCH($B161,Vinos!$A$2:$A$301,0))),0),"Bajo mínimo: reponer","OK")))</f>
        <v/>
      </c>
      <c r="O161" s="14" t="n"/>
      <c r="P161" s="14" t="n"/>
      <c r="Q161" s="20">
        <f>IF($B161="","",IFERROR(INDEX(Vinos!$C$2:$C$301,MATCH($B161,Vinos!$A$2:$A$301,0)),""))</f>
        <v/>
      </c>
      <c r="R161" s="20">
        <f>IF(OR($A161="",$A161&lt;&gt;'Resumen del inventario'!$C$3,$N161="",$N161="OK"),"",IF(COUNTIFS($A$2:$A161,$A161,$B$2:$B161,$B161)=1,1,""))</f>
        <v/>
      </c>
      <c r="S161" s="20">
        <f>IF($R161=1,COUNTIF($R$2:$R161,1),"")</f>
        <v/>
      </c>
    </row>
    <row r="162">
      <c r="A162" s="19" t="n"/>
      <c r="B162" s="14" t="n"/>
      <c r="C162" s="20">
        <f>IF($B162="","",IFERROR(INDEX(Vinos!$B$2:$B$301,MATCH($B162,Vinos!$A$2:$A$301,0)),"Código no cargado"))</f>
        <v/>
      </c>
      <c r="D162" s="14" t="n"/>
      <c r="E162" s="14" t="n"/>
      <c r="F162" s="18" t="n"/>
      <c r="G162" s="18" t="n"/>
      <c r="H162" s="21">
        <f>IF(AND($F162="",$G162=""),"",N($F162)*IFERROR(N(INDEX(Vinos!$H$2:$H$301,MATCH($B162,Vinos!$A$2:$A$301,0))),0)+N($G162))</f>
        <v/>
      </c>
      <c r="I162" s="18" t="n"/>
      <c r="J162" s="21">
        <f>IF(OR($H162="",$I162=""),"",$H162-$I162)</f>
        <v/>
      </c>
      <c r="K162" s="16">
        <f>IF($H162="","",IFERROR(IF(INDEX(Vinos!$J$2:$J$301,MATCH($B162,Vinos!$A$2:$A$301,0))="","",$H162*INDEX(Vinos!$J$2:$J$301,MATCH($B162,Vinos!$A$2:$A$301,0))),""))</f>
        <v/>
      </c>
      <c r="L162" s="16">
        <f>IF($H162="","",IFERROR(IF(INDEX(Vinos!$K$2:$K$301,MATCH($B162,Vinos!$A$2:$A$301,0))="","",$H162*INDEX(Vinos!$K$2:$K$301,MATCH($B162,Vinos!$A$2:$A$301,0))),""))</f>
        <v/>
      </c>
      <c r="M162" s="21">
        <f>IF(OR($A162="",$B162=""),"",SUMIFS($H$2:$H$2001,$A$2:$A$2001,$A162,$B$2:$B$2001,$B162))</f>
        <v/>
      </c>
      <c r="N162" s="20">
        <f>IF($M162="","",IF($M162&lt;=0,"Sin stock: reponer ya",IF($M162&lt;IFERROR(N(INDEX(Vinos!$N$2:$N$301,MATCH($B162,Vinos!$A$2:$A$301,0))),0),"Bajo mínimo: reponer","OK")))</f>
        <v/>
      </c>
      <c r="O162" s="14" t="n"/>
      <c r="P162" s="14" t="n"/>
      <c r="Q162" s="20">
        <f>IF($B162="","",IFERROR(INDEX(Vinos!$C$2:$C$301,MATCH($B162,Vinos!$A$2:$A$301,0)),""))</f>
        <v/>
      </c>
      <c r="R162" s="20">
        <f>IF(OR($A162="",$A162&lt;&gt;'Resumen del inventario'!$C$3,$N162="",$N162="OK"),"",IF(COUNTIFS($A$2:$A162,$A162,$B$2:$B162,$B162)=1,1,""))</f>
        <v/>
      </c>
      <c r="S162" s="20">
        <f>IF($R162=1,COUNTIF($R$2:$R162,1),"")</f>
        <v/>
      </c>
    </row>
    <row r="163">
      <c r="A163" s="19" t="n"/>
      <c r="B163" s="14" t="n"/>
      <c r="C163" s="20">
        <f>IF($B163="","",IFERROR(INDEX(Vinos!$B$2:$B$301,MATCH($B163,Vinos!$A$2:$A$301,0)),"Código no cargado"))</f>
        <v/>
      </c>
      <c r="D163" s="14" t="n"/>
      <c r="E163" s="14" t="n"/>
      <c r="F163" s="18" t="n"/>
      <c r="G163" s="18" t="n"/>
      <c r="H163" s="21">
        <f>IF(AND($F163="",$G163=""),"",N($F163)*IFERROR(N(INDEX(Vinos!$H$2:$H$301,MATCH($B163,Vinos!$A$2:$A$301,0))),0)+N($G163))</f>
        <v/>
      </c>
      <c r="I163" s="18" t="n"/>
      <c r="J163" s="21">
        <f>IF(OR($H163="",$I163=""),"",$H163-$I163)</f>
        <v/>
      </c>
      <c r="K163" s="16">
        <f>IF($H163="","",IFERROR(IF(INDEX(Vinos!$J$2:$J$301,MATCH($B163,Vinos!$A$2:$A$301,0))="","",$H163*INDEX(Vinos!$J$2:$J$301,MATCH($B163,Vinos!$A$2:$A$301,0))),""))</f>
        <v/>
      </c>
      <c r="L163" s="16">
        <f>IF($H163="","",IFERROR(IF(INDEX(Vinos!$K$2:$K$301,MATCH($B163,Vinos!$A$2:$A$301,0))="","",$H163*INDEX(Vinos!$K$2:$K$301,MATCH($B163,Vinos!$A$2:$A$301,0))),""))</f>
        <v/>
      </c>
      <c r="M163" s="21">
        <f>IF(OR($A163="",$B163=""),"",SUMIFS($H$2:$H$2001,$A$2:$A$2001,$A163,$B$2:$B$2001,$B163))</f>
        <v/>
      </c>
      <c r="N163" s="20">
        <f>IF($M163="","",IF($M163&lt;=0,"Sin stock: reponer ya",IF($M163&lt;IFERROR(N(INDEX(Vinos!$N$2:$N$301,MATCH($B163,Vinos!$A$2:$A$301,0))),0),"Bajo mínimo: reponer","OK")))</f>
        <v/>
      </c>
      <c r="O163" s="14" t="n"/>
      <c r="P163" s="14" t="n"/>
      <c r="Q163" s="20">
        <f>IF($B163="","",IFERROR(INDEX(Vinos!$C$2:$C$301,MATCH($B163,Vinos!$A$2:$A$301,0)),""))</f>
        <v/>
      </c>
      <c r="R163" s="20">
        <f>IF(OR($A163="",$A163&lt;&gt;'Resumen del inventario'!$C$3,$N163="",$N163="OK"),"",IF(COUNTIFS($A$2:$A163,$A163,$B$2:$B163,$B163)=1,1,""))</f>
        <v/>
      </c>
      <c r="S163" s="20">
        <f>IF($R163=1,COUNTIF($R$2:$R163,1),"")</f>
        <v/>
      </c>
    </row>
    <row r="164">
      <c r="A164" s="19" t="n"/>
      <c r="B164" s="14" t="n"/>
      <c r="C164" s="20">
        <f>IF($B164="","",IFERROR(INDEX(Vinos!$B$2:$B$301,MATCH($B164,Vinos!$A$2:$A$301,0)),"Código no cargado"))</f>
        <v/>
      </c>
      <c r="D164" s="14" t="n"/>
      <c r="E164" s="14" t="n"/>
      <c r="F164" s="18" t="n"/>
      <c r="G164" s="18" t="n"/>
      <c r="H164" s="21">
        <f>IF(AND($F164="",$G164=""),"",N($F164)*IFERROR(N(INDEX(Vinos!$H$2:$H$301,MATCH($B164,Vinos!$A$2:$A$301,0))),0)+N($G164))</f>
        <v/>
      </c>
      <c r="I164" s="18" t="n"/>
      <c r="J164" s="21">
        <f>IF(OR($H164="",$I164=""),"",$H164-$I164)</f>
        <v/>
      </c>
      <c r="K164" s="16">
        <f>IF($H164="","",IFERROR(IF(INDEX(Vinos!$J$2:$J$301,MATCH($B164,Vinos!$A$2:$A$301,0))="","",$H164*INDEX(Vinos!$J$2:$J$301,MATCH($B164,Vinos!$A$2:$A$301,0))),""))</f>
        <v/>
      </c>
      <c r="L164" s="16">
        <f>IF($H164="","",IFERROR(IF(INDEX(Vinos!$K$2:$K$301,MATCH($B164,Vinos!$A$2:$A$301,0))="","",$H164*INDEX(Vinos!$K$2:$K$301,MATCH($B164,Vinos!$A$2:$A$301,0))),""))</f>
        <v/>
      </c>
      <c r="M164" s="21">
        <f>IF(OR($A164="",$B164=""),"",SUMIFS($H$2:$H$2001,$A$2:$A$2001,$A164,$B$2:$B$2001,$B164))</f>
        <v/>
      </c>
      <c r="N164" s="20">
        <f>IF($M164="","",IF($M164&lt;=0,"Sin stock: reponer ya",IF($M164&lt;IFERROR(N(INDEX(Vinos!$N$2:$N$301,MATCH($B164,Vinos!$A$2:$A$301,0))),0),"Bajo mínimo: reponer","OK")))</f>
        <v/>
      </c>
      <c r="O164" s="14" t="n"/>
      <c r="P164" s="14" t="n"/>
      <c r="Q164" s="20">
        <f>IF($B164="","",IFERROR(INDEX(Vinos!$C$2:$C$301,MATCH($B164,Vinos!$A$2:$A$301,0)),""))</f>
        <v/>
      </c>
      <c r="R164" s="20">
        <f>IF(OR($A164="",$A164&lt;&gt;'Resumen del inventario'!$C$3,$N164="",$N164="OK"),"",IF(COUNTIFS($A$2:$A164,$A164,$B$2:$B164,$B164)=1,1,""))</f>
        <v/>
      </c>
      <c r="S164" s="20">
        <f>IF($R164=1,COUNTIF($R$2:$R164,1),"")</f>
        <v/>
      </c>
    </row>
    <row r="165">
      <c r="A165" s="19" t="n"/>
      <c r="B165" s="14" t="n"/>
      <c r="C165" s="20">
        <f>IF($B165="","",IFERROR(INDEX(Vinos!$B$2:$B$301,MATCH($B165,Vinos!$A$2:$A$301,0)),"Código no cargado"))</f>
        <v/>
      </c>
      <c r="D165" s="14" t="n"/>
      <c r="E165" s="14" t="n"/>
      <c r="F165" s="18" t="n"/>
      <c r="G165" s="18" t="n"/>
      <c r="H165" s="21">
        <f>IF(AND($F165="",$G165=""),"",N($F165)*IFERROR(N(INDEX(Vinos!$H$2:$H$301,MATCH($B165,Vinos!$A$2:$A$301,0))),0)+N($G165))</f>
        <v/>
      </c>
      <c r="I165" s="18" t="n"/>
      <c r="J165" s="21">
        <f>IF(OR($H165="",$I165=""),"",$H165-$I165)</f>
        <v/>
      </c>
      <c r="K165" s="16">
        <f>IF($H165="","",IFERROR(IF(INDEX(Vinos!$J$2:$J$301,MATCH($B165,Vinos!$A$2:$A$301,0))="","",$H165*INDEX(Vinos!$J$2:$J$301,MATCH($B165,Vinos!$A$2:$A$301,0))),""))</f>
        <v/>
      </c>
      <c r="L165" s="16">
        <f>IF($H165="","",IFERROR(IF(INDEX(Vinos!$K$2:$K$301,MATCH($B165,Vinos!$A$2:$A$301,0))="","",$H165*INDEX(Vinos!$K$2:$K$301,MATCH($B165,Vinos!$A$2:$A$301,0))),""))</f>
        <v/>
      </c>
      <c r="M165" s="21">
        <f>IF(OR($A165="",$B165=""),"",SUMIFS($H$2:$H$2001,$A$2:$A$2001,$A165,$B$2:$B$2001,$B165))</f>
        <v/>
      </c>
      <c r="N165" s="20">
        <f>IF($M165="","",IF($M165&lt;=0,"Sin stock: reponer ya",IF($M165&lt;IFERROR(N(INDEX(Vinos!$N$2:$N$301,MATCH($B165,Vinos!$A$2:$A$301,0))),0),"Bajo mínimo: reponer","OK")))</f>
        <v/>
      </c>
      <c r="O165" s="14" t="n"/>
      <c r="P165" s="14" t="n"/>
      <c r="Q165" s="20">
        <f>IF($B165="","",IFERROR(INDEX(Vinos!$C$2:$C$301,MATCH($B165,Vinos!$A$2:$A$301,0)),""))</f>
        <v/>
      </c>
      <c r="R165" s="20">
        <f>IF(OR($A165="",$A165&lt;&gt;'Resumen del inventario'!$C$3,$N165="",$N165="OK"),"",IF(COUNTIFS($A$2:$A165,$A165,$B$2:$B165,$B165)=1,1,""))</f>
        <v/>
      </c>
      <c r="S165" s="20">
        <f>IF($R165=1,COUNTIF($R$2:$R165,1),"")</f>
        <v/>
      </c>
    </row>
    <row r="166">
      <c r="A166" s="19" t="n"/>
      <c r="B166" s="14" t="n"/>
      <c r="C166" s="20">
        <f>IF($B166="","",IFERROR(INDEX(Vinos!$B$2:$B$301,MATCH($B166,Vinos!$A$2:$A$301,0)),"Código no cargado"))</f>
        <v/>
      </c>
      <c r="D166" s="14" t="n"/>
      <c r="E166" s="14" t="n"/>
      <c r="F166" s="18" t="n"/>
      <c r="G166" s="18" t="n"/>
      <c r="H166" s="21">
        <f>IF(AND($F166="",$G166=""),"",N($F166)*IFERROR(N(INDEX(Vinos!$H$2:$H$301,MATCH($B166,Vinos!$A$2:$A$301,0))),0)+N($G166))</f>
        <v/>
      </c>
      <c r="I166" s="18" t="n"/>
      <c r="J166" s="21">
        <f>IF(OR($H166="",$I166=""),"",$H166-$I166)</f>
        <v/>
      </c>
      <c r="K166" s="16">
        <f>IF($H166="","",IFERROR(IF(INDEX(Vinos!$J$2:$J$301,MATCH($B166,Vinos!$A$2:$A$301,0))="","",$H166*INDEX(Vinos!$J$2:$J$301,MATCH($B166,Vinos!$A$2:$A$301,0))),""))</f>
        <v/>
      </c>
      <c r="L166" s="16">
        <f>IF($H166="","",IFERROR(IF(INDEX(Vinos!$K$2:$K$301,MATCH($B166,Vinos!$A$2:$A$301,0))="","",$H166*INDEX(Vinos!$K$2:$K$301,MATCH($B166,Vinos!$A$2:$A$301,0))),""))</f>
        <v/>
      </c>
      <c r="M166" s="21">
        <f>IF(OR($A166="",$B166=""),"",SUMIFS($H$2:$H$2001,$A$2:$A$2001,$A166,$B$2:$B$2001,$B166))</f>
        <v/>
      </c>
      <c r="N166" s="20">
        <f>IF($M166="","",IF($M166&lt;=0,"Sin stock: reponer ya",IF($M166&lt;IFERROR(N(INDEX(Vinos!$N$2:$N$301,MATCH($B166,Vinos!$A$2:$A$301,0))),0),"Bajo mínimo: reponer","OK")))</f>
        <v/>
      </c>
      <c r="O166" s="14" t="n"/>
      <c r="P166" s="14" t="n"/>
      <c r="Q166" s="20">
        <f>IF($B166="","",IFERROR(INDEX(Vinos!$C$2:$C$301,MATCH($B166,Vinos!$A$2:$A$301,0)),""))</f>
        <v/>
      </c>
      <c r="R166" s="20">
        <f>IF(OR($A166="",$A166&lt;&gt;'Resumen del inventario'!$C$3,$N166="",$N166="OK"),"",IF(COUNTIFS($A$2:$A166,$A166,$B$2:$B166,$B166)=1,1,""))</f>
        <v/>
      </c>
      <c r="S166" s="20">
        <f>IF($R166=1,COUNTIF($R$2:$R166,1),"")</f>
        <v/>
      </c>
    </row>
    <row r="167">
      <c r="A167" s="19" t="n"/>
      <c r="B167" s="14" t="n"/>
      <c r="C167" s="20">
        <f>IF($B167="","",IFERROR(INDEX(Vinos!$B$2:$B$301,MATCH($B167,Vinos!$A$2:$A$301,0)),"Código no cargado"))</f>
        <v/>
      </c>
      <c r="D167" s="14" t="n"/>
      <c r="E167" s="14" t="n"/>
      <c r="F167" s="18" t="n"/>
      <c r="G167" s="18" t="n"/>
      <c r="H167" s="21">
        <f>IF(AND($F167="",$G167=""),"",N($F167)*IFERROR(N(INDEX(Vinos!$H$2:$H$301,MATCH($B167,Vinos!$A$2:$A$301,0))),0)+N($G167))</f>
        <v/>
      </c>
      <c r="I167" s="18" t="n"/>
      <c r="J167" s="21">
        <f>IF(OR($H167="",$I167=""),"",$H167-$I167)</f>
        <v/>
      </c>
      <c r="K167" s="16">
        <f>IF($H167="","",IFERROR(IF(INDEX(Vinos!$J$2:$J$301,MATCH($B167,Vinos!$A$2:$A$301,0))="","",$H167*INDEX(Vinos!$J$2:$J$301,MATCH($B167,Vinos!$A$2:$A$301,0))),""))</f>
        <v/>
      </c>
      <c r="L167" s="16">
        <f>IF($H167="","",IFERROR(IF(INDEX(Vinos!$K$2:$K$301,MATCH($B167,Vinos!$A$2:$A$301,0))="","",$H167*INDEX(Vinos!$K$2:$K$301,MATCH($B167,Vinos!$A$2:$A$301,0))),""))</f>
        <v/>
      </c>
      <c r="M167" s="21">
        <f>IF(OR($A167="",$B167=""),"",SUMIFS($H$2:$H$2001,$A$2:$A$2001,$A167,$B$2:$B$2001,$B167))</f>
        <v/>
      </c>
      <c r="N167" s="20">
        <f>IF($M167="","",IF($M167&lt;=0,"Sin stock: reponer ya",IF($M167&lt;IFERROR(N(INDEX(Vinos!$N$2:$N$301,MATCH($B167,Vinos!$A$2:$A$301,0))),0),"Bajo mínimo: reponer","OK")))</f>
        <v/>
      </c>
      <c r="O167" s="14" t="n"/>
      <c r="P167" s="14" t="n"/>
      <c r="Q167" s="20">
        <f>IF($B167="","",IFERROR(INDEX(Vinos!$C$2:$C$301,MATCH($B167,Vinos!$A$2:$A$301,0)),""))</f>
        <v/>
      </c>
      <c r="R167" s="20">
        <f>IF(OR($A167="",$A167&lt;&gt;'Resumen del inventario'!$C$3,$N167="",$N167="OK"),"",IF(COUNTIFS($A$2:$A167,$A167,$B$2:$B167,$B167)=1,1,""))</f>
        <v/>
      </c>
      <c r="S167" s="20">
        <f>IF($R167=1,COUNTIF($R$2:$R167,1),"")</f>
        <v/>
      </c>
    </row>
    <row r="168">
      <c r="A168" s="19" t="n"/>
      <c r="B168" s="14" t="n"/>
      <c r="C168" s="20">
        <f>IF($B168="","",IFERROR(INDEX(Vinos!$B$2:$B$301,MATCH($B168,Vinos!$A$2:$A$301,0)),"Código no cargado"))</f>
        <v/>
      </c>
      <c r="D168" s="14" t="n"/>
      <c r="E168" s="14" t="n"/>
      <c r="F168" s="18" t="n"/>
      <c r="G168" s="18" t="n"/>
      <c r="H168" s="21">
        <f>IF(AND($F168="",$G168=""),"",N($F168)*IFERROR(N(INDEX(Vinos!$H$2:$H$301,MATCH($B168,Vinos!$A$2:$A$301,0))),0)+N($G168))</f>
        <v/>
      </c>
      <c r="I168" s="18" t="n"/>
      <c r="J168" s="21">
        <f>IF(OR($H168="",$I168=""),"",$H168-$I168)</f>
        <v/>
      </c>
      <c r="K168" s="16">
        <f>IF($H168="","",IFERROR(IF(INDEX(Vinos!$J$2:$J$301,MATCH($B168,Vinos!$A$2:$A$301,0))="","",$H168*INDEX(Vinos!$J$2:$J$301,MATCH($B168,Vinos!$A$2:$A$301,0))),""))</f>
        <v/>
      </c>
      <c r="L168" s="16">
        <f>IF($H168="","",IFERROR(IF(INDEX(Vinos!$K$2:$K$301,MATCH($B168,Vinos!$A$2:$A$301,0))="","",$H168*INDEX(Vinos!$K$2:$K$301,MATCH($B168,Vinos!$A$2:$A$301,0))),""))</f>
        <v/>
      </c>
      <c r="M168" s="21">
        <f>IF(OR($A168="",$B168=""),"",SUMIFS($H$2:$H$2001,$A$2:$A$2001,$A168,$B$2:$B$2001,$B168))</f>
        <v/>
      </c>
      <c r="N168" s="20">
        <f>IF($M168="","",IF($M168&lt;=0,"Sin stock: reponer ya",IF($M168&lt;IFERROR(N(INDEX(Vinos!$N$2:$N$301,MATCH($B168,Vinos!$A$2:$A$301,0))),0),"Bajo mínimo: reponer","OK")))</f>
        <v/>
      </c>
      <c r="O168" s="14" t="n"/>
      <c r="P168" s="14" t="n"/>
      <c r="Q168" s="20">
        <f>IF($B168="","",IFERROR(INDEX(Vinos!$C$2:$C$301,MATCH($B168,Vinos!$A$2:$A$301,0)),""))</f>
        <v/>
      </c>
      <c r="R168" s="20">
        <f>IF(OR($A168="",$A168&lt;&gt;'Resumen del inventario'!$C$3,$N168="",$N168="OK"),"",IF(COUNTIFS($A$2:$A168,$A168,$B$2:$B168,$B168)=1,1,""))</f>
        <v/>
      </c>
      <c r="S168" s="20">
        <f>IF($R168=1,COUNTIF($R$2:$R168,1),"")</f>
        <v/>
      </c>
    </row>
    <row r="169">
      <c r="A169" s="19" t="n"/>
      <c r="B169" s="14" t="n"/>
      <c r="C169" s="20">
        <f>IF($B169="","",IFERROR(INDEX(Vinos!$B$2:$B$301,MATCH($B169,Vinos!$A$2:$A$301,0)),"Código no cargado"))</f>
        <v/>
      </c>
      <c r="D169" s="14" t="n"/>
      <c r="E169" s="14" t="n"/>
      <c r="F169" s="18" t="n"/>
      <c r="G169" s="18" t="n"/>
      <c r="H169" s="21">
        <f>IF(AND($F169="",$G169=""),"",N($F169)*IFERROR(N(INDEX(Vinos!$H$2:$H$301,MATCH($B169,Vinos!$A$2:$A$301,0))),0)+N($G169))</f>
        <v/>
      </c>
      <c r="I169" s="18" t="n"/>
      <c r="J169" s="21">
        <f>IF(OR($H169="",$I169=""),"",$H169-$I169)</f>
        <v/>
      </c>
      <c r="K169" s="16">
        <f>IF($H169="","",IFERROR(IF(INDEX(Vinos!$J$2:$J$301,MATCH($B169,Vinos!$A$2:$A$301,0))="","",$H169*INDEX(Vinos!$J$2:$J$301,MATCH($B169,Vinos!$A$2:$A$301,0))),""))</f>
        <v/>
      </c>
      <c r="L169" s="16">
        <f>IF($H169="","",IFERROR(IF(INDEX(Vinos!$K$2:$K$301,MATCH($B169,Vinos!$A$2:$A$301,0))="","",$H169*INDEX(Vinos!$K$2:$K$301,MATCH($B169,Vinos!$A$2:$A$301,0))),""))</f>
        <v/>
      </c>
      <c r="M169" s="21">
        <f>IF(OR($A169="",$B169=""),"",SUMIFS($H$2:$H$2001,$A$2:$A$2001,$A169,$B$2:$B$2001,$B169))</f>
        <v/>
      </c>
      <c r="N169" s="20">
        <f>IF($M169="","",IF($M169&lt;=0,"Sin stock: reponer ya",IF($M169&lt;IFERROR(N(INDEX(Vinos!$N$2:$N$301,MATCH($B169,Vinos!$A$2:$A$301,0))),0),"Bajo mínimo: reponer","OK")))</f>
        <v/>
      </c>
      <c r="O169" s="14" t="n"/>
      <c r="P169" s="14" t="n"/>
      <c r="Q169" s="20">
        <f>IF($B169="","",IFERROR(INDEX(Vinos!$C$2:$C$301,MATCH($B169,Vinos!$A$2:$A$301,0)),""))</f>
        <v/>
      </c>
      <c r="R169" s="20">
        <f>IF(OR($A169="",$A169&lt;&gt;'Resumen del inventario'!$C$3,$N169="",$N169="OK"),"",IF(COUNTIFS($A$2:$A169,$A169,$B$2:$B169,$B169)=1,1,""))</f>
        <v/>
      </c>
      <c r="S169" s="20">
        <f>IF($R169=1,COUNTIF($R$2:$R169,1),"")</f>
        <v/>
      </c>
    </row>
    <row r="170">
      <c r="A170" s="19" t="n"/>
      <c r="B170" s="14" t="n"/>
      <c r="C170" s="20">
        <f>IF($B170="","",IFERROR(INDEX(Vinos!$B$2:$B$301,MATCH($B170,Vinos!$A$2:$A$301,0)),"Código no cargado"))</f>
        <v/>
      </c>
      <c r="D170" s="14" t="n"/>
      <c r="E170" s="14" t="n"/>
      <c r="F170" s="18" t="n"/>
      <c r="G170" s="18" t="n"/>
      <c r="H170" s="21">
        <f>IF(AND($F170="",$G170=""),"",N($F170)*IFERROR(N(INDEX(Vinos!$H$2:$H$301,MATCH($B170,Vinos!$A$2:$A$301,0))),0)+N($G170))</f>
        <v/>
      </c>
      <c r="I170" s="18" t="n"/>
      <c r="J170" s="21">
        <f>IF(OR($H170="",$I170=""),"",$H170-$I170)</f>
        <v/>
      </c>
      <c r="K170" s="16">
        <f>IF($H170="","",IFERROR(IF(INDEX(Vinos!$J$2:$J$301,MATCH($B170,Vinos!$A$2:$A$301,0))="","",$H170*INDEX(Vinos!$J$2:$J$301,MATCH($B170,Vinos!$A$2:$A$301,0))),""))</f>
        <v/>
      </c>
      <c r="L170" s="16">
        <f>IF($H170="","",IFERROR(IF(INDEX(Vinos!$K$2:$K$301,MATCH($B170,Vinos!$A$2:$A$301,0))="","",$H170*INDEX(Vinos!$K$2:$K$301,MATCH($B170,Vinos!$A$2:$A$301,0))),""))</f>
        <v/>
      </c>
      <c r="M170" s="21">
        <f>IF(OR($A170="",$B170=""),"",SUMIFS($H$2:$H$2001,$A$2:$A$2001,$A170,$B$2:$B$2001,$B170))</f>
        <v/>
      </c>
      <c r="N170" s="20">
        <f>IF($M170="","",IF($M170&lt;=0,"Sin stock: reponer ya",IF($M170&lt;IFERROR(N(INDEX(Vinos!$N$2:$N$301,MATCH($B170,Vinos!$A$2:$A$301,0))),0),"Bajo mínimo: reponer","OK")))</f>
        <v/>
      </c>
      <c r="O170" s="14" t="n"/>
      <c r="P170" s="14" t="n"/>
      <c r="Q170" s="20">
        <f>IF($B170="","",IFERROR(INDEX(Vinos!$C$2:$C$301,MATCH($B170,Vinos!$A$2:$A$301,0)),""))</f>
        <v/>
      </c>
      <c r="R170" s="20">
        <f>IF(OR($A170="",$A170&lt;&gt;'Resumen del inventario'!$C$3,$N170="",$N170="OK"),"",IF(COUNTIFS($A$2:$A170,$A170,$B$2:$B170,$B170)=1,1,""))</f>
        <v/>
      </c>
      <c r="S170" s="20">
        <f>IF($R170=1,COUNTIF($R$2:$R170,1),"")</f>
        <v/>
      </c>
    </row>
    <row r="171">
      <c r="A171" s="19" t="n"/>
      <c r="B171" s="14" t="n"/>
      <c r="C171" s="20">
        <f>IF($B171="","",IFERROR(INDEX(Vinos!$B$2:$B$301,MATCH($B171,Vinos!$A$2:$A$301,0)),"Código no cargado"))</f>
        <v/>
      </c>
      <c r="D171" s="14" t="n"/>
      <c r="E171" s="14" t="n"/>
      <c r="F171" s="18" t="n"/>
      <c r="G171" s="18" t="n"/>
      <c r="H171" s="21">
        <f>IF(AND($F171="",$G171=""),"",N($F171)*IFERROR(N(INDEX(Vinos!$H$2:$H$301,MATCH($B171,Vinos!$A$2:$A$301,0))),0)+N($G171))</f>
        <v/>
      </c>
      <c r="I171" s="18" t="n"/>
      <c r="J171" s="21">
        <f>IF(OR($H171="",$I171=""),"",$H171-$I171)</f>
        <v/>
      </c>
      <c r="K171" s="16">
        <f>IF($H171="","",IFERROR(IF(INDEX(Vinos!$J$2:$J$301,MATCH($B171,Vinos!$A$2:$A$301,0))="","",$H171*INDEX(Vinos!$J$2:$J$301,MATCH($B171,Vinos!$A$2:$A$301,0))),""))</f>
        <v/>
      </c>
      <c r="L171" s="16">
        <f>IF($H171="","",IFERROR(IF(INDEX(Vinos!$K$2:$K$301,MATCH($B171,Vinos!$A$2:$A$301,0))="","",$H171*INDEX(Vinos!$K$2:$K$301,MATCH($B171,Vinos!$A$2:$A$301,0))),""))</f>
        <v/>
      </c>
      <c r="M171" s="21">
        <f>IF(OR($A171="",$B171=""),"",SUMIFS($H$2:$H$2001,$A$2:$A$2001,$A171,$B$2:$B$2001,$B171))</f>
        <v/>
      </c>
      <c r="N171" s="20">
        <f>IF($M171="","",IF($M171&lt;=0,"Sin stock: reponer ya",IF($M171&lt;IFERROR(N(INDEX(Vinos!$N$2:$N$301,MATCH($B171,Vinos!$A$2:$A$301,0))),0),"Bajo mínimo: reponer","OK")))</f>
        <v/>
      </c>
      <c r="O171" s="14" t="n"/>
      <c r="P171" s="14" t="n"/>
      <c r="Q171" s="20">
        <f>IF($B171="","",IFERROR(INDEX(Vinos!$C$2:$C$301,MATCH($B171,Vinos!$A$2:$A$301,0)),""))</f>
        <v/>
      </c>
      <c r="R171" s="20">
        <f>IF(OR($A171="",$A171&lt;&gt;'Resumen del inventario'!$C$3,$N171="",$N171="OK"),"",IF(COUNTIFS($A$2:$A171,$A171,$B$2:$B171,$B171)=1,1,""))</f>
        <v/>
      </c>
      <c r="S171" s="20">
        <f>IF($R171=1,COUNTIF($R$2:$R171,1),"")</f>
        <v/>
      </c>
    </row>
    <row r="172">
      <c r="A172" s="19" t="n"/>
      <c r="B172" s="14" t="n"/>
      <c r="C172" s="20">
        <f>IF($B172="","",IFERROR(INDEX(Vinos!$B$2:$B$301,MATCH($B172,Vinos!$A$2:$A$301,0)),"Código no cargado"))</f>
        <v/>
      </c>
      <c r="D172" s="14" t="n"/>
      <c r="E172" s="14" t="n"/>
      <c r="F172" s="18" t="n"/>
      <c r="G172" s="18" t="n"/>
      <c r="H172" s="21">
        <f>IF(AND($F172="",$G172=""),"",N($F172)*IFERROR(N(INDEX(Vinos!$H$2:$H$301,MATCH($B172,Vinos!$A$2:$A$301,0))),0)+N($G172))</f>
        <v/>
      </c>
      <c r="I172" s="18" t="n"/>
      <c r="J172" s="21">
        <f>IF(OR($H172="",$I172=""),"",$H172-$I172)</f>
        <v/>
      </c>
      <c r="K172" s="16">
        <f>IF($H172="","",IFERROR(IF(INDEX(Vinos!$J$2:$J$301,MATCH($B172,Vinos!$A$2:$A$301,0))="","",$H172*INDEX(Vinos!$J$2:$J$301,MATCH($B172,Vinos!$A$2:$A$301,0))),""))</f>
        <v/>
      </c>
      <c r="L172" s="16">
        <f>IF($H172="","",IFERROR(IF(INDEX(Vinos!$K$2:$K$301,MATCH($B172,Vinos!$A$2:$A$301,0))="","",$H172*INDEX(Vinos!$K$2:$K$301,MATCH($B172,Vinos!$A$2:$A$301,0))),""))</f>
        <v/>
      </c>
      <c r="M172" s="21">
        <f>IF(OR($A172="",$B172=""),"",SUMIFS($H$2:$H$2001,$A$2:$A$2001,$A172,$B$2:$B$2001,$B172))</f>
        <v/>
      </c>
      <c r="N172" s="20">
        <f>IF($M172="","",IF($M172&lt;=0,"Sin stock: reponer ya",IF($M172&lt;IFERROR(N(INDEX(Vinos!$N$2:$N$301,MATCH($B172,Vinos!$A$2:$A$301,0))),0),"Bajo mínimo: reponer","OK")))</f>
        <v/>
      </c>
      <c r="O172" s="14" t="n"/>
      <c r="P172" s="14" t="n"/>
      <c r="Q172" s="20">
        <f>IF($B172="","",IFERROR(INDEX(Vinos!$C$2:$C$301,MATCH($B172,Vinos!$A$2:$A$301,0)),""))</f>
        <v/>
      </c>
      <c r="R172" s="20">
        <f>IF(OR($A172="",$A172&lt;&gt;'Resumen del inventario'!$C$3,$N172="",$N172="OK"),"",IF(COUNTIFS($A$2:$A172,$A172,$B$2:$B172,$B172)=1,1,""))</f>
        <v/>
      </c>
      <c r="S172" s="20">
        <f>IF($R172=1,COUNTIF($R$2:$R172,1),"")</f>
        <v/>
      </c>
    </row>
    <row r="173">
      <c r="A173" s="19" t="n"/>
      <c r="B173" s="14" t="n"/>
      <c r="C173" s="20">
        <f>IF($B173="","",IFERROR(INDEX(Vinos!$B$2:$B$301,MATCH($B173,Vinos!$A$2:$A$301,0)),"Código no cargado"))</f>
        <v/>
      </c>
      <c r="D173" s="14" t="n"/>
      <c r="E173" s="14" t="n"/>
      <c r="F173" s="18" t="n"/>
      <c r="G173" s="18" t="n"/>
      <c r="H173" s="21">
        <f>IF(AND($F173="",$G173=""),"",N($F173)*IFERROR(N(INDEX(Vinos!$H$2:$H$301,MATCH($B173,Vinos!$A$2:$A$301,0))),0)+N($G173))</f>
        <v/>
      </c>
      <c r="I173" s="18" t="n"/>
      <c r="J173" s="21">
        <f>IF(OR($H173="",$I173=""),"",$H173-$I173)</f>
        <v/>
      </c>
      <c r="K173" s="16">
        <f>IF($H173="","",IFERROR(IF(INDEX(Vinos!$J$2:$J$301,MATCH($B173,Vinos!$A$2:$A$301,0))="","",$H173*INDEX(Vinos!$J$2:$J$301,MATCH($B173,Vinos!$A$2:$A$301,0))),""))</f>
        <v/>
      </c>
      <c r="L173" s="16">
        <f>IF($H173="","",IFERROR(IF(INDEX(Vinos!$K$2:$K$301,MATCH($B173,Vinos!$A$2:$A$301,0))="","",$H173*INDEX(Vinos!$K$2:$K$301,MATCH($B173,Vinos!$A$2:$A$301,0))),""))</f>
        <v/>
      </c>
      <c r="M173" s="21">
        <f>IF(OR($A173="",$B173=""),"",SUMIFS($H$2:$H$2001,$A$2:$A$2001,$A173,$B$2:$B$2001,$B173))</f>
        <v/>
      </c>
      <c r="N173" s="20">
        <f>IF($M173="","",IF($M173&lt;=0,"Sin stock: reponer ya",IF($M173&lt;IFERROR(N(INDEX(Vinos!$N$2:$N$301,MATCH($B173,Vinos!$A$2:$A$301,0))),0),"Bajo mínimo: reponer","OK")))</f>
        <v/>
      </c>
      <c r="O173" s="14" t="n"/>
      <c r="P173" s="14" t="n"/>
      <c r="Q173" s="20">
        <f>IF($B173="","",IFERROR(INDEX(Vinos!$C$2:$C$301,MATCH($B173,Vinos!$A$2:$A$301,0)),""))</f>
        <v/>
      </c>
      <c r="R173" s="20">
        <f>IF(OR($A173="",$A173&lt;&gt;'Resumen del inventario'!$C$3,$N173="",$N173="OK"),"",IF(COUNTIFS($A$2:$A173,$A173,$B$2:$B173,$B173)=1,1,""))</f>
        <v/>
      </c>
      <c r="S173" s="20">
        <f>IF($R173=1,COUNTIF($R$2:$R173,1),"")</f>
        <v/>
      </c>
    </row>
    <row r="174">
      <c r="A174" s="19" t="n"/>
      <c r="B174" s="14" t="n"/>
      <c r="C174" s="20">
        <f>IF($B174="","",IFERROR(INDEX(Vinos!$B$2:$B$301,MATCH($B174,Vinos!$A$2:$A$301,0)),"Código no cargado"))</f>
        <v/>
      </c>
      <c r="D174" s="14" t="n"/>
      <c r="E174" s="14" t="n"/>
      <c r="F174" s="18" t="n"/>
      <c r="G174" s="18" t="n"/>
      <c r="H174" s="21">
        <f>IF(AND($F174="",$G174=""),"",N($F174)*IFERROR(N(INDEX(Vinos!$H$2:$H$301,MATCH($B174,Vinos!$A$2:$A$301,0))),0)+N($G174))</f>
        <v/>
      </c>
      <c r="I174" s="18" t="n"/>
      <c r="J174" s="21">
        <f>IF(OR($H174="",$I174=""),"",$H174-$I174)</f>
        <v/>
      </c>
      <c r="K174" s="16">
        <f>IF($H174="","",IFERROR(IF(INDEX(Vinos!$J$2:$J$301,MATCH($B174,Vinos!$A$2:$A$301,0))="","",$H174*INDEX(Vinos!$J$2:$J$301,MATCH($B174,Vinos!$A$2:$A$301,0))),""))</f>
        <v/>
      </c>
      <c r="L174" s="16">
        <f>IF($H174="","",IFERROR(IF(INDEX(Vinos!$K$2:$K$301,MATCH($B174,Vinos!$A$2:$A$301,0))="","",$H174*INDEX(Vinos!$K$2:$K$301,MATCH($B174,Vinos!$A$2:$A$301,0))),""))</f>
        <v/>
      </c>
      <c r="M174" s="21">
        <f>IF(OR($A174="",$B174=""),"",SUMIFS($H$2:$H$2001,$A$2:$A$2001,$A174,$B$2:$B$2001,$B174))</f>
        <v/>
      </c>
      <c r="N174" s="20">
        <f>IF($M174="","",IF($M174&lt;=0,"Sin stock: reponer ya",IF($M174&lt;IFERROR(N(INDEX(Vinos!$N$2:$N$301,MATCH($B174,Vinos!$A$2:$A$301,0))),0),"Bajo mínimo: reponer","OK")))</f>
        <v/>
      </c>
      <c r="O174" s="14" t="n"/>
      <c r="P174" s="14" t="n"/>
      <c r="Q174" s="20">
        <f>IF($B174="","",IFERROR(INDEX(Vinos!$C$2:$C$301,MATCH($B174,Vinos!$A$2:$A$301,0)),""))</f>
        <v/>
      </c>
      <c r="R174" s="20">
        <f>IF(OR($A174="",$A174&lt;&gt;'Resumen del inventario'!$C$3,$N174="",$N174="OK"),"",IF(COUNTIFS($A$2:$A174,$A174,$B$2:$B174,$B174)=1,1,""))</f>
        <v/>
      </c>
      <c r="S174" s="20">
        <f>IF($R174=1,COUNTIF($R$2:$R174,1),"")</f>
        <v/>
      </c>
    </row>
    <row r="175">
      <c r="A175" s="19" t="n"/>
      <c r="B175" s="14" t="n"/>
      <c r="C175" s="20">
        <f>IF($B175="","",IFERROR(INDEX(Vinos!$B$2:$B$301,MATCH($B175,Vinos!$A$2:$A$301,0)),"Código no cargado"))</f>
        <v/>
      </c>
      <c r="D175" s="14" t="n"/>
      <c r="E175" s="14" t="n"/>
      <c r="F175" s="18" t="n"/>
      <c r="G175" s="18" t="n"/>
      <c r="H175" s="21">
        <f>IF(AND($F175="",$G175=""),"",N($F175)*IFERROR(N(INDEX(Vinos!$H$2:$H$301,MATCH($B175,Vinos!$A$2:$A$301,0))),0)+N($G175))</f>
        <v/>
      </c>
      <c r="I175" s="18" t="n"/>
      <c r="J175" s="21">
        <f>IF(OR($H175="",$I175=""),"",$H175-$I175)</f>
        <v/>
      </c>
      <c r="K175" s="16">
        <f>IF($H175="","",IFERROR(IF(INDEX(Vinos!$J$2:$J$301,MATCH($B175,Vinos!$A$2:$A$301,0))="","",$H175*INDEX(Vinos!$J$2:$J$301,MATCH($B175,Vinos!$A$2:$A$301,0))),""))</f>
        <v/>
      </c>
      <c r="L175" s="16">
        <f>IF($H175="","",IFERROR(IF(INDEX(Vinos!$K$2:$K$301,MATCH($B175,Vinos!$A$2:$A$301,0))="","",$H175*INDEX(Vinos!$K$2:$K$301,MATCH($B175,Vinos!$A$2:$A$301,0))),""))</f>
        <v/>
      </c>
      <c r="M175" s="21">
        <f>IF(OR($A175="",$B175=""),"",SUMIFS($H$2:$H$2001,$A$2:$A$2001,$A175,$B$2:$B$2001,$B175))</f>
        <v/>
      </c>
      <c r="N175" s="20">
        <f>IF($M175="","",IF($M175&lt;=0,"Sin stock: reponer ya",IF($M175&lt;IFERROR(N(INDEX(Vinos!$N$2:$N$301,MATCH($B175,Vinos!$A$2:$A$301,0))),0),"Bajo mínimo: reponer","OK")))</f>
        <v/>
      </c>
      <c r="O175" s="14" t="n"/>
      <c r="P175" s="14" t="n"/>
      <c r="Q175" s="20">
        <f>IF($B175="","",IFERROR(INDEX(Vinos!$C$2:$C$301,MATCH($B175,Vinos!$A$2:$A$301,0)),""))</f>
        <v/>
      </c>
      <c r="R175" s="20">
        <f>IF(OR($A175="",$A175&lt;&gt;'Resumen del inventario'!$C$3,$N175="",$N175="OK"),"",IF(COUNTIFS($A$2:$A175,$A175,$B$2:$B175,$B175)=1,1,""))</f>
        <v/>
      </c>
      <c r="S175" s="20">
        <f>IF($R175=1,COUNTIF($R$2:$R175,1),"")</f>
        <v/>
      </c>
    </row>
    <row r="176">
      <c r="A176" s="19" t="n"/>
      <c r="B176" s="14" t="n"/>
      <c r="C176" s="20">
        <f>IF($B176="","",IFERROR(INDEX(Vinos!$B$2:$B$301,MATCH($B176,Vinos!$A$2:$A$301,0)),"Código no cargado"))</f>
        <v/>
      </c>
      <c r="D176" s="14" t="n"/>
      <c r="E176" s="14" t="n"/>
      <c r="F176" s="18" t="n"/>
      <c r="G176" s="18" t="n"/>
      <c r="H176" s="21">
        <f>IF(AND($F176="",$G176=""),"",N($F176)*IFERROR(N(INDEX(Vinos!$H$2:$H$301,MATCH($B176,Vinos!$A$2:$A$301,0))),0)+N($G176))</f>
        <v/>
      </c>
      <c r="I176" s="18" t="n"/>
      <c r="J176" s="21">
        <f>IF(OR($H176="",$I176=""),"",$H176-$I176)</f>
        <v/>
      </c>
      <c r="K176" s="16">
        <f>IF($H176="","",IFERROR(IF(INDEX(Vinos!$J$2:$J$301,MATCH($B176,Vinos!$A$2:$A$301,0))="","",$H176*INDEX(Vinos!$J$2:$J$301,MATCH($B176,Vinos!$A$2:$A$301,0))),""))</f>
        <v/>
      </c>
      <c r="L176" s="16">
        <f>IF($H176="","",IFERROR(IF(INDEX(Vinos!$K$2:$K$301,MATCH($B176,Vinos!$A$2:$A$301,0))="","",$H176*INDEX(Vinos!$K$2:$K$301,MATCH($B176,Vinos!$A$2:$A$301,0))),""))</f>
        <v/>
      </c>
      <c r="M176" s="21">
        <f>IF(OR($A176="",$B176=""),"",SUMIFS($H$2:$H$2001,$A$2:$A$2001,$A176,$B$2:$B$2001,$B176))</f>
        <v/>
      </c>
      <c r="N176" s="20">
        <f>IF($M176="","",IF($M176&lt;=0,"Sin stock: reponer ya",IF($M176&lt;IFERROR(N(INDEX(Vinos!$N$2:$N$301,MATCH($B176,Vinos!$A$2:$A$301,0))),0),"Bajo mínimo: reponer","OK")))</f>
        <v/>
      </c>
      <c r="O176" s="14" t="n"/>
      <c r="P176" s="14" t="n"/>
      <c r="Q176" s="20">
        <f>IF($B176="","",IFERROR(INDEX(Vinos!$C$2:$C$301,MATCH($B176,Vinos!$A$2:$A$301,0)),""))</f>
        <v/>
      </c>
      <c r="R176" s="20">
        <f>IF(OR($A176="",$A176&lt;&gt;'Resumen del inventario'!$C$3,$N176="",$N176="OK"),"",IF(COUNTIFS($A$2:$A176,$A176,$B$2:$B176,$B176)=1,1,""))</f>
        <v/>
      </c>
      <c r="S176" s="20">
        <f>IF($R176=1,COUNTIF($R$2:$R176,1),"")</f>
        <v/>
      </c>
    </row>
    <row r="177">
      <c r="A177" s="19" t="n"/>
      <c r="B177" s="14" t="n"/>
      <c r="C177" s="20">
        <f>IF($B177="","",IFERROR(INDEX(Vinos!$B$2:$B$301,MATCH($B177,Vinos!$A$2:$A$301,0)),"Código no cargado"))</f>
        <v/>
      </c>
      <c r="D177" s="14" t="n"/>
      <c r="E177" s="14" t="n"/>
      <c r="F177" s="18" t="n"/>
      <c r="G177" s="18" t="n"/>
      <c r="H177" s="21">
        <f>IF(AND($F177="",$G177=""),"",N($F177)*IFERROR(N(INDEX(Vinos!$H$2:$H$301,MATCH($B177,Vinos!$A$2:$A$301,0))),0)+N($G177))</f>
        <v/>
      </c>
      <c r="I177" s="18" t="n"/>
      <c r="J177" s="21">
        <f>IF(OR($H177="",$I177=""),"",$H177-$I177)</f>
        <v/>
      </c>
      <c r="K177" s="16">
        <f>IF($H177="","",IFERROR(IF(INDEX(Vinos!$J$2:$J$301,MATCH($B177,Vinos!$A$2:$A$301,0))="","",$H177*INDEX(Vinos!$J$2:$J$301,MATCH($B177,Vinos!$A$2:$A$301,0))),""))</f>
        <v/>
      </c>
      <c r="L177" s="16">
        <f>IF($H177="","",IFERROR(IF(INDEX(Vinos!$K$2:$K$301,MATCH($B177,Vinos!$A$2:$A$301,0))="","",$H177*INDEX(Vinos!$K$2:$K$301,MATCH($B177,Vinos!$A$2:$A$301,0))),""))</f>
        <v/>
      </c>
      <c r="M177" s="21">
        <f>IF(OR($A177="",$B177=""),"",SUMIFS($H$2:$H$2001,$A$2:$A$2001,$A177,$B$2:$B$2001,$B177))</f>
        <v/>
      </c>
      <c r="N177" s="20">
        <f>IF($M177="","",IF($M177&lt;=0,"Sin stock: reponer ya",IF($M177&lt;IFERROR(N(INDEX(Vinos!$N$2:$N$301,MATCH($B177,Vinos!$A$2:$A$301,0))),0),"Bajo mínimo: reponer","OK")))</f>
        <v/>
      </c>
      <c r="O177" s="14" t="n"/>
      <c r="P177" s="14" t="n"/>
      <c r="Q177" s="20">
        <f>IF($B177="","",IFERROR(INDEX(Vinos!$C$2:$C$301,MATCH($B177,Vinos!$A$2:$A$301,0)),""))</f>
        <v/>
      </c>
      <c r="R177" s="20">
        <f>IF(OR($A177="",$A177&lt;&gt;'Resumen del inventario'!$C$3,$N177="",$N177="OK"),"",IF(COUNTIFS($A$2:$A177,$A177,$B$2:$B177,$B177)=1,1,""))</f>
        <v/>
      </c>
      <c r="S177" s="20">
        <f>IF($R177=1,COUNTIF($R$2:$R177,1),"")</f>
        <v/>
      </c>
    </row>
    <row r="178">
      <c r="A178" s="19" t="n"/>
      <c r="B178" s="14" t="n"/>
      <c r="C178" s="20">
        <f>IF($B178="","",IFERROR(INDEX(Vinos!$B$2:$B$301,MATCH($B178,Vinos!$A$2:$A$301,0)),"Código no cargado"))</f>
        <v/>
      </c>
      <c r="D178" s="14" t="n"/>
      <c r="E178" s="14" t="n"/>
      <c r="F178" s="18" t="n"/>
      <c r="G178" s="18" t="n"/>
      <c r="H178" s="21">
        <f>IF(AND($F178="",$G178=""),"",N($F178)*IFERROR(N(INDEX(Vinos!$H$2:$H$301,MATCH($B178,Vinos!$A$2:$A$301,0))),0)+N($G178))</f>
        <v/>
      </c>
      <c r="I178" s="18" t="n"/>
      <c r="J178" s="21">
        <f>IF(OR($H178="",$I178=""),"",$H178-$I178)</f>
        <v/>
      </c>
      <c r="K178" s="16">
        <f>IF($H178="","",IFERROR(IF(INDEX(Vinos!$J$2:$J$301,MATCH($B178,Vinos!$A$2:$A$301,0))="","",$H178*INDEX(Vinos!$J$2:$J$301,MATCH($B178,Vinos!$A$2:$A$301,0))),""))</f>
        <v/>
      </c>
      <c r="L178" s="16">
        <f>IF($H178="","",IFERROR(IF(INDEX(Vinos!$K$2:$K$301,MATCH($B178,Vinos!$A$2:$A$301,0))="","",$H178*INDEX(Vinos!$K$2:$K$301,MATCH($B178,Vinos!$A$2:$A$301,0))),""))</f>
        <v/>
      </c>
      <c r="M178" s="21">
        <f>IF(OR($A178="",$B178=""),"",SUMIFS($H$2:$H$2001,$A$2:$A$2001,$A178,$B$2:$B$2001,$B178))</f>
        <v/>
      </c>
      <c r="N178" s="20">
        <f>IF($M178="","",IF($M178&lt;=0,"Sin stock: reponer ya",IF($M178&lt;IFERROR(N(INDEX(Vinos!$N$2:$N$301,MATCH($B178,Vinos!$A$2:$A$301,0))),0),"Bajo mínimo: reponer","OK")))</f>
        <v/>
      </c>
      <c r="O178" s="14" t="n"/>
      <c r="P178" s="14" t="n"/>
      <c r="Q178" s="20">
        <f>IF($B178="","",IFERROR(INDEX(Vinos!$C$2:$C$301,MATCH($B178,Vinos!$A$2:$A$301,0)),""))</f>
        <v/>
      </c>
      <c r="R178" s="20">
        <f>IF(OR($A178="",$A178&lt;&gt;'Resumen del inventario'!$C$3,$N178="",$N178="OK"),"",IF(COUNTIFS($A$2:$A178,$A178,$B$2:$B178,$B178)=1,1,""))</f>
        <v/>
      </c>
      <c r="S178" s="20">
        <f>IF($R178=1,COUNTIF($R$2:$R178,1),"")</f>
        <v/>
      </c>
    </row>
    <row r="179">
      <c r="A179" s="19" t="n"/>
      <c r="B179" s="14" t="n"/>
      <c r="C179" s="20">
        <f>IF($B179="","",IFERROR(INDEX(Vinos!$B$2:$B$301,MATCH($B179,Vinos!$A$2:$A$301,0)),"Código no cargado"))</f>
        <v/>
      </c>
      <c r="D179" s="14" t="n"/>
      <c r="E179" s="14" t="n"/>
      <c r="F179" s="18" t="n"/>
      <c r="G179" s="18" t="n"/>
      <c r="H179" s="21">
        <f>IF(AND($F179="",$G179=""),"",N($F179)*IFERROR(N(INDEX(Vinos!$H$2:$H$301,MATCH($B179,Vinos!$A$2:$A$301,0))),0)+N($G179))</f>
        <v/>
      </c>
      <c r="I179" s="18" t="n"/>
      <c r="J179" s="21">
        <f>IF(OR($H179="",$I179=""),"",$H179-$I179)</f>
        <v/>
      </c>
      <c r="K179" s="16">
        <f>IF($H179="","",IFERROR(IF(INDEX(Vinos!$J$2:$J$301,MATCH($B179,Vinos!$A$2:$A$301,0))="","",$H179*INDEX(Vinos!$J$2:$J$301,MATCH($B179,Vinos!$A$2:$A$301,0))),""))</f>
        <v/>
      </c>
      <c r="L179" s="16">
        <f>IF($H179="","",IFERROR(IF(INDEX(Vinos!$K$2:$K$301,MATCH($B179,Vinos!$A$2:$A$301,0))="","",$H179*INDEX(Vinos!$K$2:$K$301,MATCH($B179,Vinos!$A$2:$A$301,0))),""))</f>
        <v/>
      </c>
      <c r="M179" s="21">
        <f>IF(OR($A179="",$B179=""),"",SUMIFS($H$2:$H$2001,$A$2:$A$2001,$A179,$B$2:$B$2001,$B179))</f>
        <v/>
      </c>
      <c r="N179" s="20">
        <f>IF($M179="","",IF($M179&lt;=0,"Sin stock: reponer ya",IF($M179&lt;IFERROR(N(INDEX(Vinos!$N$2:$N$301,MATCH($B179,Vinos!$A$2:$A$301,0))),0),"Bajo mínimo: reponer","OK")))</f>
        <v/>
      </c>
      <c r="O179" s="14" t="n"/>
      <c r="P179" s="14" t="n"/>
      <c r="Q179" s="20">
        <f>IF($B179="","",IFERROR(INDEX(Vinos!$C$2:$C$301,MATCH($B179,Vinos!$A$2:$A$301,0)),""))</f>
        <v/>
      </c>
      <c r="R179" s="20">
        <f>IF(OR($A179="",$A179&lt;&gt;'Resumen del inventario'!$C$3,$N179="",$N179="OK"),"",IF(COUNTIFS($A$2:$A179,$A179,$B$2:$B179,$B179)=1,1,""))</f>
        <v/>
      </c>
      <c r="S179" s="20">
        <f>IF($R179=1,COUNTIF($R$2:$R179,1),"")</f>
        <v/>
      </c>
    </row>
    <row r="180">
      <c r="A180" s="19" t="n"/>
      <c r="B180" s="14" t="n"/>
      <c r="C180" s="20">
        <f>IF($B180="","",IFERROR(INDEX(Vinos!$B$2:$B$301,MATCH($B180,Vinos!$A$2:$A$301,0)),"Código no cargado"))</f>
        <v/>
      </c>
      <c r="D180" s="14" t="n"/>
      <c r="E180" s="14" t="n"/>
      <c r="F180" s="18" t="n"/>
      <c r="G180" s="18" t="n"/>
      <c r="H180" s="21">
        <f>IF(AND($F180="",$G180=""),"",N($F180)*IFERROR(N(INDEX(Vinos!$H$2:$H$301,MATCH($B180,Vinos!$A$2:$A$301,0))),0)+N($G180))</f>
        <v/>
      </c>
      <c r="I180" s="18" t="n"/>
      <c r="J180" s="21">
        <f>IF(OR($H180="",$I180=""),"",$H180-$I180)</f>
        <v/>
      </c>
      <c r="K180" s="16">
        <f>IF($H180="","",IFERROR(IF(INDEX(Vinos!$J$2:$J$301,MATCH($B180,Vinos!$A$2:$A$301,0))="","",$H180*INDEX(Vinos!$J$2:$J$301,MATCH($B180,Vinos!$A$2:$A$301,0))),""))</f>
        <v/>
      </c>
      <c r="L180" s="16">
        <f>IF($H180="","",IFERROR(IF(INDEX(Vinos!$K$2:$K$301,MATCH($B180,Vinos!$A$2:$A$301,0))="","",$H180*INDEX(Vinos!$K$2:$K$301,MATCH($B180,Vinos!$A$2:$A$301,0))),""))</f>
        <v/>
      </c>
      <c r="M180" s="21">
        <f>IF(OR($A180="",$B180=""),"",SUMIFS($H$2:$H$2001,$A$2:$A$2001,$A180,$B$2:$B$2001,$B180))</f>
        <v/>
      </c>
      <c r="N180" s="20">
        <f>IF($M180="","",IF($M180&lt;=0,"Sin stock: reponer ya",IF($M180&lt;IFERROR(N(INDEX(Vinos!$N$2:$N$301,MATCH($B180,Vinos!$A$2:$A$301,0))),0),"Bajo mínimo: reponer","OK")))</f>
        <v/>
      </c>
      <c r="O180" s="14" t="n"/>
      <c r="P180" s="14" t="n"/>
      <c r="Q180" s="20">
        <f>IF($B180="","",IFERROR(INDEX(Vinos!$C$2:$C$301,MATCH($B180,Vinos!$A$2:$A$301,0)),""))</f>
        <v/>
      </c>
      <c r="R180" s="20">
        <f>IF(OR($A180="",$A180&lt;&gt;'Resumen del inventario'!$C$3,$N180="",$N180="OK"),"",IF(COUNTIFS($A$2:$A180,$A180,$B$2:$B180,$B180)=1,1,""))</f>
        <v/>
      </c>
      <c r="S180" s="20">
        <f>IF($R180=1,COUNTIF($R$2:$R180,1),"")</f>
        <v/>
      </c>
    </row>
    <row r="181">
      <c r="A181" s="19" t="n"/>
      <c r="B181" s="14" t="n"/>
      <c r="C181" s="20">
        <f>IF($B181="","",IFERROR(INDEX(Vinos!$B$2:$B$301,MATCH($B181,Vinos!$A$2:$A$301,0)),"Código no cargado"))</f>
        <v/>
      </c>
      <c r="D181" s="14" t="n"/>
      <c r="E181" s="14" t="n"/>
      <c r="F181" s="18" t="n"/>
      <c r="G181" s="18" t="n"/>
      <c r="H181" s="21">
        <f>IF(AND($F181="",$G181=""),"",N($F181)*IFERROR(N(INDEX(Vinos!$H$2:$H$301,MATCH($B181,Vinos!$A$2:$A$301,0))),0)+N($G181))</f>
        <v/>
      </c>
      <c r="I181" s="18" t="n"/>
      <c r="J181" s="21">
        <f>IF(OR($H181="",$I181=""),"",$H181-$I181)</f>
        <v/>
      </c>
      <c r="K181" s="16">
        <f>IF($H181="","",IFERROR(IF(INDEX(Vinos!$J$2:$J$301,MATCH($B181,Vinos!$A$2:$A$301,0))="","",$H181*INDEX(Vinos!$J$2:$J$301,MATCH($B181,Vinos!$A$2:$A$301,0))),""))</f>
        <v/>
      </c>
      <c r="L181" s="16">
        <f>IF($H181="","",IFERROR(IF(INDEX(Vinos!$K$2:$K$301,MATCH($B181,Vinos!$A$2:$A$301,0))="","",$H181*INDEX(Vinos!$K$2:$K$301,MATCH($B181,Vinos!$A$2:$A$301,0))),""))</f>
        <v/>
      </c>
      <c r="M181" s="21">
        <f>IF(OR($A181="",$B181=""),"",SUMIFS($H$2:$H$2001,$A$2:$A$2001,$A181,$B$2:$B$2001,$B181))</f>
        <v/>
      </c>
      <c r="N181" s="20">
        <f>IF($M181="","",IF($M181&lt;=0,"Sin stock: reponer ya",IF($M181&lt;IFERROR(N(INDEX(Vinos!$N$2:$N$301,MATCH($B181,Vinos!$A$2:$A$301,0))),0),"Bajo mínimo: reponer","OK")))</f>
        <v/>
      </c>
      <c r="O181" s="14" t="n"/>
      <c r="P181" s="14" t="n"/>
      <c r="Q181" s="20">
        <f>IF($B181="","",IFERROR(INDEX(Vinos!$C$2:$C$301,MATCH($B181,Vinos!$A$2:$A$301,0)),""))</f>
        <v/>
      </c>
      <c r="R181" s="20">
        <f>IF(OR($A181="",$A181&lt;&gt;'Resumen del inventario'!$C$3,$N181="",$N181="OK"),"",IF(COUNTIFS($A$2:$A181,$A181,$B$2:$B181,$B181)=1,1,""))</f>
        <v/>
      </c>
      <c r="S181" s="20">
        <f>IF($R181=1,COUNTIF($R$2:$R181,1),"")</f>
        <v/>
      </c>
    </row>
    <row r="182">
      <c r="A182" s="19" t="n"/>
      <c r="B182" s="14" t="n"/>
      <c r="C182" s="20">
        <f>IF($B182="","",IFERROR(INDEX(Vinos!$B$2:$B$301,MATCH($B182,Vinos!$A$2:$A$301,0)),"Código no cargado"))</f>
        <v/>
      </c>
      <c r="D182" s="14" t="n"/>
      <c r="E182" s="14" t="n"/>
      <c r="F182" s="18" t="n"/>
      <c r="G182" s="18" t="n"/>
      <c r="H182" s="21">
        <f>IF(AND($F182="",$G182=""),"",N($F182)*IFERROR(N(INDEX(Vinos!$H$2:$H$301,MATCH($B182,Vinos!$A$2:$A$301,0))),0)+N($G182))</f>
        <v/>
      </c>
      <c r="I182" s="18" t="n"/>
      <c r="J182" s="21">
        <f>IF(OR($H182="",$I182=""),"",$H182-$I182)</f>
        <v/>
      </c>
      <c r="K182" s="16">
        <f>IF($H182="","",IFERROR(IF(INDEX(Vinos!$J$2:$J$301,MATCH($B182,Vinos!$A$2:$A$301,0))="","",$H182*INDEX(Vinos!$J$2:$J$301,MATCH($B182,Vinos!$A$2:$A$301,0))),""))</f>
        <v/>
      </c>
      <c r="L182" s="16">
        <f>IF($H182="","",IFERROR(IF(INDEX(Vinos!$K$2:$K$301,MATCH($B182,Vinos!$A$2:$A$301,0))="","",$H182*INDEX(Vinos!$K$2:$K$301,MATCH($B182,Vinos!$A$2:$A$301,0))),""))</f>
        <v/>
      </c>
      <c r="M182" s="21">
        <f>IF(OR($A182="",$B182=""),"",SUMIFS($H$2:$H$2001,$A$2:$A$2001,$A182,$B$2:$B$2001,$B182))</f>
        <v/>
      </c>
      <c r="N182" s="20">
        <f>IF($M182="","",IF($M182&lt;=0,"Sin stock: reponer ya",IF($M182&lt;IFERROR(N(INDEX(Vinos!$N$2:$N$301,MATCH($B182,Vinos!$A$2:$A$301,0))),0),"Bajo mínimo: reponer","OK")))</f>
        <v/>
      </c>
      <c r="O182" s="14" t="n"/>
      <c r="P182" s="14" t="n"/>
      <c r="Q182" s="20">
        <f>IF($B182="","",IFERROR(INDEX(Vinos!$C$2:$C$301,MATCH($B182,Vinos!$A$2:$A$301,0)),""))</f>
        <v/>
      </c>
      <c r="R182" s="20">
        <f>IF(OR($A182="",$A182&lt;&gt;'Resumen del inventario'!$C$3,$N182="",$N182="OK"),"",IF(COUNTIFS($A$2:$A182,$A182,$B$2:$B182,$B182)=1,1,""))</f>
        <v/>
      </c>
      <c r="S182" s="20">
        <f>IF($R182=1,COUNTIF($R$2:$R182,1),"")</f>
        <v/>
      </c>
    </row>
    <row r="183">
      <c r="A183" s="19" t="n"/>
      <c r="B183" s="14" t="n"/>
      <c r="C183" s="20">
        <f>IF($B183="","",IFERROR(INDEX(Vinos!$B$2:$B$301,MATCH($B183,Vinos!$A$2:$A$301,0)),"Código no cargado"))</f>
        <v/>
      </c>
      <c r="D183" s="14" t="n"/>
      <c r="E183" s="14" t="n"/>
      <c r="F183" s="18" t="n"/>
      <c r="G183" s="18" t="n"/>
      <c r="H183" s="21">
        <f>IF(AND($F183="",$G183=""),"",N($F183)*IFERROR(N(INDEX(Vinos!$H$2:$H$301,MATCH($B183,Vinos!$A$2:$A$301,0))),0)+N($G183))</f>
        <v/>
      </c>
      <c r="I183" s="18" t="n"/>
      <c r="J183" s="21">
        <f>IF(OR($H183="",$I183=""),"",$H183-$I183)</f>
        <v/>
      </c>
      <c r="K183" s="16">
        <f>IF($H183="","",IFERROR(IF(INDEX(Vinos!$J$2:$J$301,MATCH($B183,Vinos!$A$2:$A$301,0))="","",$H183*INDEX(Vinos!$J$2:$J$301,MATCH($B183,Vinos!$A$2:$A$301,0))),""))</f>
        <v/>
      </c>
      <c r="L183" s="16">
        <f>IF($H183="","",IFERROR(IF(INDEX(Vinos!$K$2:$K$301,MATCH($B183,Vinos!$A$2:$A$301,0))="","",$H183*INDEX(Vinos!$K$2:$K$301,MATCH($B183,Vinos!$A$2:$A$301,0))),""))</f>
        <v/>
      </c>
      <c r="M183" s="21">
        <f>IF(OR($A183="",$B183=""),"",SUMIFS($H$2:$H$2001,$A$2:$A$2001,$A183,$B$2:$B$2001,$B183))</f>
        <v/>
      </c>
      <c r="N183" s="20">
        <f>IF($M183="","",IF($M183&lt;=0,"Sin stock: reponer ya",IF($M183&lt;IFERROR(N(INDEX(Vinos!$N$2:$N$301,MATCH($B183,Vinos!$A$2:$A$301,0))),0),"Bajo mínimo: reponer","OK")))</f>
        <v/>
      </c>
      <c r="O183" s="14" t="n"/>
      <c r="P183" s="14" t="n"/>
      <c r="Q183" s="20">
        <f>IF($B183="","",IFERROR(INDEX(Vinos!$C$2:$C$301,MATCH($B183,Vinos!$A$2:$A$301,0)),""))</f>
        <v/>
      </c>
      <c r="R183" s="20">
        <f>IF(OR($A183="",$A183&lt;&gt;'Resumen del inventario'!$C$3,$N183="",$N183="OK"),"",IF(COUNTIFS($A$2:$A183,$A183,$B$2:$B183,$B183)=1,1,""))</f>
        <v/>
      </c>
      <c r="S183" s="20">
        <f>IF($R183=1,COUNTIF($R$2:$R183,1),"")</f>
        <v/>
      </c>
    </row>
    <row r="184">
      <c r="A184" s="19" t="n"/>
      <c r="B184" s="14" t="n"/>
      <c r="C184" s="20">
        <f>IF($B184="","",IFERROR(INDEX(Vinos!$B$2:$B$301,MATCH($B184,Vinos!$A$2:$A$301,0)),"Código no cargado"))</f>
        <v/>
      </c>
      <c r="D184" s="14" t="n"/>
      <c r="E184" s="14" t="n"/>
      <c r="F184" s="18" t="n"/>
      <c r="G184" s="18" t="n"/>
      <c r="H184" s="21">
        <f>IF(AND($F184="",$G184=""),"",N($F184)*IFERROR(N(INDEX(Vinos!$H$2:$H$301,MATCH($B184,Vinos!$A$2:$A$301,0))),0)+N($G184))</f>
        <v/>
      </c>
      <c r="I184" s="18" t="n"/>
      <c r="J184" s="21">
        <f>IF(OR($H184="",$I184=""),"",$H184-$I184)</f>
        <v/>
      </c>
      <c r="K184" s="16">
        <f>IF($H184="","",IFERROR(IF(INDEX(Vinos!$J$2:$J$301,MATCH($B184,Vinos!$A$2:$A$301,0))="","",$H184*INDEX(Vinos!$J$2:$J$301,MATCH($B184,Vinos!$A$2:$A$301,0))),""))</f>
        <v/>
      </c>
      <c r="L184" s="16">
        <f>IF($H184="","",IFERROR(IF(INDEX(Vinos!$K$2:$K$301,MATCH($B184,Vinos!$A$2:$A$301,0))="","",$H184*INDEX(Vinos!$K$2:$K$301,MATCH($B184,Vinos!$A$2:$A$301,0))),""))</f>
        <v/>
      </c>
      <c r="M184" s="21">
        <f>IF(OR($A184="",$B184=""),"",SUMIFS($H$2:$H$2001,$A$2:$A$2001,$A184,$B$2:$B$2001,$B184))</f>
        <v/>
      </c>
      <c r="N184" s="20">
        <f>IF($M184="","",IF($M184&lt;=0,"Sin stock: reponer ya",IF($M184&lt;IFERROR(N(INDEX(Vinos!$N$2:$N$301,MATCH($B184,Vinos!$A$2:$A$301,0))),0),"Bajo mínimo: reponer","OK")))</f>
        <v/>
      </c>
      <c r="O184" s="14" t="n"/>
      <c r="P184" s="14" t="n"/>
      <c r="Q184" s="20">
        <f>IF($B184="","",IFERROR(INDEX(Vinos!$C$2:$C$301,MATCH($B184,Vinos!$A$2:$A$301,0)),""))</f>
        <v/>
      </c>
      <c r="R184" s="20">
        <f>IF(OR($A184="",$A184&lt;&gt;'Resumen del inventario'!$C$3,$N184="",$N184="OK"),"",IF(COUNTIFS($A$2:$A184,$A184,$B$2:$B184,$B184)=1,1,""))</f>
        <v/>
      </c>
      <c r="S184" s="20">
        <f>IF($R184=1,COUNTIF($R$2:$R184,1),"")</f>
        <v/>
      </c>
    </row>
    <row r="185">
      <c r="A185" s="19" t="n"/>
      <c r="B185" s="14" t="n"/>
      <c r="C185" s="20">
        <f>IF($B185="","",IFERROR(INDEX(Vinos!$B$2:$B$301,MATCH($B185,Vinos!$A$2:$A$301,0)),"Código no cargado"))</f>
        <v/>
      </c>
      <c r="D185" s="14" t="n"/>
      <c r="E185" s="14" t="n"/>
      <c r="F185" s="18" t="n"/>
      <c r="G185" s="18" t="n"/>
      <c r="H185" s="21">
        <f>IF(AND($F185="",$G185=""),"",N($F185)*IFERROR(N(INDEX(Vinos!$H$2:$H$301,MATCH($B185,Vinos!$A$2:$A$301,0))),0)+N($G185))</f>
        <v/>
      </c>
      <c r="I185" s="18" t="n"/>
      <c r="J185" s="21">
        <f>IF(OR($H185="",$I185=""),"",$H185-$I185)</f>
        <v/>
      </c>
      <c r="K185" s="16">
        <f>IF($H185="","",IFERROR(IF(INDEX(Vinos!$J$2:$J$301,MATCH($B185,Vinos!$A$2:$A$301,0))="","",$H185*INDEX(Vinos!$J$2:$J$301,MATCH($B185,Vinos!$A$2:$A$301,0))),""))</f>
        <v/>
      </c>
      <c r="L185" s="16">
        <f>IF($H185="","",IFERROR(IF(INDEX(Vinos!$K$2:$K$301,MATCH($B185,Vinos!$A$2:$A$301,0))="","",$H185*INDEX(Vinos!$K$2:$K$301,MATCH($B185,Vinos!$A$2:$A$301,0))),""))</f>
        <v/>
      </c>
      <c r="M185" s="21">
        <f>IF(OR($A185="",$B185=""),"",SUMIFS($H$2:$H$2001,$A$2:$A$2001,$A185,$B$2:$B$2001,$B185))</f>
        <v/>
      </c>
      <c r="N185" s="20">
        <f>IF($M185="","",IF($M185&lt;=0,"Sin stock: reponer ya",IF($M185&lt;IFERROR(N(INDEX(Vinos!$N$2:$N$301,MATCH($B185,Vinos!$A$2:$A$301,0))),0),"Bajo mínimo: reponer","OK")))</f>
        <v/>
      </c>
      <c r="O185" s="14" t="n"/>
      <c r="P185" s="14" t="n"/>
      <c r="Q185" s="20">
        <f>IF($B185="","",IFERROR(INDEX(Vinos!$C$2:$C$301,MATCH($B185,Vinos!$A$2:$A$301,0)),""))</f>
        <v/>
      </c>
      <c r="R185" s="20">
        <f>IF(OR($A185="",$A185&lt;&gt;'Resumen del inventario'!$C$3,$N185="",$N185="OK"),"",IF(COUNTIFS($A$2:$A185,$A185,$B$2:$B185,$B185)=1,1,""))</f>
        <v/>
      </c>
      <c r="S185" s="20">
        <f>IF($R185=1,COUNTIF($R$2:$R185,1),"")</f>
        <v/>
      </c>
    </row>
    <row r="186">
      <c r="A186" s="19" t="n"/>
      <c r="B186" s="14" t="n"/>
      <c r="C186" s="20">
        <f>IF($B186="","",IFERROR(INDEX(Vinos!$B$2:$B$301,MATCH($B186,Vinos!$A$2:$A$301,0)),"Código no cargado"))</f>
        <v/>
      </c>
      <c r="D186" s="14" t="n"/>
      <c r="E186" s="14" t="n"/>
      <c r="F186" s="18" t="n"/>
      <c r="G186" s="18" t="n"/>
      <c r="H186" s="21">
        <f>IF(AND($F186="",$G186=""),"",N($F186)*IFERROR(N(INDEX(Vinos!$H$2:$H$301,MATCH($B186,Vinos!$A$2:$A$301,0))),0)+N($G186))</f>
        <v/>
      </c>
      <c r="I186" s="18" t="n"/>
      <c r="J186" s="21">
        <f>IF(OR($H186="",$I186=""),"",$H186-$I186)</f>
        <v/>
      </c>
      <c r="K186" s="16">
        <f>IF($H186="","",IFERROR(IF(INDEX(Vinos!$J$2:$J$301,MATCH($B186,Vinos!$A$2:$A$301,0))="","",$H186*INDEX(Vinos!$J$2:$J$301,MATCH($B186,Vinos!$A$2:$A$301,0))),""))</f>
        <v/>
      </c>
      <c r="L186" s="16">
        <f>IF($H186="","",IFERROR(IF(INDEX(Vinos!$K$2:$K$301,MATCH($B186,Vinos!$A$2:$A$301,0))="","",$H186*INDEX(Vinos!$K$2:$K$301,MATCH($B186,Vinos!$A$2:$A$301,0))),""))</f>
        <v/>
      </c>
      <c r="M186" s="21">
        <f>IF(OR($A186="",$B186=""),"",SUMIFS($H$2:$H$2001,$A$2:$A$2001,$A186,$B$2:$B$2001,$B186))</f>
        <v/>
      </c>
      <c r="N186" s="20">
        <f>IF($M186="","",IF($M186&lt;=0,"Sin stock: reponer ya",IF($M186&lt;IFERROR(N(INDEX(Vinos!$N$2:$N$301,MATCH($B186,Vinos!$A$2:$A$301,0))),0),"Bajo mínimo: reponer","OK")))</f>
        <v/>
      </c>
      <c r="O186" s="14" t="n"/>
      <c r="P186" s="14" t="n"/>
      <c r="Q186" s="20">
        <f>IF($B186="","",IFERROR(INDEX(Vinos!$C$2:$C$301,MATCH($B186,Vinos!$A$2:$A$301,0)),""))</f>
        <v/>
      </c>
      <c r="R186" s="20">
        <f>IF(OR($A186="",$A186&lt;&gt;'Resumen del inventario'!$C$3,$N186="",$N186="OK"),"",IF(COUNTIFS($A$2:$A186,$A186,$B$2:$B186,$B186)=1,1,""))</f>
        <v/>
      </c>
      <c r="S186" s="20">
        <f>IF($R186=1,COUNTIF($R$2:$R186,1),"")</f>
        <v/>
      </c>
    </row>
    <row r="187">
      <c r="A187" s="19" t="n"/>
      <c r="B187" s="14" t="n"/>
      <c r="C187" s="20">
        <f>IF($B187="","",IFERROR(INDEX(Vinos!$B$2:$B$301,MATCH($B187,Vinos!$A$2:$A$301,0)),"Código no cargado"))</f>
        <v/>
      </c>
      <c r="D187" s="14" t="n"/>
      <c r="E187" s="14" t="n"/>
      <c r="F187" s="18" t="n"/>
      <c r="G187" s="18" t="n"/>
      <c r="H187" s="21">
        <f>IF(AND($F187="",$G187=""),"",N($F187)*IFERROR(N(INDEX(Vinos!$H$2:$H$301,MATCH($B187,Vinos!$A$2:$A$301,0))),0)+N($G187))</f>
        <v/>
      </c>
      <c r="I187" s="18" t="n"/>
      <c r="J187" s="21">
        <f>IF(OR($H187="",$I187=""),"",$H187-$I187)</f>
        <v/>
      </c>
      <c r="K187" s="16">
        <f>IF($H187="","",IFERROR(IF(INDEX(Vinos!$J$2:$J$301,MATCH($B187,Vinos!$A$2:$A$301,0))="","",$H187*INDEX(Vinos!$J$2:$J$301,MATCH($B187,Vinos!$A$2:$A$301,0))),""))</f>
        <v/>
      </c>
      <c r="L187" s="16">
        <f>IF($H187="","",IFERROR(IF(INDEX(Vinos!$K$2:$K$301,MATCH($B187,Vinos!$A$2:$A$301,0))="","",$H187*INDEX(Vinos!$K$2:$K$301,MATCH($B187,Vinos!$A$2:$A$301,0))),""))</f>
        <v/>
      </c>
      <c r="M187" s="21">
        <f>IF(OR($A187="",$B187=""),"",SUMIFS($H$2:$H$2001,$A$2:$A$2001,$A187,$B$2:$B$2001,$B187))</f>
        <v/>
      </c>
      <c r="N187" s="20">
        <f>IF($M187="","",IF($M187&lt;=0,"Sin stock: reponer ya",IF($M187&lt;IFERROR(N(INDEX(Vinos!$N$2:$N$301,MATCH($B187,Vinos!$A$2:$A$301,0))),0),"Bajo mínimo: reponer","OK")))</f>
        <v/>
      </c>
      <c r="O187" s="14" t="n"/>
      <c r="P187" s="14" t="n"/>
      <c r="Q187" s="20">
        <f>IF($B187="","",IFERROR(INDEX(Vinos!$C$2:$C$301,MATCH($B187,Vinos!$A$2:$A$301,0)),""))</f>
        <v/>
      </c>
      <c r="R187" s="20">
        <f>IF(OR($A187="",$A187&lt;&gt;'Resumen del inventario'!$C$3,$N187="",$N187="OK"),"",IF(COUNTIFS($A$2:$A187,$A187,$B$2:$B187,$B187)=1,1,""))</f>
        <v/>
      </c>
      <c r="S187" s="20">
        <f>IF($R187=1,COUNTIF($R$2:$R187,1),"")</f>
        <v/>
      </c>
    </row>
    <row r="188">
      <c r="A188" s="19" t="n"/>
      <c r="B188" s="14" t="n"/>
      <c r="C188" s="20">
        <f>IF($B188="","",IFERROR(INDEX(Vinos!$B$2:$B$301,MATCH($B188,Vinos!$A$2:$A$301,0)),"Código no cargado"))</f>
        <v/>
      </c>
      <c r="D188" s="14" t="n"/>
      <c r="E188" s="14" t="n"/>
      <c r="F188" s="18" t="n"/>
      <c r="G188" s="18" t="n"/>
      <c r="H188" s="21">
        <f>IF(AND($F188="",$G188=""),"",N($F188)*IFERROR(N(INDEX(Vinos!$H$2:$H$301,MATCH($B188,Vinos!$A$2:$A$301,0))),0)+N($G188))</f>
        <v/>
      </c>
      <c r="I188" s="18" t="n"/>
      <c r="J188" s="21">
        <f>IF(OR($H188="",$I188=""),"",$H188-$I188)</f>
        <v/>
      </c>
      <c r="K188" s="16">
        <f>IF($H188="","",IFERROR(IF(INDEX(Vinos!$J$2:$J$301,MATCH($B188,Vinos!$A$2:$A$301,0))="","",$H188*INDEX(Vinos!$J$2:$J$301,MATCH($B188,Vinos!$A$2:$A$301,0))),""))</f>
        <v/>
      </c>
      <c r="L188" s="16">
        <f>IF($H188="","",IFERROR(IF(INDEX(Vinos!$K$2:$K$301,MATCH($B188,Vinos!$A$2:$A$301,0))="","",$H188*INDEX(Vinos!$K$2:$K$301,MATCH($B188,Vinos!$A$2:$A$301,0))),""))</f>
        <v/>
      </c>
      <c r="M188" s="21">
        <f>IF(OR($A188="",$B188=""),"",SUMIFS($H$2:$H$2001,$A$2:$A$2001,$A188,$B$2:$B$2001,$B188))</f>
        <v/>
      </c>
      <c r="N188" s="20">
        <f>IF($M188="","",IF($M188&lt;=0,"Sin stock: reponer ya",IF($M188&lt;IFERROR(N(INDEX(Vinos!$N$2:$N$301,MATCH($B188,Vinos!$A$2:$A$301,0))),0),"Bajo mínimo: reponer","OK")))</f>
        <v/>
      </c>
      <c r="O188" s="14" t="n"/>
      <c r="P188" s="14" t="n"/>
      <c r="Q188" s="20">
        <f>IF($B188="","",IFERROR(INDEX(Vinos!$C$2:$C$301,MATCH($B188,Vinos!$A$2:$A$301,0)),""))</f>
        <v/>
      </c>
      <c r="R188" s="20">
        <f>IF(OR($A188="",$A188&lt;&gt;'Resumen del inventario'!$C$3,$N188="",$N188="OK"),"",IF(COUNTIFS($A$2:$A188,$A188,$B$2:$B188,$B188)=1,1,""))</f>
        <v/>
      </c>
      <c r="S188" s="20">
        <f>IF($R188=1,COUNTIF($R$2:$R188,1),"")</f>
        <v/>
      </c>
    </row>
    <row r="189">
      <c r="A189" s="19" t="n"/>
      <c r="B189" s="14" t="n"/>
      <c r="C189" s="20">
        <f>IF($B189="","",IFERROR(INDEX(Vinos!$B$2:$B$301,MATCH($B189,Vinos!$A$2:$A$301,0)),"Código no cargado"))</f>
        <v/>
      </c>
      <c r="D189" s="14" t="n"/>
      <c r="E189" s="14" t="n"/>
      <c r="F189" s="18" t="n"/>
      <c r="G189" s="18" t="n"/>
      <c r="H189" s="21">
        <f>IF(AND($F189="",$G189=""),"",N($F189)*IFERROR(N(INDEX(Vinos!$H$2:$H$301,MATCH($B189,Vinos!$A$2:$A$301,0))),0)+N($G189))</f>
        <v/>
      </c>
      <c r="I189" s="18" t="n"/>
      <c r="J189" s="21">
        <f>IF(OR($H189="",$I189=""),"",$H189-$I189)</f>
        <v/>
      </c>
      <c r="K189" s="16">
        <f>IF($H189="","",IFERROR(IF(INDEX(Vinos!$J$2:$J$301,MATCH($B189,Vinos!$A$2:$A$301,0))="","",$H189*INDEX(Vinos!$J$2:$J$301,MATCH($B189,Vinos!$A$2:$A$301,0))),""))</f>
        <v/>
      </c>
      <c r="L189" s="16">
        <f>IF($H189="","",IFERROR(IF(INDEX(Vinos!$K$2:$K$301,MATCH($B189,Vinos!$A$2:$A$301,0))="","",$H189*INDEX(Vinos!$K$2:$K$301,MATCH($B189,Vinos!$A$2:$A$301,0))),""))</f>
        <v/>
      </c>
      <c r="M189" s="21">
        <f>IF(OR($A189="",$B189=""),"",SUMIFS($H$2:$H$2001,$A$2:$A$2001,$A189,$B$2:$B$2001,$B189))</f>
        <v/>
      </c>
      <c r="N189" s="20">
        <f>IF($M189="","",IF($M189&lt;=0,"Sin stock: reponer ya",IF($M189&lt;IFERROR(N(INDEX(Vinos!$N$2:$N$301,MATCH($B189,Vinos!$A$2:$A$301,0))),0),"Bajo mínimo: reponer","OK")))</f>
        <v/>
      </c>
      <c r="O189" s="14" t="n"/>
      <c r="P189" s="14" t="n"/>
      <c r="Q189" s="20">
        <f>IF($B189="","",IFERROR(INDEX(Vinos!$C$2:$C$301,MATCH($B189,Vinos!$A$2:$A$301,0)),""))</f>
        <v/>
      </c>
      <c r="R189" s="20">
        <f>IF(OR($A189="",$A189&lt;&gt;'Resumen del inventario'!$C$3,$N189="",$N189="OK"),"",IF(COUNTIFS($A$2:$A189,$A189,$B$2:$B189,$B189)=1,1,""))</f>
        <v/>
      </c>
      <c r="S189" s="20">
        <f>IF($R189=1,COUNTIF($R$2:$R189,1),"")</f>
        <v/>
      </c>
    </row>
    <row r="190">
      <c r="A190" s="19" t="n"/>
      <c r="B190" s="14" t="n"/>
      <c r="C190" s="20">
        <f>IF($B190="","",IFERROR(INDEX(Vinos!$B$2:$B$301,MATCH($B190,Vinos!$A$2:$A$301,0)),"Código no cargado"))</f>
        <v/>
      </c>
      <c r="D190" s="14" t="n"/>
      <c r="E190" s="14" t="n"/>
      <c r="F190" s="18" t="n"/>
      <c r="G190" s="18" t="n"/>
      <c r="H190" s="21">
        <f>IF(AND($F190="",$G190=""),"",N($F190)*IFERROR(N(INDEX(Vinos!$H$2:$H$301,MATCH($B190,Vinos!$A$2:$A$301,0))),0)+N($G190))</f>
        <v/>
      </c>
      <c r="I190" s="18" t="n"/>
      <c r="J190" s="21">
        <f>IF(OR($H190="",$I190=""),"",$H190-$I190)</f>
        <v/>
      </c>
      <c r="K190" s="16">
        <f>IF($H190="","",IFERROR(IF(INDEX(Vinos!$J$2:$J$301,MATCH($B190,Vinos!$A$2:$A$301,0))="","",$H190*INDEX(Vinos!$J$2:$J$301,MATCH($B190,Vinos!$A$2:$A$301,0))),""))</f>
        <v/>
      </c>
      <c r="L190" s="16">
        <f>IF($H190="","",IFERROR(IF(INDEX(Vinos!$K$2:$K$301,MATCH($B190,Vinos!$A$2:$A$301,0))="","",$H190*INDEX(Vinos!$K$2:$K$301,MATCH($B190,Vinos!$A$2:$A$301,0))),""))</f>
        <v/>
      </c>
      <c r="M190" s="21">
        <f>IF(OR($A190="",$B190=""),"",SUMIFS($H$2:$H$2001,$A$2:$A$2001,$A190,$B$2:$B$2001,$B190))</f>
        <v/>
      </c>
      <c r="N190" s="20">
        <f>IF($M190="","",IF($M190&lt;=0,"Sin stock: reponer ya",IF($M190&lt;IFERROR(N(INDEX(Vinos!$N$2:$N$301,MATCH($B190,Vinos!$A$2:$A$301,0))),0),"Bajo mínimo: reponer","OK")))</f>
        <v/>
      </c>
      <c r="O190" s="14" t="n"/>
      <c r="P190" s="14" t="n"/>
      <c r="Q190" s="20">
        <f>IF($B190="","",IFERROR(INDEX(Vinos!$C$2:$C$301,MATCH($B190,Vinos!$A$2:$A$301,0)),""))</f>
        <v/>
      </c>
      <c r="R190" s="20">
        <f>IF(OR($A190="",$A190&lt;&gt;'Resumen del inventario'!$C$3,$N190="",$N190="OK"),"",IF(COUNTIFS($A$2:$A190,$A190,$B$2:$B190,$B190)=1,1,""))</f>
        <v/>
      </c>
      <c r="S190" s="20">
        <f>IF($R190=1,COUNTIF($R$2:$R190,1),"")</f>
        <v/>
      </c>
    </row>
    <row r="191">
      <c r="A191" s="19" t="n"/>
      <c r="B191" s="14" t="n"/>
      <c r="C191" s="20">
        <f>IF($B191="","",IFERROR(INDEX(Vinos!$B$2:$B$301,MATCH($B191,Vinos!$A$2:$A$301,0)),"Código no cargado"))</f>
        <v/>
      </c>
      <c r="D191" s="14" t="n"/>
      <c r="E191" s="14" t="n"/>
      <c r="F191" s="18" t="n"/>
      <c r="G191" s="18" t="n"/>
      <c r="H191" s="21">
        <f>IF(AND($F191="",$G191=""),"",N($F191)*IFERROR(N(INDEX(Vinos!$H$2:$H$301,MATCH($B191,Vinos!$A$2:$A$301,0))),0)+N($G191))</f>
        <v/>
      </c>
      <c r="I191" s="18" t="n"/>
      <c r="J191" s="21">
        <f>IF(OR($H191="",$I191=""),"",$H191-$I191)</f>
        <v/>
      </c>
      <c r="K191" s="16">
        <f>IF($H191="","",IFERROR(IF(INDEX(Vinos!$J$2:$J$301,MATCH($B191,Vinos!$A$2:$A$301,0))="","",$H191*INDEX(Vinos!$J$2:$J$301,MATCH($B191,Vinos!$A$2:$A$301,0))),""))</f>
        <v/>
      </c>
      <c r="L191" s="16">
        <f>IF($H191="","",IFERROR(IF(INDEX(Vinos!$K$2:$K$301,MATCH($B191,Vinos!$A$2:$A$301,0))="","",$H191*INDEX(Vinos!$K$2:$K$301,MATCH($B191,Vinos!$A$2:$A$301,0))),""))</f>
        <v/>
      </c>
      <c r="M191" s="21">
        <f>IF(OR($A191="",$B191=""),"",SUMIFS($H$2:$H$2001,$A$2:$A$2001,$A191,$B$2:$B$2001,$B191))</f>
        <v/>
      </c>
      <c r="N191" s="20">
        <f>IF($M191="","",IF($M191&lt;=0,"Sin stock: reponer ya",IF($M191&lt;IFERROR(N(INDEX(Vinos!$N$2:$N$301,MATCH($B191,Vinos!$A$2:$A$301,0))),0),"Bajo mínimo: reponer","OK")))</f>
        <v/>
      </c>
      <c r="O191" s="14" t="n"/>
      <c r="P191" s="14" t="n"/>
      <c r="Q191" s="20">
        <f>IF($B191="","",IFERROR(INDEX(Vinos!$C$2:$C$301,MATCH($B191,Vinos!$A$2:$A$301,0)),""))</f>
        <v/>
      </c>
      <c r="R191" s="20">
        <f>IF(OR($A191="",$A191&lt;&gt;'Resumen del inventario'!$C$3,$N191="",$N191="OK"),"",IF(COUNTIFS($A$2:$A191,$A191,$B$2:$B191,$B191)=1,1,""))</f>
        <v/>
      </c>
      <c r="S191" s="20">
        <f>IF($R191=1,COUNTIF($R$2:$R191,1),"")</f>
        <v/>
      </c>
    </row>
    <row r="192">
      <c r="A192" s="19" t="n"/>
      <c r="B192" s="14" t="n"/>
      <c r="C192" s="20">
        <f>IF($B192="","",IFERROR(INDEX(Vinos!$B$2:$B$301,MATCH($B192,Vinos!$A$2:$A$301,0)),"Código no cargado"))</f>
        <v/>
      </c>
      <c r="D192" s="14" t="n"/>
      <c r="E192" s="14" t="n"/>
      <c r="F192" s="18" t="n"/>
      <c r="G192" s="18" t="n"/>
      <c r="H192" s="21">
        <f>IF(AND($F192="",$G192=""),"",N($F192)*IFERROR(N(INDEX(Vinos!$H$2:$H$301,MATCH($B192,Vinos!$A$2:$A$301,0))),0)+N($G192))</f>
        <v/>
      </c>
      <c r="I192" s="18" t="n"/>
      <c r="J192" s="21">
        <f>IF(OR($H192="",$I192=""),"",$H192-$I192)</f>
        <v/>
      </c>
      <c r="K192" s="16">
        <f>IF($H192="","",IFERROR(IF(INDEX(Vinos!$J$2:$J$301,MATCH($B192,Vinos!$A$2:$A$301,0))="","",$H192*INDEX(Vinos!$J$2:$J$301,MATCH($B192,Vinos!$A$2:$A$301,0))),""))</f>
        <v/>
      </c>
      <c r="L192" s="16">
        <f>IF($H192="","",IFERROR(IF(INDEX(Vinos!$K$2:$K$301,MATCH($B192,Vinos!$A$2:$A$301,0))="","",$H192*INDEX(Vinos!$K$2:$K$301,MATCH($B192,Vinos!$A$2:$A$301,0))),""))</f>
        <v/>
      </c>
      <c r="M192" s="21">
        <f>IF(OR($A192="",$B192=""),"",SUMIFS($H$2:$H$2001,$A$2:$A$2001,$A192,$B$2:$B$2001,$B192))</f>
        <v/>
      </c>
      <c r="N192" s="20">
        <f>IF($M192="","",IF($M192&lt;=0,"Sin stock: reponer ya",IF($M192&lt;IFERROR(N(INDEX(Vinos!$N$2:$N$301,MATCH($B192,Vinos!$A$2:$A$301,0))),0),"Bajo mínimo: reponer","OK")))</f>
        <v/>
      </c>
      <c r="O192" s="14" t="n"/>
      <c r="P192" s="14" t="n"/>
      <c r="Q192" s="20">
        <f>IF($B192="","",IFERROR(INDEX(Vinos!$C$2:$C$301,MATCH($B192,Vinos!$A$2:$A$301,0)),""))</f>
        <v/>
      </c>
      <c r="R192" s="20">
        <f>IF(OR($A192="",$A192&lt;&gt;'Resumen del inventario'!$C$3,$N192="",$N192="OK"),"",IF(COUNTIFS($A$2:$A192,$A192,$B$2:$B192,$B192)=1,1,""))</f>
        <v/>
      </c>
      <c r="S192" s="20">
        <f>IF($R192=1,COUNTIF($R$2:$R192,1),"")</f>
        <v/>
      </c>
    </row>
    <row r="193">
      <c r="A193" s="19" t="n"/>
      <c r="B193" s="14" t="n"/>
      <c r="C193" s="20">
        <f>IF($B193="","",IFERROR(INDEX(Vinos!$B$2:$B$301,MATCH($B193,Vinos!$A$2:$A$301,0)),"Código no cargado"))</f>
        <v/>
      </c>
      <c r="D193" s="14" t="n"/>
      <c r="E193" s="14" t="n"/>
      <c r="F193" s="18" t="n"/>
      <c r="G193" s="18" t="n"/>
      <c r="H193" s="21">
        <f>IF(AND($F193="",$G193=""),"",N($F193)*IFERROR(N(INDEX(Vinos!$H$2:$H$301,MATCH($B193,Vinos!$A$2:$A$301,0))),0)+N($G193))</f>
        <v/>
      </c>
      <c r="I193" s="18" t="n"/>
      <c r="J193" s="21">
        <f>IF(OR($H193="",$I193=""),"",$H193-$I193)</f>
        <v/>
      </c>
      <c r="K193" s="16">
        <f>IF($H193="","",IFERROR(IF(INDEX(Vinos!$J$2:$J$301,MATCH($B193,Vinos!$A$2:$A$301,0))="","",$H193*INDEX(Vinos!$J$2:$J$301,MATCH($B193,Vinos!$A$2:$A$301,0))),""))</f>
        <v/>
      </c>
      <c r="L193" s="16">
        <f>IF($H193="","",IFERROR(IF(INDEX(Vinos!$K$2:$K$301,MATCH($B193,Vinos!$A$2:$A$301,0))="","",$H193*INDEX(Vinos!$K$2:$K$301,MATCH($B193,Vinos!$A$2:$A$301,0))),""))</f>
        <v/>
      </c>
      <c r="M193" s="21">
        <f>IF(OR($A193="",$B193=""),"",SUMIFS($H$2:$H$2001,$A$2:$A$2001,$A193,$B$2:$B$2001,$B193))</f>
        <v/>
      </c>
      <c r="N193" s="20">
        <f>IF($M193="","",IF($M193&lt;=0,"Sin stock: reponer ya",IF($M193&lt;IFERROR(N(INDEX(Vinos!$N$2:$N$301,MATCH($B193,Vinos!$A$2:$A$301,0))),0),"Bajo mínimo: reponer","OK")))</f>
        <v/>
      </c>
      <c r="O193" s="14" t="n"/>
      <c r="P193" s="14" t="n"/>
      <c r="Q193" s="20">
        <f>IF($B193="","",IFERROR(INDEX(Vinos!$C$2:$C$301,MATCH($B193,Vinos!$A$2:$A$301,0)),""))</f>
        <v/>
      </c>
      <c r="R193" s="20">
        <f>IF(OR($A193="",$A193&lt;&gt;'Resumen del inventario'!$C$3,$N193="",$N193="OK"),"",IF(COUNTIFS($A$2:$A193,$A193,$B$2:$B193,$B193)=1,1,""))</f>
        <v/>
      </c>
      <c r="S193" s="20">
        <f>IF($R193=1,COUNTIF($R$2:$R193,1),"")</f>
        <v/>
      </c>
    </row>
    <row r="194">
      <c r="A194" s="19" t="n"/>
      <c r="B194" s="14" t="n"/>
      <c r="C194" s="20">
        <f>IF($B194="","",IFERROR(INDEX(Vinos!$B$2:$B$301,MATCH($B194,Vinos!$A$2:$A$301,0)),"Código no cargado"))</f>
        <v/>
      </c>
      <c r="D194" s="14" t="n"/>
      <c r="E194" s="14" t="n"/>
      <c r="F194" s="18" t="n"/>
      <c r="G194" s="18" t="n"/>
      <c r="H194" s="21">
        <f>IF(AND($F194="",$G194=""),"",N($F194)*IFERROR(N(INDEX(Vinos!$H$2:$H$301,MATCH($B194,Vinos!$A$2:$A$301,0))),0)+N($G194))</f>
        <v/>
      </c>
      <c r="I194" s="18" t="n"/>
      <c r="J194" s="21">
        <f>IF(OR($H194="",$I194=""),"",$H194-$I194)</f>
        <v/>
      </c>
      <c r="K194" s="16">
        <f>IF($H194="","",IFERROR(IF(INDEX(Vinos!$J$2:$J$301,MATCH($B194,Vinos!$A$2:$A$301,0))="","",$H194*INDEX(Vinos!$J$2:$J$301,MATCH($B194,Vinos!$A$2:$A$301,0))),""))</f>
        <v/>
      </c>
      <c r="L194" s="16">
        <f>IF($H194="","",IFERROR(IF(INDEX(Vinos!$K$2:$K$301,MATCH($B194,Vinos!$A$2:$A$301,0))="","",$H194*INDEX(Vinos!$K$2:$K$301,MATCH($B194,Vinos!$A$2:$A$301,0))),""))</f>
        <v/>
      </c>
      <c r="M194" s="21">
        <f>IF(OR($A194="",$B194=""),"",SUMIFS($H$2:$H$2001,$A$2:$A$2001,$A194,$B$2:$B$2001,$B194))</f>
        <v/>
      </c>
      <c r="N194" s="20">
        <f>IF($M194="","",IF($M194&lt;=0,"Sin stock: reponer ya",IF($M194&lt;IFERROR(N(INDEX(Vinos!$N$2:$N$301,MATCH($B194,Vinos!$A$2:$A$301,0))),0),"Bajo mínimo: reponer","OK")))</f>
        <v/>
      </c>
      <c r="O194" s="14" t="n"/>
      <c r="P194" s="14" t="n"/>
      <c r="Q194" s="20">
        <f>IF($B194="","",IFERROR(INDEX(Vinos!$C$2:$C$301,MATCH($B194,Vinos!$A$2:$A$301,0)),""))</f>
        <v/>
      </c>
      <c r="R194" s="20">
        <f>IF(OR($A194="",$A194&lt;&gt;'Resumen del inventario'!$C$3,$N194="",$N194="OK"),"",IF(COUNTIFS($A$2:$A194,$A194,$B$2:$B194,$B194)=1,1,""))</f>
        <v/>
      </c>
      <c r="S194" s="20">
        <f>IF($R194=1,COUNTIF($R$2:$R194,1),"")</f>
        <v/>
      </c>
    </row>
    <row r="195">
      <c r="A195" s="19" t="n"/>
      <c r="B195" s="14" t="n"/>
      <c r="C195" s="20">
        <f>IF($B195="","",IFERROR(INDEX(Vinos!$B$2:$B$301,MATCH($B195,Vinos!$A$2:$A$301,0)),"Código no cargado"))</f>
        <v/>
      </c>
      <c r="D195" s="14" t="n"/>
      <c r="E195" s="14" t="n"/>
      <c r="F195" s="18" t="n"/>
      <c r="G195" s="18" t="n"/>
      <c r="H195" s="21">
        <f>IF(AND($F195="",$G195=""),"",N($F195)*IFERROR(N(INDEX(Vinos!$H$2:$H$301,MATCH($B195,Vinos!$A$2:$A$301,0))),0)+N($G195))</f>
        <v/>
      </c>
      <c r="I195" s="18" t="n"/>
      <c r="J195" s="21">
        <f>IF(OR($H195="",$I195=""),"",$H195-$I195)</f>
        <v/>
      </c>
      <c r="K195" s="16">
        <f>IF($H195="","",IFERROR(IF(INDEX(Vinos!$J$2:$J$301,MATCH($B195,Vinos!$A$2:$A$301,0))="","",$H195*INDEX(Vinos!$J$2:$J$301,MATCH($B195,Vinos!$A$2:$A$301,0))),""))</f>
        <v/>
      </c>
      <c r="L195" s="16">
        <f>IF($H195="","",IFERROR(IF(INDEX(Vinos!$K$2:$K$301,MATCH($B195,Vinos!$A$2:$A$301,0))="","",$H195*INDEX(Vinos!$K$2:$K$301,MATCH($B195,Vinos!$A$2:$A$301,0))),""))</f>
        <v/>
      </c>
      <c r="M195" s="21">
        <f>IF(OR($A195="",$B195=""),"",SUMIFS($H$2:$H$2001,$A$2:$A$2001,$A195,$B$2:$B$2001,$B195))</f>
        <v/>
      </c>
      <c r="N195" s="20">
        <f>IF($M195="","",IF($M195&lt;=0,"Sin stock: reponer ya",IF($M195&lt;IFERROR(N(INDEX(Vinos!$N$2:$N$301,MATCH($B195,Vinos!$A$2:$A$301,0))),0),"Bajo mínimo: reponer","OK")))</f>
        <v/>
      </c>
      <c r="O195" s="14" t="n"/>
      <c r="P195" s="14" t="n"/>
      <c r="Q195" s="20">
        <f>IF($B195="","",IFERROR(INDEX(Vinos!$C$2:$C$301,MATCH($B195,Vinos!$A$2:$A$301,0)),""))</f>
        <v/>
      </c>
      <c r="R195" s="20">
        <f>IF(OR($A195="",$A195&lt;&gt;'Resumen del inventario'!$C$3,$N195="",$N195="OK"),"",IF(COUNTIFS($A$2:$A195,$A195,$B$2:$B195,$B195)=1,1,""))</f>
        <v/>
      </c>
      <c r="S195" s="20">
        <f>IF($R195=1,COUNTIF($R$2:$R195,1),"")</f>
        <v/>
      </c>
    </row>
    <row r="196">
      <c r="A196" s="19" t="n"/>
      <c r="B196" s="14" t="n"/>
      <c r="C196" s="20">
        <f>IF($B196="","",IFERROR(INDEX(Vinos!$B$2:$B$301,MATCH($B196,Vinos!$A$2:$A$301,0)),"Código no cargado"))</f>
        <v/>
      </c>
      <c r="D196" s="14" t="n"/>
      <c r="E196" s="14" t="n"/>
      <c r="F196" s="18" t="n"/>
      <c r="G196" s="18" t="n"/>
      <c r="H196" s="21">
        <f>IF(AND($F196="",$G196=""),"",N($F196)*IFERROR(N(INDEX(Vinos!$H$2:$H$301,MATCH($B196,Vinos!$A$2:$A$301,0))),0)+N($G196))</f>
        <v/>
      </c>
      <c r="I196" s="18" t="n"/>
      <c r="J196" s="21">
        <f>IF(OR($H196="",$I196=""),"",$H196-$I196)</f>
        <v/>
      </c>
      <c r="K196" s="16">
        <f>IF($H196="","",IFERROR(IF(INDEX(Vinos!$J$2:$J$301,MATCH($B196,Vinos!$A$2:$A$301,0))="","",$H196*INDEX(Vinos!$J$2:$J$301,MATCH($B196,Vinos!$A$2:$A$301,0))),""))</f>
        <v/>
      </c>
      <c r="L196" s="16">
        <f>IF($H196="","",IFERROR(IF(INDEX(Vinos!$K$2:$K$301,MATCH($B196,Vinos!$A$2:$A$301,0))="","",$H196*INDEX(Vinos!$K$2:$K$301,MATCH($B196,Vinos!$A$2:$A$301,0))),""))</f>
        <v/>
      </c>
      <c r="M196" s="21">
        <f>IF(OR($A196="",$B196=""),"",SUMIFS($H$2:$H$2001,$A$2:$A$2001,$A196,$B$2:$B$2001,$B196))</f>
        <v/>
      </c>
      <c r="N196" s="20">
        <f>IF($M196="","",IF($M196&lt;=0,"Sin stock: reponer ya",IF($M196&lt;IFERROR(N(INDEX(Vinos!$N$2:$N$301,MATCH($B196,Vinos!$A$2:$A$301,0))),0),"Bajo mínimo: reponer","OK")))</f>
        <v/>
      </c>
      <c r="O196" s="14" t="n"/>
      <c r="P196" s="14" t="n"/>
      <c r="Q196" s="20">
        <f>IF($B196="","",IFERROR(INDEX(Vinos!$C$2:$C$301,MATCH($B196,Vinos!$A$2:$A$301,0)),""))</f>
        <v/>
      </c>
      <c r="R196" s="20">
        <f>IF(OR($A196="",$A196&lt;&gt;'Resumen del inventario'!$C$3,$N196="",$N196="OK"),"",IF(COUNTIFS($A$2:$A196,$A196,$B$2:$B196,$B196)=1,1,""))</f>
        <v/>
      </c>
      <c r="S196" s="20">
        <f>IF($R196=1,COUNTIF($R$2:$R196,1),"")</f>
        <v/>
      </c>
    </row>
    <row r="197">
      <c r="A197" s="19" t="n"/>
      <c r="B197" s="14" t="n"/>
      <c r="C197" s="20">
        <f>IF($B197="","",IFERROR(INDEX(Vinos!$B$2:$B$301,MATCH($B197,Vinos!$A$2:$A$301,0)),"Código no cargado"))</f>
        <v/>
      </c>
      <c r="D197" s="14" t="n"/>
      <c r="E197" s="14" t="n"/>
      <c r="F197" s="18" t="n"/>
      <c r="G197" s="18" t="n"/>
      <c r="H197" s="21">
        <f>IF(AND($F197="",$G197=""),"",N($F197)*IFERROR(N(INDEX(Vinos!$H$2:$H$301,MATCH($B197,Vinos!$A$2:$A$301,0))),0)+N($G197))</f>
        <v/>
      </c>
      <c r="I197" s="18" t="n"/>
      <c r="J197" s="21">
        <f>IF(OR($H197="",$I197=""),"",$H197-$I197)</f>
        <v/>
      </c>
      <c r="K197" s="16">
        <f>IF($H197="","",IFERROR(IF(INDEX(Vinos!$J$2:$J$301,MATCH($B197,Vinos!$A$2:$A$301,0))="","",$H197*INDEX(Vinos!$J$2:$J$301,MATCH($B197,Vinos!$A$2:$A$301,0))),""))</f>
        <v/>
      </c>
      <c r="L197" s="16">
        <f>IF($H197="","",IFERROR(IF(INDEX(Vinos!$K$2:$K$301,MATCH($B197,Vinos!$A$2:$A$301,0))="","",$H197*INDEX(Vinos!$K$2:$K$301,MATCH($B197,Vinos!$A$2:$A$301,0))),""))</f>
        <v/>
      </c>
      <c r="M197" s="21">
        <f>IF(OR($A197="",$B197=""),"",SUMIFS($H$2:$H$2001,$A$2:$A$2001,$A197,$B$2:$B$2001,$B197))</f>
        <v/>
      </c>
      <c r="N197" s="20">
        <f>IF($M197="","",IF($M197&lt;=0,"Sin stock: reponer ya",IF($M197&lt;IFERROR(N(INDEX(Vinos!$N$2:$N$301,MATCH($B197,Vinos!$A$2:$A$301,0))),0),"Bajo mínimo: reponer","OK")))</f>
        <v/>
      </c>
      <c r="O197" s="14" t="n"/>
      <c r="P197" s="14" t="n"/>
      <c r="Q197" s="20">
        <f>IF($B197="","",IFERROR(INDEX(Vinos!$C$2:$C$301,MATCH($B197,Vinos!$A$2:$A$301,0)),""))</f>
        <v/>
      </c>
      <c r="R197" s="20">
        <f>IF(OR($A197="",$A197&lt;&gt;'Resumen del inventario'!$C$3,$N197="",$N197="OK"),"",IF(COUNTIFS($A$2:$A197,$A197,$B$2:$B197,$B197)=1,1,""))</f>
        <v/>
      </c>
      <c r="S197" s="20">
        <f>IF($R197=1,COUNTIF($R$2:$R197,1),"")</f>
        <v/>
      </c>
    </row>
    <row r="198">
      <c r="A198" s="19" t="n"/>
      <c r="B198" s="14" t="n"/>
      <c r="C198" s="20">
        <f>IF($B198="","",IFERROR(INDEX(Vinos!$B$2:$B$301,MATCH($B198,Vinos!$A$2:$A$301,0)),"Código no cargado"))</f>
        <v/>
      </c>
      <c r="D198" s="14" t="n"/>
      <c r="E198" s="14" t="n"/>
      <c r="F198" s="18" t="n"/>
      <c r="G198" s="18" t="n"/>
      <c r="H198" s="21">
        <f>IF(AND($F198="",$G198=""),"",N($F198)*IFERROR(N(INDEX(Vinos!$H$2:$H$301,MATCH($B198,Vinos!$A$2:$A$301,0))),0)+N($G198))</f>
        <v/>
      </c>
      <c r="I198" s="18" t="n"/>
      <c r="J198" s="21">
        <f>IF(OR($H198="",$I198=""),"",$H198-$I198)</f>
        <v/>
      </c>
      <c r="K198" s="16">
        <f>IF($H198="","",IFERROR(IF(INDEX(Vinos!$J$2:$J$301,MATCH($B198,Vinos!$A$2:$A$301,0))="","",$H198*INDEX(Vinos!$J$2:$J$301,MATCH($B198,Vinos!$A$2:$A$301,0))),""))</f>
        <v/>
      </c>
      <c r="L198" s="16">
        <f>IF($H198="","",IFERROR(IF(INDEX(Vinos!$K$2:$K$301,MATCH($B198,Vinos!$A$2:$A$301,0))="","",$H198*INDEX(Vinos!$K$2:$K$301,MATCH($B198,Vinos!$A$2:$A$301,0))),""))</f>
        <v/>
      </c>
      <c r="M198" s="21">
        <f>IF(OR($A198="",$B198=""),"",SUMIFS($H$2:$H$2001,$A$2:$A$2001,$A198,$B$2:$B$2001,$B198))</f>
        <v/>
      </c>
      <c r="N198" s="20">
        <f>IF($M198="","",IF($M198&lt;=0,"Sin stock: reponer ya",IF($M198&lt;IFERROR(N(INDEX(Vinos!$N$2:$N$301,MATCH($B198,Vinos!$A$2:$A$301,0))),0),"Bajo mínimo: reponer","OK")))</f>
        <v/>
      </c>
      <c r="O198" s="14" t="n"/>
      <c r="P198" s="14" t="n"/>
      <c r="Q198" s="20">
        <f>IF($B198="","",IFERROR(INDEX(Vinos!$C$2:$C$301,MATCH($B198,Vinos!$A$2:$A$301,0)),""))</f>
        <v/>
      </c>
      <c r="R198" s="20">
        <f>IF(OR($A198="",$A198&lt;&gt;'Resumen del inventario'!$C$3,$N198="",$N198="OK"),"",IF(COUNTIFS($A$2:$A198,$A198,$B$2:$B198,$B198)=1,1,""))</f>
        <v/>
      </c>
      <c r="S198" s="20">
        <f>IF($R198=1,COUNTIF($R$2:$R198,1),"")</f>
        <v/>
      </c>
    </row>
    <row r="199">
      <c r="A199" s="19" t="n"/>
      <c r="B199" s="14" t="n"/>
      <c r="C199" s="20">
        <f>IF($B199="","",IFERROR(INDEX(Vinos!$B$2:$B$301,MATCH($B199,Vinos!$A$2:$A$301,0)),"Código no cargado"))</f>
        <v/>
      </c>
      <c r="D199" s="14" t="n"/>
      <c r="E199" s="14" t="n"/>
      <c r="F199" s="18" t="n"/>
      <c r="G199" s="18" t="n"/>
      <c r="H199" s="21">
        <f>IF(AND($F199="",$G199=""),"",N($F199)*IFERROR(N(INDEX(Vinos!$H$2:$H$301,MATCH($B199,Vinos!$A$2:$A$301,0))),0)+N($G199))</f>
        <v/>
      </c>
      <c r="I199" s="18" t="n"/>
      <c r="J199" s="21">
        <f>IF(OR($H199="",$I199=""),"",$H199-$I199)</f>
        <v/>
      </c>
      <c r="K199" s="16">
        <f>IF($H199="","",IFERROR(IF(INDEX(Vinos!$J$2:$J$301,MATCH($B199,Vinos!$A$2:$A$301,0))="","",$H199*INDEX(Vinos!$J$2:$J$301,MATCH($B199,Vinos!$A$2:$A$301,0))),""))</f>
        <v/>
      </c>
      <c r="L199" s="16">
        <f>IF($H199="","",IFERROR(IF(INDEX(Vinos!$K$2:$K$301,MATCH($B199,Vinos!$A$2:$A$301,0))="","",$H199*INDEX(Vinos!$K$2:$K$301,MATCH($B199,Vinos!$A$2:$A$301,0))),""))</f>
        <v/>
      </c>
      <c r="M199" s="21">
        <f>IF(OR($A199="",$B199=""),"",SUMIFS($H$2:$H$2001,$A$2:$A$2001,$A199,$B$2:$B$2001,$B199))</f>
        <v/>
      </c>
      <c r="N199" s="20">
        <f>IF($M199="","",IF($M199&lt;=0,"Sin stock: reponer ya",IF($M199&lt;IFERROR(N(INDEX(Vinos!$N$2:$N$301,MATCH($B199,Vinos!$A$2:$A$301,0))),0),"Bajo mínimo: reponer","OK")))</f>
        <v/>
      </c>
      <c r="O199" s="14" t="n"/>
      <c r="P199" s="14" t="n"/>
      <c r="Q199" s="20">
        <f>IF($B199="","",IFERROR(INDEX(Vinos!$C$2:$C$301,MATCH($B199,Vinos!$A$2:$A$301,0)),""))</f>
        <v/>
      </c>
      <c r="R199" s="20">
        <f>IF(OR($A199="",$A199&lt;&gt;'Resumen del inventario'!$C$3,$N199="",$N199="OK"),"",IF(COUNTIFS($A$2:$A199,$A199,$B$2:$B199,$B199)=1,1,""))</f>
        <v/>
      </c>
      <c r="S199" s="20">
        <f>IF($R199=1,COUNTIF($R$2:$R199,1),"")</f>
        <v/>
      </c>
    </row>
    <row r="200">
      <c r="A200" s="19" t="n"/>
      <c r="B200" s="14" t="n"/>
      <c r="C200" s="20">
        <f>IF($B200="","",IFERROR(INDEX(Vinos!$B$2:$B$301,MATCH($B200,Vinos!$A$2:$A$301,0)),"Código no cargado"))</f>
        <v/>
      </c>
      <c r="D200" s="14" t="n"/>
      <c r="E200" s="14" t="n"/>
      <c r="F200" s="18" t="n"/>
      <c r="G200" s="18" t="n"/>
      <c r="H200" s="21">
        <f>IF(AND($F200="",$G200=""),"",N($F200)*IFERROR(N(INDEX(Vinos!$H$2:$H$301,MATCH($B200,Vinos!$A$2:$A$301,0))),0)+N($G200))</f>
        <v/>
      </c>
      <c r="I200" s="18" t="n"/>
      <c r="J200" s="21">
        <f>IF(OR($H200="",$I200=""),"",$H200-$I200)</f>
        <v/>
      </c>
      <c r="K200" s="16">
        <f>IF($H200="","",IFERROR(IF(INDEX(Vinos!$J$2:$J$301,MATCH($B200,Vinos!$A$2:$A$301,0))="","",$H200*INDEX(Vinos!$J$2:$J$301,MATCH($B200,Vinos!$A$2:$A$301,0))),""))</f>
        <v/>
      </c>
      <c r="L200" s="16">
        <f>IF($H200="","",IFERROR(IF(INDEX(Vinos!$K$2:$K$301,MATCH($B200,Vinos!$A$2:$A$301,0))="","",$H200*INDEX(Vinos!$K$2:$K$301,MATCH($B200,Vinos!$A$2:$A$301,0))),""))</f>
        <v/>
      </c>
      <c r="M200" s="21">
        <f>IF(OR($A200="",$B200=""),"",SUMIFS($H$2:$H$2001,$A$2:$A$2001,$A200,$B$2:$B$2001,$B200))</f>
        <v/>
      </c>
      <c r="N200" s="20">
        <f>IF($M200="","",IF($M200&lt;=0,"Sin stock: reponer ya",IF($M200&lt;IFERROR(N(INDEX(Vinos!$N$2:$N$301,MATCH($B200,Vinos!$A$2:$A$301,0))),0),"Bajo mínimo: reponer","OK")))</f>
        <v/>
      </c>
      <c r="O200" s="14" t="n"/>
      <c r="P200" s="14" t="n"/>
      <c r="Q200" s="20">
        <f>IF($B200="","",IFERROR(INDEX(Vinos!$C$2:$C$301,MATCH($B200,Vinos!$A$2:$A$301,0)),""))</f>
        <v/>
      </c>
      <c r="R200" s="20">
        <f>IF(OR($A200="",$A200&lt;&gt;'Resumen del inventario'!$C$3,$N200="",$N200="OK"),"",IF(COUNTIFS($A$2:$A200,$A200,$B$2:$B200,$B200)=1,1,""))</f>
        <v/>
      </c>
      <c r="S200" s="20">
        <f>IF($R200=1,COUNTIF($R$2:$R200,1),"")</f>
        <v/>
      </c>
    </row>
    <row r="201">
      <c r="A201" s="19" t="n"/>
      <c r="B201" s="14" t="n"/>
      <c r="C201" s="20">
        <f>IF($B201="","",IFERROR(INDEX(Vinos!$B$2:$B$301,MATCH($B201,Vinos!$A$2:$A$301,0)),"Código no cargado"))</f>
        <v/>
      </c>
      <c r="D201" s="14" t="n"/>
      <c r="E201" s="14" t="n"/>
      <c r="F201" s="18" t="n"/>
      <c r="G201" s="18" t="n"/>
      <c r="H201" s="21">
        <f>IF(AND($F201="",$G201=""),"",N($F201)*IFERROR(N(INDEX(Vinos!$H$2:$H$301,MATCH($B201,Vinos!$A$2:$A$301,0))),0)+N($G201))</f>
        <v/>
      </c>
      <c r="I201" s="18" t="n"/>
      <c r="J201" s="21">
        <f>IF(OR($H201="",$I201=""),"",$H201-$I201)</f>
        <v/>
      </c>
      <c r="K201" s="16">
        <f>IF($H201="","",IFERROR(IF(INDEX(Vinos!$J$2:$J$301,MATCH($B201,Vinos!$A$2:$A$301,0))="","",$H201*INDEX(Vinos!$J$2:$J$301,MATCH($B201,Vinos!$A$2:$A$301,0))),""))</f>
        <v/>
      </c>
      <c r="L201" s="16">
        <f>IF($H201="","",IFERROR(IF(INDEX(Vinos!$K$2:$K$301,MATCH($B201,Vinos!$A$2:$A$301,0))="","",$H201*INDEX(Vinos!$K$2:$K$301,MATCH($B201,Vinos!$A$2:$A$301,0))),""))</f>
        <v/>
      </c>
      <c r="M201" s="21">
        <f>IF(OR($A201="",$B201=""),"",SUMIFS($H$2:$H$2001,$A$2:$A$2001,$A201,$B$2:$B$2001,$B201))</f>
        <v/>
      </c>
      <c r="N201" s="20">
        <f>IF($M201="","",IF($M201&lt;=0,"Sin stock: reponer ya",IF($M201&lt;IFERROR(N(INDEX(Vinos!$N$2:$N$301,MATCH($B201,Vinos!$A$2:$A$301,0))),0),"Bajo mínimo: reponer","OK")))</f>
        <v/>
      </c>
      <c r="O201" s="14" t="n"/>
      <c r="P201" s="14" t="n"/>
      <c r="Q201" s="20">
        <f>IF($B201="","",IFERROR(INDEX(Vinos!$C$2:$C$301,MATCH($B201,Vinos!$A$2:$A$301,0)),""))</f>
        <v/>
      </c>
      <c r="R201" s="20">
        <f>IF(OR($A201="",$A201&lt;&gt;'Resumen del inventario'!$C$3,$N201="",$N201="OK"),"",IF(COUNTIFS($A$2:$A201,$A201,$B$2:$B201,$B201)=1,1,""))</f>
        <v/>
      </c>
      <c r="S201" s="20">
        <f>IF($R201=1,COUNTIF($R$2:$R201,1),"")</f>
        <v/>
      </c>
    </row>
    <row r="202">
      <c r="A202" s="19" t="n"/>
      <c r="B202" s="14" t="n"/>
      <c r="C202" s="20">
        <f>IF($B202="","",IFERROR(INDEX(Vinos!$B$2:$B$301,MATCH($B202,Vinos!$A$2:$A$301,0)),"Código no cargado"))</f>
        <v/>
      </c>
      <c r="D202" s="14" t="n"/>
      <c r="E202" s="14" t="n"/>
      <c r="F202" s="18" t="n"/>
      <c r="G202" s="18" t="n"/>
      <c r="H202" s="21">
        <f>IF(AND($F202="",$G202=""),"",N($F202)*IFERROR(N(INDEX(Vinos!$H$2:$H$301,MATCH($B202,Vinos!$A$2:$A$301,0))),0)+N($G202))</f>
        <v/>
      </c>
      <c r="I202" s="18" t="n"/>
      <c r="J202" s="21">
        <f>IF(OR($H202="",$I202=""),"",$H202-$I202)</f>
        <v/>
      </c>
      <c r="K202" s="16">
        <f>IF($H202="","",IFERROR(IF(INDEX(Vinos!$J$2:$J$301,MATCH($B202,Vinos!$A$2:$A$301,0))="","",$H202*INDEX(Vinos!$J$2:$J$301,MATCH($B202,Vinos!$A$2:$A$301,0))),""))</f>
        <v/>
      </c>
      <c r="L202" s="16">
        <f>IF($H202="","",IFERROR(IF(INDEX(Vinos!$K$2:$K$301,MATCH($B202,Vinos!$A$2:$A$301,0))="","",$H202*INDEX(Vinos!$K$2:$K$301,MATCH($B202,Vinos!$A$2:$A$301,0))),""))</f>
        <v/>
      </c>
      <c r="M202" s="21">
        <f>IF(OR($A202="",$B202=""),"",SUMIFS($H$2:$H$2001,$A$2:$A$2001,$A202,$B$2:$B$2001,$B202))</f>
        <v/>
      </c>
      <c r="N202" s="20">
        <f>IF($M202="","",IF($M202&lt;=0,"Sin stock: reponer ya",IF($M202&lt;IFERROR(N(INDEX(Vinos!$N$2:$N$301,MATCH($B202,Vinos!$A$2:$A$301,0))),0),"Bajo mínimo: reponer","OK")))</f>
        <v/>
      </c>
      <c r="O202" s="14" t="n"/>
      <c r="P202" s="14" t="n"/>
      <c r="Q202" s="20">
        <f>IF($B202="","",IFERROR(INDEX(Vinos!$C$2:$C$301,MATCH($B202,Vinos!$A$2:$A$301,0)),""))</f>
        <v/>
      </c>
      <c r="R202" s="20">
        <f>IF(OR($A202="",$A202&lt;&gt;'Resumen del inventario'!$C$3,$N202="",$N202="OK"),"",IF(COUNTIFS($A$2:$A202,$A202,$B$2:$B202,$B202)=1,1,""))</f>
        <v/>
      </c>
      <c r="S202" s="20">
        <f>IF($R202=1,COUNTIF($R$2:$R202,1),"")</f>
        <v/>
      </c>
    </row>
    <row r="203">
      <c r="A203" s="19" t="n"/>
      <c r="B203" s="14" t="n"/>
      <c r="C203" s="20">
        <f>IF($B203="","",IFERROR(INDEX(Vinos!$B$2:$B$301,MATCH($B203,Vinos!$A$2:$A$301,0)),"Código no cargado"))</f>
        <v/>
      </c>
      <c r="D203" s="14" t="n"/>
      <c r="E203" s="14" t="n"/>
      <c r="F203" s="18" t="n"/>
      <c r="G203" s="18" t="n"/>
      <c r="H203" s="21">
        <f>IF(AND($F203="",$G203=""),"",N($F203)*IFERROR(N(INDEX(Vinos!$H$2:$H$301,MATCH($B203,Vinos!$A$2:$A$301,0))),0)+N($G203))</f>
        <v/>
      </c>
      <c r="I203" s="18" t="n"/>
      <c r="J203" s="21">
        <f>IF(OR($H203="",$I203=""),"",$H203-$I203)</f>
        <v/>
      </c>
      <c r="K203" s="16">
        <f>IF($H203="","",IFERROR(IF(INDEX(Vinos!$J$2:$J$301,MATCH($B203,Vinos!$A$2:$A$301,0))="","",$H203*INDEX(Vinos!$J$2:$J$301,MATCH($B203,Vinos!$A$2:$A$301,0))),""))</f>
        <v/>
      </c>
      <c r="L203" s="16">
        <f>IF($H203="","",IFERROR(IF(INDEX(Vinos!$K$2:$K$301,MATCH($B203,Vinos!$A$2:$A$301,0))="","",$H203*INDEX(Vinos!$K$2:$K$301,MATCH($B203,Vinos!$A$2:$A$301,0))),""))</f>
        <v/>
      </c>
      <c r="M203" s="21">
        <f>IF(OR($A203="",$B203=""),"",SUMIFS($H$2:$H$2001,$A$2:$A$2001,$A203,$B$2:$B$2001,$B203))</f>
        <v/>
      </c>
      <c r="N203" s="20">
        <f>IF($M203="","",IF($M203&lt;=0,"Sin stock: reponer ya",IF($M203&lt;IFERROR(N(INDEX(Vinos!$N$2:$N$301,MATCH($B203,Vinos!$A$2:$A$301,0))),0),"Bajo mínimo: reponer","OK")))</f>
        <v/>
      </c>
      <c r="O203" s="14" t="n"/>
      <c r="P203" s="14" t="n"/>
      <c r="Q203" s="20">
        <f>IF($B203="","",IFERROR(INDEX(Vinos!$C$2:$C$301,MATCH($B203,Vinos!$A$2:$A$301,0)),""))</f>
        <v/>
      </c>
      <c r="R203" s="20">
        <f>IF(OR($A203="",$A203&lt;&gt;'Resumen del inventario'!$C$3,$N203="",$N203="OK"),"",IF(COUNTIFS($A$2:$A203,$A203,$B$2:$B203,$B203)=1,1,""))</f>
        <v/>
      </c>
      <c r="S203" s="20">
        <f>IF($R203=1,COUNTIF($R$2:$R203,1),"")</f>
        <v/>
      </c>
    </row>
    <row r="204">
      <c r="A204" s="19" t="n"/>
      <c r="B204" s="14" t="n"/>
      <c r="C204" s="20">
        <f>IF($B204="","",IFERROR(INDEX(Vinos!$B$2:$B$301,MATCH($B204,Vinos!$A$2:$A$301,0)),"Código no cargado"))</f>
        <v/>
      </c>
      <c r="D204" s="14" t="n"/>
      <c r="E204" s="14" t="n"/>
      <c r="F204" s="18" t="n"/>
      <c r="G204" s="18" t="n"/>
      <c r="H204" s="21">
        <f>IF(AND($F204="",$G204=""),"",N($F204)*IFERROR(N(INDEX(Vinos!$H$2:$H$301,MATCH($B204,Vinos!$A$2:$A$301,0))),0)+N($G204))</f>
        <v/>
      </c>
      <c r="I204" s="18" t="n"/>
      <c r="J204" s="21">
        <f>IF(OR($H204="",$I204=""),"",$H204-$I204)</f>
        <v/>
      </c>
      <c r="K204" s="16">
        <f>IF($H204="","",IFERROR(IF(INDEX(Vinos!$J$2:$J$301,MATCH($B204,Vinos!$A$2:$A$301,0))="","",$H204*INDEX(Vinos!$J$2:$J$301,MATCH($B204,Vinos!$A$2:$A$301,0))),""))</f>
        <v/>
      </c>
      <c r="L204" s="16">
        <f>IF($H204="","",IFERROR(IF(INDEX(Vinos!$K$2:$K$301,MATCH($B204,Vinos!$A$2:$A$301,0))="","",$H204*INDEX(Vinos!$K$2:$K$301,MATCH($B204,Vinos!$A$2:$A$301,0))),""))</f>
        <v/>
      </c>
      <c r="M204" s="21">
        <f>IF(OR($A204="",$B204=""),"",SUMIFS($H$2:$H$2001,$A$2:$A$2001,$A204,$B$2:$B$2001,$B204))</f>
        <v/>
      </c>
      <c r="N204" s="20">
        <f>IF($M204="","",IF($M204&lt;=0,"Sin stock: reponer ya",IF($M204&lt;IFERROR(N(INDEX(Vinos!$N$2:$N$301,MATCH($B204,Vinos!$A$2:$A$301,0))),0),"Bajo mínimo: reponer","OK")))</f>
        <v/>
      </c>
      <c r="O204" s="14" t="n"/>
      <c r="P204" s="14" t="n"/>
      <c r="Q204" s="20">
        <f>IF($B204="","",IFERROR(INDEX(Vinos!$C$2:$C$301,MATCH($B204,Vinos!$A$2:$A$301,0)),""))</f>
        <v/>
      </c>
      <c r="R204" s="20">
        <f>IF(OR($A204="",$A204&lt;&gt;'Resumen del inventario'!$C$3,$N204="",$N204="OK"),"",IF(COUNTIFS($A$2:$A204,$A204,$B$2:$B204,$B204)=1,1,""))</f>
        <v/>
      </c>
      <c r="S204" s="20">
        <f>IF($R204=1,COUNTIF($R$2:$R204,1),"")</f>
        <v/>
      </c>
    </row>
    <row r="205">
      <c r="A205" s="19" t="n"/>
      <c r="B205" s="14" t="n"/>
      <c r="C205" s="20">
        <f>IF($B205="","",IFERROR(INDEX(Vinos!$B$2:$B$301,MATCH($B205,Vinos!$A$2:$A$301,0)),"Código no cargado"))</f>
        <v/>
      </c>
      <c r="D205" s="14" t="n"/>
      <c r="E205" s="14" t="n"/>
      <c r="F205" s="18" t="n"/>
      <c r="G205" s="18" t="n"/>
      <c r="H205" s="21">
        <f>IF(AND($F205="",$G205=""),"",N($F205)*IFERROR(N(INDEX(Vinos!$H$2:$H$301,MATCH($B205,Vinos!$A$2:$A$301,0))),0)+N($G205))</f>
        <v/>
      </c>
      <c r="I205" s="18" t="n"/>
      <c r="J205" s="21">
        <f>IF(OR($H205="",$I205=""),"",$H205-$I205)</f>
        <v/>
      </c>
      <c r="K205" s="16">
        <f>IF($H205="","",IFERROR(IF(INDEX(Vinos!$J$2:$J$301,MATCH($B205,Vinos!$A$2:$A$301,0))="","",$H205*INDEX(Vinos!$J$2:$J$301,MATCH($B205,Vinos!$A$2:$A$301,0))),""))</f>
        <v/>
      </c>
      <c r="L205" s="16">
        <f>IF($H205="","",IFERROR(IF(INDEX(Vinos!$K$2:$K$301,MATCH($B205,Vinos!$A$2:$A$301,0))="","",$H205*INDEX(Vinos!$K$2:$K$301,MATCH($B205,Vinos!$A$2:$A$301,0))),""))</f>
        <v/>
      </c>
      <c r="M205" s="21">
        <f>IF(OR($A205="",$B205=""),"",SUMIFS($H$2:$H$2001,$A$2:$A$2001,$A205,$B$2:$B$2001,$B205))</f>
        <v/>
      </c>
      <c r="N205" s="20">
        <f>IF($M205="","",IF($M205&lt;=0,"Sin stock: reponer ya",IF($M205&lt;IFERROR(N(INDEX(Vinos!$N$2:$N$301,MATCH($B205,Vinos!$A$2:$A$301,0))),0),"Bajo mínimo: reponer","OK")))</f>
        <v/>
      </c>
      <c r="O205" s="14" t="n"/>
      <c r="P205" s="14" t="n"/>
      <c r="Q205" s="20">
        <f>IF($B205="","",IFERROR(INDEX(Vinos!$C$2:$C$301,MATCH($B205,Vinos!$A$2:$A$301,0)),""))</f>
        <v/>
      </c>
      <c r="R205" s="20">
        <f>IF(OR($A205="",$A205&lt;&gt;'Resumen del inventario'!$C$3,$N205="",$N205="OK"),"",IF(COUNTIFS($A$2:$A205,$A205,$B$2:$B205,$B205)=1,1,""))</f>
        <v/>
      </c>
      <c r="S205" s="20">
        <f>IF($R205=1,COUNTIF($R$2:$R205,1),"")</f>
        <v/>
      </c>
    </row>
    <row r="206">
      <c r="A206" s="19" t="n"/>
      <c r="B206" s="14" t="n"/>
      <c r="C206" s="20">
        <f>IF($B206="","",IFERROR(INDEX(Vinos!$B$2:$B$301,MATCH($B206,Vinos!$A$2:$A$301,0)),"Código no cargado"))</f>
        <v/>
      </c>
      <c r="D206" s="14" t="n"/>
      <c r="E206" s="14" t="n"/>
      <c r="F206" s="18" t="n"/>
      <c r="G206" s="18" t="n"/>
      <c r="H206" s="21">
        <f>IF(AND($F206="",$G206=""),"",N($F206)*IFERROR(N(INDEX(Vinos!$H$2:$H$301,MATCH($B206,Vinos!$A$2:$A$301,0))),0)+N($G206))</f>
        <v/>
      </c>
      <c r="I206" s="18" t="n"/>
      <c r="J206" s="21">
        <f>IF(OR($H206="",$I206=""),"",$H206-$I206)</f>
        <v/>
      </c>
      <c r="K206" s="16">
        <f>IF($H206="","",IFERROR(IF(INDEX(Vinos!$J$2:$J$301,MATCH($B206,Vinos!$A$2:$A$301,0))="","",$H206*INDEX(Vinos!$J$2:$J$301,MATCH($B206,Vinos!$A$2:$A$301,0))),""))</f>
        <v/>
      </c>
      <c r="L206" s="16">
        <f>IF($H206="","",IFERROR(IF(INDEX(Vinos!$K$2:$K$301,MATCH($B206,Vinos!$A$2:$A$301,0))="","",$H206*INDEX(Vinos!$K$2:$K$301,MATCH($B206,Vinos!$A$2:$A$301,0))),""))</f>
        <v/>
      </c>
      <c r="M206" s="21">
        <f>IF(OR($A206="",$B206=""),"",SUMIFS($H$2:$H$2001,$A$2:$A$2001,$A206,$B$2:$B$2001,$B206))</f>
        <v/>
      </c>
      <c r="N206" s="20">
        <f>IF($M206="","",IF($M206&lt;=0,"Sin stock: reponer ya",IF($M206&lt;IFERROR(N(INDEX(Vinos!$N$2:$N$301,MATCH($B206,Vinos!$A$2:$A$301,0))),0),"Bajo mínimo: reponer","OK")))</f>
        <v/>
      </c>
      <c r="O206" s="14" t="n"/>
      <c r="P206" s="14" t="n"/>
      <c r="Q206" s="20">
        <f>IF($B206="","",IFERROR(INDEX(Vinos!$C$2:$C$301,MATCH($B206,Vinos!$A$2:$A$301,0)),""))</f>
        <v/>
      </c>
      <c r="R206" s="20">
        <f>IF(OR($A206="",$A206&lt;&gt;'Resumen del inventario'!$C$3,$N206="",$N206="OK"),"",IF(COUNTIFS($A$2:$A206,$A206,$B$2:$B206,$B206)=1,1,""))</f>
        <v/>
      </c>
      <c r="S206" s="20">
        <f>IF($R206=1,COUNTIF($R$2:$R206,1),"")</f>
        <v/>
      </c>
    </row>
    <row r="207">
      <c r="A207" s="19" t="n"/>
      <c r="B207" s="14" t="n"/>
      <c r="C207" s="20">
        <f>IF($B207="","",IFERROR(INDEX(Vinos!$B$2:$B$301,MATCH($B207,Vinos!$A$2:$A$301,0)),"Código no cargado"))</f>
        <v/>
      </c>
      <c r="D207" s="14" t="n"/>
      <c r="E207" s="14" t="n"/>
      <c r="F207" s="18" t="n"/>
      <c r="G207" s="18" t="n"/>
      <c r="H207" s="21">
        <f>IF(AND($F207="",$G207=""),"",N($F207)*IFERROR(N(INDEX(Vinos!$H$2:$H$301,MATCH($B207,Vinos!$A$2:$A$301,0))),0)+N($G207))</f>
        <v/>
      </c>
      <c r="I207" s="18" t="n"/>
      <c r="J207" s="21">
        <f>IF(OR($H207="",$I207=""),"",$H207-$I207)</f>
        <v/>
      </c>
      <c r="K207" s="16">
        <f>IF($H207="","",IFERROR(IF(INDEX(Vinos!$J$2:$J$301,MATCH($B207,Vinos!$A$2:$A$301,0))="","",$H207*INDEX(Vinos!$J$2:$J$301,MATCH($B207,Vinos!$A$2:$A$301,0))),""))</f>
        <v/>
      </c>
      <c r="L207" s="16">
        <f>IF($H207="","",IFERROR(IF(INDEX(Vinos!$K$2:$K$301,MATCH($B207,Vinos!$A$2:$A$301,0))="","",$H207*INDEX(Vinos!$K$2:$K$301,MATCH($B207,Vinos!$A$2:$A$301,0))),""))</f>
        <v/>
      </c>
      <c r="M207" s="21">
        <f>IF(OR($A207="",$B207=""),"",SUMIFS($H$2:$H$2001,$A$2:$A$2001,$A207,$B$2:$B$2001,$B207))</f>
        <v/>
      </c>
      <c r="N207" s="20">
        <f>IF($M207="","",IF($M207&lt;=0,"Sin stock: reponer ya",IF($M207&lt;IFERROR(N(INDEX(Vinos!$N$2:$N$301,MATCH($B207,Vinos!$A$2:$A$301,0))),0),"Bajo mínimo: reponer","OK")))</f>
        <v/>
      </c>
      <c r="O207" s="14" t="n"/>
      <c r="P207" s="14" t="n"/>
      <c r="Q207" s="20">
        <f>IF($B207="","",IFERROR(INDEX(Vinos!$C$2:$C$301,MATCH($B207,Vinos!$A$2:$A$301,0)),""))</f>
        <v/>
      </c>
      <c r="R207" s="20">
        <f>IF(OR($A207="",$A207&lt;&gt;'Resumen del inventario'!$C$3,$N207="",$N207="OK"),"",IF(COUNTIFS($A$2:$A207,$A207,$B$2:$B207,$B207)=1,1,""))</f>
        <v/>
      </c>
      <c r="S207" s="20">
        <f>IF($R207=1,COUNTIF($R$2:$R207,1),"")</f>
        <v/>
      </c>
    </row>
    <row r="208">
      <c r="A208" s="19" t="n"/>
      <c r="B208" s="14" t="n"/>
      <c r="C208" s="20">
        <f>IF($B208="","",IFERROR(INDEX(Vinos!$B$2:$B$301,MATCH($B208,Vinos!$A$2:$A$301,0)),"Código no cargado"))</f>
        <v/>
      </c>
      <c r="D208" s="14" t="n"/>
      <c r="E208" s="14" t="n"/>
      <c r="F208" s="18" t="n"/>
      <c r="G208" s="18" t="n"/>
      <c r="H208" s="21">
        <f>IF(AND($F208="",$G208=""),"",N($F208)*IFERROR(N(INDEX(Vinos!$H$2:$H$301,MATCH($B208,Vinos!$A$2:$A$301,0))),0)+N($G208))</f>
        <v/>
      </c>
      <c r="I208" s="18" t="n"/>
      <c r="J208" s="21">
        <f>IF(OR($H208="",$I208=""),"",$H208-$I208)</f>
        <v/>
      </c>
      <c r="K208" s="16">
        <f>IF($H208="","",IFERROR(IF(INDEX(Vinos!$J$2:$J$301,MATCH($B208,Vinos!$A$2:$A$301,0))="","",$H208*INDEX(Vinos!$J$2:$J$301,MATCH($B208,Vinos!$A$2:$A$301,0))),""))</f>
        <v/>
      </c>
      <c r="L208" s="16">
        <f>IF($H208="","",IFERROR(IF(INDEX(Vinos!$K$2:$K$301,MATCH($B208,Vinos!$A$2:$A$301,0))="","",$H208*INDEX(Vinos!$K$2:$K$301,MATCH($B208,Vinos!$A$2:$A$301,0))),""))</f>
        <v/>
      </c>
      <c r="M208" s="21">
        <f>IF(OR($A208="",$B208=""),"",SUMIFS($H$2:$H$2001,$A$2:$A$2001,$A208,$B$2:$B$2001,$B208))</f>
        <v/>
      </c>
      <c r="N208" s="20">
        <f>IF($M208="","",IF($M208&lt;=0,"Sin stock: reponer ya",IF($M208&lt;IFERROR(N(INDEX(Vinos!$N$2:$N$301,MATCH($B208,Vinos!$A$2:$A$301,0))),0),"Bajo mínimo: reponer","OK")))</f>
        <v/>
      </c>
      <c r="O208" s="14" t="n"/>
      <c r="P208" s="14" t="n"/>
      <c r="Q208" s="20">
        <f>IF($B208="","",IFERROR(INDEX(Vinos!$C$2:$C$301,MATCH($B208,Vinos!$A$2:$A$301,0)),""))</f>
        <v/>
      </c>
      <c r="R208" s="20">
        <f>IF(OR($A208="",$A208&lt;&gt;'Resumen del inventario'!$C$3,$N208="",$N208="OK"),"",IF(COUNTIFS($A$2:$A208,$A208,$B$2:$B208,$B208)=1,1,""))</f>
        <v/>
      </c>
      <c r="S208" s="20">
        <f>IF($R208=1,COUNTIF($R$2:$R208,1),"")</f>
        <v/>
      </c>
    </row>
    <row r="209">
      <c r="A209" s="19" t="n"/>
      <c r="B209" s="14" t="n"/>
      <c r="C209" s="20">
        <f>IF($B209="","",IFERROR(INDEX(Vinos!$B$2:$B$301,MATCH($B209,Vinos!$A$2:$A$301,0)),"Código no cargado"))</f>
        <v/>
      </c>
      <c r="D209" s="14" t="n"/>
      <c r="E209" s="14" t="n"/>
      <c r="F209" s="18" t="n"/>
      <c r="G209" s="18" t="n"/>
      <c r="H209" s="21">
        <f>IF(AND($F209="",$G209=""),"",N($F209)*IFERROR(N(INDEX(Vinos!$H$2:$H$301,MATCH($B209,Vinos!$A$2:$A$301,0))),0)+N($G209))</f>
        <v/>
      </c>
      <c r="I209" s="18" t="n"/>
      <c r="J209" s="21">
        <f>IF(OR($H209="",$I209=""),"",$H209-$I209)</f>
        <v/>
      </c>
      <c r="K209" s="16">
        <f>IF($H209="","",IFERROR(IF(INDEX(Vinos!$J$2:$J$301,MATCH($B209,Vinos!$A$2:$A$301,0))="","",$H209*INDEX(Vinos!$J$2:$J$301,MATCH($B209,Vinos!$A$2:$A$301,0))),""))</f>
        <v/>
      </c>
      <c r="L209" s="16">
        <f>IF($H209="","",IFERROR(IF(INDEX(Vinos!$K$2:$K$301,MATCH($B209,Vinos!$A$2:$A$301,0))="","",$H209*INDEX(Vinos!$K$2:$K$301,MATCH($B209,Vinos!$A$2:$A$301,0))),""))</f>
        <v/>
      </c>
      <c r="M209" s="21">
        <f>IF(OR($A209="",$B209=""),"",SUMIFS($H$2:$H$2001,$A$2:$A$2001,$A209,$B$2:$B$2001,$B209))</f>
        <v/>
      </c>
      <c r="N209" s="20">
        <f>IF($M209="","",IF($M209&lt;=0,"Sin stock: reponer ya",IF($M209&lt;IFERROR(N(INDEX(Vinos!$N$2:$N$301,MATCH($B209,Vinos!$A$2:$A$301,0))),0),"Bajo mínimo: reponer","OK")))</f>
        <v/>
      </c>
      <c r="O209" s="14" t="n"/>
      <c r="P209" s="14" t="n"/>
      <c r="Q209" s="20">
        <f>IF($B209="","",IFERROR(INDEX(Vinos!$C$2:$C$301,MATCH($B209,Vinos!$A$2:$A$301,0)),""))</f>
        <v/>
      </c>
      <c r="R209" s="20">
        <f>IF(OR($A209="",$A209&lt;&gt;'Resumen del inventario'!$C$3,$N209="",$N209="OK"),"",IF(COUNTIFS($A$2:$A209,$A209,$B$2:$B209,$B209)=1,1,""))</f>
        <v/>
      </c>
      <c r="S209" s="20">
        <f>IF($R209=1,COUNTIF($R$2:$R209,1),"")</f>
        <v/>
      </c>
    </row>
    <row r="210">
      <c r="A210" s="19" t="n"/>
      <c r="B210" s="14" t="n"/>
      <c r="C210" s="20">
        <f>IF($B210="","",IFERROR(INDEX(Vinos!$B$2:$B$301,MATCH($B210,Vinos!$A$2:$A$301,0)),"Código no cargado"))</f>
        <v/>
      </c>
      <c r="D210" s="14" t="n"/>
      <c r="E210" s="14" t="n"/>
      <c r="F210" s="18" t="n"/>
      <c r="G210" s="18" t="n"/>
      <c r="H210" s="21">
        <f>IF(AND($F210="",$G210=""),"",N($F210)*IFERROR(N(INDEX(Vinos!$H$2:$H$301,MATCH($B210,Vinos!$A$2:$A$301,0))),0)+N($G210))</f>
        <v/>
      </c>
      <c r="I210" s="18" t="n"/>
      <c r="J210" s="21">
        <f>IF(OR($H210="",$I210=""),"",$H210-$I210)</f>
        <v/>
      </c>
      <c r="K210" s="16">
        <f>IF($H210="","",IFERROR(IF(INDEX(Vinos!$J$2:$J$301,MATCH($B210,Vinos!$A$2:$A$301,0))="","",$H210*INDEX(Vinos!$J$2:$J$301,MATCH($B210,Vinos!$A$2:$A$301,0))),""))</f>
        <v/>
      </c>
      <c r="L210" s="16">
        <f>IF($H210="","",IFERROR(IF(INDEX(Vinos!$K$2:$K$301,MATCH($B210,Vinos!$A$2:$A$301,0))="","",$H210*INDEX(Vinos!$K$2:$K$301,MATCH($B210,Vinos!$A$2:$A$301,0))),""))</f>
        <v/>
      </c>
      <c r="M210" s="21">
        <f>IF(OR($A210="",$B210=""),"",SUMIFS($H$2:$H$2001,$A$2:$A$2001,$A210,$B$2:$B$2001,$B210))</f>
        <v/>
      </c>
      <c r="N210" s="20">
        <f>IF($M210="","",IF($M210&lt;=0,"Sin stock: reponer ya",IF($M210&lt;IFERROR(N(INDEX(Vinos!$N$2:$N$301,MATCH($B210,Vinos!$A$2:$A$301,0))),0),"Bajo mínimo: reponer","OK")))</f>
        <v/>
      </c>
      <c r="O210" s="14" t="n"/>
      <c r="P210" s="14" t="n"/>
      <c r="Q210" s="20">
        <f>IF($B210="","",IFERROR(INDEX(Vinos!$C$2:$C$301,MATCH($B210,Vinos!$A$2:$A$301,0)),""))</f>
        <v/>
      </c>
      <c r="R210" s="20">
        <f>IF(OR($A210="",$A210&lt;&gt;'Resumen del inventario'!$C$3,$N210="",$N210="OK"),"",IF(COUNTIFS($A$2:$A210,$A210,$B$2:$B210,$B210)=1,1,""))</f>
        <v/>
      </c>
      <c r="S210" s="20">
        <f>IF($R210=1,COUNTIF($R$2:$R210,1),"")</f>
        <v/>
      </c>
    </row>
    <row r="211">
      <c r="A211" s="19" t="n"/>
      <c r="B211" s="14" t="n"/>
      <c r="C211" s="20">
        <f>IF($B211="","",IFERROR(INDEX(Vinos!$B$2:$B$301,MATCH($B211,Vinos!$A$2:$A$301,0)),"Código no cargado"))</f>
        <v/>
      </c>
      <c r="D211" s="14" t="n"/>
      <c r="E211" s="14" t="n"/>
      <c r="F211" s="18" t="n"/>
      <c r="G211" s="18" t="n"/>
      <c r="H211" s="21">
        <f>IF(AND($F211="",$G211=""),"",N($F211)*IFERROR(N(INDEX(Vinos!$H$2:$H$301,MATCH($B211,Vinos!$A$2:$A$301,0))),0)+N($G211))</f>
        <v/>
      </c>
      <c r="I211" s="18" t="n"/>
      <c r="J211" s="21">
        <f>IF(OR($H211="",$I211=""),"",$H211-$I211)</f>
        <v/>
      </c>
      <c r="K211" s="16">
        <f>IF($H211="","",IFERROR(IF(INDEX(Vinos!$J$2:$J$301,MATCH($B211,Vinos!$A$2:$A$301,0))="","",$H211*INDEX(Vinos!$J$2:$J$301,MATCH($B211,Vinos!$A$2:$A$301,0))),""))</f>
        <v/>
      </c>
      <c r="L211" s="16">
        <f>IF($H211="","",IFERROR(IF(INDEX(Vinos!$K$2:$K$301,MATCH($B211,Vinos!$A$2:$A$301,0))="","",$H211*INDEX(Vinos!$K$2:$K$301,MATCH($B211,Vinos!$A$2:$A$301,0))),""))</f>
        <v/>
      </c>
      <c r="M211" s="21">
        <f>IF(OR($A211="",$B211=""),"",SUMIFS($H$2:$H$2001,$A$2:$A$2001,$A211,$B$2:$B$2001,$B211))</f>
        <v/>
      </c>
      <c r="N211" s="20">
        <f>IF($M211="","",IF($M211&lt;=0,"Sin stock: reponer ya",IF($M211&lt;IFERROR(N(INDEX(Vinos!$N$2:$N$301,MATCH($B211,Vinos!$A$2:$A$301,0))),0),"Bajo mínimo: reponer","OK")))</f>
        <v/>
      </c>
      <c r="O211" s="14" t="n"/>
      <c r="P211" s="14" t="n"/>
      <c r="Q211" s="20">
        <f>IF($B211="","",IFERROR(INDEX(Vinos!$C$2:$C$301,MATCH($B211,Vinos!$A$2:$A$301,0)),""))</f>
        <v/>
      </c>
      <c r="R211" s="20">
        <f>IF(OR($A211="",$A211&lt;&gt;'Resumen del inventario'!$C$3,$N211="",$N211="OK"),"",IF(COUNTIFS($A$2:$A211,$A211,$B$2:$B211,$B211)=1,1,""))</f>
        <v/>
      </c>
      <c r="S211" s="20">
        <f>IF($R211=1,COUNTIF($R$2:$R211,1),"")</f>
        <v/>
      </c>
    </row>
    <row r="212">
      <c r="A212" s="19" t="n"/>
      <c r="B212" s="14" t="n"/>
      <c r="C212" s="20">
        <f>IF($B212="","",IFERROR(INDEX(Vinos!$B$2:$B$301,MATCH($B212,Vinos!$A$2:$A$301,0)),"Código no cargado"))</f>
        <v/>
      </c>
      <c r="D212" s="14" t="n"/>
      <c r="E212" s="14" t="n"/>
      <c r="F212" s="18" t="n"/>
      <c r="G212" s="18" t="n"/>
      <c r="H212" s="21">
        <f>IF(AND($F212="",$G212=""),"",N($F212)*IFERROR(N(INDEX(Vinos!$H$2:$H$301,MATCH($B212,Vinos!$A$2:$A$301,0))),0)+N($G212))</f>
        <v/>
      </c>
      <c r="I212" s="18" t="n"/>
      <c r="J212" s="21">
        <f>IF(OR($H212="",$I212=""),"",$H212-$I212)</f>
        <v/>
      </c>
      <c r="K212" s="16">
        <f>IF($H212="","",IFERROR(IF(INDEX(Vinos!$J$2:$J$301,MATCH($B212,Vinos!$A$2:$A$301,0))="","",$H212*INDEX(Vinos!$J$2:$J$301,MATCH($B212,Vinos!$A$2:$A$301,0))),""))</f>
        <v/>
      </c>
      <c r="L212" s="16">
        <f>IF($H212="","",IFERROR(IF(INDEX(Vinos!$K$2:$K$301,MATCH($B212,Vinos!$A$2:$A$301,0))="","",$H212*INDEX(Vinos!$K$2:$K$301,MATCH($B212,Vinos!$A$2:$A$301,0))),""))</f>
        <v/>
      </c>
      <c r="M212" s="21">
        <f>IF(OR($A212="",$B212=""),"",SUMIFS($H$2:$H$2001,$A$2:$A$2001,$A212,$B$2:$B$2001,$B212))</f>
        <v/>
      </c>
      <c r="N212" s="20">
        <f>IF($M212="","",IF($M212&lt;=0,"Sin stock: reponer ya",IF($M212&lt;IFERROR(N(INDEX(Vinos!$N$2:$N$301,MATCH($B212,Vinos!$A$2:$A$301,0))),0),"Bajo mínimo: reponer","OK")))</f>
        <v/>
      </c>
      <c r="O212" s="14" t="n"/>
      <c r="P212" s="14" t="n"/>
      <c r="Q212" s="20">
        <f>IF($B212="","",IFERROR(INDEX(Vinos!$C$2:$C$301,MATCH($B212,Vinos!$A$2:$A$301,0)),""))</f>
        <v/>
      </c>
      <c r="R212" s="20">
        <f>IF(OR($A212="",$A212&lt;&gt;'Resumen del inventario'!$C$3,$N212="",$N212="OK"),"",IF(COUNTIFS($A$2:$A212,$A212,$B$2:$B212,$B212)=1,1,""))</f>
        <v/>
      </c>
      <c r="S212" s="20">
        <f>IF($R212=1,COUNTIF($R$2:$R212,1),"")</f>
        <v/>
      </c>
    </row>
    <row r="213">
      <c r="A213" s="19" t="n"/>
      <c r="B213" s="14" t="n"/>
      <c r="C213" s="20">
        <f>IF($B213="","",IFERROR(INDEX(Vinos!$B$2:$B$301,MATCH($B213,Vinos!$A$2:$A$301,0)),"Código no cargado"))</f>
        <v/>
      </c>
      <c r="D213" s="14" t="n"/>
      <c r="E213" s="14" t="n"/>
      <c r="F213" s="18" t="n"/>
      <c r="G213" s="18" t="n"/>
      <c r="H213" s="21">
        <f>IF(AND($F213="",$G213=""),"",N($F213)*IFERROR(N(INDEX(Vinos!$H$2:$H$301,MATCH($B213,Vinos!$A$2:$A$301,0))),0)+N($G213))</f>
        <v/>
      </c>
      <c r="I213" s="18" t="n"/>
      <c r="J213" s="21">
        <f>IF(OR($H213="",$I213=""),"",$H213-$I213)</f>
        <v/>
      </c>
      <c r="K213" s="16">
        <f>IF($H213="","",IFERROR(IF(INDEX(Vinos!$J$2:$J$301,MATCH($B213,Vinos!$A$2:$A$301,0))="","",$H213*INDEX(Vinos!$J$2:$J$301,MATCH($B213,Vinos!$A$2:$A$301,0))),""))</f>
        <v/>
      </c>
      <c r="L213" s="16">
        <f>IF($H213="","",IFERROR(IF(INDEX(Vinos!$K$2:$K$301,MATCH($B213,Vinos!$A$2:$A$301,0))="","",$H213*INDEX(Vinos!$K$2:$K$301,MATCH($B213,Vinos!$A$2:$A$301,0))),""))</f>
        <v/>
      </c>
      <c r="M213" s="21">
        <f>IF(OR($A213="",$B213=""),"",SUMIFS($H$2:$H$2001,$A$2:$A$2001,$A213,$B$2:$B$2001,$B213))</f>
        <v/>
      </c>
      <c r="N213" s="20">
        <f>IF($M213="","",IF($M213&lt;=0,"Sin stock: reponer ya",IF($M213&lt;IFERROR(N(INDEX(Vinos!$N$2:$N$301,MATCH($B213,Vinos!$A$2:$A$301,0))),0),"Bajo mínimo: reponer","OK")))</f>
        <v/>
      </c>
      <c r="O213" s="14" t="n"/>
      <c r="P213" s="14" t="n"/>
      <c r="Q213" s="20">
        <f>IF($B213="","",IFERROR(INDEX(Vinos!$C$2:$C$301,MATCH($B213,Vinos!$A$2:$A$301,0)),""))</f>
        <v/>
      </c>
      <c r="R213" s="20">
        <f>IF(OR($A213="",$A213&lt;&gt;'Resumen del inventario'!$C$3,$N213="",$N213="OK"),"",IF(COUNTIFS($A$2:$A213,$A213,$B$2:$B213,$B213)=1,1,""))</f>
        <v/>
      </c>
      <c r="S213" s="20">
        <f>IF($R213=1,COUNTIF($R$2:$R213,1),"")</f>
        <v/>
      </c>
    </row>
    <row r="214">
      <c r="A214" s="19" t="n"/>
      <c r="B214" s="14" t="n"/>
      <c r="C214" s="20">
        <f>IF($B214="","",IFERROR(INDEX(Vinos!$B$2:$B$301,MATCH($B214,Vinos!$A$2:$A$301,0)),"Código no cargado"))</f>
        <v/>
      </c>
      <c r="D214" s="14" t="n"/>
      <c r="E214" s="14" t="n"/>
      <c r="F214" s="18" t="n"/>
      <c r="G214" s="18" t="n"/>
      <c r="H214" s="21">
        <f>IF(AND($F214="",$G214=""),"",N($F214)*IFERROR(N(INDEX(Vinos!$H$2:$H$301,MATCH($B214,Vinos!$A$2:$A$301,0))),0)+N($G214))</f>
        <v/>
      </c>
      <c r="I214" s="18" t="n"/>
      <c r="J214" s="21">
        <f>IF(OR($H214="",$I214=""),"",$H214-$I214)</f>
        <v/>
      </c>
      <c r="K214" s="16">
        <f>IF($H214="","",IFERROR(IF(INDEX(Vinos!$J$2:$J$301,MATCH($B214,Vinos!$A$2:$A$301,0))="","",$H214*INDEX(Vinos!$J$2:$J$301,MATCH($B214,Vinos!$A$2:$A$301,0))),""))</f>
        <v/>
      </c>
      <c r="L214" s="16">
        <f>IF($H214="","",IFERROR(IF(INDEX(Vinos!$K$2:$K$301,MATCH($B214,Vinos!$A$2:$A$301,0))="","",$H214*INDEX(Vinos!$K$2:$K$301,MATCH($B214,Vinos!$A$2:$A$301,0))),""))</f>
        <v/>
      </c>
      <c r="M214" s="21">
        <f>IF(OR($A214="",$B214=""),"",SUMIFS($H$2:$H$2001,$A$2:$A$2001,$A214,$B$2:$B$2001,$B214))</f>
        <v/>
      </c>
      <c r="N214" s="20">
        <f>IF($M214="","",IF($M214&lt;=0,"Sin stock: reponer ya",IF($M214&lt;IFERROR(N(INDEX(Vinos!$N$2:$N$301,MATCH($B214,Vinos!$A$2:$A$301,0))),0),"Bajo mínimo: reponer","OK")))</f>
        <v/>
      </c>
      <c r="O214" s="14" t="n"/>
      <c r="P214" s="14" t="n"/>
      <c r="Q214" s="20">
        <f>IF($B214="","",IFERROR(INDEX(Vinos!$C$2:$C$301,MATCH($B214,Vinos!$A$2:$A$301,0)),""))</f>
        <v/>
      </c>
      <c r="R214" s="20">
        <f>IF(OR($A214="",$A214&lt;&gt;'Resumen del inventario'!$C$3,$N214="",$N214="OK"),"",IF(COUNTIFS($A$2:$A214,$A214,$B$2:$B214,$B214)=1,1,""))</f>
        <v/>
      </c>
      <c r="S214" s="20">
        <f>IF($R214=1,COUNTIF($R$2:$R214,1),"")</f>
        <v/>
      </c>
    </row>
    <row r="215">
      <c r="A215" s="19" t="n"/>
      <c r="B215" s="14" t="n"/>
      <c r="C215" s="20">
        <f>IF($B215="","",IFERROR(INDEX(Vinos!$B$2:$B$301,MATCH($B215,Vinos!$A$2:$A$301,0)),"Código no cargado"))</f>
        <v/>
      </c>
      <c r="D215" s="14" t="n"/>
      <c r="E215" s="14" t="n"/>
      <c r="F215" s="18" t="n"/>
      <c r="G215" s="18" t="n"/>
      <c r="H215" s="21">
        <f>IF(AND($F215="",$G215=""),"",N($F215)*IFERROR(N(INDEX(Vinos!$H$2:$H$301,MATCH($B215,Vinos!$A$2:$A$301,0))),0)+N($G215))</f>
        <v/>
      </c>
      <c r="I215" s="18" t="n"/>
      <c r="J215" s="21">
        <f>IF(OR($H215="",$I215=""),"",$H215-$I215)</f>
        <v/>
      </c>
      <c r="K215" s="16">
        <f>IF($H215="","",IFERROR(IF(INDEX(Vinos!$J$2:$J$301,MATCH($B215,Vinos!$A$2:$A$301,0))="","",$H215*INDEX(Vinos!$J$2:$J$301,MATCH($B215,Vinos!$A$2:$A$301,0))),""))</f>
        <v/>
      </c>
      <c r="L215" s="16">
        <f>IF($H215="","",IFERROR(IF(INDEX(Vinos!$K$2:$K$301,MATCH($B215,Vinos!$A$2:$A$301,0))="","",$H215*INDEX(Vinos!$K$2:$K$301,MATCH($B215,Vinos!$A$2:$A$301,0))),""))</f>
        <v/>
      </c>
      <c r="M215" s="21">
        <f>IF(OR($A215="",$B215=""),"",SUMIFS($H$2:$H$2001,$A$2:$A$2001,$A215,$B$2:$B$2001,$B215))</f>
        <v/>
      </c>
      <c r="N215" s="20">
        <f>IF($M215="","",IF($M215&lt;=0,"Sin stock: reponer ya",IF($M215&lt;IFERROR(N(INDEX(Vinos!$N$2:$N$301,MATCH($B215,Vinos!$A$2:$A$301,0))),0),"Bajo mínimo: reponer","OK")))</f>
        <v/>
      </c>
      <c r="O215" s="14" t="n"/>
      <c r="P215" s="14" t="n"/>
      <c r="Q215" s="20">
        <f>IF($B215="","",IFERROR(INDEX(Vinos!$C$2:$C$301,MATCH($B215,Vinos!$A$2:$A$301,0)),""))</f>
        <v/>
      </c>
      <c r="R215" s="20">
        <f>IF(OR($A215="",$A215&lt;&gt;'Resumen del inventario'!$C$3,$N215="",$N215="OK"),"",IF(COUNTIFS($A$2:$A215,$A215,$B$2:$B215,$B215)=1,1,""))</f>
        <v/>
      </c>
      <c r="S215" s="20">
        <f>IF($R215=1,COUNTIF($R$2:$R215,1),"")</f>
        <v/>
      </c>
    </row>
    <row r="216">
      <c r="A216" s="19" t="n"/>
      <c r="B216" s="14" t="n"/>
      <c r="C216" s="20">
        <f>IF($B216="","",IFERROR(INDEX(Vinos!$B$2:$B$301,MATCH($B216,Vinos!$A$2:$A$301,0)),"Código no cargado"))</f>
        <v/>
      </c>
      <c r="D216" s="14" t="n"/>
      <c r="E216" s="14" t="n"/>
      <c r="F216" s="18" t="n"/>
      <c r="G216" s="18" t="n"/>
      <c r="H216" s="21">
        <f>IF(AND($F216="",$G216=""),"",N($F216)*IFERROR(N(INDEX(Vinos!$H$2:$H$301,MATCH($B216,Vinos!$A$2:$A$301,0))),0)+N($G216))</f>
        <v/>
      </c>
      <c r="I216" s="18" t="n"/>
      <c r="J216" s="21">
        <f>IF(OR($H216="",$I216=""),"",$H216-$I216)</f>
        <v/>
      </c>
      <c r="K216" s="16">
        <f>IF($H216="","",IFERROR(IF(INDEX(Vinos!$J$2:$J$301,MATCH($B216,Vinos!$A$2:$A$301,0))="","",$H216*INDEX(Vinos!$J$2:$J$301,MATCH($B216,Vinos!$A$2:$A$301,0))),""))</f>
        <v/>
      </c>
      <c r="L216" s="16">
        <f>IF($H216="","",IFERROR(IF(INDEX(Vinos!$K$2:$K$301,MATCH($B216,Vinos!$A$2:$A$301,0))="","",$H216*INDEX(Vinos!$K$2:$K$301,MATCH($B216,Vinos!$A$2:$A$301,0))),""))</f>
        <v/>
      </c>
      <c r="M216" s="21">
        <f>IF(OR($A216="",$B216=""),"",SUMIFS($H$2:$H$2001,$A$2:$A$2001,$A216,$B$2:$B$2001,$B216))</f>
        <v/>
      </c>
      <c r="N216" s="20">
        <f>IF($M216="","",IF($M216&lt;=0,"Sin stock: reponer ya",IF($M216&lt;IFERROR(N(INDEX(Vinos!$N$2:$N$301,MATCH($B216,Vinos!$A$2:$A$301,0))),0),"Bajo mínimo: reponer","OK")))</f>
        <v/>
      </c>
      <c r="O216" s="14" t="n"/>
      <c r="P216" s="14" t="n"/>
      <c r="Q216" s="20">
        <f>IF($B216="","",IFERROR(INDEX(Vinos!$C$2:$C$301,MATCH($B216,Vinos!$A$2:$A$301,0)),""))</f>
        <v/>
      </c>
      <c r="R216" s="20">
        <f>IF(OR($A216="",$A216&lt;&gt;'Resumen del inventario'!$C$3,$N216="",$N216="OK"),"",IF(COUNTIFS($A$2:$A216,$A216,$B$2:$B216,$B216)=1,1,""))</f>
        <v/>
      </c>
      <c r="S216" s="20">
        <f>IF($R216=1,COUNTIF($R$2:$R216,1),"")</f>
        <v/>
      </c>
    </row>
    <row r="217">
      <c r="A217" s="19" t="n"/>
      <c r="B217" s="14" t="n"/>
      <c r="C217" s="20">
        <f>IF($B217="","",IFERROR(INDEX(Vinos!$B$2:$B$301,MATCH($B217,Vinos!$A$2:$A$301,0)),"Código no cargado"))</f>
        <v/>
      </c>
      <c r="D217" s="14" t="n"/>
      <c r="E217" s="14" t="n"/>
      <c r="F217" s="18" t="n"/>
      <c r="G217" s="18" t="n"/>
      <c r="H217" s="21">
        <f>IF(AND($F217="",$G217=""),"",N($F217)*IFERROR(N(INDEX(Vinos!$H$2:$H$301,MATCH($B217,Vinos!$A$2:$A$301,0))),0)+N($G217))</f>
        <v/>
      </c>
      <c r="I217" s="18" t="n"/>
      <c r="J217" s="21">
        <f>IF(OR($H217="",$I217=""),"",$H217-$I217)</f>
        <v/>
      </c>
      <c r="K217" s="16">
        <f>IF($H217="","",IFERROR(IF(INDEX(Vinos!$J$2:$J$301,MATCH($B217,Vinos!$A$2:$A$301,0))="","",$H217*INDEX(Vinos!$J$2:$J$301,MATCH($B217,Vinos!$A$2:$A$301,0))),""))</f>
        <v/>
      </c>
      <c r="L217" s="16">
        <f>IF($H217="","",IFERROR(IF(INDEX(Vinos!$K$2:$K$301,MATCH($B217,Vinos!$A$2:$A$301,0))="","",$H217*INDEX(Vinos!$K$2:$K$301,MATCH($B217,Vinos!$A$2:$A$301,0))),""))</f>
        <v/>
      </c>
      <c r="M217" s="21">
        <f>IF(OR($A217="",$B217=""),"",SUMIFS($H$2:$H$2001,$A$2:$A$2001,$A217,$B$2:$B$2001,$B217))</f>
        <v/>
      </c>
      <c r="N217" s="20">
        <f>IF($M217="","",IF($M217&lt;=0,"Sin stock: reponer ya",IF($M217&lt;IFERROR(N(INDEX(Vinos!$N$2:$N$301,MATCH($B217,Vinos!$A$2:$A$301,0))),0),"Bajo mínimo: reponer","OK")))</f>
        <v/>
      </c>
      <c r="O217" s="14" t="n"/>
      <c r="P217" s="14" t="n"/>
      <c r="Q217" s="20">
        <f>IF($B217="","",IFERROR(INDEX(Vinos!$C$2:$C$301,MATCH($B217,Vinos!$A$2:$A$301,0)),""))</f>
        <v/>
      </c>
      <c r="R217" s="20">
        <f>IF(OR($A217="",$A217&lt;&gt;'Resumen del inventario'!$C$3,$N217="",$N217="OK"),"",IF(COUNTIFS($A$2:$A217,$A217,$B$2:$B217,$B217)=1,1,""))</f>
        <v/>
      </c>
      <c r="S217" s="20">
        <f>IF($R217=1,COUNTIF($R$2:$R217,1),"")</f>
        <v/>
      </c>
    </row>
    <row r="218">
      <c r="A218" s="19" t="n"/>
      <c r="B218" s="14" t="n"/>
      <c r="C218" s="20">
        <f>IF($B218="","",IFERROR(INDEX(Vinos!$B$2:$B$301,MATCH($B218,Vinos!$A$2:$A$301,0)),"Código no cargado"))</f>
        <v/>
      </c>
      <c r="D218" s="14" t="n"/>
      <c r="E218" s="14" t="n"/>
      <c r="F218" s="18" t="n"/>
      <c r="G218" s="18" t="n"/>
      <c r="H218" s="21">
        <f>IF(AND($F218="",$G218=""),"",N($F218)*IFERROR(N(INDEX(Vinos!$H$2:$H$301,MATCH($B218,Vinos!$A$2:$A$301,0))),0)+N($G218))</f>
        <v/>
      </c>
      <c r="I218" s="18" t="n"/>
      <c r="J218" s="21">
        <f>IF(OR($H218="",$I218=""),"",$H218-$I218)</f>
        <v/>
      </c>
      <c r="K218" s="16">
        <f>IF($H218="","",IFERROR(IF(INDEX(Vinos!$J$2:$J$301,MATCH($B218,Vinos!$A$2:$A$301,0))="","",$H218*INDEX(Vinos!$J$2:$J$301,MATCH($B218,Vinos!$A$2:$A$301,0))),""))</f>
        <v/>
      </c>
      <c r="L218" s="16">
        <f>IF($H218="","",IFERROR(IF(INDEX(Vinos!$K$2:$K$301,MATCH($B218,Vinos!$A$2:$A$301,0))="","",$H218*INDEX(Vinos!$K$2:$K$301,MATCH($B218,Vinos!$A$2:$A$301,0))),""))</f>
        <v/>
      </c>
      <c r="M218" s="21">
        <f>IF(OR($A218="",$B218=""),"",SUMIFS($H$2:$H$2001,$A$2:$A$2001,$A218,$B$2:$B$2001,$B218))</f>
        <v/>
      </c>
      <c r="N218" s="20">
        <f>IF($M218="","",IF($M218&lt;=0,"Sin stock: reponer ya",IF($M218&lt;IFERROR(N(INDEX(Vinos!$N$2:$N$301,MATCH($B218,Vinos!$A$2:$A$301,0))),0),"Bajo mínimo: reponer","OK")))</f>
        <v/>
      </c>
      <c r="O218" s="14" t="n"/>
      <c r="P218" s="14" t="n"/>
      <c r="Q218" s="20">
        <f>IF($B218="","",IFERROR(INDEX(Vinos!$C$2:$C$301,MATCH($B218,Vinos!$A$2:$A$301,0)),""))</f>
        <v/>
      </c>
      <c r="R218" s="20">
        <f>IF(OR($A218="",$A218&lt;&gt;'Resumen del inventario'!$C$3,$N218="",$N218="OK"),"",IF(COUNTIFS($A$2:$A218,$A218,$B$2:$B218,$B218)=1,1,""))</f>
        <v/>
      </c>
      <c r="S218" s="20">
        <f>IF($R218=1,COUNTIF($R$2:$R218,1),"")</f>
        <v/>
      </c>
    </row>
    <row r="219">
      <c r="A219" s="19" t="n"/>
      <c r="B219" s="14" t="n"/>
      <c r="C219" s="20">
        <f>IF($B219="","",IFERROR(INDEX(Vinos!$B$2:$B$301,MATCH($B219,Vinos!$A$2:$A$301,0)),"Código no cargado"))</f>
        <v/>
      </c>
      <c r="D219" s="14" t="n"/>
      <c r="E219" s="14" t="n"/>
      <c r="F219" s="18" t="n"/>
      <c r="G219" s="18" t="n"/>
      <c r="H219" s="21">
        <f>IF(AND($F219="",$G219=""),"",N($F219)*IFERROR(N(INDEX(Vinos!$H$2:$H$301,MATCH($B219,Vinos!$A$2:$A$301,0))),0)+N($G219))</f>
        <v/>
      </c>
      <c r="I219" s="18" t="n"/>
      <c r="J219" s="21">
        <f>IF(OR($H219="",$I219=""),"",$H219-$I219)</f>
        <v/>
      </c>
      <c r="K219" s="16">
        <f>IF($H219="","",IFERROR(IF(INDEX(Vinos!$J$2:$J$301,MATCH($B219,Vinos!$A$2:$A$301,0))="","",$H219*INDEX(Vinos!$J$2:$J$301,MATCH($B219,Vinos!$A$2:$A$301,0))),""))</f>
        <v/>
      </c>
      <c r="L219" s="16">
        <f>IF($H219="","",IFERROR(IF(INDEX(Vinos!$K$2:$K$301,MATCH($B219,Vinos!$A$2:$A$301,0))="","",$H219*INDEX(Vinos!$K$2:$K$301,MATCH($B219,Vinos!$A$2:$A$301,0))),""))</f>
        <v/>
      </c>
      <c r="M219" s="21">
        <f>IF(OR($A219="",$B219=""),"",SUMIFS($H$2:$H$2001,$A$2:$A$2001,$A219,$B$2:$B$2001,$B219))</f>
        <v/>
      </c>
      <c r="N219" s="20">
        <f>IF($M219="","",IF($M219&lt;=0,"Sin stock: reponer ya",IF($M219&lt;IFERROR(N(INDEX(Vinos!$N$2:$N$301,MATCH($B219,Vinos!$A$2:$A$301,0))),0),"Bajo mínimo: reponer","OK")))</f>
        <v/>
      </c>
      <c r="O219" s="14" t="n"/>
      <c r="P219" s="14" t="n"/>
      <c r="Q219" s="20">
        <f>IF($B219="","",IFERROR(INDEX(Vinos!$C$2:$C$301,MATCH($B219,Vinos!$A$2:$A$301,0)),""))</f>
        <v/>
      </c>
      <c r="R219" s="20">
        <f>IF(OR($A219="",$A219&lt;&gt;'Resumen del inventario'!$C$3,$N219="",$N219="OK"),"",IF(COUNTIFS($A$2:$A219,$A219,$B$2:$B219,$B219)=1,1,""))</f>
        <v/>
      </c>
      <c r="S219" s="20">
        <f>IF($R219=1,COUNTIF($R$2:$R219,1),"")</f>
        <v/>
      </c>
    </row>
    <row r="220">
      <c r="A220" s="19" t="n"/>
      <c r="B220" s="14" t="n"/>
      <c r="C220" s="20">
        <f>IF($B220="","",IFERROR(INDEX(Vinos!$B$2:$B$301,MATCH($B220,Vinos!$A$2:$A$301,0)),"Código no cargado"))</f>
        <v/>
      </c>
      <c r="D220" s="14" t="n"/>
      <c r="E220" s="14" t="n"/>
      <c r="F220" s="18" t="n"/>
      <c r="G220" s="18" t="n"/>
      <c r="H220" s="21">
        <f>IF(AND($F220="",$G220=""),"",N($F220)*IFERROR(N(INDEX(Vinos!$H$2:$H$301,MATCH($B220,Vinos!$A$2:$A$301,0))),0)+N($G220))</f>
        <v/>
      </c>
      <c r="I220" s="18" t="n"/>
      <c r="J220" s="21">
        <f>IF(OR($H220="",$I220=""),"",$H220-$I220)</f>
        <v/>
      </c>
      <c r="K220" s="16">
        <f>IF($H220="","",IFERROR(IF(INDEX(Vinos!$J$2:$J$301,MATCH($B220,Vinos!$A$2:$A$301,0))="","",$H220*INDEX(Vinos!$J$2:$J$301,MATCH($B220,Vinos!$A$2:$A$301,0))),""))</f>
        <v/>
      </c>
      <c r="L220" s="16">
        <f>IF($H220="","",IFERROR(IF(INDEX(Vinos!$K$2:$K$301,MATCH($B220,Vinos!$A$2:$A$301,0))="","",$H220*INDEX(Vinos!$K$2:$K$301,MATCH($B220,Vinos!$A$2:$A$301,0))),""))</f>
        <v/>
      </c>
      <c r="M220" s="21">
        <f>IF(OR($A220="",$B220=""),"",SUMIFS($H$2:$H$2001,$A$2:$A$2001,$A220,$B$2:$B$2001,$B220))</f>
        <v/>
      </c>
      <c r="N220" s="20">
        <f>IF($M220="","",IF($M220&lt;=0,"Sin stock: reponer ya",IF($M220&lt;IFERROR(N(INDEX(Vinos!$N$2:$N$301,MATCH($B220,Vinos!$A$2:$A$301,0))),0),"Bajo mínimo: reponer","OK")))</f>
        <v/>
      </c>
      <c r="O220" s="14" t="n"/>
      <c r="P220" s="14" t="n"/>
      <c r="Q220" s="20">
        <f>IF($B220="","",IFERROR(INDEX(Vinos!$C$2:$C$301,MATCH($B220,Vinos!$A$2:$A$301,0)),""))</f>
        <v/>
      </c>
      <c r="R220" s="20">
        <f>IF(OR($A220="",$A220&lt;&gt;'Resumen del inventario'!$C$3,$N220="",$N220="OK"),"",IF(COUNTIFS($A$2:$A220,$A220,$B$2:$B220,$B220)=1,1,""))</f>
        <v/>
      </c>
      <c r="S220" s="20">
        <f>IF($R220=1,COUNTIF($R$2:$R220,1),"")</f>
        <v/>
      </c>
    </row>
    <row r="221">
      <c r="A221" s="19" t="n"/>
      <c r="B221" s="14" t="n"/>
      <c r="C221" s="20">
        <f>IF($B221="","",IFERROR(INDEX(Vinos!$B$2:$B$301,MATCH($B221,Vinos!$A$2:$A$301,0)),"Código no cargado"))</f>
        <v/>
      </c>
      <c r="D221" s="14" t="n"/>
      <c r="E221" s="14" t="n"/>
      <c r="F221" s="18" t="n"/>
      <c r="G221" s="18" t="n"/>
      <c r="H221" s="21">
        <f>IF(AND($F221="",$G221=""),"",N($F221)*IFERROR(N(INDEX(Vinos!$H$2:$H$301,MATCH($B221,Vinos!$A$2:$A$301,0))),0)+N($G221))</f>
        <v/>
      </c>
      <c r="I221" s="18" t="n"/>
      <c r="J221" s="21">
        <f>IF(OR($H221="",$I221=""),"",$H221-$I221)</f>
        <v/>
      </c>
      <c r="K221" s="16">
        <f>IF($H221="","",IFERROR(IF(INDEX(Vinos!$J$2:$J$301,MATCH($B221,Vinos!$A$2:$A$301,0))="","",$H221*INDEX(Vinos!$J$2:$J$301,MATCH($B221,Vinos!$A$2:$A$301,0))),""))</f>
        <v/>
      </c>
      <c r="L221" s="16">
        <f>IF($H221="","",IFERROR(IF(INDEX(Vinos!$K$2:$K$301,MATCH($B221,Vinos!$A$2:$A$301,0))="","",$H221*INDEX(Vinos!$K$2:$K$301,MATCH($B221,Vinos!$A$2:$A$301,0))),""))</f>
        <v/>
      </c>
      <c r="M221" s="21">
        <f>IF(OR($A221="",$B221=""),"",SUMIFS($H$2:$H$2001,$A$2:$A$2001,$A221,$B$2:$B$2001,$B221))</f>
        <v/>
      </c>
      <c r="N221" s="20">
        <f>IF($M221="","",IF($M221&lt;=0,"Sin stock: reponer ya",IF($M221&lt;IFERROR(N(INDEX(Vinos!$N$2:$N$301,MATCH($B221,Vinos!$A$2:$A$301,0))),0),"Bajo mínimo: reponer","OK")))</f>
        <v/>
      </c>
      <c r="O221" s="14" t="n"/>
      <c r="P221" s="14" t="n"/>
      <c r="Q221" s="20">
        <f>IF($B221="","",IFERROR(INDEX(Vinos!$C$2:$C$301,MATCH($B221,Vinos!$A$2:$A$301,0)),""))</f>
        <v/>
      </c>
      <c r="R221" s="20">
        <f>IF(OR($A221="",$A221&lt;&gt;'Resumen del inventario'!$C$3,$N221="",$N221="OK"),"",IF(COUNTIFS($A$2:$A221,$A221,$B$2:$B221,$B221)=1,1,""))</f>
        <v/>
      </c>
      <c r="S221" s="20">
        <f>IF($R221=1,COUNTIF($R$2:$R221,1),"")</f>
        <v/>
      </c>
    </row>
    <row r="222">
      <c r="A222" s="19" t="n"/>
      <c r="B222" s="14" t="n"/>
      <c r="C222" s="20">
        <f>IF($B222="","",IFERROR(INDEX(Vinos!$B$2:$B$301,MATCH($B222,Vinos!$A$2:$A$301,0)),"Código no cargado"))</f>
        <v/>
      </c>
      <c r="D222" s="14" t="n"/>
      <c r="E222" s="14" t="n"/>
      <c r="F222" s="18" t="n"/>
      <c r="G222" s="18" t="n"/>
      <c r="H222" s="21">
        <f>IF(AND($F222="",$G222=""),"",N($F222)*IFERROR(N(INDEX(Vinos!$H$2:$H$301,MATCH($B222,Vinos!$A$2:$A$301,0))),0)+N($G222))</f>
        <v/>
      </c>
      <c r="I222" s="18" t="n"/>
      <c r="J222" s="21">
        <f>IF(OR($H222="",$I222=""),"",$H222-$I222)</f>
        <v/>
      </c>
      <c r="K222" s="16">
        <f>IF($H222="","",IFERROR(IF(INDEX(Vinos!$J$2:$J$301,MATCH($B222,Vinos!$A$2:$A$301,0))="","",$H222*INDEX(Vinos!$J$2:$J$301,MATCH($B222,Vinos!$A$2:$A$301,0))),""))</f>
        <v/>
      </c>
      <c r="L222" s="16">
        <f>IF($H222="","",IFERROR(IF(INDEX(Vinos!$K$2:$K$301,MATCH($B222,Vinos!$A$2:$A$301,0))="","",$H222*INDEX(Vinos!$K$2:$K$301,MATCH($B222,Vinos!$A$2:$A$301,0))),""))</f>
        <v/>
      </c>
      <c r="M222" s="21">
        <f>IF(OR($A222="",$B222=""),"",SUMIFS($H$2:$H$2001,$A$2:$A$2001,$A222,$B$2:$B$2001,$B222))</f>
        <v/>
      </c>
      <c r="N222" s="20">
        <f>IF($M222="","",IF($M222&lt;=0,"Sin stock: reponer ya",IF($M222&lt;IFERROR(N(INDEX(Vinos!$N$2:$N$301,MATCH($B222,Vinos!$A$2:$A$301,0))),0),"Bajo mínimo: reponer","OK")))</f>
        <v/>
      </c>
      <c r="O222" s="14" t="n"/>
      <c r="P222" s="14" t="n"/>
      <c r="Q222" s="20">
        <f>IF($B222="","",IFERROR(INDEX(Vinos!$C$2:$C$301,MATCH($B222,Vinos!$A$2:$A$301,0)),""))</f>
        <v/>
      </c>
      <c r="R222" s="20">
        <f>IF(OR($A222="",$A222&lt;&gt;'Resumen del inventario'!$C$3,$N222="",$N222="OK"),"",IF(COUNTIFS($A$2:$A222,$A222,$B$2:$B222,$B222)=1,1,""))</f>
        <v/>
      </c>
      <c r="S222" s="20">
        <f>IF($R222=1,COUNTIF($R$2:$R222,1),"")</f>
        <v/>
      </c>
    </row>
    <row r="223">
      <c r="A223" s="19" t="n"/>
      <c r="B223" s="14" t="n"/>
      <c r="C223" s="20">
        <f>IF($B223="","",IFERROR(INDEX(Vinos!$B$2:$B$301,MATCH($B223,Vinos!$A$2:$A$301,0)),"Código no cargado"))</f>
        <v/>
      </c>
      <c r="D223" s="14" t="n"/>
      <c r="E223" s="14" t="n"/>
      <c r="F223" s="18" t="n"/>
      <c r="G223" s="18" t="n"/>
      <c r="H223" s="21">
        <f>IF(AND($F223="",$G223=""),"",N($F223)*IFERROR(N(INDEX(Vinos!$H$2:$H$301,MATCH($B223,Vinos!$A$2:$A$301,0))),0)+N($G223))</f>
        <v/>
      </c>
      <c r="I223" s="18" t="n"/>
      <c r="J223" s="21">
        <f>IF(OR($H223="",$I223=""),"",$H223-$I223)</f>
        <v/>
      </c>
      <c r="K223" s="16">
        <f>IF($H223="","",IFERROR(IF(INDEX(Vinos!$J$2:$J$301,MATCH($B223,Vinos!$A$2:$A$301,0))="","",$H223*INDEX(Vinos!$J$2:$J$301,MATCH($B223,Vinos!$A$2:$A$301,0))),""))</f>
        <v/>
      </c>
      <c r="L223" s="16">
        <f>IF($H223="","",IFERROR(IF(INDEX(Vinos!$K$2:$K$301,MATCH($B223,Vinos!$A$2:$A$301,0))="","",$H223*INDEX(Vinos!$K$2:$K$301,MATCH($B223,Vinos!$A$2:$A$301,0))),""))</f>
        <v/>
      </c>
      <c r="M223" s="21">
        <f>IF(OR($A223="",$B223=""),"",SUMIFS($H$2:$H$2001,$A$2:$A$2001,$A223,$B$2:$B$2001,$B223))</f>
        <v/>
      </c>
      <c r="N223" s="20">
        <f>IF($M223="","",IF($M223&lt;=0,"Sin stock: reponer ya",IF($M223&lt;IFERROR(N(INDEX(Vinos!$N$2:$N$301,MATCH($B223,Vinos!$A$2:$A$301,0))),0),"Bajo mínimo: reponer","OK")))</f>
        <v/>
      </c>
      <c r="O223" s="14" t="n"/>
      <c r="P223" s="14" t="n"/>
      <c r="Q223" s="20">
        <f>IF($B223="","",IFERROR(INDEX(Vinos!$C$2:$C$301,MATCH($B223,Vinos!$A$2:$A$301,0)),""))</f>
        <v/>
      </c>
      <c r="R223" s="20">
        <f>IF(OR($A223="",$A223&lt;&gt;'Resumen del inventario'!$C$3,$N223="",$N223="OK"),"",IF(COUNTIFS($A$2:$A223,$A223,$B$2:$B223,$B223)=1,1,""))</f>
        <v/>
      </c>
      <c r="S223" s="20">
        <f>IF($R223=1,COUNTIF($R$2:$R223,1),"")</f>
        <v/>
      </c>
    </row>
    <row r="224">
      <c r="A224" s="19" t="n"/>
      <c r="B224" s="14" t="n"/>
      <c r="C224" s="20">
        <f>IF($B224="","",IFERROR(INDEX(Vinos!$B$2:$B$301,MATCH($B224,Vinos!$A$2:$A$301,0)),"Código no cargado"))</f>
        <v/>
      </c>
      <c r="D224" s="14" t="n"/>
      <c r="E224" s="14" t="n"/>
      <c r="F224" s="18" t="n"/>
      <c r="G224" s="18" t="n"/>
      <c r="H224" s="21">
        <f>IF(AND($F224="",$G224=""),"",N($F224)*IFERROR(N(INDEX(Vinos!$H$2:$H$301,MATCH($B224,Vinos!$A$2:$A$301,0))),0)+N($G224))</f>
        <v/>
      </c>
      <c r="I224" s="18" t="n"/>
      <c r="J224" s="21">
        <f>IF(OR($H224="",$I224=""),"",$H224-$I224)</f>
        <v/>
      </c>
      <c r="K224" s="16">
        <f>IF($H224="","",IFERROR(IF(INDEX(Vinos!$J$2:$J$301,MATCH($B224,Vinos!$A$2:$A$301,0))="","",$H224*INDEX(Vinos!$J$2:$J$301,MATCH($B224,Vinos!$A$2:$A$301,0))),""))</f>
        <v/>
      </c>
      <c r="L224" s="16">
        <f>IF($H224="","",IFERROR(IF(INDEX(Vinos!$K$2:$K$301,MATCH($B224,Vinos!$A$2:$A$301,0))="","",$H224*INDEX(Vinos!$K$2:$K$301,MATCH($B224,Vinos!$A$2:$A$301,0))),""))</f>
        <v/>
      </c>
      <c r="M224" s="21">
        <f>IF(OR($A224="",$B224=""),"",SUMIFS($H$2:$H$2001,$A$2:$A$2001,$A224,$B$2:$B$2001,$B224))</f>
        <v/>
      </c>
      <c r="N224" s="20">
        <f>IF($M224="","",IF($M224&lt;=0,"Sin stock: reponer ya",IF($M224&lt;IFERROR(N(INDEX(Vinos!$N$2:$N$301,MATCH($B224,Vinos!$A$2:$A$301,0))),0),"Bajo mínimo: reponer","OK")))</f>
        <v/>
      </c>
      <c r="O224" s="14" t="n"/>
      <c r="P224" s="14" t="n"/>
      <c r="Q224" s="20">
        <f>IF($B224="","",IFERROR(INDEX(Vinos!$C$2:$C$301,MATCH($B224,Vinos!$A$2:$A$301,0)),""))</f>
        <v/>
      </c>
      <c r="R224" s="20">
        <f>IF(OR($A224="",$A224&lt;&gt;'Resumen del inventario'!$C$3,$N224="",$N224="OK"),"",IF(COUNTIFS($A$2:$A224,$A224,$B$2:$B224,$B224)=1,1,""))</f>
        <v/>
      </c>
      <c r="S224" s="20">
        <f>IF($R224=1,COUNTIF($R$2:$R224,1),"")</f>
        <v/>
      </c>
    </row>
    <row r="225">
      <c r="A225" s="19" t="n"/>
      <c r="B225" s="14" t="n"/>
      <c r="C225" s="20">
        <f>IF($B225="","",IFERROR(INDEX(Vinos!$B$2:$B$301,MATCH($B225,Vinos!$A$2:$A$301,0)),"Código no cargado"))</f>
        <v/>
      </c>
      <c r="D225" s="14" t="n"/>
      <c r="E225" s="14" t="n"/>
      <c r="F225" s="18" t="n"/>
      <c r="G225" s="18" t="n"/>
      <c r="H225" s="21">
        <f>IF(AND($F225="",$G225=""),"",N($F225)*IFERROR(N(INDEX(Vinos!$H$2:$H$301,MATCH($B225,Vinos!$A$2:$A$301,0))),0)+N($G225))</f>
        <v/>
      </c>
      <c r="I225" s="18" t="n"/>
      <c r="J225" s="21">
        <f>IF(OR($H225="",$I225=""),"",$H225-$I225)</f>
        <v/>
      </c>
      <c r="K225" s="16">
        <f>IF($H225="","",IFERROR(IF(INDEX(Vinos!$J$2:$J$301,MATCH($B225,Vinos!$A$2:$A$301,0))="","",$H225*INDEX(Vinos!$J$2:$J$301,MATCH($B225,Vinos!$A$2:$A$301,0))),""))</f>
        <v/>
      </c>
      <c r="L225" s="16">
        <f>IF($H225="","",IFERROR(IF(INDEX(Vinos!$K$2:$K$301,MATCH($B225,Vinos!$A$2:$A$301,0))="","",$H225*INDEX(Vinos!$K$2:$K$301,MATCH($B225,Vinos!$A$2:$A$301,0))),""))</f>
        <v/>
      </c>
      <c r="M225" s="21">
        <f>IF(OR($A225="",$B225=""),"",SUMIFS($H$2:$H$2001,$A$2:$A$2001,$A225,$B$2:$B$2001,$B225))</f>
        <v/>
      </c>
      <c r="N225" s="20">
        <f>IF($M225="","",IF($M225&lt;=0,"Sin stock: reponer ya",IF($M225&lt;IFERROR(N(INDEX(Vinos!$N$2:$N$301,MATCH($B225,Vinos!$A$2:$A$301,0))),0),"Bajo mínimo: reponer","OK")))</f>
        <v/>
      </c>
      <c r="O225" s="14" t="n"/>
      <c r="P225" s="14" t="n"/>
      <c r="Q225" s="20">
        <f>IF($B225="","",IFERROR(INDEX(Vinos!$C$2:$C$301,MATCH($B225,Vinos!$A$2:$A$301,0)),""))</f>
        <v/>
      </c>
      <c r="R225" s="20">
        <f>IF(OR($A225="",$A225&lt;&gt;'Resumen del inventario'!$C$3,$N225="",$N225="OK"),"",IF(COUNTIFS($A$2:$A225,$A225,$B$2:$B225,$B225)=1,1,""))</f>
        <v/>
      </c>
      <c r="S225" s="20">
        <f>IF($R225=1,COUNTIF($R$2:$R225,1),"")</f>
        <v/>
      </c>
    </row>
    <row r="226">
      <c r="A226" s="19" t="n"/>
      <c r="B226" s="14" t="n"/>
      <c r="C226" s="20">
        <f>IF($B226="","",IFERROR(INDEX(Vinos!$B$2:$B$301,MATCH($B226,Vinos!$A$2:$A$301,0)),"Código no cargado"))</f>
        <v/>
      </c>
      <c r="D226" s="14" t="n"/>
      <c r="E226" s="14" t="n"/>
      <c r="F226" s="18" t="n"/>
      <c r="G226" s="18" t="n"/>
      <c r="H226" s="21">
        <f>IF(AND($F226="",$G226=""),"",N($F226)*IFERROR(N(INDEX(Vinos!$H$2:$H$301,MATCH($B226,Vinos!$A$2:$A$301,0))),0)+N($G226))</f>
        <v/>
      </c>
      <c r="I226" s="18" t="n"/>
      <c r="J226" s="21">
        <f>IF(OR($H226="",$I226=""),"",$H226-$I226)</f>
        <v/>
      </c>
      <c r="K226" s="16">
        <f>IF($H226="","",IFERROR(IF(INDEX(Vinos!$J$2:$J$301,MATCH($B226,Vinos!$A$2:$A$301,0))="","",$H226*INDEX(Vinos!$J$2:$J$301,MATCH($B226,Vinos!$A$2:$A$301,0))),""))</f>
        <v/>
      </c>
      <c r="L226" s="16">
        <f>IF($H226="","",IFERROR(IF(INDEX(Vinos!$K$2:$K$301,MATCH($B226,Vinos!$A$2:$A$301,0))="","",$H226*INDEX(Vinos!$K$2:$K$301,MATCH($B226,Vinos!$A$2:$A$301,0))),""))</f>
        <v/>
      </c>
      <c r="M226" s="21">
        <f>IF(OR($A226="",$B226=""),"",SUMIFS($H$2:$H$2001,$A$2:$A$2001,$A226,$B$2:$B$2001,$B226))</f>
        <v/>
      </c>
      <c r="N226" s="20">
        <f>IF($M226="","",IF($M226&lt;=0,"Sin stock: reponer ya",IF($M226&lt;IFERROR(N(INDEX(Vinos!$N$2:$N$301,MATCH($B226,Vinos!$A$2:$A$301,0))),0),"Bajo mínimo: reponer","OK")))</f>
        <v/>
      </c>
      <c r="O226" s="14" t="n"/>
      <c r="P226" s="14" t="n"/>
      <c r="Q226" s="20">
        <f>IF($B226="","",IFERROR(INDEX(Vinos!$C$2:$C$301,MATCH($B226,Vinos!$A$2:$A$301,0)),""))</f>
        <v/>
      </c>
      <c r="R226" s="20">
        <f>IF(OR($A226="",$A226&lt;&gt;'Resumen del inventario'!$C$3,$N226="",$N226="OK"),"",IF(COUNTIFS($A$2:$A226,$A226,$B$2:$B226,$B226)=1,1,""))</f>
        <v/>
      </c>
      <c r="S226" s="20">
        <f>IF($R226=1,COUNTIF($R$2:$R226,1),"")</f>
        <v/>
      </c>
    </row>
    <row r="227">
      <c r="A227" s="19" t="n"/>
      <c r="B227" s="14" t="n"/>
      <c r="C227" s="20">
        <f>IF($B227="","",IFERROR(INDEX(Vinos!$B$2:$B$301,MATCH($B227,Vinos!$A$2:$A$301,0)),"Código no cargado"))</f>
        <v/>
      </c>
      <c r="D227" s="14" t="n"/>
      <c r="E227" s="14" t="n"/>
      <c r="F227" s="18" t="n"/>
      <c r="G227" s="18" t="n"/>
      <c r="H227" s="21">
        <f>IF(AND($F227="",$G227=""),"",N($F227)*IFERROR(N(INDEX(Vinos!$H$2:$H$301,MATCH($B227,Vinos!$A$2:$A$301,0))),0)+N($G227))</f>
        <v/>
      </c>
      <c r="I227" s="18" t="n"/>
      <c r="J227" s="21">
        <f>IF(OR($H227="",$I227=""),"",$H227-$I227)</f>
        <v/>
      </c>
      <c r="K227" s="16">
        <f>IF($H227="","",IFERROR(IF(INDEX(Vinos!$J$2:$J$301,MATCH($B227,Vinos!$A$2:$A$301,0))="","",$H227*INDEX(Vinos!$J$2:$J$301,MATCH($B227,Vinos!$A$2:$A$301,0))),""))</f>
        <v/>
      </c>
      <c r="L227" s="16">
        <f>IF($H227="","",IFERROR(IF(INDEX(Vinos!$K$2:$K$301,MATCH($B227,Vinos!$A$2:$A$301,0))="","",$H227*INDEX(Vinos!$K$2:$K$301,MATCH($B227,Vinos!$A$2:$A$301,0))),""))</f>
        <v/>
      </c>
      <c r="M227" s="21">
        <f>IF(OR($A227="",$B227=""),"",SUMIFS($H$2:$H$2001,$A$2:$A$2001,$A227,$B$2:$B$2001,$B227))</f>
        <v/>
      </c>
      <c r="N227" s="20">
        <f>IF($M227="","",IF($M227&lt;=0,"Sin stock: reponer ya",IF($M227&lt;IFERROR(N(INDEX(Vinos!$N$2:$N$301,MATCH($B227,Vinos!$A$2:$A$301,0))),0),"Bajo mínimo: reponer","OK")))</f>
        <v/>
      </c>
      <c r="O227" s="14" t="n"/>
      <c r="P227" s="14" t="n"/>
      <c r="Q227" s="20">
        <f>IF($B227="","",IFERROR(INDEX(Vinos!$C$2:$C$301,MATCH($B227,Vinos!$A$2:$A$301,0)),""))</f>
        <v/>
      </c>
      <c r="R227" s="20">
        <f>IF(OR($A227="",$A227&lt;&gt;'Resumen del inventario'!$C$3,$N227="",$N227="OK"),"",IF(COUNTIFS($A$2:$A227,$A227,$B$2:$B227,$B227)=1,1,""))</f>
        <v/>
      </c>
      <c r="S227" s="20">
        <f>IF($R227=1,COUNTIF($R$2:$R227,1),"")</f>
        <v/>
      </c>
    </row>
    <row r="228">
      <c r="A228" s="19" t="n"/>
      <c r="B228" s="14" t="n"/>
      <c r="C228" s="20">
        <f>IF($B228="","",IFERROR(INDEX(Vinos!$B$2:$B$301,MATCH($B228,Vinos!$A$2:$A$301,0)),"Código no cargado"))</f>
        <v/>
      </c>
      <c r="D228" s="14" t="n"/>
      <c r="E228" s="14" t="n"/>
      <c r="F228" s="18" t="n"/>
      <c r="G228" s="18" t="n"/>
      <c r="H228" s="21">
        <f>IF(AND($F228="",$G228=""),"",N($F228)*IFERROR(N(INDEX(Vinos!$H$2:$H$301,MATCH($B228,Vinos!$A$2:$A$301,0))),0)+N($G228))</f>
        <v/>
      </c>
      <c r="I228" s="18" t="n"/>
      <c r="J228" s="21">
        <f>IF(OR($H228="",$I228=""),"",$H228-$I228)</f>
        <v/>
      </c>
      <c r="K228" s="16">
        <f>IF($H228="","",IFERROR(IF(INDEX(Vinos!$J$2:$J$301,MATCH($B228,Vinos!$A$2:$A$301,0))="","",$H228*INDEX(Vinos!$J$2:$J$301,MATCH($B228,Vinos!$A$2:$A$301,0))),""))</f>
        <v/>
      </c>
      <c r="L228" s="16">
        <f>IF($H228="","",IFERROR(IF(INDEX(Vinos!$K$2:$K$301,MATCH($B228,Vinos!$A$2:$A$301,0))="","",$H228*INDEX(Vinos!$K$2:$K$301,MATCH($B228,Vinos!$A$2:$A$301,0))),""))</f>
        <v/>
      </c>
      <c r="M228" s="21">
        <f>IF(OR($A228="",$B228=""),"",SUMIFS($H$2:$H$2001,$A$2:$A$2001,$A228,$B$2:$B$2001,$B228))</f>
        <v/>
      </c>
      <c r="N228" s="20">
        <f>IF($M228="","",IF($M228&lt;=0,"Sin stock: reponer ya",IF($M228&lt;IFERROR(N(INDEX(Vinos!$N$2:$N$301,MATCH($B228,Vinos!$A$2:$A$301,0))),0),"Bajo mínimo: reponer","OK")))</f>
        <v/>
      </c>
      <c r="O228" s="14" t="n"/>
      <c r="P228" s="14" t="n"/>
      <c r="Q228" s="20">
        <f>IF($B228="","",IFERROR(INDEX(Vinos!$C$2:$C$301,MATCH($B228,Vinos!$A$2:$A$301,0)),""))</f>
        <v/>
      </c>
      <c r="R228" s="20">
        <f>IF(OR($A228="",$A228&lt;&gt;'Resumen del inventario'!$C$3,$N228="",$N228="OK"),"",IF(COUNTIFS($A$2:$A228,$A228,$B$2:$B228,$B228)=1,1,""))</f>
        <v/>
      </c>
      <c r="S228" s="20">
        <f>IF($R228=1,COUNTIF($R$2:$R228,1),"")</f>
        <v/>
      </c>
    </row>
    <row r="229">
      <c r="A229" s="19" t="n"/>
      <c r="B229" s="14" t="n"/>
      <c r="C229" s="20">
        <f>IF($B229="","",IFERROR(INDEX(Vinos!$B$2:$B$301,MATCH($B229,Vinos!$A$2:$A$301,0)),"Código no cargado"))</f>
        <v/>
      </c>
      <c r="D229" s="14" t="n"/>
      <c r="E229" s="14" t="n"/>
      <c r="F229" s="18" t="n"/>
      <c r="G229" s="18" t="n"/>
      <c r="H229" s="21">
        <f>IF(AND($F229="",$G229=""),"",N($F229)*IFERROR(N(INDEX(Vinos!$H$2:$H$301,MATCH($B229,Vinos!$A$2:$A$301,0))),0)+N($G229))</f>
        <v/>
      </c>
      <c r="I229" s="18" t="n"/>
      <c r="J229" s="21">
        <f>IF(OR($H229="",$I229=""),"",$H229-$I229)</f>
        <v/>
      </c>
      <c r="K229" s="16">
        <f>IF($H229="","",IFERROR(IF(INDEX(Vinos!$J$2:$J$301,MATCH($B229,Vinos!$A$2:$A$301,0))="","",$H229*INDEX(Vinos!$J$2:$J$301,MATCH($B229,Vinos!$A$2:$A$301,0))),""))</f>
        <v/>
      </c>
      <c r="L229" s="16">
        <f>IF($H229="","",IFERROR(IF(INDEX(Vinos!$K$2:$K$301,MATCH($B229,Vinos!$A$2:$A$301,0))="","",$H229*INDEX(Vinos!$K$2:$K$301,MATCH($B229,Vinos!$A$2:$A$301,0))),""))</f>
        <v/>
      </c>
      <c r="M229" s="21">
        <f>IF(OR($A229="",$B229=""),"",SUMIFS($H$2:$H$2001,$A$2:$A$2001,$A229,$B$2:$B$2001,$B229))</f>
        <v/>
      </c>
      <c r="N229" s="20">
        <f>IF($M229="","",IF($M229&lt;=0,"Sin stock: reponer ya",IF($M229&lt;IFERROR(N(INDEX(Vinos!$N$2:$N$301,MATCH($B229,Vinos!$A$2:$A$301,0))),0),"Bajo mínimo: reponer","OK")))</f>
        <v/>
      </c>
      <c r="O229" s="14" t="n"/>
      <c r="P229" s="14" t="n"/>
      <c r="Q229" s="20">
        <f>IF($B229="","",IFERROR(INDEX(Vinos!$C$2:$C$301,MATCH($B229,Vinos!$A$2:$A$301,0)),""))</f>
        <v/>
      </c>
      <c r="R229" s="20">
        <f>IF(OR($A229="",$A229&lt;&gt;'Resumen del inventario'!$C$3,$N229="",$N229="OK"),"",IF(COUNTIFS($A$2:$A229,$A229,$B$2:$B229,$B229)=1,1,""))</f>
        <v/>
      </c>
      <c r="S229" s="20">
        <f>IF($R229=1,COUNTIF($R$2:$R229,1),"")</f>
        <v/>
      </c>
    </row>
    <row r="230">
      <c r="A230" s="19" t="n"/>
      <c r="B230" s="14" t="n"/>
      <c r="C230" s="20">
        <f>IF($B230="","",IFERROR(INDEX(Vinos!$B$2:$B$301,MATCH($B230,Vinos!$A$2:$A$301,0)),"Código no cargado"))</f>
        <v/>
      </c>
      <c r="D230" s="14" t="n"/>
      <c r="E230" s="14" t="n"/>
      <c r="F230" s="18" t="n"/>
      <c r="G230" s="18" t="n"/>
      <c r="H230" s="21">
        <f>IF(AND($F230="",$G230=""),"",N($F230)*IFERROR(N(INDEX(Vinos!$H$2:$H$301,MATCH($B230,Vinos!$A$2:$A$301,0))),0)+N($G230))</f>
        <v/>
      </c>
      <c r="I230" s="18" t="n"/>
      <c r="J230" s="21">
        <f>IF(OR($H230="",$I230=""),"",$H230-$I230)</f>
        <v/>
      </c>
      <c r="K230" s="16">
        <f>IF($H230="","",IFERROR(IF(INDEX(Vinos!$J$2:$J$301,MATCH($B230,Vinos!$A$2:$A$301,0))="","",$H230*INDEX(Vinos!$J$2:$J$301,MATCH($B230,Vinos!$A$2:$A$301,0))),""))</f>
        <v/>
      </c>
      <c r="L230" s="16">
        <f>IF($H230="","",IFERROR(IF(INDEX(Vinos!$K$2:$K$301,MATCH($B230,Vinos!$A$2:$A$301,0))="","",$H230*INDEX(Vinos!$K$2:$K$301,MATCH($B230,Vinos!$A$2:$A$301,0))),""))</f>
        <v/>
      </c>
      <c r="M230" s="21">
        <f>IF(OR($A230="",$B230=""),"",SUMIFS($H$2:$H$2001,$A$2:$A$2001,$A230,$B$2:$B$2001,$B230))</f>
        <v/>
      </c>
      <c r="N230" s="20">
        <f>IF($M230="","",IF($M230&lt;=0,"Sin stock: reponer ya",IF($M230&lt;IFERROR(N(INDEX(Vinos!$N$2:$N$301,MATCH($B230,Vinos!$A$2:$A$301,0))),0),"Bajo mínimo: reponer","OK")))</f>
        <v/>
      </c>
      <c r="O230" s="14" t="n"/>
      <c r="P230" s="14" t="n"/>
      <c r="Q230" s="20">
        <f>IF($B230="","",IFERROR(INDEX(Vinos!$C$2:$C$301,MATCH($B230,Vinos!$A$2:$A$301,0)),""))</f>
        <v/>
      </c>
      <c r="R230" s="20">
        <f>IF(OR($A230="",$A230&lt;&gt;'Resumen del inventario'!$C$3,$N230="",$N230="OK"),"",IF(COUNTIFS($A$2:$A230,$A230,$B$2:$B230,$B230)=1,1,""))</f>
        <v/>
      </c>
      <c r="S230" s="20">
        <f>IF($R230=1,COUNTIF($R$2:$R230,1),"")</f>
        <v/>
      </c>
    </row>
    <row r="231">
      <c r="A231" s="19" t="n"/>
      <c r="B231" s="14" t="n"/>
      <c r="C231" s="20">
        <f>IF($B231="","",IFERROR(INDEX(Vinos!$B$2:$B$301,MATCH($B231,Vinos!$A$2:$A$301,0)),"Código no cargado"))</f>
        <v/>
      </c>
      <c r="D231" s="14" t="n"/>
      <c r="E231" s="14" t="n"/>
      <c r="F231" s="18" t="n"/>
      <c r="G231" s="18" t="n"/>
      <c r="H231" s="21">
        <f>IF(AND($F231="",$G231=""),"",N($F231)*IFERROR(N(INDEX(Vinos!$H$2:$H$301,MATCH($B231,Vinos!$A$2:$A$301,0))),0)+N($G231))</f>
        <v/>
      </c>
      <c r="I231" s="18" t="n"/>
      <c r="J231" s="21">
        <f>IF(OR($H231="",$I231=""),"",$H231-$I231)</f>
        <v/>
      </c>
      <c r="K231" s="16">
        <f>IF($H231="","",IFERROR(IF(INDEX(Vinos!$J$2:$J$301,MATCH($B231,Vinos!$A$2:$A$301,0))="","",$H231*INDEX(Vinos!$J$2:$J$301,MATCH($B231,Vinos!$A$2:$A$301,0))),""))</f>
        <v/>
      </c>
      <c r="L231" s="16">
        <f>IF($H231="","",IFERROR(IF(INDEX(Vinos!$K$2:$K$301,MATCH($B231,Vinos!$A$2:$A$301,0))="","",$H231*INDEX(Vinos!$K$2:$K$301,MATCH($B231,Vinos!$A$2:$A$301,0))),""))</f>
        <v/>
      </c>
      <c r="M231" s="21">
        <f>IF(OR($A231="",$B231=""),"",SUMIFS($H$2:$H$2001,$A$2:$A$2001,$A231,$B$2:$B$2001,$B231))</f>
        <v/>
      </c>
      <c r="N231" s="20">
        <f>IF($M231="","",IF($M231&lt;=0,"Sin stock: reponer ya",IF($M231&lt;IFERROR(N(INDEX(Vinos!$N$2:$N$301,MATCH($B231,Vinos!$A$2:$A$301,0))),0),"Bajo mínimo: reponer","OK")))</f>
        <v/>
      </c>
      <c r="O231" s="14" t="n"/>
      <c r="P231" s="14" t="n"/>
      <c r="Q231" s="20">
        <f>IF($B231="","",IFERROR(INDEX(Vinos!$C$2:$C$301,MATCH($B231,Vinos!$A$2:$A$301,0)),""))</f>
        <v/>
      </c>
      <c r="R231" s="20">
        <f>IF(OR($A231="",$A231&lt;&gt;'Resumen del inventario'!$C$3,$N231="",$N231="OK"),"",IF(COUNTIFS($A$2:$A231,$A231,$B$2:$B231,$B231)=1,1,""))</f>
        <v/>
      </c>
      <c r="S231" s="20">
        <f>IF($R231=1,COUNTIF($R$2:$R231,1),"")</f>
        <v/>
      </c>
    </row>
    <row r="232">
      <c r="A232" s="19" t="n"/>
      <c r="B232" s="14" t="n"/>
      <c r="C232" s="20">
        <f>IF($B232="","",IFERROR(INDEX(Vinos!$B$2:$B$301,MATCH($B232,Vinos!$A$2:$A$301,0)),"Código no cargado"))</f>
        <v/>
      </c>
      <c r="D232" s="14" t="n"/>
      <c r="E232" s="14" t="n"/>
      <c r="F232" s="18" t="n"/>
      <c r="G232" s="18" t="n"/>
      <c r="H232" s="21">
        <f>IF(AND($F232="",$G232=""),"",N($F232)*IFERROR(N(INDEX(Vinos!$H$2:$H$301,MATCH($B232,Vinos!$A$2:$A$301,0))),0)+N($G232))</f>
        <v/>
      </c>
      <c r="I232" s="18" t="n"/>
      <c r="J232" s="21">
        <f>IF(OR($H232="",$I232=""),"",$H232-$I232)</f>
        <v/>
      </c>
      <c r="K232" s="16">
        <f>IF($H232="","",IFERROR(IF(INDEX(Vinos!$J$2:$J$301,MATCH($B232,Vinos!$A$2:$A$301,0))="","",$H232*INDEX(Vinos!$J$2:$J$301,MATCH($B232,Vinos!$A$2:$A$301,0))),""))</f>
        <v/>
      </c>
      <c r="L232" s="16">
        <f>IF($H232="","",IFERROR(IF(INDEX(Vinos!$K$2:$K$301,MATCH($B232,Vinos!$A$2:$A$301,0))="","",$H232*INDEX(Vinos!$K$2:$K$301,MATCH($B232,Vinos!$A$2:$A$301,0))),""))</f>
        <v/>
      </c>
      <c r="M232" s="21">
        <f>IF(OR($A232="",$B232=""),"",SUMIFS($H$2:$H$2001,$A$2:$A$2001,$A232,$B$2:$B$2001,$B232))</f>
        <v/>
      </c>
      <c r="N232" s="20">
        <f>IF($M232="","",IF($M232&lt;=0,"Sin stock: reponer ya",IF($M232&lt;IFERROR(N(INDEX(Vinos!$N$2:$N$301,MATCH($B232,Vinos!$A$2:$A$301,0))),0),"Bajo mínimo: reponer","OK")))</f>
        <v/>
      </c>
      <c r="O232" s="14" t="n"/>
      <c r="P232" s="14" t="n"/>
      <c r="Q232" s="20">
        <f>IF($B232="","",IFERROR(INDEX(Vinos!$C$2:$C$301,MATCH($B232,Vinos!$A$2:$A$301,0)),""))</f>
        <v/>
      </c>
      <c r="R232" s="20">
        <f>IF(OR($A232="",$A232&lt;&gt;'Resumen del inventario'!$C$3,$N232="",$N232="OK"),"",IF(COUNTIFS($A$2:$A232,$A232,$B$2:$B232,$B232)=1,1,""))</f>
        <v/>
      </c>
      <c r="S232" s="20">
        <f>IF($R232=1,COUNTIF($R$2:$R232,1),"")</f>
        <v/>
      </c>
    </row>
    <row r="233">
      <c r="A233" s="19" t="n"/>
      <c r="B233" s="14" t="n"/>
      <c r="C233" s="20">
        <f>IF($B233="","",IFERROR(INDEX(Vinos!$B$2:$B$301,MATCH($B233,Vinos!$A$2:$A$301,0)),"Código no cargado"))</f>
        <v/>
      </c>
      <c r="D233" s="14" t="n"/>
      <c r="E233" s="14" t="n"/>
      <c r="F233" s="18" t="n"/>
      <c r="G233" s="18" t="n"/>
      <c r="H233" s="21">
        <f>IF(AND($F233="",$G233=""),"",N($F233)*IFERROR(N(INDEX(Vinos!$H$2:$H$301,MATCH($B233,Vinos!$A$2:$A$301,0))),0)+N($G233))</f>
        <v/>
      </c>
      <c r="I233" s="18" t="n"/>
      <c r="J233" s="21">
        <f>IF(OR($H233="",$I233=""),"",$H233-$I233)</f>
        <v/>
      </c>
      <c r="K233" s="16">
        <f>IF($H233="","",IFERROR(IF(INDEX(Vinos!$J$2:$J$301,MATCH($B233,Vinos!$A$2:$A$301,0))="","",$H233*INDEX(Vinos!$J$2:$J$301,MATCH($B233,Vinos!$A$2:$A$301,0))),""))</f>
        <v/>
      </c>
      <c r="L233" s="16">
        <f>IF($H233="","",IFERROR(IF(INDEX(Vinos!$K$2:$K$301,MATCH($B233,Vinos!$A$2:$A$301,0))="","",$H233*INDEX(Vinos!$K$2:$K$301,MATCH($B233,Vinos!$A$2:$A$301,0))),""))</f>
        <v/>
      </c>
      <c r="M233" s="21">
        <f>IF(OR($A233="",$B233=""),"",SUMIFS($H$2:$H$2001,$A$2:$A$2001,$A233,$B$2:$B$2001,$B233))</f>
        <v/>
      </c>
      <c r="N233" s="20">
        <f>IF($M233="","",IF($M233&lt;=0,"Sin stock: reponer ya",IF($M233&lt;IFERROR(N(INDEX(Vinos!$N$2:$N$301,MATCH($B233,Vinos!$A$2:$A$301,0))),0),"Bajo mínimo: reponer","OK")))</f>
        <v/>
      </c>
      <c r="O233" s="14" t="n"/>
      <c r="P233" s="14" t="n"/>
      <c r="Q233" s="20">
        <f>IF($B233="","",IFERROR(INDEX(Vinos!$C$2:$C$301,MATCH($B233,Vinos!$A$2:$A$301,0)),""))</f>
        <v/>
      </c>
      <c r="R233" s="20">
        <f>IF(OR($A233="",$A233&lt;&gt;'Resumen del inventario'!$C$3,$N233="",$N233="OK"),"",IF(COUNTIFS($A$2:$A233,$A233,$B$2:$B233,$B233)=1,1,""))</f>
        <v/>
      </c>
      <c r="S233" s="20">
        <f>IF($R233=1,COUNTIF($R$2:$R233,1),"")</f>
        <v/>
      </c>
    </row>
    <row r="234">
      <c r="A234" s="19" t="n"/>
      <c r="B234" s="14" t="n"/>
      <c r="C234" s="20">
        <f>IF($B234="","",IFERROR(INDEX(Vinos!$B$2:$B$301,MATCH($B234,Vinos!$A$2:$A$301,0)),"Código no cargado"))</f>
        <v/>
      </c>
      <c r="D234" s="14" t="n"/>
      <c r="E234" s="14" t="n"/>
      <c r="F234" s="18" t="n"/>
      <c r="G234" s="18" t="n"/>
      <c r="H234" s="21">
        <f>IF(AND($F234="",$G234=""),"",N($F234)*IFERROR(N(INDEX(Vinos!$H$2:$H$301,MATCH($B234,Vinos!$A$2:$A$301,0))),0)+N($G234))</f>
        <v/>
      </c>
      <c r="I234" s="18" t="n"/>
      <c r="J234" s="21">
        <f>IF(OR($H234="",$I234=""),"",$H234-$I234)</f>
        <v/>
      </c>
      <c r="K234" s="16">
        <f>IF($H234="","",IFERROR(IF(INDEX(Vinos!$J$2:$J$301,MATCH($B234,Vinos!$A$2:$A$301,0))="","",$H234*INDEX(Vinos!$J$2:$J$301,MATCH($B234,Vinos!$A$2:$A$301,0))),""))</f>
        <v/>
      </c>
      <c r="L234" s="16">
        <f>IF($H234="","",IFERROR(IF(INDEX(Vinos!$K$2:$K$301,MATCH($B234,Vinos!$A$2:$A$301,0))="","",$H234*INDEX(Vinos!$K$2:$K$301,MATCH($B234,Vinos!$A$2:$A$301,0))),""))</f>
        <v/>
      </c>
      <c r="M234" s="21">
        <f>IF(OR($A234="",$B234=""),"",SUMIFS($H$2:$H$2001,$A$2:$A$2001,$A234,$B$2:$B$2001,$B234))</f>
        <v/>
      </c>
      <c r="N234" s="20">
        <f>IF($M234="","",IF($M234&lt;=0,"Sin stock: reponer ya",IF($M234&lt;IFERROR(N(INDEX(Vinos!$N$2:$N$301,MATCH($B234,Vinos!$A$2:$A$301,0))),0),"Bajo mínimo: reponer","OK")))</f>
        <v/>
      </c>
      <c r="O234" s="14" t="n"/>
      <c r="P234" s="14" t="n"/>
      <c r="Q234" s="20">
        <f>IF($B234="","",IFERROR(INDEX(Vinos!$C$2:$C$301,MATCH($B234,Vinos!$A$2:$A$301,0)),""))</f>
        <v/>
      </c>
      <c r="R234" s="20">
        <f>IF(OR($A234="",$A234&lt;&gt;'Resumen del inventario'!$C$3,$N234="",$N234="OK"),"",IF(COUNTIFS($A$2:$A234,$A234,$B$2:$B234,$B234)=1,1,""))</f>
        <v/>
      </c>
      <c r="S234" s="20">
        <f>IF($R234=1,COUNTIF($R$2:$R234,1),"")</f>
        <v/>
      </c>
    </row>
    <row r="235">
      <c r="A235" s="19" t="n"/>
      <c r="B235" s="14" t="n"/>
      <c r="C235" s="20">
        <f>IF($B235="","",IFERROR(INDEX(Vinos!$B$2:$B$301,MATCH($B235,Vinos!$A$2:$A$301,0)),"Código no cargado"))</f>
        <v/>
      </c>
      <c r="D235" s="14" t="n"/>
      <c r="E235" s="14" t="n"/>
      <c r="F235" s="18" t="n"/>
      <c r="G235" s="18" t="n"/>
      <c r="H235" s="21">
        <f>IF(AND($F235="",$G235=""),"",N($F235)*IFERROR(N(INDEX(Vinos!$H$2:$H$301,MATCH($B235,Vinos!$A$2:$A$301,0))),0)+N($G235))</f>
        <v/>
      </c>
      <c r="I235" s="18" t="n"/>
      <c r="J235" s="21">
        <f>IF(OR($H235="",$I235=""),"",$H235-$I235)</f>
        <v/>
      </c>
      <c r="K235" s="16">
        <f>IF($H235="","",IFERROR(IF(INDEX(Vinos!$J$2:$J$301,MATCH($B235,Vinos!$A$2:$A$301,0))="","",$H235*INDEX(Vinos!$J$2:$J$301,MATCH($B235,Vinos!$A$2:$A$301,0))),""))</f>
        <v/>
      </c>
      <c r="L235" s="16">
        <f>IF($H235="","",IFERROR(IF(INDEX(Vinos!$K$2:$K$301,MATCH($B235,Vinos!$A$2:$A$301,0))="","",$H235*INDEX(Vinos!$K$2:$K$301,MATCH($B235,Vinos!$A$2:$A$301,0))),""))</f>
        <v/>
      </c>
      <c r="M235" s="21">
        <f>IF(OR($A235="",$B235=""),"",SUMIFS($H$2:$H$2001,$A$2:$A$2001,$A235,$B$2:$B$2001,$B235))</f>
        <v/>
      </c>
      <c r="N235" s="20">
        <f>IF($M235="","",IF($M235&lt;=0,"Sin stock: reponer ya",IF($M235&lt;IFERROR(N(INDEX(Vinos!$N$2:$N$301,MATCH($B235,Vinos!$A$2:$A$301,0))),0),"Bajo mínimo: reponer","OK")))</f>
        <v/>
      </c>
      <c r="O235" s="14" t="n"/>
      <c r="P235" s="14" t="n"/>
      <c r="Q235" s="20">
        <f>IF($B235="","",IFERROR(INDEX(Vinos!$C$2:$C$301,MATCH($B235,Vinos!$A$2:$A$301,0)),""))</f>
        <v/>
      </c>
      <c r="R235" s="20">
        <f>IF(OR($A235="",$A235&lt;&gt;'Resumen del inventario'!$C$3,$N235="",$N235="OK"),"",IF(COUNTIFS($A$2:$A235,$A235,$B$2:$B235,$B235)=1,1,""))</f>
        <v/>
      </c>
      <c r="S235" s="20">
        <f>IF($R235=1,COUNTIF($R$2:$R235,1),"")</f>
        <v/>
      </c>
    </row>
    <row r="236">
      <c r="A236" s="19" t="n"/>
      <c r="B236" s="14" t="n"/>
      <c r="C236" s="20">
        <f>IF($B236="","",IFERROR(INDEX(Vinos!$B$2:$B$301,MATCH($B236,Vinos!$A$2:$A$301,0)),"Código no cargado"))</f>
        <v/>
      </c>
      <c r="D236" s="14" t="n"/>
      <c r="E236" s="14" t="n"/>
      <c r="F236" s="18" t="n"/>
      <c r="G236" s="18" t="n"/>
      <c r="H236" s="21">
        <f>IF(AND($F236="",$G236=""),"",N($F236)*IFERROR(N(INDEX(Vinos!$H$2:$H$301,MATCH($B236,Vinos!$A$2:$A$301,0))),0)+N($G236))</f>
        <v/>
      </c>
      <c r="I236" s="18" t="n"/>
      <c r="J236" s="21">
        <f>IF(OR($H236="",$I236=""),"",$H236-$I236)</f>
        <v/>
      </c>
      <c r="K236" s="16">
        <f>IF($H236="","",IFERROR(IF(INDEX(Vinos!$J$2:$J$301,MATCH($B236,Vinos!$A$2:$A$301,0))="","",$H236*INDEX(Vinos!$J$2:$J$301,MATCH($B236,Vinos!$A$2:$A$301,0))),""))</f>
        <v/>
      </c>
      <c r="L236" s="16">
        <f>IF($H236="","",IFERROR(IF(INDEX(Vinos!$K$2:$K$301,MATCH($B236,Vinos!$A$2:$A$301,0))="","",$H236*INDEX(Vinos!$K$2:$K$301,MATCH($B236,Vinos!$A$2:$A$301,0))),""))</f>
        <v/>
      </c>
      <c r="M236" s="21">
        <f>IF(OR($A236="",$B236=""),"",SUMIFS($H$2:$H$2001,$A$2:$A$2001,$A236,$B$2:$B$2001,$B236))</f>
        <v/>
      </c>
      <c r="N236" s="20">
        <f>IF($M236="","",IF($M236&lt;=0,"Sin stock: reponer ya",IF($M236&lt;IFERROR(N(INDEX(Vinos!$N$2:$N$301,MATCH($B236,Vinos!$A$2:$A$301,0))),0),"Bajo mínimo: reponer","OK")))</f>
        <v/>
      </c>
      <c r="O236" s="14" t="n"/>
      <c r="P236" s="14" t="n"/>
      <c r="Q236" s="20">
        <f>IF($B236="","",IFERROR(INDEX(Vinos!$C$2:$C$301,MATCH($B236,Vinos!$A$2:$A$301,0)),""))</f>
        <v/>
      </c>
      <c r="R236" s="20">
        <f>IF(OR($A236="",$A236&lt;&gt;'Resumen del inventario'!$C$3,$N236="",$N236="OK"),"",IF(COUNTIFS($A$2:$A236,$A236,$B$2:$B236,$B236)=1,1,""))</f>
        <v/>
      </c>
      <c r="S236" s="20">
        <f>IF($R236=1,COUNTIF($R$2:$R236,1),"")</f>
        <v/>
      </c>
    </row>
    <row r="237">
      <c r="A237" s="19" t="n"/>
      <c r="B237" s="14" t="n"/>
      <c r="C237" s="20">
        <f>IF($B237="","",IFERROR(INDEX(Vinos!$B$2:$B$301,MATCH($B237,Vinos!$A$2:$A$301,0)),"Código no cargado"))</f>
        <v/>
      </c>
      <c r="D237" s="14" t="n"/>
      <c r="E237" s="14" t="n"/>
      <c r="F237" s="18" t="n"/>
      <c r="G237" s="18" t="n"/>
      <c r="H237" s="21">
        <f>IF(AND($F237="",$G237=""),"",N($F237)*IFERROR(N(INDEX(Vinos!$H$2:$H$301,MATCH($B237,Vinos!$A$2:$A$301,0))),0)+N($G237))</f>
        <v/>
      </c>
      <c r="I237" s="18" t="n"/>
      <c r="J237" s="21">
        <f>IF(OR($H237="",$I237=""),"",$H237-$I237)</f>
        <v/>
      </c>
      <c r="K237" s="16">
        <f>IF($H237="","",IFERROR(IF(INDEX(Vinos!$J$2:$J$301,MATCH($B237,Vinos!$A$2:$A$301,0))="","",$H237*INDEX(Vinos!$J$2:$J$301,MATCH($B237,Vinos!$A$2:$A$301,0))),""))</f>
        <v/>
      </c>
      <c r="L237" s="16">
        <f>IF($H237="","",IFERROR(IF(INDEX(Vinos!$K$2:$K$301,MATCH($B237,Vinos!$A$2:$A$301,0))="","",$H237*INDEX(Vinos!$K$2:$K$301,MATCH($B237,Vinos!$A$2:$A$301,0))),""))</f>
        <v/>
      </c>
      <c r="M237" s="21">
        <f>IF(OR($A237="",$B237=""),"",SUMIFS($H$2:$H$2001,$A$2:$A$2001,$A237,$B$2:$B$2001,$B237))</f>
        <v/>
      </c>
      <c r="N237" s="20">
        <f>IF($M237="","",IF($M237&lt;=0,"Sin stock: reponer ya",IF($M237&lt;IFERROR(N(INDEX(Vinos!$N$2:$N$301,MATCH($B237,Vinos!$A$2:$A$301,0))),0),"Bajo mínimo: reponer","OK")))</f>
        <v/>
      </c>
      <c r="O237" s="14" t="n"/>
      <c r="P237" s="14" t="n"/>
      <c r="Q237" s="20">
        <f>IF($B237="","",IFERROR(INDEX(Vinos!$C$2:$C$301,MATCH($B237,Vinos!$A$2:$A$301,0)),""))</f>
        <v/>
      </c>
      <c r="R237" s="20">
        <f>IF(OR($A237="",$A237&lt;&gt;'Resumen del inventario'!$C$3,$N237="",$N237="OK"),"",IF(COUNTIFS($A$2:$A237,$A237,$B$2:$B237,$B237)=1,1,""))</f>
        <v/>
      </c>
      <c r="S237" s="20">
        <f>IF($R237=1,COUNTIF($R$2:$R237,1),"")</f>
        <v/>
      </c>
    </row>
    <row r="238">
      <c r="A238" s="19" t="n"/>
      <c r="B238" s="14" t="n"/>
      <c r="C238" s="20">
        <f>IF($B238="","",IFERROR(INDEX(Vinos!$B$2:$B$301,MATCH($B238,Vinos!$A$2:$A$301,0)),"Código no cargado"))</f>
        <v/>
      </c>
      <c r="D238" s="14" t="n"/>
      <c r="E238" s="14" t="n"/>
      <c r="F238" s="18" t="n"/>
      <c r="G238" s="18" t="n"/>
      <c r="H238" s="21">
        <f>IF(AND($F238="",$G238=""),"",N($F238)*IFERROR(N(INDEX(Vinos!$H$2:$H$301,MATCH($B238,Vinos!$A$2:$A$301,0))),0)+N($G238))</f>
        <v/>
      </c>
      <c r="I238" s="18" t="n"/>
      <c r="J238" s="21">
        <f>IF(OR($H238="",$I238=""),"",$H238-$I238)</f>
        <v/>
      </c>
      <c r="K238" s="16">
        <f>IF($H238="","",IFERROR(IF(INDEX(Vinos!$J$2:$J$301,MATCH($B238,Vinos!$A$2:$A$301,0))="","",$H238*INDEX(Vinos!$J$2:$J$301,MATCH($B238,Vinos!$A$2:$A$301,0))),""))</f>
        <v/>
      </c>
      <c r="L238" s="16">
        <f>IF($H238="","",IFERROR(IF(INDEX(Vinos!$K$2:$K$301,MATCH($B238,Vinos!$A$2:$A$301,0))="","",$H238*INDEX(Vinos!$K$2:$K$301,MATCH($B238,Vinos!$A$2:$A$301,0))),""))</f>
        <v/>
      </c>
      <c r="M238" s="21">
        <f>IF(OR($A238="",$B238=""),"",SUMIFS($H$2:$H$2001,$A$2:$A$2001,$A238,$B$2:$B$2001,$B238))</f>
        <v/>
      </c>
      <c r="N238" s="20">
        <f>IF($M238="","",IF($M238&lt;=0,"Sin stock: reponer ya",IF($M238&lt;IFERROR(N(INDEX(Vinos!$N$2:$N$301,MATCH($B238,Vinos!$A$2:$A$301,0))),0),"Bajo mínimo: reponer","OK")))</f>
        <v/>
      </c>
      <c r="O238" s="14" t="n"/>
      <c r="P238" s="14" t="n"/>
      <c r="Q238" s="20">
        <f>IF($B238="","",IFERROR(INDEX(Vinos!$C$2:$C$301,MATCH($B238,Vinos!$A$2:$A$301,0)),""))</f>
        <v/>
      </c>
      <c r="R238" s="20">
        <f>IF(OR($A238="",$A238&lt;&gt;'Resumen del inventario'!$C$3,$N238="",$N238="OK"),"",IF(COUNTIFS($A$2:$A238,$A238,$B$2:$B238,$B238)=1,1,""))</f>
        <v/>
      </c>
      <c r="S238" s="20">
        <f>IF($R238=1,COUNTIF($R$2:$R238,1),"")</f>
        <v/>
      </c>
    </row>
    <row r="239">
      <c r="A239" s="19" t="n"/>
      <c r="B239" s="14" t="n"/>
      <c r="C239" s="20">
        <f>IF($B239="","",IFERROR(INDEX(Vinos!$B$2:$B$301,MATCH($B239,Vinos!$A$2:$A$301,0)),"Código no cargado"))</f>
        <v/>
      </c>
      <c r="D239" s="14" t="n"/>
      <c r="E239" s="14" t="n"/>
      <c r="F239" s="18" t="n"/>
      <c r="G239" s="18" t="n"/>
      <c r="H239" s="21">
        <f>IF(AND($F239="",$G239=""),"",N($F239)*IFERROR(N(INDEX(Vinos!$H$2:$H$301,MATCH($B239,Vinos!$A$2:$A$301,0))),0)+N($G239))</f>
        <v/>
      </c>
      <c r="I239" s="18" t="n"/>
      <c r="J239" s="21">
        <f>IF(OR($H239="",$I239=""),"",$H239-$I239)</f>
        <v/>
      </c>
      <c r="K239" s="16">
        <f>IF($H239="","",IFERROR(IF(INDEX(Vinos!$J$2:$J$301,MATCH($B239,Vinos!$A$2:$A$301,0))="","",$H239*INDEX(Vinos!$J$2:$J$301,MATCH($B239,Vinos!$A$2:$A$301,0))),""))</f>
        <v/>
      </c>
      <c r="L239" s="16">
        <f>IF($H239="","",IFERROR(IF(INDEX(Vinos!$K$2:$K$301,MATCH($B239,Vinos!$A$2:$A$301,0))="","",$H239*INDEX(Vinos!$K$2:$K$301,MATCH($B239,Vinos!$A$2:$A$301,0))),""))</f>
        <v/>
      </c>
      <c r="M239" s="21">
        <f>IF(OR($A239="",$B239=""),"",SUMIFS($H$2:$H$2001,$A$2:$A$2001,$A239,$B$2:$B$2001,$B239))</f>
        <v/>
      </c>
      <c r="N239" s="20">
        <f>IF($M239="","",IF($M239&lt;=0,"Sin stock: reponer ya",IF($M239&lt;IFERROR(N(INDEX(Vinos!$N$2:$N$301,MATCH($B239,Vinos!$A$2:$A$301,0))),0),"Bajo mínimo: reponer","OK")))</f>
        <v/>
      </c>
      <c r="O239" s="14" t="n"/>
      <c r="P239" s="14" t="n"/>
      <c r="Q239" s="20">
        <f>IF($B239="","",IFERROR(INDEX(Vinos!$C$2:$C$301,MATCH($B239,Vinos!$A$2:$A$301,0)),""))</f>
        <v/>
      </c>
      <c r="R239" s="20">
        <f>IF(OR($A239="",$A239&lt;&gt;'Resumen del inventario'!$C$3,$N239="",$N239="OK"),"",IF(COUNTIFS($A$2:$A239,$A239,$B$2:$B239,$B239)=1,1,""))</f>
        <v/>
      </c>
      <c r="S239" s="20">
        <f>IF($R239=1,COUNTIF($R$2:$R239,1),"")</f>
        <v/>
      </c>
    </row>
    <row r="240">
      <c r="A240" s="19" t="n"/>
      <c r="B240" s="14" t="n"/>
      <c r="C240" s="20">
        <f>IF($B240="","",IFERROR(INDEX(Vinos!$B$2:$B$301,MATCH($B240,Vinos!$A$2:$A$301,0)),"Código no cargado"))</f>
        <v/>
      </c>
      <c r="D240" s="14" t="n"/>
      <c r="E240" s="14" t="n"/>
      <c r="F240" s="18" t="n"/>
      <c r="G240" s="18" t="n"/>
      <c r="H240" s="21">
        <f>IF(AND($F240="",$G240=""),"",N($F240)*IFERROR(N(INDEX(Vinos!$H$2:$H$301,MATCH($B240,Vinos!$A$2:$A$301,0))),0)+N($G240))</f>
        <v/>
      </c>
      <c r="I240" s="18" t="n"/>
      <c r="J240" s="21">
        <f>IF(OR($H240="",$I240=""),"",$H240-$I240)</f>
        <v/>
      </c>
      <c r="K240" s="16">
        <f>IF($H240="","",IFERROR(IF(INDEX(Vinos!$J$2:$J$301,MATCH($B240,Vinos!$A$2:$A$301,0))="","",$H240*INDEX(Vinos!$J$2:$J$301,MATCH($B240,Vinos!$A$2:$A$301,0))),""))</f>
        <v/>
      </c>
      <c r="L240" s="16">
        <f>IF($H240="","",IFERROR(IF(INDEX(Vinos!$K$2:$K$301,MATCH($B240,Vinos!$A$2:$A$301,0))="","",$H240*INDEX(Vinos!$K$2:$K$301,MATCH($B240,Vinos!$A$2:$A$301,0))),""))</f>
        <v/>
      </c>
      <c r="M240" s="21">
        <f>IF(OR($A240="",$B240=""),"",SUMIFS($H$2:$H$2001,$A$2:$A$2001,$A240,$B$2:$B$2001,$B240))</f>
        <v/>
      </c>
      <c r="N240" s="20">
        <f>IF($M240="","",IF($M240&lt;=0,"Sin stock: reponer ya",IF($M240&lt;IFERROR(N(INDEX(Vinos!$N$2:$N$301,MATCH($B240,Vinos!$A$2:$A$301,0))),0),"Bajo mínimo: reponer","OK")))</f>
        <v/>
      </c>
      <c r="O240" s="14" t="n"/>
      <c r="P240" s="14" t="n"/>
      <c r="Q240" s="20">
        <f>IF($B240="","",IFERROR(INDEX(Vinos!$C$2:$C$301,MATCH($B240,Vinos!$A$2:$A$301,0)),""))</f>
        <v/>
      </c>
      <c r="R240" s="20">
        <f>IF(OR($A240="",$A240&lt;&gt;'Resumen del inventario'!$C$3,$N240="",$N240="OK"),"",IF(COUNTIFS($A$2:$A240,$A240,$B$2:$B240,$B240)=1,1,""))</f>
        <v/>
      </c>
      <c r="S240" s="20">
        <f>IF($R240=1,COUNTIF($R$2:$R240,1),"")</f>
        <v/>
      </c>
    </row>
    <row r="241">
      <c r="A241" s="19" t="n"/>
      <c r="B241" s="14" t="n"/>
      <c r="C241" s="20">
        <f>IF($B241="","",IFERROR(INDEX(Vinos!$B$2:$B$301,MATCH($B241,Vinos!$A$2:$A$301,0)),"Código no cargado"))</f>
        <v/>
      </c>
      <c r="D241" s="14" t="n"/>
      <c r="E241" s="14" t="n"/>
      <c r="F241" s="18" t="n"/>
      <c r="G241" s="18" t="n"/>
      <c r="H241" s="21">
        <f>IF(AND($F241="",$G241=""),"",N($F241)*IFERROR(N(INDEX(Vinos!$H$2:$H$301,MATCH($B241,Vinos!$A$2:$A$301,0))),0)+N($G241))</f>
        <v/>
      </c>
      <c r="I241" s="18" t="n"/>
      <c r="J241" s="21">
        <f>IF(OR($H241="",$I241=""),"",$H241-$I241)</f>
        <v/>
      </c>
      <c r="K241" s="16">
        <f>IF($H241="","",IFERROR(IF(INDEX(Vinos!$J$2:$J$301,MATCH($B241,Vinos!$A$2:$A$301,0))="","",$H241*INDEX(Vinos!$J$2:$J$301,MATCH($B241,Vinos!$A$2:$A$301,0))),""))</f>
        <v/>
      </c>
      <c r="L241" s="16">
        <f>IF($H241="","",IFERROR(IF(INDEX(Vinos!$K$2:$K$301,MATCH($B241,Vinos!$A$2:$A$301,0))="","",$H241*INDEX(Vinos!$K$2:$K$301,MATCH($B241,Vinos!$A$2:$A$301,0))),""))</f>
        <v/>
      </c>
      <c r="M241" s="21">
        <f>IF(OR($A241="",$B241=""),"",SUMIFS($H$2:$H$2001,$A$2:$A$2001,$A241,$B$2:$B$2001,$B241))</f>
        <v/>
      </c>
      <c r="N241" s="20">
        <f>IF($M241="","",IF($M241&lt;=0,"Sin stock: reponer ya",IF($M241&lt;IFERROR(N(INDEX(Vinos!$N$2:$N$301,MATCH($B241,Vinos!$A$2:$A$301,0))),0),"Bajo mínimo: reponer","OK")))</f>
        <v/>
      </c>
      <c r="O241" s="14" t="n"/>
      <c r="P241" s="14" t="n"/>
      <c r="Q241" s="20">
        <f>IF($B241="","",IFERROR(INDEX(Vinos!$C$2:$C$301,MATCH($B241,Vinos!$A$2:$A$301,0)),""))</f>
        <v/>
      </c>
      <c r="R241" s="20">
        <f>IF(OR($A241="",$A241&lt;&gt;'Resumen del inventario'!$C$3,$N241="",$N241="OK"),"",IF(COUNTIFS($A$2:$A241,$A241,$B$2:$B241,$B241)=1,1,""))</f>
        <v/>
      </c>
      <c r="S241" s="20">
        <f>IF($R241=1,COUNTIF($R$2:$R241,1),"")</f>
        <v/>
      </c>
    </row>
    <row r="242">
      <c r="A242" s="19" t="n"/>
      <c r="B242" s="14" t="n"/>
      <c r="C242" s="20">
        <f>IF($B242="","",IFERROR(INDEX(Vinos!$B$2:$B$301,MATCH($B242,Vinos!$A$2:$A$301,0)),"Código no cargado"))</f>
        <v/>
      </c>
      <c r="D242" s="14" t="n"/>
      <c r="E242" s="14" t="n"/>
      <c r="F242" s="18" t="n"/>
      <c r="G242" s="18" t="n"/>
      <c r="H242" s="21">
        <f>IF(AND($F242="",$G242=""),"",N($F242)*IFERROR(N(INDEX(Vinos!$H$2:$H$301,MATCH($B242,Vinos!$A$2:$A$301,0))),0)+N($G242))</f>
        <v/>
      </c>
      <c r="I242" s="18" t="n"/>
      <c r="J242" s="21">
        <f>IF(OR($H242="",$I242=""),"",$H242-$I242)</f>
        <v/>
      </c>
      <c r="K242" s="16">
        <f>IF($H242="","",IFERROR(IF(INDEX(Vinos!$J$2:$J$301,MATCH($B242,Vinos!$A$2:$A$301,0))="","",$H242*INDEX(Vinos!$J$2:$J$301,MATCH($B242,Vinos!$A$2:$A$301,0))),""))</f>
        <v/>
      </c>
      <c r="L242" s="16">
        <f>IF($H242="","",IFERROR(IF(INDEX(Vinos!$K$2:$K$301,MATCH($B242,Vinos!$A$2:$A$301,0))="","",$H242*INDEX(Vinos!$K$2:$K$301,MATCH($B242,Vinos!$A$2:$A$301,0))),""))</f>
        <v/>
      </c>
      <c r="M242" s="21">
        <f>IF(OR($A242="",$B242=""),"",SUMIFS($H$2:$H$2001,$A$2:$A$2001,$A242,$B$2:$B$2001,$B242))</f>
        <v/>
      </c>
      <c r="N242" s="20">
        <f>IF($M242="","",IF($M242&lt;=0,"Sin stock: reponer ya",IF($M242&lt;IFERROR(N(INDEX(Vinos!$N$2:$N$301,MATCH($B242,Vinos!$A$2:$A$301,0))),0),"Bajo mínimo: reponer","OK")))</f>
        <v/>
      </c>
      <c r="O242" s="14" t="n"/>
      <c r="P242" s="14" t="n"/>
      <c r="Q242" s="20">
        <f>IF($B242="","",IFERROR(INDEX(Vinos!$C$2:$C$301,MATCH($B242,Vinos!$A$2:$A$301,0)),""))</f>
        <v/>
      </c>
      <c r="R242" s="20">
        <f>IF(OR($A242="",$A242&lt;&gt;'Resumen del inventario'!$C$3,$N242="",$N242="OK"),"",IF(COUNTIFS($A$2:$A242,$A242,$B$2:$B242,$B242)=1,1,""))</f>
        <v/>
      </c>
      <c r="S242" s="20">
        <f>IF($R242=1,COUNTIF($R$2:$R242,1),"")</f>
        <v/>
      </c>
    </row>
    <row r="243">
      <c r="A243" s="19" t="n"/>
      <c r="B243" s="14" t="n"/>
      <c r="C243" s="20">
        <f>IF($B243="","",IFERROR(INDEX(Vinos!$B$2:$B$301,MATCH($B243,Vinos!$A$2:$A$301,0)),"Código no cargado"))</f>
        <v/>
      </c>
      <c r="D243" s="14" t="n"/>
      <c r="E243" s="14" t="n"/>
      <c r="F243" s="18" t="n"/>
      <c r="G243" s="18" t="n"/>
      <c r="H243" s="21">
        <f>IF(AND($F243="",$G243=""),"",N($F243)*IFERROR(N(INDEX(Vinos!$H$2:$H$301,MATCH($B243,Vinos!$A$2:$A$301,0))),0)+N($G243))</f>
        <v/>
      </c>
      <c r="I243" s="18" t="n"/>
      <c r="J243" s="21">
        <f>IF(OR($H243="",$I243=""),"",$H243-$I243)</f>
        <v/>
      </c>
      <c r="K243" s="16">
        <f>IF($H243="","",IFERROR(IF(INDEX(Vinos!$J$2:$J$301,MATCH($B243,Vinos!$A$2:$A$301,0))="","",$H243*INDEX(Vinos!$J$2:$J$301,MATCH($B243,Vinos!$A$2:$A$301,0))),""))</f>
        <v/>
      </c>
      <c r="L243" s="16">
        <f>IF($H243="","",IFERROR(IF(INDEX(Vinos!$K$2:$K$301,MATCH($B243,Vinos!$A$2:$A$301,0))="","",$H243*INDEX(Vinos!$K$2:$K$301,MATCH($B243,Vinos!$A$2:$A$301,0))),""))</f>
        <v/>
      </c>
      <c r="M243" s="21">
        <f>IF(OR($A243="",$B243=""),"",SUMIFS($H$2:$H$2001,$A$2:$A$2001,$A243,$B$2:$B$2001,$B243))</f>
        <v/>
      </c>
      <c r="N243" s="20">
        <f>IF($M243="","",IF($M243&lt;=0,"Sin stock: reponer ya",IF($M243&lt;IFERROR(N(INDEX(Vinos!$N$2:$N$301,MATCH($B243,Vinos!$A$2:$A$301,0))),0),"Bajo mínimo: reponer","OK")))</f>
        <v/>
      </c>
      <c r="O243" s="14" t="n"/>
      <c r="P243" s="14" t="n"/>
      <c r="Q243" s="20">
        <f>IF($B243="","",IFERROR(INDEX(Vinos!$C$2:$C$301,MATCH($B243,Vinos!$A$2:$A$301,0)),""))</f>
        <v/>
      </c>
      <c r="R243" s="20">
        <f>IF(OR($A243="",$A243&lt;&gt;'Resumen del inventario'!$C$3,$N243="",$N243="OK"),"",IF(COUNTIFS($A$2:$A243,$A243,$B$2:$B243,$B243)=1,1,""))</f>
        <v/>
      </c>
      <c r="S243" s="20">
        <f>IF($R243=1,COUNTIF($R$2:$R243,1),"")</f>
        <v/>
      </c>
    </row>
    <row r="244">
      <c r="A244" s="19" t="n"/>
      <c r="B244" s="14" t="n"/>
      <c r="C244" s="20">
        <f>IF($B244="","",IFERROR(INDEX(Vinos!$B$2:$B$301,MATCH($B244,Vinos!$A$2:$A$301,0)),"Código no cargado"))</f>
        <v/>
      </c>
      <c r="D244" s="14" t="n"/>
      <c r="E244" s="14" t="n"/>
      <c r="F244" s="18" t="n"/>
      <c r="G244" s="18" t="n"/>
      <c r="H244" s="21">
        <f>IF(AND($F244="",$G244=""),"",N($F244)*IFERROR(N(INDEX(Vinos!$H$2:$H$301,MATCH($B244,Vinos!$A$2:$A$301,0))),0)+N($G244))</f>
        <v/>
      </c>
      <c r="I244" s="18" t="n"/>
      <c r="J244" s="21">
        <f>IF(OR($H244="",$I244=""),"",$H244-$I244)</f>
        <v/>
      </c>
      <c r="K244" s="16">
        <f>IF($H244="","",IFERROR(IF(INDEX(Vinos!$J$2:$J$301,MATCH($B244,Vinos!$A$2:$A$301,0))="","",$H244*INDEX(Vinos!$J$2:$J$301,MATCH($B244,Vinos!$A$2:$A$301,0))),""))</f>
        <v/>
      </c>
      <c r="L244" s="16">
        <f>IF($H244="","",IFERROR(IF(INDEX(Vinos!$K$2:$K$301,MATCH($B244,Vinos!$A$2:$A$301,0))="","",$H244*INDEX(Vinos!$K$2:$K$301,MATCH($B244,Vinos!$A$2:$A$301,0))),""))</f>
        <v/>
      </c>
      <c r="M244" s="21">
        <f>IF(OR($A244="",$B244=""),"",SUMIFS($H$2:$H$2001,$A$2:$A$2001,$A244,$B$2:$B$2001,$B244))</f>
        <v/>
      </c>
      <c r="N244" s="20">
        <f>IF($M244="","",IF($M244&lt;=0,"Sin stock: reponer ya",IF($M244&lt;IFERROR(N(INDEX(Vinos!$N$2:$N$301,MATCH($B244,Vinos!$A$2:$A$301,0))),0),"Bajo mínimo: reponer","OK")))</f>
        <v/>
      </c>
      <c r="O244" s="14" t="n"/>
      <c r="P244" s="14" t="n"/>
      <c r="Q244" s="20">
        <f>IF($B244="","",IFERROR(INDEX(Vinos!$C$2:$C$301,MATCH($B244,Vinos!$A$2:$A$301,0)),""))</f>
        <v/>
      </c>
      <c r="R244" s="20">
        <f>IF(OR($A244="",$A244&lt;&gt;'Resumen del inventario'!$C$3,$N244="",$N244="OK"),"",IF(COUNTIFS($A$2:$A244,$A244,$B$2:$B244,$B244)=1,1,""))</f>
        <v/>
      </c>
      <c r="S244" s="20">
        <f>IF($R244=1,COUNTIF($R$2:$R244,1),"")</f>
        <v/>
      </c>
    </row>
    <row r="245">
      <c r="A245" s="19" t="n"/>
      <c r="B245" s="14" t="n"/>
      <c r="C245" s="20">
        <f>IF($B245="","",IFERROR(INDEX(Vinos!$B$2:$B$301,MATCH($B245,Vinos!$A$2:$A$301,0)),"Código no cargado"))</f>
        <v/>
      </c>
      <c r="D245" s="14" t="n"/>
      <c r="E245" s="14" t="n"/>
      <c r="F245" s="18" t="n"/>
      <c r="G245" s="18" t="n"/>
      <c r="H245" s="21">
        <f>IF(AND($F245="",$G245=""),"",N($F245)*IFERROR(N(INDEX(Vinos!$H$2:$H$301,MATCH($B245,Vinos!$A$2:$A$301,0))),0)+N($G245))</f>
        <v/>
      </c>
      <c r="I245" s="18" t="n"/>
      <c r="J245" s="21">
        <f>IF(OR($H245="",$I245=""),"",$H245-$I245)</f>
        <v/>
      </c>
      <c r="K245" s="16">
        <f>IF($H245="","",IFERROR(IF(INDEX(Vinos!$J$2:$J$301,MATCH($B245,Vinos!$A$2:$A$301,0))="","",$H245*INDEX(Vinos!$J$2:$J$301,MATCH($B245,Vinos!$A$2:$A$301,0))),""))</f>
        <v/>
      </c>
      <c r="L245" s="16">
        <f>IF($H245="","",IFERROR(IF(INDEX(Vinos!$K$2:$K$301,MATCH($B245,Vinos!$A$2:$A$301,0))="","",$H245*INDEX(Vinos!$K$2:$K$301,MATCH($B245,Vinos!$A$2:$A$301,0))),""))</f>
        <v/>
      </c>
      <c r="M245" s="21">
        <f>IF(OR($A245="",$B245=""),"",SUMIFS($H$2:$H$2001,$A$2:$A$2001,$A245,$B$2:$B$2001,$B245))</f>
        <v/>
      </c>
      <c r="N245" s="20">
        <f>IF($M245="","",IF($M245&lt;=0,"Sin stock: reponer ya",IF($M245&lt;IFERROR(N(INDEX(Vinos!$N$2:$N$301,MATCH($B245,Vinos!$A$2:$A$301,0))),0),"Bajo mínimo: reponer","OK")))</f>
        <v/>
      </c>
      <c r="O245" s="14" t="n"/>
      <c r="P245" s="14" t="n"/>
      <c r="Q245" s="20">
        <f>IF($B245="","",IFERROR(INDEX(Vinos!$C$2:$C$301,MATCH($B245,Vinos!$A$2:$A$301,0)),""))</f>
        <v/>
      </c>
      <c r="R245" s="20">
        <f>IF(OR($A245="",$A245&lt;&gt;'Resumen del inventario'!$C$3,$N245="",$N245="OK"),"",IF(COUNTIFS($A$2:$A245,$A245,$B$2:$B245,$B245)=1,1,""))</f>
        <v/>
      </c>
      <c r="S245" s="20">
        <f>IF($R245=1,COUNTIF($R$2:$R245,1),"")</f>
        <v/>
      </c>
    </row>
    <row r="246">
      <c r="A246" s="19" t="n"/>
      <c r="B246" s="14" t="n"/>
      <c r="C246" s="20">
        <f>IF($B246="","",IFERROR(INDEX(Vinos!$B$2:$B$301,MATCH($B246,Vinos!$A$2:$A$301,0)),"Código no cargado"))</f>
        <v/>
      </c>
      <c r="D246" s="14" t="n"/>
      <c r="E246" s="14" t="n"/>
      <c r="F246" s="18" t="n"/>
      <c r="G246" s="18" t="n"/>
      <c r="H246" s="21">
        <f>IF(AND($F246="",$G246=""),"",N($F246)*IFERROR(N(INDEX(Vinos!$H$2:$H$301,MATCH($B246,Vinos!$A$2:$A$301,0))),0)+N($G246))</f>
        <v/>
      </c>
      <c r="I246" s="18" t="n"/>
      <c r="J246" s="21">
        <f>IF(OR($H246="",$I246=""),"",$H246-$I246)</f>
        <v/>
      </c>
      <c r="K246" s="16">
        <f>IF($H246="","",IFERROR(IF(INDEX(Vinos!$J$2:$J$301,MATCH($B246,Vinos!$A$2:$A$301,0))="","",$H246*INDEX(Vinos!$J$2:$J$301,MATCH($B246,Vinos!$A$2:$A$301,0))),""))</f>
        <v/>
      </c>
      <c r="L246" s="16">
        <f>IF($H246="","",IFERROR(IF(INDEX(Vinos!$K$2:$K$301,MATCH($B246,Vinos!$A$2:$A$301,0))="","",$H246*INDEX(Vinos!$K$2:$K$301,MATCH($B246,Vinos!$A$2:$A$301,0))),""))</f>
        <v/>
      </c>
      <c r="M246" s="21">
        <f>IF(OR($A246="",$B246=""),"",SUMIFS($H$2:$H$2001,$A$2:$A$2001,$A246,$B$2:$B$2001,$B246))</f>
        <v/>
      </c>
      <c r="N246" s="20">
        <f>IF($M246="","",IF($M246&lt;=0,"Sin stock: reponer ya",IF($M246&lt;IFERROR(N(INDEX(Vinos!$N$2:$N$301,MATCH($B246,Vinos!$A$2:$A$301,0))),0),"Bajo mínimo: reponer","OK")))</f>
        <v/>
      </c>
      <c r="O246" s="14" t="n"/>
      <c r="P246" s="14" t="n"/>
      <c r="Q246" s="20">
        <f>IF($B246="","",IFERROR(INDEX(Vinos!$C$2:$C$301,MATCH($B246,Vinos!$A$2:$A$301,0)),""))</f>
        <v/>
      </c>
      <c r="R246" s="20">
        <f>IF(OR($A246="",$A246&lt;&gt;'Resumen del inventario'!$C$3,$N246="",$N246="OK"),"",IF(COUNTIFS($A$2:$A246,$A246,$B$2:$B246,$B246)=1,1,""))</f>
        <v/>
      </c>
      <c r="S246" s="20">
        <f>IF($R246=1,COUNTIF($R$2:$R246,1),"")</f>
        <v/>
      </c>
    </row>
    <row r="247">
      <c r="A247" s="19" t="n"/>
      <c r="B247" s="14" t="n"/>
      <c r="C247" s="20">
        <f>IF($B247="","",IFERROR(INDEX(Vinos!$B$2:$B$301,MATCH($B247,Vinos!$A$2:$A$301,0)),"Código no cargado"))</f>
        <v/>
      </c>
      <c r="D247" s="14" t="n"/>
      <c r="E247" s="14" t="n"/>
      <c r="F247" s="18" t="n"/>
      <c r="G247" s="18" t="n"/>
      <c r="H247" s="21">
        <f>IF(AND($F247="",$G247=""),"",N($F247)*IFERROR(N(INDEX(Vinos!$H$2:$H$301,MATCH($B247,Vinos!$A$2:$A$301,0))),0)+N($G247))</f>
        <v/>
      </c>
      <c r="I247" s="18" t="n"/>
      <c r="J247" s="21">
        <f>IF(OR($H247="",$I247=""),"",$H247-$I247)</f>
        <v/>
      </c>
      <c r="K247" s="16">
        <f>IF($H247="","",IFERROR(IF(INDEX(Vinos!$J$2:$J$301,MATCH($B247,Vinos!$A$2:$A$301,0))="","",$H247*INDEX(Vinos!$J$2:$J$301,MATCH($B247,Vinos!$A$2:$A$301,0))),""))</f>
        <v/>
      </c>
      <c r="L247" s="16">
        <f>IF($H247="","",IFERROR(IF(INDEX(Vinos!$K$2:$K$301,MATCH($B247,Vinos!$A$2:$A$301,0))="","",$H247*INDEX(Vinos!$K$2:$K$301,MATCH($B247,Vinos!$A$2:$A$301,0))),""))</f>
        <v/>
      </c>
      <c r="M247" s="21">
        <f>IF(OR($A247="",$B247=""),"",SUMIFS($H$2:$H$2001,$A$2:$A$2001,$A247,$B$2:$B$2001,$B247))</f>
        <v/>
      </c>
      <c r="N247" s="20">
        <f>IF($M247="","",IF($M247&lt;=0,"Sin stock: reponer ya",IF($M247&lt;IFERROR(N(INDEX(Vinos!$N$2:$N$301,MATCH($B247,Vinos!$A$2:$A$301,0))),0),"Bajo mínimo: reponer","OK")))</f>
        <v/>
      </c>
      <c r="O247" s="14" t="n"/>
      <c r="P247" s="14" t="n"/>
      <c r="Q247" s="20">
        <f>IF($B247="","",IFERROR(INDEX(Vinos!$C$2:$C$301,MATCH($B247,Vinos!$A$2:$A$301,0)),""))</f>
        <v/>
      </c>
      <c r="R247" s="20">
        <f>IF(OR($A247="",$A247&lt;&gt;'Resumen del inventario'!$C$3,$N247="",$N247="OK"),"",IF(COUNTIFS($A$2:$A247,$A247,$B$2:$B247,$B247)=1,1,""))</f>
        <v/>
      </c>
      <c r="S247" s="20">
        <f>IF($R247=1,COUNTIF($R$2:$R247,1),"")</f>
        <v/>
      </c>
    </row>
    <row r="248">
      <c r="A248" s="19" t="n"/>
      <c r="B248" s="14" t="n"/>
      <c r="C248" s="20">
        <f>IF($B248="","",IFERROR(INDEX(Vinos!$B$2:$B$301,MATCH($B248,Vinos!$A$2:$A$301,0)),"Código no cargado"))</f>
        <v/>
      </c>
      <c r="D248" s="14" t="n"/>
      <c r="E248" s="14" t="n"/>
      <c r="F248" s="18" t="n"/>
      <c r="G248" s="18" t="n"/>
      <c r="H248" s="21">
        <f>IF(AND($F248="",$G248=""),"",N($F248)*IFERROR(N(INDEX(Vinos!$H$2:$H$301,MATCH($B248,Vinos!$A$2:$A$301,0))),0)+N($G248))</f>
        <v/>
      </c>
      <c r="I248" s="18" t="n"/>
      <c r="J248" s="21">
        <f>IF(OR($H248="",$I248=""),"",$H248-$I248)</f>
        <v/>
      </c>
      <c r="K248" s="16">
        <f>IF($H248="","",IFERROR(IF(INDEX(Vinos!$J$2:$J$301,MATCH($B248,Vinos!$A$2:$A$301,0))="","",$H248*INDEX(Vinos!$J$2:$J$301,MATCH($B248,Vinos!$A$2:$A$301,0))),""))</f>
        <v/>
      </c>
      <c r="L248" s="16">
        <f>IF($H248="","",IFERROR(IF(INDEX(Vinos!$K$2:$K$301,MATCH($B248,Vinos!$A$2:$A$301,0))="","",$H248*INDEX(Vinos!$K$2:$K$301,MATCH($B248,Vinos!$A$2:$A$301,0))),""))</f>
        <v/>
      </c>
      <c r="M248" s="21">
        <f>IF(OR($A248="",$B248=""),"",SUMIFS($H$2:$H$2001,$A$2:$A$2001,$A248,$B$2:$B$2001,$B248))</f>
        <v/>
      </c>
      <c r="N248" s="20">
        <f>IF($M248="","",IF($M248&lt;=0,"Sin stock: reponer ya",IF($M248&lt;IFERROR(N(INDEX(Vinos!$N$2:$N$301,MATCH($B248,Vinos!$A$2:$A$301,0))),0),"Bajo mínimo: reponer","OK")))</f>
        <v/>
      </c>
      <c r="O248" s="14" t="n"/>
      <c r="P248" s="14" t="n"/>
      <c r="Q248" s="20">
        <f>IF($B248="","",IFERROR(INDEX(Vinos!$C$2:$C$301,MATCH($B248,Vinos!$A$2:$A$301,0)),""))</f>
        <v/>
      </c>
      <c r="R248" s="20">
        <f>IF(OR($A248="",$A248&lt;&gt;'Resumen del inventario'!$C$3,$N248="",$N248="OK"),"",IF(COUNTIFS($A$2:$A248,$A248,$B$2:$B248,$B248)=1,1,""))</f>
        <v/>
      </c>
      <c r="S248" s="20">
        <f>IF($R248=1,COUNTIF($R$2:$R248,1),"")</f>
        <v/>
      </c>
    </row>
    <row r="249">
      <c r="A249" s="19" t="n"/>
      <c r="B249" s="14" t="n"/>
      <c r="C249" s="20">
        <f>IF($B249="","",IFERROR(INDEX(Vinos!$B$2:$B$301,MATCH($B249,Vinos!$A$2:$A$301,0)),"Código no cargado"))</f>
        <v/>
      </c>
      <c r="D249" s="14" t="n"/>
      <c r="E249" s="14" t="n"/>
      <c r="F249" s="18" t="n"/>
      <c r="G249" s="18" t="n"/>
      <c r="H249" s="21">
        <f>IF(AND($F249="",$G249=""),"",N($F249)*IFERROR(N(INDEX(Vinos!$H$2:$H$301,MATCH($B249,Vinos!$A$2:$A$301,0))),0)+N($G249))</f>
        <v/>
      </c>
      <c r="I249" s="18" t="n"/>
      <c r="J249" s="21">
        <f>IF(OR($H249="",$I249=""),"",$H249-$I249)</f>
        <v/>
      </c>
      <c r="K249" s="16">
        <f>IF($H249="","",IFERROR(IF(INDEX(Vinos!$J$2:$J$301,MATCH($B249,Vinos!$A$2:$A$301,0))="","",$H249*INDEX(Vinos!$J$2:$J$301,MATCH($B249,Vinos!$A$2:$A$301,0))),""))</f>
        <v/>
      </c>
      <c r="L249" s="16">
        <f>IF($H249="","",IFERROR(IF(INDEX(Vinos!$K$2:$K$301,MATCH($B249,Vinos!$A$2:$A$301,0))="","",$H249*INDEX(Vinos!$K$2:$K$301,MATCH($B249,Vinos!$A$2:$A$301,0))),""))</f>
        <v/>
      </c>
      <c r="M249" s="21">
        <f>IF(OR($A249="",$B249=""),"",SUMIFS($H$2:$H$2001,$A$2:$A$2001,$A249,$B$2:$B$2001,$B249))</f>
        <v/>
      </c>
      <c r="N249" s="20">
        <f>IF($M249="","",IF($M249&lt;=0,"Sin stock: reponer ya",IF($M249&lt;IFERROR(N(INDEX(Vinos!$N$2:$N$301,MATCH($B249,Vinos!$A$2:$A$301,0))),0),"Bajo mínimo: reponer","OK")))</f>
        <v/>
      </c>
      <c r="O249" s="14" t="n"/>
      <c r="P249" s="14" t="n"/>
      <c r="Q249" s="20">
        <f>IF($B249="","",IFERROR(INDEX(Vinos!$C$2:$C$301,MATCH($B249,Vinos!$A$2:$A$301,0)),""))</f>
        <v/>
      </c>
      <c r="R249" s="20">
        <f>IF(OR($A249="",$A249&lt;&gt;'Resumen del inventario'!$C$3,$N249="",$N249="OK"),"",IF(COUNTIFS($A$2:$A249,$A249,$B$2:$B249,$B249)=1,1,""))</f>
        <v/>
      </c>
      <c r="S249" s="20">
        <f>IF($R249=1,COUNTIF($R$2:$R249,1),"")</f>
        <v/>
      </c>
    </row>
    <row r="250">
      <c r="A250" s="19" t="n"/>
      <c r="B250" s="14" t="n"/>
      <c r="C250" s="20">
        <f>IF($B250="","",IFERROR(INDEX(Vinos!$B$2:$B$301,MATCH($B250,Vinos!$A$2:$A$301,0)),"Código no cargado"))</f>
        <v/>
      </c>
      <c r="D250" s="14" t="n"/>
      <c r="E250" s="14" t="n"/>
      <c r="F250" s="18" t="n"/>
      <c r="G250" s="18" t="n"/>
      <c r="H250" s="21">
        <f>IF(AND($F250="",$G250=""),"",N($F250)*IFERROR(N(INDEX(Vinos!$H$2:$H$301,MATCH($B250,Vinos!$A$2:$A$301,0))),0)+N($G250))</f>
        <v/>
      </c>
      <c r="I250" s="18" t="n"/>
      <c r="J250" s="21">
        <f>IF(OR($H250="",$I250=""),"",$H250-$I250)</f>
        <v/>
      </c>
      <c r="K250" s="16">
        <f>IF($H250="","",IFERROR(IF(INDEX(Vinos!$J$2:$J$301,MATCH($B250,Vinos!$A$2:$A$301,0))="","",$H250*INDEX(Vinos!$J$2:$J$301,MATCH($B250,Vinos!$A$2:$A$301,0))),""))</f>
        <v/>
      </c>
      <c r="L250" s="16">
        <f>IF($H250="","",IFERROR(IF(INDEX(Vinos!$K$2:$K$301,MATCH($B250,Vinos!$A$2:$A$301,0))="","",$H250*INDEX(Vinos!$K$2:$K$301,MATCH($B250,Vinos!$A$2:$A$301,0))),""))</f>
        <v/>
      </c>
      <c r="M250" s="21">
        <f>IF(OR($A250="",$B250=""),"",SUMIFS($H$2:$H$2001,$A$2:$A$2001,$A250,$B$2:$B$2001,$B250))</f>
        <v/>
      </c>
      <c r="N250" s="20">
        <f>IF($M250="","",IF($M250&lt;=0,"Sin stock: reponer ya",IF($M250&lt;IFERROR(N(INDEX(Vinos!$N$2:$N$301,MATCH($B250,Vinos!$A$2:$A$301,0))),0),"Bajo mínimo: reponer","OK")))</f>
        <v/>
      </c>
      <c r="O250" s="14" t="n"/>
      <c r="P250" s="14" t="n"/>
      <c r="Q250" s="20">
        <f>IF($B250="","",IFERROR(INDEX(Vinos!$C$2:$C$301,MATCH($B250,Vinos!$A$2:$A$301,0)),""))</f>
        <v/>
      </c>
      <c r="R250" s="20">
        <f>IF(OR($A250="",$A250&lt;&gt;'Resumen del inventario'!$C$3,$N250="",$N250="OK"),"",IF(COUNTIFS($A$2:$A250,$A250,$B$2:$B250,$B250)=1,1,""))</f>
        <v/>
      </c>
      <c r="S250" s="20">
        <f>IF($R250=1,COUNTIF($R$2:$R250,1),"")</f>
        <v/>
      </c>
    </row>
    <row r="251">
      <c r="A251" s="19" t="n"/>
      <c r="B251" s="14" t="n"/>
      <c r="C251" s="20">
        <f>IF($B251="","",IFERROR(INDEX(Vinos!$B$2:$B$301,MATCH($B251,Vinos!$A$2:$A$301,0)),"Código no cargado"))</f>
        <v/>
      </c>
      <c r="D251" s="14" t="n"/>
      <c r="E251" s="14" t="n"/>
      <c r="F251" s="18" t="n"/>
      <c r="G251" s="18" t="n"/>
      <c r="H251" s="21">
        <f>IF(AND($F251="",$G251=""),"",N($F251)*IFERROR(N(INDEX(Vinos!$H$2:$H$301,MATCH($B251,Vinos!$A$2:$A$301,0))),0)+N($G251))</f>
        <v/>
      </c>
      <c r="I251" s="18" t="n"/>
      <c r="J251" s="21">
        <f>IF(OR($H251="",$I251=""),"",$H251-$I251)</f>
        <v/>
      </c>
      <c r="K251" s="16">
        <f>IF($H251="","",IFERROR(IF(INDEX(Vinos!$J$2:$J$301,MATCH($B251,Vinos!$A$2:$A$301,0))="","",$H251*INDEX(Vinos!$J$2:$J$301,MATCH($B251,Vinos!$A$2:$A$301,0))),""))</f>
        <v/>
      </c>
      <c r="L251" s="16">
        <f>IF($H251="","",IFERROR(IF(INDEX(Vinos!$K$2:$K$301,MATCH($B251,Vinos!$A$2:$A$301,0))="","",$H251*INDEX(Vinos!$K$2:$K$301,MATCH($B251,Vinos!$A$2:$A$301,0))),""))</f>
        <v/>
      </c>
      <c r="M251" s="21">
        <f>IF(OR($A251="",$B251=""),"",SUMIFS($H$2:$H$2001,$A$2:$A$2001,$A251,$B$2:$B$2001,$B251))</f>
        <v/>
      </c>
      <c r="N251" s="20">
        <f>IF($M251="","",IF($M251&lt;=0,"Sin stock: reponer ya",IF($M251&lt;IFERROR(N(INDEX(Vinos!$N$2:$N$301,MATCH($B251,Vinos!$A$2:$A$301,0))),0),"Bajo mínimo: reponer","OK")))</f>
        <v/>
      </c>
      <c r="O251" s="14" t="n"/>
      <c r="P251" s="14" t="n"/>
      <c r="Q251" s="20">
        <f>IF($B251="","",IFERROR(INDEX(Vinos!$C$2:$C$301,MATCH($B251,Vinos!$A$2:$A$301,0)),""))</f>
        <v/>
      </c>
      <c r="R251" s="20">
        <f>IF(OR($A251="",$A251&lt;&gt;'Resumen del inventario'!$C$3,$N251="",$N251="OK"),"",IF(COUNTIFS($A$2:$A251,$A251,$B$2:$B251,$B251)=1,1,""))</f>
        <v/>
      </c>
      <c r="S251" s="20">
        <f>IF($R251=1,COUNTIF($R$2:$R251,1),"")</f>
        <v/>
      </c>
    </row>
    <row r="252">
      <c r="A252" s="19" t="n"/>
      <c r="B252" s="14" t="n"/>
      <c r="C252" s="20">
        <f>IF($B252="","",IFERROR(INDEX(Vinos!$B$2:$B$301,MATCH($B252,Vinos!$A$2:$A$301,0)),"Código no cargado"))</f>
        <v/>
      </c>
      <c r="D252" s="14" t="n"/>
      <c r="E252" s="14" t="n"/>
      <c r="F252" s="18" t="n"/>
      <c r="G252" s="18" t="n"/>
      <c r="H252" s="21">
        <f>IF(AND($F252="",$G252=""),"",N($F252)*IFERROR(N(INDEX(Vinos!$H$2:$H$301,MATCH($B252,Vinos!$A$2:$A$301,0))),0)+N($G252))</f>
        <v/>
      </c>
      <c r="I252" s="18" t="n"/>
      <c r="J252" s="21">
        <f>IF(OR($H252="",$I252=""),"",$H252-$I252)</f>
        <v/>
      </c>
      <c r="K252" s="16">
        <f>IF($H252="","",IFERROR(IF(INDEX(Vinos!$J$2:$J$301,MATCH($B252,Vinos!$A$2:$A$301,0))="","",$H252*INDEX(Vinos!$J$2:$J$301,MATCH($B252,Vinos!$A$2:$A$301,0))),""))</f>
        <v/>
      </c>
      <c r="L252" s="16">
        <f>IF($H252="","",IFERROR(IF(INDEX(Vinos!$K$2:$K$301,MATCH($B252,Vinos!$A$2:$A$301,0))="","",$H252*INDEX(Vinos!$K$2:$K$301,MATCH($B252,Vinos!$A$2:$A$301,0))),""))</f>
        <v/>
      </c>
      <c r="M252" s="21">
        <f>IF(OR($A252="",$B252=""),"",SUMIFS($H$2:$H$2001,$A$2:$A$2001,$A252,$B$2:$B$2001,$B252))</f>
        <v/>
      </c>
      <c r="N252" s="20">
        <f>IF($M252="","",IF($M252&lt;=0,"Sin stock: reponer ya",IF($M252&lt;IFERROR(N(INDEX(Vinos!$N$2:$N$301,MATCH($B252,Vinos!$A$2:$A$301,0))),0),"Bajo mínimo: reponer","OK")))</f>
        <v/>
      </c>
      <c r="O252" s="14" t="n"/>
      <c r="P252" s="14" t="n"/>
      <c r="Q252" s="20">
        <f>IF($B252="","",IFERROR(INDEX(Vinos!$C$2:$C$301,MATCH($B252,Vinos!$A$2:$A$301,0)),""))</f>
        <v/>
      </c>
      <c r="R252" s="20">
        <f>IF(OR($A252="",$A252&lt;&gt;'Resumen del inventario'!$C$3,$N252="",$N252="OK"),"",IF(COUNTIFS($A$2:$A252,$A252,$B$2:$B252,$B252)=1,1,""))</f>
        <v/>
      </c>
      <c r="S252" s="20">
        <f>IF($R252=1,COUNTIF($R$2:$R252,1),"")</f>
        <v/>
      </c>
    </row>
    <row r="253">
      <c r="A253" s="19" t="n"/>
      <c r="B253" s="14" t="n"/>
      <c r="C253" s="20">
        <f>IF($B253="","",IFERROR(INDEX(Vinos!$B$2:$B$301,MATCH($B253,Vinos!$A$2:$A$301,0)),"Código no cargado"))</f>
        <v/>
      </c>
      <c r="D253" s="14" t="n"/>
      <c r="E253" s="14" t="n"/>
      <c r="F253" s="18" t="n"/>
      <c r="G253" s="18" t="n"/>
      <c r="H253" s="21">
        <f>IF(AND($F253="",$G253=""),"",N($F253)*IFERROR(N(INDEX(Vinos!$H$2:$H$301,MATCH($B253,Vinos!$A$2:$A$301,0))),0)+N($G253))</f>
        <v/>
      </c>
      <c r="I253" s="18" t="n"/>
      <c r="J253" s="21">
        <f>IF(OR($H253="",$I253=""),"",$H253-$I253)</f>
        <v/>
      </c>
      <c r="K253" s="16">
        <f>IF($H253="","",IFERROR(IF(INDEX(Vinos!$J$2:$J$301,MATCH($B253,Vinos!$A$2:$A$301,0))="","",$H253*INDEX(Vinos!$J$2:$J$301,MATCH($B253,Vinos!$A$2:$A$301,0))),""))</f>
        <v/>
      </c>
      <c r="L253" s="16">
        <f>IF($H253="","",IFERROR(IF(INDEX(Vinos!$K$2:$K$301,MATCH($B253,Vinos!$A$2:$A$301,0))="","",$H253*INDEX(Vinos!$K$2:$K$301,MATCH($B253,Vinos!$A$2:$A$301,0))),""))</f>
        <v/>
      </c>
      <c r="M253" s="21">
        <f>IF(OR($A253="",$B253=""),"",SUMIFS($H$2:$H$2001,$A$2:$A$2001,$A253,$B$2:$B$2001,$B253))</f>
        <v/>
      </c>
      <c r="N253" s="20">
        <f>IF($M253="","",IF($M253&lt;=0,"Sin stock: reponer ya",IF($M253&lt;IFERROR(N(INDEX(Vinos!$N$2:$N$301,MATCH($B253,Vinos!$A$2:$A$301,0))),0),"Bajo mínimo: reponer","OK")))</f>
        <v/>
      </c>
      <c r="O253" s="14" t="n"/>
      <c r="P253" s="14" t="n"/>
      <c r="Q253" s="20">
        <f>IF($B253="","",IFERROR(INDEX(Vinos!$C$2:$C$301,MATCH($B253,Vinos!$A$2:$A$301,0)),""))</f>
        <v/>
      </c>
      <c r="R253" s="20">
        <f>IF(OR($A253="",$A253&lt;&gt;'Resumen del inventario'!$C$3,$N253="",$N253="OK"),"",IF(COUNTIFS($A$2:$A253,$A253,$B$2:$B253,$B253)=1,1,""))</f>
        <v/>
      </c>
      <c r="S253" s="20">
        <f>IF($R253=1,COUNTIF($R$2:$R253,1),"")</f>
        <v/>
      </c>
    </row>
    <row r="254">
      <c r="A254" s="19" t="n"/>
      <c r="B254" s="14" t="n"/>
      <c r="C254" s="20">
        <f>IF($B254="","",IFERROR(INDEX(Vinos!$B$2:$B$301,MATCH($B254,Vinos!$A$2:$A$301,0)),"Código no cargado"))</f>
        <v/>
      </c>
      <c r="D254" s="14" t="n"/>
      <c r="E254" s="14" t="n"/>
      <c r="F254" s="18" t="n"/>
      <c r="G254" s="18" t="n"/>
      <c r="H254" s="21">
        <f>IF(AND($F254="",$G254=""),"",N($F254)*IFERROR(N(INDEX(Vinos!$H$2:$H$301,MATCH($B254,Vinos!$A$2:$A$301,0))),0)+N($G254))</f>
        <v/>
      </c>
      <c r="I254" s="18" t="n"/>
      <c r="J254" s="21">
        <f>IF(OR($H254="",$I254=""),"",$H254-$I254)</f>
        <v/>
      </c>
      <c r="K254" s="16">
        <f>IF($H254="","",IFERROR(IF(INDEX(Vinos!$J$2:$J$301,MATCH($B254,Vinos!$A$2:$A$301,0))="","",$H254*INDEX(Vinos!$J$2:$J$301,MATCH($B254,Vinos!$A$2:$A$301,0))),""))</f>
        <v/>
      </c>
      <c r="L254" s="16">
        <f>IF($H254="","",IFERROR(IF(INDEX(Vinos!$K$2:$K$301,MATCH($B254,Vinos!$A$2:$A$301,0))="","",$H254*INDEX(Vinos!$K$2:$K$301,MATCH($B254,Vinos!$A$2:$A$301,0))),""))</f>
        <v/>
      </c>
      <c r="M254" s="21">
        <f>IF(OR($A254="",$B254=""),"",SUMIFS($H$2:$H$2001,$A$2:$A$2001,$A254,$B$2:$B$2001,$B254))</f>
        <v/>
      </c>
      <c r="N254" s="20">
        <f>IF($M254="","",IF($M254&lt;=0,"Sin stock: reponer ya",IF($M254&lt;IFERROR(N(INDEX(Vinos!$N$2:$N$301,MATCH($B254,Vinos!$A$2:$A$301,0))),0),"Bajo mínimo: reponer","OK")))</f>
        <v/>
      </c>
      <c r="O254" s="14" t="n"/>
      <c r="P254" s="14" t="n"/>
      <c r="Q254" s="20">
        <f>IF($B254="","",IFERROR(INDEX(Vinos!$C$2:$C$301,MATCH($B254,Vinos!$A$2:$A$301,0)),""))</f>
        <v/>
      </c>
      <c r="R254" s="20">
        <f>IF(OR($A254="",$A254&lt;&gt;'Resumen del inventario'!$C$3,$N254="",$N254="OK"),"",IF(COUNTIFS($A$2:$A254,$A254,$B$2:$B254,$B254)=1,1,""))</f>
        <v/>
      </c>
      <c r="S254" s="20">
        <f>IF($R254=1,COUNTIF($R$2:$R254,1),"")</f>
        <v/>
      </c>
    </row>
    <row r="255">
      <c r="A255" s="19" t="n"/>
      <c r="B255" s="14" t="n"/>
      <c r="C255" s="20">
        <f>IF($B255="","",IFERROR(INDEX(Vinos!$B$2:$B$301,MATCH($B255,Vinos!$A$2:$A$301,0)),"Código no cargado"))</f>
        <v/>
      </c>
      <c r="D255" s="14" t="n"/>
      <c r="E255" s="14" t="n"/>
      <c r="F255" s="18" t="n"/>
      <c r="G255" s="18" t="n"/>
      <c r="H255" s="21">
        <f>IF(AND($F255="",$G255=""),"",N($F255)*IFERROR(N(INDEX(Vinos!$H$2:$H$301,MATCH($B255,Vinos!$A$2:$A$301,0))),0)+N($G255))</f>
        <v/>
      </c>
      <c r="I255" s="18" t="n"/>
      <c r="J255" s="21">
        <f>IF(OR($H255="",$I255=""),"",$H255-$I255)</f>
        <v/>
      </c>
      <c r="K255" s="16">
        <f>IF($H255="","",IFERROR(IF(INDEX(Vinos!$J$2:$J$301,MATCH($B255,Vinos!$A$2:$A$301,0))="","",$H255*INDEX(Vinos!$J$2:$J$301,MATCH($B255,Vinos!$A$2:$A$301,0))),""))</f>
        <v/>
      </c>
      <c r="L255" s="16">
        <f>IF($H255="","",IFERROR(IF(INDEX(Vinos!$K$2:$K$301,MATCH($B255,Vinos!$A$2:$A$301,0))="","",$H255*INDEX(Vinos!$K$2:$K$301,MATCH($B255,Vinos!$A$2:$A$301,0))),""))</f>
        <v/>
      </c>
      <c r="M255" s="21">
        <f>IF(OR($A255="",$B255=""),"",SUMIFS($H$2:$H$2001,$A$2:$A$2001,$A255,$B$2:$B$2001,$B255))</f>
        <v/>
      </c>
      <c r="N255" s="20">
        <f>IF($M255="","",IF($M255&lt;=0,"Sin stock: reponer ya",IF($M255&lt;IFERROR(N(INDEX(Vinos!$N$2:$N$301,MATCH($B255,Vinos!$A$2:$A$301,0))),0),"Bajo mínimo: reponer","OK")))</f>
        <v/>
      </c>
      <c r="O255" s="14" t="n"/>
      <c r="P255" s="14" t="n"/>
      <c r="Q255" s="20">
        <f>IF($B255="","",IFERROR(INDEX(Vinos!$C$2:$C$301,MATCH($B255,Vinos!$A$2:$A$301,0)),""))</f>
        <v/>
      </c>
      <c r="R255" s="20">
        <f>IF(OR($A255="",$A255&lt;&gt;'Resumen del inventario'!$C$3,$N255="",$N255="OK"),"",IF(COUNTIFS($A$2:$A255,$A255,$B$2:$B255,$B255)=1,1,""))</f>
        <v/>
      </c>
      <c r="S255" s="20">
        <f>IF($R255=1,COUNTIF($R$2:$R255,1),"")</f>
        <v/>
      </c>
    </row>
    <row r="256">
      <c r="A256" s="19" t="n"/>
      <c r="B256" s="14" t="n"/>
      <c r="C256" s="20">
        <f>IF($B256="","",IFERROR(INDEX(Vinos!$B$2:$B$301,MATCH($B256,Vinos!$A$2:$A$301,0)),"Código no cargado"))</f>
        <v/>
      </c>
      <c r="D256" s="14" t="n"/>
      <c r="E256" s="14" t="n"/>
      <c r="F256" s="18" t="n"/>
      <c r="G256" s="18" t="n"/>
      <c r="H256" s="21">
        <f>IF(AND($F256="",$G256=""),"",N($F256)*IFERROR(N(INDEX(Vinos!$H$2:$H$301,MATCH($B256,Vinos!$A$2:$A$301,0))),0)+N($G256))</f>
        <v/>
      </c>
      <c r="I256" s="18" t="n"/>
      <c r="J256" s="21">
        <f>IF(OR($H256="",$I256=""),"",$H256-$I256)</f>
        <v/>
      </c>
      <c r="K256" s="16">
        <f>IF($H256="","",IFERROR(IF(INDEX(Vinos!$J$2:$J$301,MATCH($B256,Vinos!$A$2:$A$301,0))="","",$H256*INDEX(Vinos!$J$2:$J$301,MATCH($B256,Vinos!$A$2:$A$301,0))),""))</f>
        <v/>
      </c>
      <c r="L256" s="16">
        <f>IF($H256="","",IFERROR(IF(INDEX(Vinos!$K$2:$K$301,MATCH($B256,Vinos!$A$2:$A$301,0))="","",$H256*INDEX(Vinos!$K$2:$K$301,MATCH($B256,Vinos!$A$2:$A$301,0))),""))</f>
        <v/>
      </c>
      <c r="M256" s="21">
        <f>IF(OR($A256="",$B256=""),"",SUMIFS($H$2:$H$2001,$A$2:$A$2001,$A256,$B$2:$B$2001,$B256))</f>
        <v/>
      </c>
      <c r="N256" s="20">
        <f>IF($M256="","",IF($M256&lt;=0,"Sin stock: reponer ya",IF($M256&lt;IFERROR(N(INDEX(Vinos!$N$2:$N$301,MATCH($B256,Vinos!$A$2:$A$301,0))),0),"Bajo mínimo: reponer","OK")))</f>
        <v/>
      </c>
      <c r="O256" s="14" t="n"/>
      <c r="P256" s="14" t="n"/>
      <c r="Q256" s="20">
        <f>IF($B256="","",IFERROR(INDEX(Vinos!$C$2:$C$301,MATCH($B256,Vinos!$A$2:$A$301,0)),""))</f>
        <v/>
      </c>
      <c r="R256" s="20">
        <f>IF(OR($A256="",$A256&lt;&gt;'Resumen del inventario'!$C$3,$N256="",$N256="OK"),"",IF(COUNTIFS($A$2:$A256,$A256,$B$2:$B256,$B256)=1,1,""))</f>
        <v/>
      </c>
      <c r="S256" s="20">
        <f>IF($R256=1,COUNTIF($R$2:$R256,1),"")</f>
        <v/>
      </c>
    </row>
    <row r="257">
      <c r="A257" s="19" t="n"/>
      <c r="B257" s="14" t="n"/>
      <c r="C257" s="20">
        <f>IF($B257="","",IFERROR(INDEX(Vinos!$B$2:$B$301,MATCH($B257,Vinos!$A$2:$A$301,0)),"Código no cargado"))</f>
        <v/>
      </c>
      <c r="D257" s="14" t="n"/>
      <c r="E257" s="14" t="n"/>
      <c r="F257" s="18" t="n"/>
      <c r="G257" s="18" t="n"/>
      <c r="H257" s="21">
        <f>IF(AND($F257="",$G257=""),"",N($F257)*IFERROR(N(INDEX(Vinos!$H$2:$H$301,MATCH($B257,Vinos!$A$2:$A$301,0))),0)+N($G257))</f>
        <v/>
      </c>
      <c r="I257" s="18" t="n"/>
      <c r="J257" s="21">
        <f>IF(OR($H257="",$I257=""),"",$H257-$I257)</f>
        <v/>
      </c>
      <c r="K257" s="16">
        <f>IF($H257="","",IFERROR(IF(INDEX(Vinos!$J$2:$J$301,MATCH($B257,Vinos!$A$2:$A$301,0))="","",$H257*INDEX(Vinos!$J$2:$J$301,MATCH($B257,Vinos!$A$2:$A$301,0))),""))</f>
        <v/>
      </c>
      <c r="L257" s="16">
        <f>IF($H257="","",IFERROR(IF(INDEX(Vinos!$K$2:$K$301,MATCH($B257,Vinos!$A$2:$A$301,0))="","",$H257*INDEX(Vinos!$K$2:$K$301,MATCH($B257,Vinos!$A$2:$A$301,0))),""))</f>
        <v/>
      </c>
      <c r="M257" s="21">
        <f>IF(OR($A257="",$B257=""),"",SUMIFS($H$2:$H$2001,$A$2:$A$2001,$A257,$B$2:$B$2001,$B257))</f>
        <v/>
      </c>
      <c r="N257" s="20">
        <f>IF($M257="","",IF($M257&lt;=0,"Sin stock: reponer ya",IF($M257&lt;IFERROR(N(INDEX(Vinos!$N$2:$N$301,MATCH($B257,Vinos!$A$2:$A$301,0))),0),"Bajo mínimo: reponer","OK")))</f>
        <v/>
      </c>
      <c r="O257" s="14" t="n"/>
      <c r="P257" s="14" t="n"/>
      <c r="Q257" s="20">
        <f>IF($B257="","",IFERROR(INDEX(Vinos!$C$2:$C$301,MATCH($B257,Vinos!$A$2:$A$301,0)),""))</f>
        <v/>
      </c>
      <c r="R257" s="20">
        <f>IF(OR($A257="",$A257&lt;&gt;'Resumen del inventario'!$C$3,$N257="",$N257="OK"),"",IF(COUNTIFS($A$2:$A257,$A257,$B$2:$B257,$B257)=1,1,""))</f>
        <v/>
      </c>
      <c r="S257" s="20">
        <f>IF($R257=1,COUNTIF($R$2:$R257,1),"")</f>
        <v/>
      </c>
    </row>
    <row r="258">
      <c r="A258" s="19" t="n"/>
      <c r="B258" s="14" t="n"/>
      <c r="C258" s="20">
        <f>IF($B258="","",IFERROR(INDEX(Vinos!$B$2:$B$301,MATCH($B258,Vinos!$A$2:$A$301,0)),"Código no cargado"))</f>
        <v/>
      </c>
      <c r="D258" s="14" t="n"/>
      <c r="E258" s="14" t="n"/>
      <c r="F258" s="18" t="n"/>
      <c r="G258" s="18" t="n"/>
      <c r="H258" s="21">
        <f>IF(AND($F258="",$G258=""),"",N($F258)*IFERROR(N(INDEX(Vinos!$H$2:$H$301,MATCH($B258,Vinos!$A$2:$A$301,0))),0)+N($G258))</f>
        <v/>
      </c>
      <c r="I258" s="18" t="n"/>
      <c r="J258" s="21">
        <f>IF(OR($H258="",$I258=""),"",$H258-$I258)</f>
        <v/>
      </c>
      <c r="K258" s="16">
        <f>IF($H258="","",IFERROR(IF(INDEX(Vinos!$J$2:$J$301,MATCH($B258,Vinos!$A$2:$A$301,0))="","",$H258*INDEX(Vinos!$J$2:$J$301,MATCH($B258,Vinos!$A$2:$A$301,0))),""))</f>
        <v/>
      </c>
      <c r="L258" s="16">
        <f>IF($H258="","",IFERROR(IF(INDEX(Vinos!$K$2:$K$301,MATCH($B258,Vinos!$A$2:$A$301,0))="","",$H258*INDEX(Vinos!$K$2:$K$301,MATCH($B258,Vinos!$A$2:$A$301,0))),""))</f>
        <v/>
      </c>
      <c r="M258" s="21">
        <f>IF(OR($A258="",$B258=""),"",SUMIFS($H$2:$H$2001,$A$2:$A$2001,$A258,$B$2:$B$2001,$B258))</f>
        <v/>
      </c>
      <c r="N258" s="20">
        <f>IF($M258="","",IF($M258&lt;=0,"Sin stock: reponer ya",IF($M258&lt;IFERROR(N(INDEX(Vinos!$N$2:$N$301,MATCH($B258,Vinos!$A$2:$A$301,0))),0),"Bajo mínimo: reponer","OK")))</f>
        <v/>
      </c>
      <c r="O258" s="14" t="n"/>
      <c r="P258" s="14" t="n"/>
      <c r="Q258" s="20">
        <f>IF($B258="","",IFERROR(INDEX(Vinos!$C$2:$C$301,MATCH($B258,Vinos!$A$2:$A$301,0)),""))</f>
        <v/>
      </c>
      <c r="R258" s="20">
        <f>IF(OR($A258="",$A258&lt;&gt;'Resumen del inventario'!$C$3,$N258="",$N258="OK"),"",IF(COUNTIFS($A$2:$A258,$A258,$B$2:$B258,$B258)=1,1,""))</f>
        <v/>
      </c>
      <c r="S258" s="20">
        <f>IF($R258=1,COUNTIF($R$2:$R258,1),"")</f>
        <v/>
      </c>
    </row>
    <row r="259">
      <c r="A259" s="19" t="n"/>
      <c r="B259" s="14" t="n"/>
      <c r="C259" s="20">
        <f>IF($B259="","",IFERROR(INDEX(Vinos!$B$2:$B$301,MATCH($B259,Vinos!$A$2:$A$301,0)),"Código no cargado"))</f>
        <v/>
      </c>
      <c r="D259" s="14" t="n"/>
      <c r="E259" s="14" t="n"/>
      <c r="F259" s="18" t="n"/>
      <c r="G259" s="18" t="n"/>
      <c r="H259" s="21">
        <f>IF(AND($F259="",$G259=""),"",N($F259)*IFERROR(N(INDEX(Vinos!$H$2:$H$301,MATCH($B259,Vinos!$A$2:$A$301,0))),0)+N($G259))</f>
        <v/>
      </c>
      <c r="I259" s="18" t="n"/>
      <c r="J259" s="21">
        <f>IF(OR($H259="",$I259=""),"",$H259-$I259)</f>
        <v/>
      </c>
      <c r="K259" s="16">
        <f>IF($H259="","",IFERROR(IF(INDEX(Vinos!$J$2:$J$301,MATCH($B259,Vinos!$A$2:$A$301,0))="","",$H259*INDEX(Vinos!$J$2:$J$301,MATCH($B259,Vinos!$A$2:$A$301,0))),""))</f>
        <v/>
      </c>
      <c r="L259" s="16">
        <f>IF($H259="","",IFERROR(IF(INDEX(Vinos!$K$2:$K$301,MATCH($B259,Vinos!$A$2:$A$301,0))="","",$H259*INDEX(Vinos!$K$2:$K$301,MATCH($B259,Vinos!$A$2:$A$301,0))),""))</f>
        <v/>
      </c>
      <c r="M259" s="21">
        <f>IF(OR($A259="",$B259=""),"",SUMIFS($H$2:$H$2001,$A$2:$A$2001,$A259,$B$2:$B$2001,$B259))</f>
        <v/>
      </c>
      <c r="N259" s="20">
        <f>IF($M259="","",IF($M259&lt;=0,"Sin stock: reponer ya",IF($M259&lt;IFERROR(N(INDEX(Vinos!$N$2:$N$301,MATCH($B259,Vinos!$A$2:$A$301,0))),0),"Bajo mínimo: reponer","OK")))</f>
        <v/>
      </c>
      <c r="O259" s="14" t="n"/>
      <c r="P259" s="14" t="n"/>
      <c r="Q259" s="20">
        <f>IF($B259="","",IFERROR(INDEX(Vinos!$C$2:$C$301,MATCH($B259,Vinos!$A$2:$A$301,0)),""))</f>
        <v/>
      </c>
      <c r="R259" s="20">
        <f>IF(OR($A259="",$A259&lt;&gt;'Resumen del inventario'!$C$3,$N259="",$N259="OK"),"",IF(COUNTIFS($A$2:$A259,$A259,$B$2:$B259,$B259)=1,1,""))</f>
        <v/>
      </c>
      <c r="S259" s="20">
        <f>IF($R259=1,COUNTIF($R$2:$R259,1),"")</f>
        <v/>
      </c>
    </row>
    <row r="260">
      <c r="A260" s="19" t="n"/>
      <c r="B260" s="14" t="n"/>
      <c r="C260" s="20">
        <f>IF($B260="","",IFERROR(INDEX(Vinos!$B$2:$B$301,MATCH($B260,Vinos!$A$2:$A$301,0)),"Código no cargado"))</f>
        <v/>
      </c>
      <c r="D260" s="14" t="n"/>
      <c r="E260" s="14" t="n"/>
      <c r="F260" s="18" t="n"/>
      <c r="G260" s="18" t="n"/>
      <c r="H260" s="21">
        <f>IF(AND($F260="",$G260=""),"",N($F260)*IFERROR(N(INDEX(Vinos!$H$2:$H$301,MATCH($B260,Vinos!$A$2:$A$301,0))),0)+N($G260))</f>
        <v/>
      </c>
      <c r="I260" s="18" t="n"/>
      <c r="J260" s="21">
        <f>IF(OR($H260="",$I260=""),"",$H260-$I260)</f>
        <v/>
      </c>
      <c r="K260" s="16">
        <f>IF($H260="","",IFERROR(IF(INDEX(Vinos!$J$2:$J$301,MATCH($B260,Vinos!$A$2:$A$301,0))="","",$H260*INDEX(Vinos!$J$2:$J$301,MATCH($B260,Vinos!$A$2:$A$301,0))),""))</f>
        <v/>
      </c>
      <c r="L260" s="16">
        <f>IF($H260="","",IFERROR(IF(INDEX(Vinos!$K$2:$K$301,MATCH($B260,Vinos!$A$2:$A$301,0))="","",$H260*INDEX(Vinos!$K$2:$K$301,MATCH($B260,Vinos!$A$2:$A$301,0))),""))</f>
        <v/>
      </c>
      <c r="M260" s="21">
        <f>IF(OR($A260="",$B260=""),"",SUMIFS($H$2:$H$2001,$A$2:$A$2001,$A260,$B$2:$B$2001,$B260))</f>
        <v/>
      </c>
      <c r="N260" s="20">
        <f>IF($M260="","",IF($M260&lt;=0,"Sin stock: reponer ya",IF($M260&lt;IFERROR(N(INDEX(Vinos!$N$2:$N$301,MATCH($B260,Vinos!$A$2:$A$301,0))),0),"Bajo mínimo: reponer","OK")))</f>
        <v/>
      </c>
      <c r="O260" s="14" t="n"/>
      <c r="P260" s="14" t="n"/>
      <c r="Q260" s="20">
        <f>IF($B260="","",IFERROR(INDEX(Vinos!$C$2:$C$301,MATCH($B260,Vinos!$A$2:$A$301,0)),""))</f>
        <v/>
      </c>
      <c r="R260" s="20">
        <f>IF(OR($A260="",$A260&lt;&gt;'Resumen del inventario'!$C$3,$N260="",$N260="OK"),"",IF(COUNTIFS($A$2:$A260,$A260,$B$2:$B260,$B260)=1,1,""))</f>
        <v/>
      </c>
      <c r="S260" s="20">
        <f>IF($R260=1,COUNTIF($R$2:$R260,1),"")</f>
        <v/>
      </c>
    </row>
    <row r="261">
      <c r="A261" s="19" t="n"/>
      <c r="B261" s="14" t="n"/>
      <c r="C261" s="20">
        <f>IF($B261="","",IFERROR(INDEX(Vinos!$B$2:$B$301,MATCH($B261,Vinos!$A$2:$A$301,0)),"Código no cargado"))</f>
        <v/>
      </c>
      <c r="D261" s="14" t="n"/>
      <c r="E261" s="14" t="n"/>
      <c r="F261" s="18" t="n"/>
      <c r="G261" s="18" t="n"/>
      <c r="H261" s="21">
        <f>IF(AND($F261="",$G261=""),"",N($F261)*IFERROR(N(INDEX(Vinos!$H$2:$H$301,MATCH($B261,Vinos!$A$2:$A$301,0))),0)+N($G261))</f>
        <v/>
      </c>
      <c r="I261" s="18" t="n"/>
      <c r="J261" s="21">
        <f>IF(OR($H261="",$I261=""),"",$H261-$I261)</f>
        <v/>
      </c>
      <c r="K261" s="16">
        <f>IF($H261="","",IFERROR(IF(INDEX(Vinos!$J$2:$J$301,MATCH($B261,Vinos!$A$2:$A$301,0))="","",$H261*INDEX(Vinos!$J$2:$J$301,MATCH($B261,Vinos!$A$2:$A$301,0))),""))</f>
        <v/>
      </c>
      <c r="L261" s="16">
        <f>IF($H261="","",IFERROR(IF(INDEX(Vinos!$K$2:$K$301,MATCH($B261,Vinos!$A$2:$A$301,0))="","",$H261*INDEX(Vinos!$K$2:$K$301,MATCH($B261,Vinos!$A$2:$A$301,0))),""))</f>
        <v/>
      </c>
      <c r="M261" s="21">
        <f>IF(OR($A261="",$B261=""),"",SUMIFS($H$2:$H$2001,$A$2:$A$2001,$A261,$B$2:$B$2001,$B261))</f>
        <v/>
      </c>
      <c r="N261" s="20">
        <f>IF($M261="","",IF($M261&lt;=0,"Sin stock: reponer ya",IF($M261&lt;IFERROR(N(INDEX(Vinos!$N$2:$N$301,MATCH($B261,Vinos!$A$2:$A$301,0))),0),"Bajo mínimo: reponer","OK")))</f>
        <v/>
      </c>
      <c r="O261" s="14" t="n"/>
      <c r="P261" s="14" t="n"/>
      <c r="Q261" s="20">
        <f>IF($B261="","",IFERROR(INDEX(Vinos!$C$2:$C$301,MATCH($B261,Vinos!$A$2:$A$301,0)),""))</f>
        <v/>
      </c>
      <c r="R261" s="20">
        <f>IF(OR($A261="",$A261&lt;&gt;'Resumen del inventario'!$C$3,$N261="",$N261="OK"),"",IF(COUNTIFS($A$2:$A261,$A261,$B$2:$B261,$B261)=1,1,""))</f>
        <v/>
      </c>
      <c r="S261" s="20">
        <f>IF($R261=1,COUNTIF($R$2:$R261,1),"")</f>
        <v/>
      </c>
    </row>
    <row r="262">
      <c r="A262" s="19" t="n"/>
      <c r="B262" s="14" t="n"/>
      <c r="C262" s="20">
        <f>IF($B262="","",IFERROR(INDEX(Vinos!$B$2:$B$301,MATCH($B262,Vinos!$A$2:$A$301,0)),"Código no cargado"))</f>
        <v/>
      </c>
      <c r="D262" s="14" t="n"/>
      <c r="E262" s="14" t="n"/>
      <c r="F262" s="18" t="n"/>
      <c r="G262" s="18" t="n"/>
      <c r="H262" s="21">
        <f>IF(AND($F262="",$G262=""),"",N($F262)*IFERROR(N(INDEX(Vinos!$H$2:$H$301,MATCH($B262,Vinos!$A$2:$A$301,0))),0)+N($G262))</f>
        <v/>
      </c>
      <c r="I262" s="18" t="n"/>
      <c r="J262" s="21">
        <f>IF(OR($H262="",$I262=""),"",$H262-$I262)</f>
        <v/>
      </c>
      <c r="K262" s="16">
        <f>IF($H262="","",IFERROR(IF(INDEX(Vinos!$J$2:$J$301,MATCH($B262,Vinos!$A$2:$A$301,0))="","",$H262*INDEX(Vinos!$J$2:$J$301,MATCH($B262,Vinos!$A$2:$A$301,0))),""))</f>
        <v/>
      </c>
      <c r="L262" s="16">
        <f>IF($H262="","",IFERROR(IF(INDEX(Vinos!$K$2:$K$301,MATCH($B262,Vinos!$A$2:$A$301,0))="","",$H262*INDEX(Vinos!$K$2:$K$301,MATCH($B262,Vinos!$A$2:$A$301,0))),""))</f>
        <v/>
      </c>
      <c r="M262" s="21">
        <f>IF(OR($A262="",$B262=""),"",SUMIFS($H$2:$H$2001,$A$2:$A$2001,$A262,$B$2:$B$2001,$B262))</f>
        <v/>
      </c>
      <c r="N262" s="20">
        <f>IF($M262="","",IF($M262&lt;=0,"Sin stock: reponer ya",IF($M262&lt;IFERROR(N(INDEX(Vinos!$N$2:$N$301,MATCH($B262,Vinos!$A$2:$A$301,0))),0),"Bajo mínimo: reponer","OK")))</f>
        <v/>
      </c>
      <c r="O262" s="14" t="n"/>
      <c r="P262" s="14" t="n"/>
      <c r="Q262" s="20">
        <f>IF($B262="","",IFERROR(INDEX(Vinos!$C$2:$C$301,MATCH($B262,Vinos!$A$2:$A$301,0)),""))</f>
        <v/>
      </c>
      <c r="R262" s="20">
        <f>IF(OR($A262="",$A262&lt;&gt;'Resumen del inventario'!$C$3,$N262="",$N262="OK"),"",IF(COUNTIFS($A$2:$A262,$A262,$B$2:$B262,$B262)=1,1,""))</f>
        <v/>
      </c>
      <c r="S262" s="20">
        <f>IF($R262=1,COUNTIF($R$2:$R262,1),"")</f>
        <v/>
      </c>
    </row>
    <row r="263">
      <c r="A263" s="19" t="n"/>
      <c r="B263" s="14" t="n"/>
      <c r="C263" s="20">
        <f>IF($B263="","",IFERROR(INDEX(Vinos!$B$2:$B$301,MATCH($B263,Vinos!$A$2:$A$301,0)),"Código no cargado"))</f>
        <v/>
      </c>
      <c r="D263" s="14" t="n"/>
      <c r="E263" s="14" t="n"/>
      <c r="F263" s="18" t="n"/>
      <c r="G263" s="18" t="n"/>
      <c r="H263" s="21">
        <f>IF(AND($F263="",$G263=""),"",N($F263)*IFERROR(N(INDEX(Vinos!$H$2:$H$301,MATCH($B263,Vinos!$A$2:$A$301,0))),0)+N($G263))</f>
        <v/>
      </c>
      <c r="I263" s="18" t="n"/>
      <c r="J263" s="21">
        <f>IF(OR($H263="",$I263=""),"",$H263-$I263)</f>
        <v/>
      </c>
      <c r="K263" s="16">
        <f>IF($H263="","",IFERROR(IF(INDEX(Vinos!$J$2:$J$301,MATCH($B263,Vinos!$A$2:$A$301,0))="","",$H263*INDEX(Vinos!$J$2:$J$301,MATCH($B263,Vinos!$A$2:$A$301,0))),""))</f>
        <v/>
      </c>
      <c r="L263" s="16">
        <f>IF($H263="","",IFERROR(IF(INDEX(Vinos!$K$2:$K$301,MATCH($B263,Vinos!$A$2:$A$301,0))="","",$H263*INDEX(Vinos!$K$2:$K$301,MATCH($B263,Vinos!$A$2:$A$301,0))),""))</f>
        <v/>
      </c>
      <c r="M263" s="21">
        <f>IF(OR($A263="",$B263=""),"",SUMIFS($H$2:$H$2001,$A$2:$A$2001,$A263,$B$2:$B$2001,$B263))</f>
        <v/>
      </c>
      <c r="N263" s="20">
        <f>IF($M263="","",IF($M263&lt;=0,"Sin stock: reponer ya",IF($M263&lt;IFERROR(N(INDEX(Vinos!$N$2:$N$301,MATCH($B263,Vinos!$A$2:$A$301,0))),0),"Bajo mínimo: reponer","OK")))</f>
        <v/>
      </c>
      <c r="O263" s="14" t="n"/>
      <c r="P263" s="14" t="n"/>
      <c r="Q263" s="20">
        <f>IF($B263="","",IFERROR(INDEX(Vinos!$C$2:$C$301,MATCH($B263,Vinos!$A$2:$A$301,0)),""))</f>
        <v/>
      </c>
      <c r="R263" s="20">
        <f>IF(OR($A263="",$A263&lt;&gt;'Resumen del inventario'!$C$3,$N263="",$N263="OK"),"",IF(COUNTIFS($A$2:$A263,$A263,$B$2:$B263,$B263)=1,1,""))</f>
        <v/>
      </c>
      <c r="S263" s="20">
        <f>IF($R263=1,COUNTIF($R$2:$R263,1),"")</f>
        <v/>
      </c>
    </row>
    <row r="264">
      <c r="A264" s="19" t="n"/>
      <c r="B264" s="14" t="n"/>
      <c r="C264" s="20">
        <f>IF($B264="","",IFERROR(INDEX(Vinos!$B$2:$B$301,MATCH($B264,Vinos!$A$2:$A$301,0)),"Código no cargado"))</f>
        <v/>
      </c>
      <c r="D264" s="14" t="n"/>
      <c r="E264" s="14" t="n"/>
      <c r="F264" s="18" t="n"/>
      <c r="G264" s="18" t="n"/>
      <c r="H264" s="21">
        <f>IF(AND($F264="",$G264=""),"",N($F264)*IFERROR(N(INDEX(Vinos!$H$2:$H$301,MATCH($B264,Vinos!$A$2:$A$301,0))),0)+N($G264))</f>
        <v/>
      </c>
      <c r="I264" s="18" t="n"/>
      <c r="J264" s="21">
        <f>IF(OR($H264="",$I264=""),"",$H264-$I264)</f>
        <v/>
      </c>
      <c r="K264" s="16">
        <f>IF($H264="","",IFERROR(IF(INDEX(Vinos!$J$2:$J$301,MATCH($B264,Vinos!$A$2:$A$301,0))="","",$H264*INDEX(Vinos!$J$2:$J$301,MATCH($B264,Vinos!$A$2:$A$301,0))),""))</f>
        <v/>
      </c>
      <c r="L264" s="16">
        <f>IF($H264="","",IFERROR(IF(INDEX(Vinos!$K$2:$K$301,MATCH($B264,Vinos!$A$2:$A$301,0))="","",$H264*INDEX(Vinos!$K$2:$K$301,MATCH($B264,Vinos!$A$2:$A$301,0))),""))</f>
        <v/>
      </c>
      <c r="M264" s="21">
        <f>IF(OR($A264="",$B264=""),"",SUMIFS($H$2:$H$2001,$A$2:$A$2001,$A264,$B$2:$B$2001,$B264))</f>
        <v/>
      </c>
      <c r="N264" s="20">
        <f>IF($M264="","",IF($M264&lt;=0,"Sin stock: reponer ya",IF($M264&lt;IFERROR(N(INDEX(Vinos!$N$2:$N$301,MATCH($B264,Vinos!$A$2:$A$301,0))),0),"Bajo mínimo: reponer","OK")))</f>
        <v/>
      </c>
      <c r="O264" s="14" t="n"/>
      <c r="P264" s="14" t="n"/>
      <c r="Q264" s="20">
        <f>IF($B264="","",IFERROR(INDEX(Vinos!$C$2:$C$301,MATCH($B264,Vinos!$A$2:$A$301,0)),""))</f>
        <v/>
      </c>
      <c r="R264" s="20">
        <f>IF(OR($A264="",$A264&lt;&gt;'Resumen del inventario'!$C$3,$N264="",$N264="OK"),"",IF(COUNTIFS($A$2:$A264,$A264,$B$2:$B264,$B264)=1,1,""))</f>
        <v/>
      </c>
      <c r="S264" s="20">
        <f>IF($R264=1,COUNTIF($R$2:$R264,1),"")</f>
        <v/>
      </c>
    </row>
    <row r="265">
      <c r="A265" s="19" t="n"/>
      <c r="B265" s="14" t="n"/>
      <c r="C265" s="20">
        <f>IF($B265="","",IFERROR(INDEX(Vinos!$B$2:$B$301,MATCH($B265,Vinos!$A$2:$A$301,0)),"Código no cargado"))</f>
        <v/>
      </c>
      <c r="D265" s="14" t="n"/>
      <c r="E265" s="14" t="n"/>
      <c r="F265" s="18" t="n"/>
      <c r="G265" s="18" t="n"/>
      <c r="H265" s="21">
        <f>IF(AND($F265="",$G265=""),"",N($F265)*IFERROR(N(INDEX(Vinos!$H$2:$H$301,MATCH($B265,Vinos!$A$2:$A$301,0))),0)+N($G265))</f>
        <v/>
      </c>
      <c r="I265" s="18" t="n"/>
      <c r="J265" s="21">
        <f>IF(OR($H265="",$I265=""),"",$H265-$I265)</f>
        <v/>
      </c>
      <c r="K265" s="16">
        <f>IF($H265="","",IFERROR(IF(INDEX(Vinos!$J$2:$J$301,MATCH($B265,Vinos!$A$2:$A$301,0))="","",$H265*INDEX(Vinos!$J$2:$J$301,MATCH($B265,Vinos!$A$2:$A$301,0))),""))</f>
        <v/>
      </c>
      <c r="L265" s="16">
        <f>IF($H265="","",IFERROR(IF(INDEX(Vinos!$K$2:$K$301,MATCH($B265,Vinos!$A$2:$A$301,0))="","",$H265*INDEX(Vinos!$K$2:$K$301,MATCH($B265,Vinos!$A$2:$A$301,0))),""))</f>
        <v/>
      </c>
      <c r="M265" s="21">
        <f>IF(OR($A265="",$B265=""),"",SUMIFS($H$2:$H$2001,$A$2:$A$2001,$A265,$B$2:$B$2001,$B265))</f>
        <v/>
      </c>
      <c r="N265" s="20">
        <f>IF($M265="","",IF($M265&lt;=0,"Sin stock: reponer ya",IF($M265&lt;IFERROR(N(INDEX(Vinos!$N$2:$N$301,MATCH($B265,Vinos!$A$2:$A$301,0))),0),"Bajo mínimo: reponer","OK")))</f>
        <v/>
      </c>
      <c r="O265" s="14" t="n"/>
      <c r="P265" s="14" t="n"/>
      <c r="Q265" s="20">
        <f>IF($B265="","",IFERROR(INDEX(Vinos!$C$2:$C$301,MATCH($B265,Vinos!$A$2:$A$301,0)),""))</f>
        <v/>
      </c>
      <c r="R265" s="20">
        <f>IF(OR($A265="",$A265&lt;&gt;'Resumen del inventario'!$C$3,$N265="",$N265="OK"),"",IF(COUNTIFS($A$2:$A265,$A265,$B$2:$B265,$B265)=1,1,""))</f>
        <v/>
      </c>
      <c r="S265" s="20">
        <f>IF($R265=1,COUNTIF($R$2:$R265,1),"")</f>
        <v/>
      </c>
    </row>
    <row r="266">
      <c r="A266" s="19" t="n"/>
      <c r="B266" s="14" t="n"/>
      <c r="C266" s="20">
        <f>IF($B266="","",IFERROR(INDEX(Vinos!$B$2:$B$301,MATCH($B266,Vinos!$A$2:$A$301,0)),"Código no cargado"))</f>
        <v/>
      </c>
      <c r="D266" s="14" t="n"/>
      <c r="E266" s="14" t="n"/>
      <c r="F266" s="18" t="n"/>
      <c r="G266" s="18" t="n"/>
      <c r="H266" s="21">
        <f>IF(AND($F266="",$G266=""),"",N($F266)*IFERROR(N(INDEX(Vinos!$H$2:$H$301,MATCH($B266,Vinos!$A$2:$A$301,0))),0)+N($G266))</f>
        <v/>
      </c>
      <c r="I266" s="18" t="n"/>
      <c r="J266" s="21">
        <f>IF(OR($H266="",$I266=""),"",$H266-$I266)</f>
        <v/>
      </c>
      <c r="K266" s="16">
        <f>IF($H266="","",IFERROR(IF(INDEX(Vinos!$J$2:$J$301,MATCH($B266,Vinos!$A$2:$A$301,0))="","",$H266*INDEX(Vinos!$J$2:$J$301,MATCH($B266,Vinos!$A$2:$A$301,0))),""))</f>
        <v/>
      </c>
      <c r="L266" s="16">
        <f>IF($H266="","",IFERROR(IF(INDEX(Vinos!$K$2:$K$301,MATCH($B266,Vinos!$A$2:$A$301,0))="","",$H266*INDEX(Vinos!$K$2:$K$301,MATCH($B266,Vinos!$A$2:$A$301,0))),""))</f>
        <v/>
      </c>
      <c r="M266" s="21">
        <f>IF(OR($A266="",$B266=""),"",SUMIFS($H$2:$H$2001,$A$2:$A$2001,$A266,$B$2:$B$2001,$B266))</f>
        <v/>
      </c>
      <c r="N266" s="20">
        <f>IF($M266="","",IF($M266&lt;=0,"Sin stock: reponer ya",IF($M266&lt;IFERROR(N(INDEX(Vinos!$N$2:$N$301,MATCH($B266,Vinos!$A$2:$A$301,0))),0),"Bajo mínimo: reponer","OK")))</f>
        <v/>
      </c>
      <c r="O266" s="14" t="n"/>
      <c r="P266" s="14" t="n"/>
      <c r="Q266" s="20">
        <f>IF($B266="","",IFERROR(INDEX(Vinos!$C$2:$C$301,MATCH($B266,Vinos!$A$2:$A$301,0)),""))</f>
        <v/>
      </c>
      <c r="R266" s="20">
        <f>IF(OR($A266="",$A266&lt;&gt;'Resumen del inventario'!$C$3,$N266="",$N266="OK"),"",IF(COUNTIFS($A$2:$A266,$A266,$B$2:$B266,$B266)=1,1,""))</f>
        <v/>
      </c>
      <c r="S266" s="20">
        <f>IF($R266=1,COUNTIF($R$2:$R266,1),"")</f>
        <v/>
      </c>
    </row>
    <row r="267">
      <c r="A267" s="19" t="n"/>
      <c r="B267" s="14" t="n"/>
      <c r="C267" s="20">
        <f>IF($B267="","",IFERROR(INDEX(Vinos!$B$2:$B$301,MATCH($B267,Vinos!$A$2:$A$301,0)),"Código no cargado"))</f>
        <v/>
      </c>
      <c r="D267" s="14" t="n"/>
      <c r="E267" s="14" t="n"/>
      <c r="F267" s="18" t="n"/>
      <c r="G267" s="18" t="n"/>
      <c r="H267" s="21">
        <f>IF(AND($F267="",$G267=""),"",N($F267)*IFERROR(N(INDEX(Vinos!$H$2:$H$301,MATCH($B267,Vinos!$A$2:$A$301,0))),0)+N($G267))</f>
        <v/>
      </c>
      <c r="I267" s="18" t="n"/>
      <c r="J267" s="21">
        <f>IF(OR($H267="",$I267=""),"",$H267-$I267)</f>
        <v/>
      </c>
      <c r="K267" s="16">
        <f>IF($H267="","",IFERROR(IF(INDEX(Vinos!$J$2:$J$301,MATCH($B267,Vinos!$A$2:$A$301,0))="","",$H267*INDEX(Vinos!$J$2:$J$301,MATCH($B267,Vinos!$A$2:$A$301,0))),""))</f>
        <v/>
      </c>
      <c r="L267" s="16">
        <f>IF($H267="","",IFERROR(IF(INDEX(Vinos!$K$2:$K$301,MATCH($B267,Vinos!$A$2:$A$301,0))="","",$H267*INDEX(Vinos!$K$2:$K$301,MATCH($B267,Vinos!$A$2:$A$301,0))),""))</f>
        <v/>
      </c>
      <c r="M267" s="21">
        <f>IF(OR($A267="",$B267=""),"",SUMIFS($H$2:$H$2001,$A$2:$A$2001,$A267,$B$2:$B$2001,$B267))</f>
        <v/>
      </c>
      <c r="N267" s="20">
        <f>IF($M267="","",IF($M267&lt;=0,"Sin stock: reponer ya",IF($M267&lt;IFERROR(N(INDEX(Vinos!$N$2:$N$301,MATCH($B267,Vinos!$A$2:$A$301,0))),0),"Bajo mínimo: reponer","OK")))</f>
        <v/>
      </c>
      <c r="O267" s="14" t="n"/>
      <c r="P267" s="14" t="n"/>
      <c r="Q267" s="20">
        <f>IF($B267="","",IFERROR(INDEX(Vinos!$C$2:$C$301,MATCH($B267,Vinos!$A$2:$A$301,0)),""))</f>
        <v/>
      </c>
      <c r="R267" s="20">
        <f>IF(OR($A267="",$A267&lt;&gt;'Resumen del inventario'!$C$3,$N267="",$N267="OK"),"",IF(COUNTIFS($A$2:$A267,$A267,$B$2:$B267,$B267)=1,1,""))</f>
        <v/>
      </c>
      <c r="S267" s="20">
        <f>IF($R267=1,COUNTIF($R$2:$R267,1),"")</f>
        <v/>
      </c>
    </row>
    <row r="268">
      <c r="A268" s="19" t="n"/>
      <c r="B268" s="14" t="n"/>
      <c r="C268" s="20">
        <f>IF($B268="","",IFERROR(INDEX(Vinos!$B$2:$B$301,MATCH($B268,Vinos!$A$2:$A$301,0)),"Código no cargado"))</f>
        <v/>
      </c>
      <c r="D268" s="14" t="n"/>
      <c r="E268" s="14" t="n"/>
      <c r="F268" s="18" t="n"/>
      <c r="G268" s="18" t="n"/>
      <c r="H268" s="21">
        <f>IF(AND($F268="",$G268=""),"",N($F268)*IFERROR(N(INDEX(Vinos!$H$2:$H$301,MATCH($B268,Vinos!$A$2:$A$301,0))),0)+N($G268))</f>
        <v/>
      </c>
      <c r="I268" s="18" t="n"/>
      <c r="J268" s="21">
        <f>IF(OR($H268="",$I268=""),"",$H268-$I268)</f>
        <v/>
      </c>
      <c r="K268" s="16">
        <f>IF($H268="","",IFERROR(IF(INDEX(Vinos!$J$2:$J$301,MATCH($B268,Vinos!$A$2:$A$301,0))="","",$H268*INDEX(Vinos!$J$2:$J$301,MATCH($B268,Vinos!$A$2:$A$301,0))),""))</f>
        <v/>
      </c>
      <c r="L268" s="16">
        <f>IF($H268="","",IFERROR(IF(INDEX(Vinos!$K$2:$K$301,MATCH($B268,Vinos!$A$2:$A$301,0))="","",$H268*INDEX(Vinos!$K$2:$K$301,MATCH($B268,Vinos!$A$2:$A$301,0))),""))</f>
        <v/>
      </c>
      <c r="M268" s="21">
        <f>IF(OR($A268="",$B268=""),"",SUMIFS($H$2:$H$2001,$A$2:$A$2001,$A268,$B$2:$B$2001,$B268))</f>
        <v/>
      </c>
      <c r="N268" s="20">
        <f>IF($M268="","",IF($M268&lt;=0,"Sin stock: reponer ya",IF($M268&lt;IFERROR(N(INDEX(Vinos!$N$2:$N$301,MATCH($B268,Vinos!$A$2:$A$301,0))),0),"Bajo mínimo: reponer","OK")))</f>
        <v/>
      </c>
      <c r="O268" s="14" t="n"/>
      <c r="P268" s="14" t="n"/>
      <c r="Q268" s="20">
        <f>IF($B268="","",IFERROR(INDEX(Vinos!$C$2:$C$301,MATCH($B268,Vinos!$A$2:$A$301,0)),""))</f>
        <v/>
      </c>
      <c r="R268" s="20">
        <f>IF(OR($A268="",$A268&lt;&gt;'Resumen del inventario'!$C$3,$N268="",$N268="OK"),"",IF(COUNTIFS($A$2:$A268,$A268,$B$2:$B268,$B268)=1,1,""))</f>
        <v/>
      </c>
      <c r="S268" s="20">
        <f>IF($R268=1,COUNTIF($R$2:$R268,1),"")</f>
        <v/>
      </c>
    </row>
    <row r="269">
      <c r="A269" s="19" t="n"/>
      <c r="B269" s="14" t="n"/>
      <c r="C269" s="20">
        <f>IF($B269="","",IFERROR(INDEX(Vinos!$B$2:$B$301,MATCH($B269,Vinos!$A$2:$A$301,0)),"Código no cargado"))</f>
        <v/>
      </c>
      <c r="D269" s="14" t="n"/>
      <c r="E269" s="14" t="n"/>
      <c r="F269" s="18" t="n"/>
      <c r="G269" s="18" t="n"/>
      <c r="H269" s="21">
        <f>IF(AND($F269="",$G269=""),"",N($F269)*IFERROR(N(INDEX(Vinos!$H$2:$H$301,MATCH($B269,Vinos!$A$2:$A$301,0))),0)+N($G269))</f>
        <v/>
      </c>
      <c r="I269" s="18" t="n"/>
      <c r="J269" s="21">
        <f>IF(OR($H269="",$I269=""),"",$H269-$I269)</f>
        <v/>
      </c>
      <c r="K269" s="16">
        <f>IF($H269="","",IFERROR(IF(INDEX(Vinos!$J$2:$J$301,MATCH($B269,Vinos!$A$2:$A$301,0))="","",$H269*INDEX(Vinos!$J$2:$J$301,MATCH($B269,Vinos!$A$2:$A$301,0))),""))</f>
        <v/>
      </c>
      <c r="L269" s="16">
        <f>IF($H269="","",IFERROR(IF(INDEX(Vinos!$K$2:$K$301,MATCH($B269,Vinos!$A$2:$A$301,0))="","",$H269*INDEX(Vinos!$K$2:$K$301,MATCH($B269,Vinos!$A$2:$A$301,0))),""))</f>
        <v/>
      </c>
      <c r="M269" s="21">
        <f>IF(OR($A269="",$B269=""),"",SUMIFS($H$2:$H$2001,$A$2:$A$2001,$A269,$B$2:$B$2001,$B269))</f>
        <v/>
      </c>
      <c r="N269" s="20">
        <f>IF($M269="","",IF($M269&lt;=0,"Sin stock: reponer ya",IF($M269&lt;IFERROR(N(INDEX(Vinos!$N$2:$N$301,MATCH($B269,Vinos!$A$2:$A$301,0))),0),"Bajo mínimo: reponer","OK")))</f>
        <v/>
      </c>
      <c r="O269" s="14" t="n"/>
      <c r="P269" s="14" t="n"/>
      <c r="Q269" s="20">
        <f>IF($B269="","",IFERROR(INDEX(Vinos!$C$2:$C$301,MATCH($B269,Vinos!$A$2:$A$301,0)),""))</f>
        <v/>
      </c>
      <c r="R269" s="20">
        <f>IF(OR($A269="",$A269&lt;&gt;'Resumen del inventario'!$C$3,$N269="",$N269="OK"),"",IF(COUNTIFS($A$2:$A269,$A269,$B$2:$B269,$B269)=1,1,""))</f>
        <v/>
      </c>
      <c r="S269" s="20">
        <f>IF($R269=1,COUNTIF($R$2:$R269,1),"")</f>
        <v/>
      </c>
    </row>
    <row r="270">
      <c r="A270" s="19" t="n"/>
      <c r="B270" s="14" t="n"/>
      <c r="C270" s="20">
        <f>IF($B270="","",IFERROR(INDEX(Vinos!$B$2:$B$301,MATCH($B270,Vinos!$A$2:$A$301,0)),"Código no cargado"))</f>
        <v/>
      </c>
      <c r="D270" s="14" t="n"/>
      <c r="E270" s="14" t="n"/>
      <c r="F270" s="18" t="n"/>
      <c r="G270" s="18" t="n"/>
      <c r="H270" s="21">
        <f>IF(AND($F270="",$G270=""),"",N($F270)*IFERROR(N(INDEX(Vinos!$H$2:$H$301,MATCH($B270,Vinos!$A$2:$A$301,0))),0)+N($G270))</f>
        <v/>
      </c>
      <c r="I270" s="18" t="n"/>
      <c r="J270" s="21">
        <f>IF(OR($H270="",$I270=""),"",$H270-$I270)</f>
        <v/>
      </c>
      <c r="K270" s="16">
        <f>IF($H270="","",IFERROR(IF(INDEX(Vinos!$J$2:$J$301,MATCH($B270,Vinos!$A$2:$A$301,0))="","",$H270*INDEX(Vinos!$J$2:$J$301,MATCH($B270,Vinos!$A$2:$A$301,0))),""))</f>
        <v/>
      </c>
      <c r="L270" s="16">
        <f>IF($H270="","",IFERROR(IF(INDEX(Vinos!$K$2:$K$301,MATCH($B270,Vinos!$A$2:$A$301,0))="","",$H270*INDEX(Vinos!$K$2:$K$301,MATCH($B270,Vinos!$A$2:$A$301,0))),""))</f>
        <v/>
      </c>
      <c r="M270" s="21">
        <f>IF(OR($A270="",$B270=""),"",SUMIFS($H$2:$H$2001,$A$2:$A$2001,$A270,$B$2:$B$2001,$B270))</f>
        <v/>
      </c>
      <c r="N270" s="20">
        <f>IF($M270="","",IF($M270&lt;=0,"Sin stock: reponer ya",IF($M270&lt;IFERROR(N(INDEX(Vinos!$N$2:$N$301,MATCH($B270,Vinos!$A$2:$A$301,0))),0),"Bajo mínimo: reponer","OK")))</f>
        <v/>
      </c>
      <c r="O270" s="14" t="n"/>
      <c r="P270" s="14" t="n"/>
      <c r="Q270" s="20">
        <f>IF($B270="","",IFERROR(INDEX(Vinos!$C$2:$C$301,MATCH($B270,Vinos!$A$2:$A$301,0)),""))</f>
        <v/>
      </c>
      <c r="R270" s="20">
        <f>IF(OR($A270="",$A270&lt;&gt;'Resumen del inventario'!$C$3,$N270="",$N270="OK"),"",IF(COUNTIFS($A$2:$A270,$A270,$B$2:$B270,$B270)=1,1,""))</f>
        <v/>
      </c>
      <c r="S270" s="20">
        <f>IF($R270=1,COUNTIF($R$2:$R270,1),"")</f>
        <v/>
      </c>
    </row>
    <row r="271">
      <c r="A271" s="19" t="n"/>
      <c r="B271" s="14" t="n"/>
      <c r="C271" s="20">
        <f>IF($B271="","",IFERROR(INDEX(Vinos!$B$2:$B$301,MATCH($B271,Vinos!$A$2:$A$301,0)),"Código no cargado"))</f>
        <v/>
      </c>
      <c r="D271" s="14" t="n"/>
      <c r="E271" s="14" t="n"/>
      <c r="F271" s="18" t="n"/>
      <c r="G271" s="18" t="n"/>
      <c r="H271" s="21">
        <f>IF(AND($F271="",$G271=""),"",N($F271)*IFERROR(N(INDEX(Vinos!$H$2:$H$301,MATCH($B271,Vinos!$A$2:$A$301,0))),0)+N($G271))</f>
        <v/>
      </c>
      <c r="I271" s="18" t="n"/>
      <c r="J271" s="21">
        <f>IF(OR($H271="",$I271=""),"",$H271-$I271)</f>
        <v/>
      </c>
      <c r="K271" s="16">
        <f>IF($H271="","",IFERROR(IF(INDEX(Vinos!$J$2:$J$301,MATCH($B271,Vinos!$A$2:$A$301,0))="","",$H271*INDEX(Vinos!$J$2:$J$301,MATCH($B271,Vinos!$A$2:$A$301,0))),""))</f>
        <v/>
      </c>
      <c r="L271" s="16">
        <f>IF($H271="","",IFERROR(IF(INDEX(Vinos!$K$2:$K$301,MATCH($B271,Vinos!$A$2:$A$301,0))="","",$H271*INDEX(Vinos!$K$2:$K$301,MATCH($B271,Vinos!$A$2:$A$301,0))),""))</f>
        <v/>
      </c>
      <c r="M271" s="21">
        <f>IF(OR($A271="",$B271=""),"",SUMIFS($H$2:$H$2001,$A$2:$A$2001,$A271,$B$2:$B$2001,$B271))</f>
        <v/>
      </c>
      <c r="N271" s="20">
        <f>IF($M271="","",IF($M271&lt;=0,"Sin stock: reponer ya",IF($M271&lt;IFERROR(N(INDEX(Vinos!$N$2:$N$301,MATCH($B271,Vinos!$A$2:$A$301,0))),0),"Bajo mínimo: reponer","OK")))</f>
        <v/>
      </c>
      <c r="O271" s="14" t="n"/>
      <c r="P271" s="14" t="n"/>
      <c r="Q271" s="20">
        <f>IF($B271="","",IFERROR(INDEX(Vinos!$C$2:$C$301,MATCH($B271,Vinos!$A$2:$A$301,0)),""))</f>
        <v/>
      </c>
      <c r="R271" s="20">
        <f>IF(OR($A271="",$A271&lt;&gt;'Resumen del inventario'!$C$3,$N271="",$N271="OK"),"",IF(COUNTIFS($A$2:$A271,$A271,$B$2:$B271,$B271)=1,1,""))</f>
        <v/>
      </c>
      <c r="S271" s="20">
        <f>IF($R271=1,COUNTIF($R$2:$R271,1),"")</f>
        <v/>
      </c>
    </row>
    <row r="272">
      <c r="A272" s="19" t="n"/>
      <c r="B272" s="14" t="n"/>
      <c r="C272" s="20">
        <f>IF($B272="","",IFERROR(INDEX(Vinos!$B$2:$B$301,MATCH($B272,Vinos!$A$2:$A$301,0)),"Código no cargado"))</f>
        <v/>
      </c>
      <c r="D272" s="14" t="n"/>
      <c r="E272" s="14" t="n"/>
      <c r="F272" s="18" t="n"/>
      <c r="G272" s="18" t="n"/>
      <c r="H272" s="21">
        <f>IF(AND($F272="",$G272=""),"",N($F272)*IFERROR(N(INDEX(Vinos!$H$2:$H$301,MATCH($B272,Vinos!$A$2:$A$301,0))),0)+N($G272))</f>
        <v/>
      </c>
      <c r="I272" s="18" t="n"/>
      <c r="J272" s="21">
        <f>IF(OR($H272="",$I272=""),"",$H272-$I272)</f>
        <v/>
      </c>
      <c r="K272" s="16">
        <f>IF($H272="","",IFERROR(IF(INDEX(Vinos!$J$2:$J$301,MATCH($B272,Vinos!$A$2:$A$301,0))="","",$H272*INDEX(Vinos!$J$2:$J$301,MATCH($B272,Vinos!$A$2:$A$301,0))),""))</f>
        <v/>
      </c>
      <c r="L272" s="16">
        <f>IF($H272="","",IFERROR(IF(INDEX(Vinos!$K$2:$K$301,MATCH($B272,Vinos!$A$2:$A$301,0))="","",$H272*INDEX(Vinos!$K$2:$K$301,MATCH($B272,Vinos!$A$2:$A$301,0))),""))</f>
        <v/>
      </c>
      <c r="M272" s="21">
        <f>IF(OR($A272="",$B272=""),"",SUMIFS($H$2:$H$2001,$A$2:$A$2001,$A272,$B$2:$B$2001,$B272))</f>
        <v/>
      </c>
      <c r="N272" s="20">
        <f>IF($M272="","",IF($M272&lt;=0,"Sin stock: reponer ya",IF($M272&lt;IFERROR(N(INDEX(Vinos!$N$2:$N$301,MATCH($B272,Vinos!$A$2:$A$301,0))),0),"Bajo mínimo: reponer","OK")))</f>
        <v/>
      </c>
      <c r="O272" s="14" t="n"/>
      <c r="P272" s="14" t="n"/>
      <c r="Q272" s="20">
        <f>IF($B272="","",IFERROR(INDEX(Vinos!$C$2:$C$301,MATCH($B272,Vinos!$A$2:$A$301,0)),""))</f>
        <v/>
      </c>
      <c r="R272" s="20">
        <f>IF(OR($A272="",$A272&lt;&gt;'Resumen del inventario'!$C$3,$N272="",$N272="OK"),"",IF(COUNTIFS($A$2:$A272,$A272,$B$2:$B272,$B272)=1,1,""))</f>
        <v/>
      </c>
      <c r="S272" s="20">
        <f>IF($R272=1,COUNTIF($R$2:$R272,1),"")</f>
        <v/>
      </c>
    </row>
    <row r="273">
      <c r="A273" s="19" t="n"/>
      <c r="B273" s="14" t="n"/>
      <c r="C273" s="20">
        <f>IF($B273="","",IFERROR(INDEX(Vinos!$B$2:$B$301,MATCH($B273,Vinos!$A$2:$A$301,0)),"Código no cargado"))</f>
        <v/>
      </c>
      <c r="D273" s="14" t="n"/>
      <c r="E273" s="14" t="n"/>
      <c r="F273" s="18" t="n"/>
      <c r="G273" s="18" t="n"/>
      <c r="H273" s="21">
        <f>IF(AND($F273="",$G273=""),"",N($F273)*IFERROR(N(INDEX(Vinos!$H$2:$H$301,MATCH($B273,Vinos!$A$2:$A$301,0))),0)+N($G273))</f>
        <v/>
      </c>
      <c r="I273" s="18" t="n"/>
      <c r="J273" s="21">
        <f>IF(OR($H273="",$I273=""),"",$H273-$I273)</f>
        <v/>
      </c>
      <c r="K273" s="16">
        <f>IF($H273="","",IFERROR(IF(INDEX(Vinos!$J$2:$J$301,MATCH($B273,Vinos!$A$2:$A$301,0))="","",$H273*INDEX(Vinos!$J$2:$J$301,MATCH($B273,Vinos!$A$2:$A$301,0))),""))</f>
        <v/>
      </c>
      <c r="L273" s="16">
        <f>IF($H273="","",IFERROR(IF(INDEX(Vinos!$K$2:$K$301,MATCH($B273,Vinos!$A$2:$A$301,0))="","",$H273*INDEX(Vinos!$K$2:$K$301,MATCH($B273,Vinos!$A$2:$A$301,0))),""))</f>
        <v/>
      </c>
      <c r="M273" s="21">
        <f>IF(OR($A273="",$B273=""),"",SUMIFS($H$2:$H$2001,$A$2:$A$2001,$A273,$B$2:$B$2001,$B273))</f>
        <v/>
      </c>
      <c r="N273" s="20">
        <f>IF($M273="","",IF($M273&lt;=0,"Sin stock: reponer ya",IF($M273&lt;IFERROR(N(INDEX(Vinos!$N$2:$N$301,MATCH($B273,Vinos!$A$2:$A$301,0))),0),"Bajo mínimo: reponer","OK")))</f>
        <v/>
      </c>
      <c r="O273" s="14" t="n"/>
      <c r="P273" s="14" t="n"/>
      <c r="Q273" s="20">
        <f>IF($B273="","",IFERROR(INDEX(Vinos!$C$2:$C$301,MATCH($B273,Vinos!$A$2:$A$301,0)),""))</f>
        <v/>
      </c>
      <c r="R273" s="20">
        <f>IF(OR($A273="",$A273&lt;&gt;'Resumen del inventario'!$C$3,$N273="",$N273="OK"),"",IF(COUNTIFS($A$2:$A273,$A273,$B$2:$B273,$B273)=1,1,""))</f>
        <v/>
      </c>
      <c r="S273" s="20">
        <f>IF($R273=1,COUNTIF($R$2:$R273,1),"")</f>
        <v/>
      </c>
    </row>
    <row r="274">
      <c r="A274" s="19" t="n"/>
      <c r="B274" s="14" t="n"/>
      <c r="C274" s="20">
        <f>IF($B274="","",IFERROR(INDEX(Vinos!$B$2:$B$301,MATCH($B274,Vinos!$A$2:$A$301,0)),"Código no cargado"))</f>
        <v/>
      </c>
      <c r="D274" s="14" t="n"/>
      <c r="E274" s="14" t="n"/>
      <c r="F274" s="18" t="n"/>
      <c r="G274" s="18" t="n"/>
      <c r="H274" s="21">
        <f>IF(AND($F274="",$G274=""),"",N($F274)*IFERROR(N(INDEX(Vinos!$H$2:$H$301,MATCH($B274,Vinos!$A$2:$A$301,0))),0)+N($G274))</f>
        <v/>
      </c>
      <c r="I274" s="18" t="n"/>
      <c r="J274" s="21">
        <f>IF(OR($H274="",$I274=""),"",$H274-$I274)</f>
        <v/>
      </c>
      <c r="K274" s="16">
        <f>IF($H274="","",IFERROR(IF(INDEX(Vinos!$J$2:$J$301,MATCH($B274,Vinos!$A$2:$A$301,0))="","",$H274*INDEX(Vinos!$J$2:$J$301,MATCH($B274,Vinos!$A$2:$A$301,0))),""))</f>
        <v/>
      </c>
      <c r="L274" s="16">
        <f>IF($H274="","",IFERROR(IF(INDEX(Vinos!$K$2:$K$301,MATCH($B274,Vinos!$A$2:$A$301,0))="","",$H274*INDEX(Vinos!$K$2:$K$301,MATCH($B274,Vinos!$A$2:$A$301,0))),""))</f>
        <v/>
      </c>
      <c r="M274" s="21">
        <f>IF(OR($A274="",$B274=""),"",SUMIFS($H$2:$H$2001,$A$2:$A$2001,$A274,$B$2:$B$2001,$B274))</f>
        <v/>
      </c>
      <c r="N274" s="20">
        <f>IF($M274="","",IF($M274&lt;=0,"Sin stock: reponer ya",IF($M274&lt;IFERROR(N(INDEX(Vinos!$N$2:$N$301,MATCH($B274,Vinos!$A$2:$A$301,0))),0),"Bajo mínimo: reponer","OK")))</f>
        <v/>
      </c>
      <c r="O274" s="14" t="n"/>
      <c r="P274" s="14" t="n"/>
      <c r="Q274" s="20">
        <f>IF($B274="","",IFERROR(INDEX(Vinos!$C$2:$C$301,MATCH($B274,Vinos!$A$2:$A$301,0)),""))</f>
        <v/>
      </c>
      <c r="R274" s="20">
        <f>IF(OR($A274="",$A274&lt;&gt;'Resumen del inventario'!$C$3,$N274="",$N274="OK"),"",IF(COUNTIFS($A$2:$A274,$A274,$B$2:$B274,$B274)=1,1,""))</f>
        <v/>
      </c>
      <c r="S274" s="20">
        <f>IF($R274=1,COUNTIF($R$2:$R274,1),"")</f>
        <v/>
      </c>
    </row>
    <row r="275">
      <c r="A275" s="19" t="n"/>
      <c r="B275" s="14" t="n"/>
      <c r="C275" s="20">
        <f>IF($B275="","",IFERROR(INDEX(Vinos!$B$2:$B$301,MATCH($B275,Vinos!$A$2:$A$301,0)),"Código no cargado"))</f>
        <v/>
      </c>
      <c r="D275" s="14" t="n"/>
      <c r="E275" s="14" t="n"/>
      <c r="F275" s="18" t="n"/>
      <c r="G275" s="18" t="n"/>
      <c r="H275" s="21">
        <f>IF(AND($F275="",$G275=""),"",N($F275)*IFERROR(N(INDEX(Vinos!$H$2:$H$301,MATCH($B275,Vinos!$A$2:$A$301,0))),0)+N($G275))</f>
        <v/>
      </c>
      <c r="I275" s="18" t="n"/>
      <c r="J275" s="21">
        <f>IF(OR($H275="",$I275=""),"",$H275-$I275)</f>
        <v/>
      </c>
      <c r="K275" s="16">
        <f>IF($H275="","",IFERROR(IF(INDEX(Vinos!$J$2:$J$301,MATCH($B275,Vinos!$A$2:$A$301,0))="","",$H275*INDEX(Vinos!$J$2:$J$301,MATCH($B275,Vinos!$A$2:$A$301,0))),""))</f>
        <v/>
      </c>
      <c r="L275" s="16">
        <f>IF($H275="","",IFERROR(IF(INDEX(Vinos!$K$2:$K$301,MATCH($B275,Vinos!$A$2:$A$301,0))="","",$H275*INDEX(Vinos!$K$2:$K$301,MATCH($B275,Vinos!$A$2:$A$301,0))),""))</f>
        <v/>
      </c>
      <c r="M275" s="21">
        <f>IF(OR($A275="",$B275=""),"",SUMIFS($H$2:$H$2001,$A$2:$A$2001,$A275,$B$2:$B$2001,$B275))</f>
        <v/>
      </c>
      <c r="N275" s="20">
        <f>IF($M275="","",IF($M275&lt;=0,"Sin stock: reponer ya",IF($M275&lt;IFERROR(N(INDEX(Vinos!$N$2:$N$301,MATCH($B275,Vinos!$A$2:$A$301,0))),0),"Bajo mínimo: reponer","OK")))</f>
        <v/>
      </c>
      <c r="O275" s="14" t="n"/>
      <c r="P275" s="14" t="n"/>
      <c r="Q275" s="20">
        <f>IF($B275="","",IFERROR(INDEX(Vinos!$C$2:$C$301,MATCH($B275,Vinos!$A$2:$A$301,0)),""))</f>
        <v/>
      </c>
      <c r="R275" s="20">
        <f>IF(OR($A275="",$A275&lt;&gt;'Resumen del inventario'!$C$3,$N275="",$N275="OK"),"",IF(COUNTIFS($A$2:$A275,$A275,$B$2:$B275,$B275)=1,1,""))</f>
        <v/>
      </c>
      <c r="S275" s="20">
        <f>IF($R275=1,COUNTIF($R$2:$R275,1),"")</f>
        <v/>
      </c>
    </row>
    <row r="276">
      <c r="A276" s="19" t="n"/>
      <c r="B276" s="14" t="n"/>
      <c r="C276" s="20">
        <f>IF($B276="","",IFERROR(INDEX(Vinos!$B$2:$B$301,MATCH($B276,Vinos!$A$2:$A$301,0)),"Código no cargado"))</f>
        <v/>
      </c>
      <c r="D276" s="14" t="n"/>
      <c r="E276" s="14" t="n"/>
      <c r="F276" s="18" t="n"/>
      <c r="G276" s="18" t="n"/>
      <c r="H276" s="21">
        <f>IF(AND($F276="",$G276=""),"",N($F276)*IFERROR(N(INDEX(Vinos!$H$2:$H$301,MATCH($B276,Vinos!$A$2:$A$301,0))),0)+N($G276))</f>
        <v/>
      </c>
      <c r="I276" s="18" t="n"/>
      <c r="J276" s="21">
        <f>IF(OR($H276="",$I276=""),"",$H276-$I276)</f>
        <v/>
      </c>
      <c r="K276" s="16">
        <f>IF($H276="","",IFERROR(IF(INDEX(Vinos!$J$2:$J$301,MATCH($B276,Vinos!$A$2:$A$301,0))="","",$H276*INDEX(Vinos!$J$2:$J$301,MATCH($B276,Vinos!$A$2:$A$301,0))),""))</f>
        <v/>
      </c>
      <c r="L276" s="16">
        <f>IF($H276="","",IFERROR(IF(INDEX(Vinos!$K$2:$K$301,MATCH($B276,Vinos!$A$2:$A$301,0))="","",$H276*INDEX(Vinos!$K$2:$K$301,MATCH($B276,Vinos!$A$2:$A$301,0))),""))</f>
        <v/>
      </c>
      <c r="M276" s="21">
        <f>IF(OR($A276="",$B276=""),"",SUMIFS($H$2:$H$2001,$A$2:$A$2001,$A276,$B$2:$B$2001,$B276))</f>
        <v/>
      </c>
      <c r="N276" s="20">
        <f>IF($M276="","",IF($M276&lt;=0,"Sin stock: reponer ya",IF($M276&lt;IFERROR(N(INDEX(Vinos!$N$2:$N$301,MATCH($B276,Vinos!$A$2:$A$301,0))),0),"Bajo mínimo: reponer","OK")))</f>
        <v/>
      </c>
      <c r="O276" s="14" t="n"/>
      <c r="P276" s="14" t="n"/>
      <c r="Q276" s="20">
        <f>IF($B276="","",IFERROR(INDEX(Vinos!$C$2:$C$301,MATCH($B276,Vinos!$A$2:$A$301,0)),""))</f>
        <v/>
      </c>
      <c r="R276" s="20">
        <f>IF(OR($A276="",$A276&lt;&gt;'Resumen del inventario'!$C$3,$N276="",$N276="OK"),"",IF(COUNTIFS($A$2:$A276,$A276,$B$2:$B276,$B276)=1,1,""))</f>
        <v/>
      </c>
      <c r="S276" s="20">
        <f>IF($R276=1,COUNTIF($R$2:$R276,1),"")</f>
        <v/>
      </c>
    </row>
    <row r="277">
      <c r="A277" s="19" t="n"/>
      <c r="B277" s="14" t="n"/>
      <c r="C277" s="20">
        <f>IF($B277="","",IFERROR(INDEX(Vinos!$B$2:$B$301,MATCH($B277,Vinos!$A$2:$A$301,0)),"Código no cargado"))</f>
        <v/>
      </c>
      <c r="D277" s="14" t="n"/>
      <c r="E277" s="14" t="n"/>
      <c r="F277" s="18" t="n"/>
      <c r="G277" s="18" t="n"/>
      <c r="H277" s="21">
        <f>IF(AND($F277="",$G277=""),"",N($F277)*IFERROR(N(INDEX(Vinos!$H$2:$H$301,MATCH($B277,Vinos!$A$2:$A$301,0))),0)+N($G277))</f>
        <v/>
      </c>
      <c r="I277" s="18" t="n"/>
      <c r="J277" s="21">
        <f>IF(OR($H277="",$I277=""),"",$H277-$I277)</f>
        <v/>
      </c>
      <c r="K277" s="16">
        <f>IF($H277="","",IFERROR(IF(INDEX(Vinos!$J$2:$J$301,MATCH($B277,Vinos!$A$2:$A$301,0))="","",$H277*INDEX(Vinos!$J$2:$J$301,MATCH($B277,Vinos!$A$2:$A$301,0))),""))</f>
        <v/>
      </c>
      <c r="L277" s="16">
        <f>IF($H277="","",IFERROR(IF(INDEX(Vinos!$K$2:$K$301,MATCH($B277,Vinos!$A$2:$A$301,0))="","",$H277*INDEX(Vinos!$K$2:$K$301,MATCH($B277,Vinos!$A$2:$A$301,0))),""))</f>
        <v/>
      </c>
      <c r="M277" s="21">
        <f>IF(OR($A277="",$B277=""),"",SUMIFS($H$2:$H$2001,$A$2:$A$2001,$A277,$B$2:$B$2001,$B277))</f>
        <v/>
      </c>
      <c r="N277" s="20">
        <f>IF($M277="","",IF($M277&lt;=0,"Sin stock: reponer ya",IF($M277&lt;IFERROR(N(INDEX(Vinos!$N$2:$N$301,MATCH($B277,Vinos!$A$2:$A$301,0))),0),"Bajo mínimo: reponer","OK")))</f>
        <v/>
      </c>
      <c r="O277" s="14" t="n"/>
      <c r="P277" s="14" t="n"/>
      <c r="Q277" s="20">
        <f>IF($B277="","",IFERROR(INDEX(Vinos!$C$2:$C$301,MATCH($B277,Vinos!$A$2:$A$301,0)),""))</f>
        <v/>
      </c>
      <c r="R277" s="20">
        <f>IF(OR($A277="",$A277&lt;&gt;'Resumen del inventario'!$C$3,$N277="",$N277="OK"),"",IF(COUNTIFS($A$2:$A277,$A277,$B$2:$B277,$B277)=1,1,""))</f>
        <v/>
      </c>
      <c r="S277" s="20">
        <f>IF($R277=1,COUNTIF($R$2:$R277,1),"")</f>
        <v/>
      </c>
    </row>
    <row r="278">
      <c r="A278" s="19" t="n"/>
      <c r="B278" s="14" t="n"/>
      <c r="C278" s="20">
        <f>IF($B278="","",IFERROR(INDEX(Vinos!$B$2:$B$301,MATCH($B278,Vinos!$A$2:$A$301,0)),"Código no cargado"))</f>
        <v/>
      </c>
      <c r="D278" s="14" t="n"/>
      <c r="E278" s="14" t="n"/>
      <c r="F278" s="18" t="n"/>
      <c r="G278" s="18" t="n"/>
      <c r="H278" s="21">
        <f>IF(AND($F278="",$G278=""),"",N($F278)*IFERROR(N(INDEX(Vinos!$H$2:$H$301,MATCH($B278,Vinos!$A$2:$A$301,0))),0)+N($G278))</f>
        <v/>
      </c>
      <c r="I278" s="18" t="n"/>
      <c r="J278" s="21">
        <f>IF(OR($H278="",$I278=""),"",$H278-$I278)</f>
        <v/>
      </c>
      <c r="K278" s="16">
        <f>IF($H278="","",IFERROR(IF(INDEX(Vinos!$J$2:$J$301,MATCH($B278,Vinos!$A$2:$A$301,0))="","",$H278*INDEX(Vinos!$J$2:$J$301,MATCH($B278,Vinos!$A$2:$A$301,0))),""))</f>
        <v/>
      </c>
      <c r="L278" s="16">
        <f>IF($H278="","",IFERROR(IF(INDEX(Vinos!$K$2:$K$301,MATCH($B278,Vinos!$A$2:$A$301,0))="","",$H278*INDEX(Vinos!$K$2:$K$301,MATCH($B278,Vinos!$A$2:$A$301,0))),""))</f>
        <v/>
      </c>
      <c r="M278" s="21">
        <f>IF(OR($A278="",$B278=""),"",SUMIFS($H$2:$H$2001,$A$2:$A$2001,$A278,$B$2:$B$2001,$B278))</f>
        <v/>
      </c>
      <c r="N278" s="20">
        <f>IF($M278="","",IF($M278&lt;=0,"Sin stock: reponer ya",IF($M278&lt;IFERROR(N(INDEX(Vinos!$N$2:$N$301,MATCH($B278,Vinos!$A$2:$A$301,0))),0),"Bajo mínimo: reponer","OK")))</f>
        <v/>
      </c>
      <c r="O278" s="14" t="n"/>
      <c r="P278" s="14" t="n"/>
      <c r="Q278" s="20">
        <f>IF($B278="","",IFERROR(INDEX(Vinos!$C$2:$C$301,MATCH($B278,Vinos!$A$2:$A$301,0)),""))</f>
        <v/>
      </c>
      <c r="R278" s="20">
        <f>IF(OR($A278="",$A278&lt;&gt;'Resumen del inventario'!$C$3,$N278="",$N278="OK"),"",IF(COUNTIFS($A$2:$A278,$A278,$B$2:$B278,$B278)=1,1,""))</f>
        <v/>
      </c>
      <c r="S278" s="20">
        <f>IF($R278=1,COUNTIF($R$2:$R278,1),"")</f>
        <v/>
      </c>
    </row>
    <row r="279">
      <c r="A279" s="19" t="n"/>
      <c r="B279" s="14" t="n"/>
      <c r="C279" s="20">
        <f>IF($B279="","",IFERROR(INDEX(Vinos!$B$2:$B$301,MATCH($B279,Vinos!$A$2:$A$301,0)),"Código no cargado"))</f>
        <v/>
      </c>
      <c r="D279" s="14" t="n"/>
      <c r="E279" s="14" t="n"/>
      <c r="F279" s="18" t="n"/>
      <c r="G279" s="18" t="n"/>
      <c r="H279" s="21">
        <f>IF(AND($F279="",$G279=""),"",N($F279)*IFERROR(N(INDEX(Vinos!$H$2:$H$301,MATCH($B279,Vinos!$A$2:$A$301,0))),0)+N($G279))</f>
        <v/>
      </c>
      <c r="I279" s="18" t="n"/>
      <c r="J279" s="21">
        <f>IF(OR($H279="",$I279=""),"",$H279-$I279)</f>
        <v/>
      </c>
      <c r="K279" s="16">
        <f>IF($H279="","",IFERROR(IF(INDEX(Vinos!$J$2:$J$301,MATCH($B279,Vinos!$A$2:$A$301,0))="","",$H279*INDEX(Vinos!$J$2:$J$301,MATCH($B279,Vinos!$A$2:$A$301,0))),""))</f>
        <v/>
      </c>
      <c r="L279" s="16">
        <f>IF($H279="","",IFERROR(IF(INDEX(Vinos!$K$2:$K$301,MATCH($B279,Vinos!$A$2:$A$301,0))="","",$H279*INDEX(Vinos!$K$2:$K$301,MATCH($B279,Vinos!$A$2:$A$301,0))),""))</f>
        <v/>
      </c>
      <c r="M279" s="21">
        <f>IF(OR($A279="",$B279=""),"",SUMIFS($H$2:$H$2001,$A$2:$A$2001,$A279,$B$2:$B$2001,$B279))</f>
        <v/>
      </c>
      <c r="N279" s="20">
        <f>IF($M279="","",IF($M279&lt;=0,"Sin stock: reponer ya",IF($M279&lt;IFERROR(N(INDEX(Vinos!$N$2:$N$301,MATCH($B279,Vinos!$A$2:$A$301,0))),0),"Bajo mínimo: reponer","OK")))</f>
        <v/>
      </c>
      <c r="O279" s="14" t="n"/>
      <c r="P279" s="14" t="n"/>
      <c r="Q279" s="20">
        <f>IF($B279="","",IFERROR(INDEX(Vinos!$C$2:$C$301,MATCH($B279,Vinos!$A$2:$A$301,0)),""))</f>
        <v/>
      </c>
      <c r="R279" s="20">
        <f>IF(OR($A279="",$A279&lt;&gt;'Resumen del inventario'!$C$3,$N279="",$N279="OK"),"",IF(COUNTIFS($A$2:$A279,$A279,$B$2:$B279,$B279)=1,1,""))</f>
        <v/>
      </c>
      <c r="S279" s="20">
        <f>IF($R279=1,COUNTIF($R$2:$R279,1),"")</f>
        <v/>
      </c>
    </row>
    <row r="280">
      <c r="A280" s="19" t="n"/>
      <c r="B280" s="14" t="n"/>
      <c r="C280" s="20">
        <f>IF($B280="","",IFERROR(INDEX(Vinos!$B$2:$B$301,MATCH($B280,Vinos!$A$2:$A$301,0)),"Código no cargado"))</f>
        <v/>
      </c>
      <c r="D280" s="14" t="n"/>
      <c r="E280" s="14" t="n"/>
      <c r="F280" s="18" t="n"/>
      <c r="G280" s="18" t="n"/>
      <c r="H280" s="21">
        <f>IF(AND($F280="",$G280=""),"",N($F280)*IFERROR(N(INDEX(Vinos!$H$2:$H$301,MATCH($B280,Vinos!$A$2:$A$301,0))),0)+N($G280))</f>
        <v/>
      </c>
      <c r="I280" s="18" t="n"/>
      <c r="J280" s="21">
        <f>IF(OR($H280="",$I280=""),"",$H280-$I280)</f>
        <v/>
      </c>
      <c r="K280" s="16">
        <f>IF($H280="","",IFERROR(IF(INDEX(Vinos!$J$2:$J$301,MATCH($B280,Vinos!$A$2:$A$301,0))="","",$H280*INDEX(Vinos!$J$2:$J$301,MATCH($B280,Vinos!$A$2:$A$301,0))),""))</f>
        <v/>
      </c>
      <c r="L280" s="16">
        <f>IF($H280="","",IFERROR(IF(INDEX(Vinos!$K$2:$K$301,MATCH($B280,Vinos!$A$2:$A$301,0))="","",$H280*INDEX(Vinos!$K$2:$K$301,MATCH($B280,Vinos!$A$2:$A$301,0))),""))</f>
        <v/>
      </c>
      <c r="M280" s="21">
        <f>IF(OR($A280="",$B280=""),"",SUMIFS($H$2:$H$2001,$A$2:$A$2001,$A280,$B$2:$B$2001,$B280))</f>
        <v/>
      </c>
      <c r="N280" s="20">
        <f>IF($M280="","",IF($M280&lt;=0,"Sin stock: reponer ya",IF($M280&lt;IFERROR(N(INDEX(Vinos!$N$2:$N$301,MATCH($B280,Vinos!$A$2:$A$301,0))),0),"Bajo mínimo: reponer","OK")))</f>
        <v/>
      </c>
      <c r="O280" s="14" t="n"/>
      <c r="P280" s="14" t="n"/>
      <c r="Q280" s="20">
        <f>IF($B280="","",IFERROR(INDEX(Vinos!$C$2:$C$301,MATCH($B280,Vinos!$A$2:$A$301,0)),""))</f>
        <v/>
      </c>
      <c r="R280" s="20">
        <f>IF(OR($A280="",$A280&lt;&gt;'Resumen del inventario'!$C$3,$N280="",$N280="OK"),"",IF(COUNTIFS($A$2:$A280,$A280,$B$2:$B280,$B280)=1,1,""))</f>
        <v/>
      </c>
      <c r="S280" s="20">
        <f>IF($R280=1,COUNTIF($R$2:$R280,1),"")</f>
        <v/>
      </c>
    </row>
    <row r="281">
      <c r="A281" s="19" t="n"/>
      <c r="B281" s="14" t="n"/>
      <c r="C281" s="20">
        <f>IF($B281="","",IFERROR(INDEX(Vinos!$B$2:$B$301,MATCH($B281,Vinos!$A$2:$A$301,0)),"Código no cargado"))</f>
        <v/>
      </c>
      <c r="D281" s="14" t="n"/>
      <c r="E281" s="14" t="n"/>
      <c r="F281" s="18" t="n"/>
      <c r="G281" s="18" t="n"/>
      <c r="H281" s="21">
        <f>IF(AND($F281="",$G281=""),"",N($F281)*IFERROR(N(INDEX(Vinos!$H$2:$H$301,MATCH($B281,Vinos!$A$2:$A$301,0))),0)+N($G281))</f>
        <v/>
      </c>
      <c r="I281" s="18" t="n"/>
      <c r="J281" s="21">
        <f>IF(OR($H281="",$I281=""),"",$H281-$I281)</f>
        <v/>
      </c>
      <c r="K281" s="16">
        <f>IF($H281="","",IFERROR(IF(INDEX(Vinos!$J$2:$J$301,MATCH($B281,Vinos!$A$2:$A$301,0))="","",$H281*INDEX(Vinos!$J$2:$J$301,MATCH($B281,Vinos!$A$2:$A$301,0))),""))</f>
        <v/>
      </c>
      <c r="L281" s="16">
        <f>IF($H281="","",IFERROR(IF(INDEX(Vinos!$K$2:$K$301,MATCH($B281,Vinos!$A$2:$A$301,0))="","",$H281*INDEX(Vinos!$K$2:$K$301,MATCH($B281,Vinos!$A$2:$A$301,0))),""))</f>
        <v/>
      </c>
      <c r="M281" s="21">
        <f>IF(OR($A281="",$B281=""),"",SUMIFS($H$2:$H$2001,$A$2:$A$2001,$A281,$B$2:$B$2001,$B281))</f>
        <v/>
      </c>
      <c r="N281" s="20">
        <f>IF($M281="","",IF($M281&lt;=0,"Sin stock: reponer ya",IF($M281&lt;IFERROR(N(INDEX(Vinos!$N$2:$N$301,MATCH($B281,Vinos!$A$2:$A$301,0))),0),"Bajo mínimo: reponer","OK")))</f>
        <v/>
      </c>
      <c r="O281" s="14" t="n"/>
      <c r="P281" s="14" t="n"/>
      <c r="Q281" s="20">
        <f>IF($B281="","",IFERROR(INDEX(Vinos!$C$2:$C$301,MATCH($B281,Vinos!$A$2:$A$301,0)),""))</f>
        <v/>
      </c>
      <c r="R281" s="20">
        <f>IF(OR($A281="",$A281&lt;&gt;'Resumen del inventario'!$C$3,$N281="",$N281="OK"),"",IF(COUNTIFS($A$2:$A281,$A281,$B$2:$B281,$B281)=1,1,""))</f>
        <v/>
      </c>
      <c r="S281" s="20">
        <f>IF($R281=1,COUNTIF($R$2:$R281,1),"")</f>
        <v/>
      </c>
    </row>
    <row r="282">
      <c r="A282" s="19" t="n"/>
      <c r="B282" s="14" t="n"/>
      <c r="C282" s="20">
        <f>IF($B282="","",IFERROR(INDEX(Vinos!$B$2:$B$301,MATCH($B282,Vinos!$A$2:$A$301,0)),"Código no cargado"))</f>
        <v/>
      </c>
      <c r="D282" s="14" t="n"/>
      <c r="E282" s="14" t="n"/>
      <c r="F282" s="18" t="n"/>
      <c r="G282" s="18" t="n"/>
      <c r="H282" s="21">
        <f>IF(AND($F282="",$G282=""),"",N($F282)*IFERROR(N(INDEX(Vinos!$H$2:$H$301,MATCH($B282,Vinos!$A$2:$A$301,0))),0)+N($G282))</f>
        <v/>
      </c>
      <c r="I282" s="18" t="n"/>
      <c r="J282" s="21">
        <f>IF(OR($H282="",$I282=""),"",$H282-$I282)</f>
        <v/>
      </c>
      <c r="K282" s="16">
        <f>IF($H282="","",IFERROR(IF(INDEX(Vinos!$J$2:$J$301,MATCH($B282,Vinos!$A$2:$A$301,0))="","",$H282*INDEX(Vinos!$J$2:$J$301,MATCH($B282,Vinos!$A$2:$A$301,0))),""))</f>
        <v/>
      </c>
      <c r="L282" s="16">
        <f>IF($H282="","",IFERROR(IF(INDEX(Vinos!$K$2:$K$301,MATCH($B282,Vinos!$A$2:$A$301,0))="","",$H282*INDEX(Vinos!$K$2:$K$301,MATCH($B282,Vinos!$A$2:$A$301,0))),""))</f>
        <v/>
      </c>
      <c r="M282" s="21">
        <f>IF(OR($A282="",$B282=""),"",SUMIFS($H$2:$H$2001,$A$2:$A$2001,$A282,$B$2:$B$2001,$B282))</f>
        <v/>
      </c>
      <c r="N282" s="20">
        <f>IF($M282="","",IF($M282&lt;=0,"Sin stock: reponer ya",IF($M282&lt;IFERROR(N(INDEX(Vinos!$N$2:$N$301,MATCH($B282,Vinos!$A$2:$A$301,0))),0),"Bajo mínimo: reponer","OK")))</f>
        <v/>
      </c>
      <c r="O282" s="14" t="n"/>
      <c r="P282" s="14" t="n"/>
      <c r="Q282" s="20">
        <f>IF($B282="","",IFERROR(INDEX(Vinos!$C$2:$C$301,MATCH($B282,Vinos!$A$2:$A$301,0)),""))</f>
        <v/>
      </c>
      <c r="R282" s="20">
        <f>IF(OR($A282="",$A282&lt;&gt;'Resumen del inventario'!$C$3,$N282="",$N282="OK"),"",IF(COUNTIFS($A$2:$A282,$A282,$B$2:$B282,$B282)=1,1,""))</f>
        <v/>
      </c>
      <c r="S282" s="20">
        <f>IF($R282=1,COUNTIF($R$2:$R282,1),"")</f>
        <v/>
      </c>
    </row>
    <row r="283">
      <c r="A283" s="19" t="n"/>
      <c r="B283" s="14" t="n"/>
      <c r="C283" s="20">
        <f>IF($B283="","",IFERROR(INDEX(Vinos!$B$2:$B$301,MATCH($B283,Vinos!$A$2:$A$301,0)),"Código no cargado"))</f>
        <v/>
      </c>
      <c r="D283" s="14" t="n"/>
      <c r="E283" s="14" t="n"/>
      <c r="F283" s="18" t="n"/>
      <c r="G283" s="18" t="n"/>
      <c r="H283" s="21">
        <f>IF(AND($F283="",$G283=""),"",N($F283)*IFERROR(N(INDEX(Vinos!$H$2:$H$301,MATCH($B283,Vinos!$A$2:$A$301,0))),0)+N($G283))</f>
        <v/>
      </c>
      <c r="I283" s="18" t="n"/>
      <c r="J283" s="21">
        <f>IF(OR($H283="",$I283=""),"",$H283-$I283)</f>
        <v/>
      </c>
      <c r="K283" s="16">
        <f>IF($H283="","",IFERROR(IF(INDEX(Vinos!$J$2:$J$301,MATCH($B283,Vinos!$A$2:$A$301,0))="","",$H283*INDEX(Vinos!$J$2:$J$301,MATCH($B283,Vinos!$A$2:$A$301,0))),""))</f>
        <v/>
      </c>
      <c r="L283" s="16">
        <f>IF($H283="","",IFERROR(IF(INDEX(Vinos!$K$2:$K$301,MATCH($B283,Vinos!$A$2:$A$301,0))="","",$H283*INDEX(Vinos!$K$2:$K$301,MATCH($B283,Vinos!$A$2:$A$301,0))),""))</f>
        <v/>
      </c>
      <c r="M283" s="21">
        <f>IF(OR($A283="",$B283=""),"",SUMIFS($H$2:$H$2001,$A$2:$A$2001,$A283,$B$2:$B$2001,$B283))</f>
        <v/>
      </c>
      <c r="N283" s="20">
        <f>IF($M283="","",IF($M283&lt;=0,"Sin stock: reponer ya",IF($M283&lt;IFERROR(N(INDEX(Vinos!$N$2:$N$301,MATCH($B283,Vinos!$A$2:$A$301,0))),0),"Bajo mínimo: reponer","OK")))</f>
        <v/>
      </c>
      <c r="O283" s="14" t="n"/>
      <c r="P283" s="14" t="n"/>
      <c r="Q283" s="20">
        <f>IF($B283="","",IFERROR(INDEX(Vinos!$C$2:$C$301,MATCH($B283,Vinos!$A$2:$A$301,0)),""))</f>
        <v/>
      </c>
      <c r="R283" s="20">
        <f>IF(OR($A283="",$A283&lt;&gt;'Resumen del inventario'!$C$3,$N283="",$N283="OK"),"",IF(COUNTIFS($A$2:$A283,$A283,$B$2:$B283,$B283)=1,1,""))</f>
        <v/>
      </c>
      <c r="S283" s="20">
        <f>IF($R283=1,COUNTIF($R$2:$R283,1),"")</f>
        <v/>
      </c>
    </row>
    <row r="284">
      <c r="A284" s="19" t="n"/>
      <c r="B284" s="14" t="n"/>
      <c r="C284" s="20">
        <f>IF($B284="","",IFERROR(INDEX(Vinos!$B$2:$B$301,MATCH($B284,Vinos!$A$2:$A$301,0)),"Código no cargado"))</f>
        <v/>
      </c>
      <c r="D284" s="14" t="n"/>
      <c r="E284" s="14" t="n"/>
      <c r="F284" s="18" t="n"/>
      <c r="G284" s="18" t="n"/>
      <c r="H284" s="21">
        <f>IF(AND($F284="",$G284=""),"",N($F284)*IFERROR(N(INDEX(Vinos!$H$2:$H$301,MATCH($B284,Vinos!$A$2:$A$301,0))),0)+N($G284))</f>
        <v/>
      </c>
      <c r="I284" s="18" t="n"/>
      <c r="J284" s="21">
        <f>IF(OR($H284="",$I284=""),"",$H284-$I284)</f>
        <v/>
      </c>
      <c r="K284" s="16">
        <f>IF($H284="","",IFERROR(IF(INDEX(Vinos!$J$2:$J$301,MATCH($B284,Vinos!$A$2:$A$301,0))="","",$H284*INDEX(Vinos!$J$2:$J$301,MATCH($B284,Vinos!$A$2:$A$301,0))),""))</f>
        <v/>
      </c>
      <c r="L284" s="16">
        <f>IF($H284="","",IFERROR(IF(INDEX(Vinos!$K$2:$K$301,MATCH($B284,Vinos!$A$2:$A$301,0))="","",$H284*INDEX(Vinos!$K$2:$K$301,MATCH($B284,Vinos!$A$2:$A$301,0))),""))</f>
        <v/>
      </c>
      <c r="M284" s="21">
        <f>IF(OR($A284="",$B284=""),"",SUMIFS($H$2:$H$2001,$A$2:$A$2001,$A284,$B$2:$B$2001,$B284))</f>
        <v/>
      </c>
      <c r="N284" s="20">
        <f>IF($M284="","",IF($M284&lt;=0,"Sin stock: reponer ya",IF($M284&lt;IFERROR(N(INDEX(Vinos!$N$2:$N$301,MATCH($B284,Vinos!$A$2:$A$301,0))),0),"Bajo mínimo: reponer","OK")))</f>
        <v/>
      </c>
      <c r="O284" s="14" t="n"/>
      <c r="P284" s="14" t="n"/>
      <c r="Q284" s="20">
        <f>IF($B284="","",IFERROR(INDEX(Vinos!$C$2:$C$301,MATCH($B284,Vinos!$A$2:$A$301,0)),""))</f>
        <v/>
      </c>
      <c r="R284" s="20">
        <f>IF(OR($A284="",$A284&lt;&gt;'Resumen del inventario'!$C$3,$N284="",$N284="OK"),"",IF(COUNTIFS($A$2:$A284,$A284,$B$2:$B284,$B284)=1,1,""))</f>
        <v/>
      </c>
      <c r="S284" s="20">
        <f>IF($R284=1,COUNTIF($R$2:$R284,1),"")</f>
        <v/>
      </c>
    </row>
    <row r="285">
      <c r="A285" s="19" t="n"/>
      <c r="B285" s="14" t="n"/>
      <c r="C285" s="20">
        <f>IF($B285="","",IFERROR(INDEX(Vinos!$B$2:$B$301,MATCH($B285,Vinos!$A$2:$A$301,0)),"Código no cargado"))</f>
        <v/>
      </c>
      <c r="D285" s="14" t="n"/>
      <c r="E285" s="14" t="n"/>
      <c r="F285" s="18" t="n"/>
      <c r="G285" s="18" t="n"/>
      <c r="H285" s="21">
        <f>IF(AND($F285="",$G285=""),"",N($F285)*IFERROR(N(INDEX(Vinos!$H$2:$H$301,MATCH($B285,Vinos!$A$2:$A$301,0))),0)+N($G285))</f>
        <v/>
      </c>
      <c r="I285" s="18" t="n"/>
      <c r="J285" s="21">
        <f>IF(OR($H285="",$I285=""),"",$H285-$I285)</f>
        <v/>
      </c>
      <c r="K285" s="16">
        <f>IF($H285="","",IFERROR(IF(INDEX(Vinos!$J$2:$J$301,MATCH($B285,Vinos!$A$2:$A$301,0))="","",$H285*INDEX(Vinos!$J$2:$J$301,MATCH($B285,Vinos!$A$2:$A$301,0))),""))</f>
        <v/>
      </c>
      <c r="L285" s="16">
        <f>IF($H285="","",IFERROR(IF(INDEX(Vinos!$K$2:$K$301,MATCH($B285,Vinos!$A$2:$A$301,0))="","",$H285*INDEX(Vinos!$K$2:$K$301,MATCH($B285,Vinos!$A$2:$A$301,0))),""))</f>
        <v/>
      </c>
      <c r="M285" s="21">
        <f>IF(OR($A285="",$B285=""),"",SUMIFS($H$2:$H$2001,$A$2:$A$2001,$A285,$B$2:$B$2001,$B285))</f>
        <v/>
      </c>
      <c r="N285" s="20">
        <f>IF($M285="","",IF($M285&lt;=0,"Sin stock: reponer ya",IF($M285&lt;IFERROR(N(INDEX(Vinos!$N$2:$N$301,MATCH($B285,Vinos!$A$2:$A$301,0))),0),"Bajo mínimo: reponer","OK")))</f>
        <v/>
      </c>
      <c r="O285" s="14" t="n"/>
      <c r="P285" s="14" t="n"/>
      <c r="Q285" s="20">
        <f>IF($B285="","",IFERROR(INDEX(Vinos!$C$2:$C$301,MATCH($B285,Vinos!$A$2:$A$301,0)),""))</f>
        <v/>
      </c>
      <c r="R285" s="20">
        <f>IF(OR($A285="",$A285&lt;&gt;'Resumen del inventario'!$C$3,$N285="",$N285="OK"),"",IF(COUNTIFS($A$2:$A285,$A285,$B$2:$B285,$B285)=1,1,""))</f>
        <v/>
      </c>
      <c r="S285" s="20">
        <f>IF($R285=1,COUNTIF($R$2:$R285,1),"")</f>
        <v/>
      </c>
    </row>
    <row r="286">
      <c r="A286" s="19" t="n"/>
      <c r="B286" s="14" t="n"/>
      <c r="C286" s="20">
        <f>IF($B286="","",IFERROR(INDEX(Vinos!$B$2:$B$301,MATCH($B286,Vinos!$A$2:$A$301,0)),"Código no cargado"))</f>
        <v/>
      </c>
      <c r="D286" s="14" t="n"/>
      <c r="E286" s="14" t="n"/>
      <c r="F286" s="18" t="n"/>
      <c r="G286" s="18" t="n"/>
      <c r="H286" s="21">
        <f>IF(AND($F286="",$G286=""),"",N($F286)*IFERROR(N(INDEX(Vinos!$H$2:$H$301,MATCH($B286,Vinos!$A$2:$A$301,0))),0)+N($G286))</f>
        <v/>
      </c>
      <c r="I286" s="18" t="n"/>
      <c r="J286" s="21">
        <f>IF(OR($H286="",$I286=""),"",$H286-$I286)</f>
        <v/>
      </c>
      <c r="K286" s="16">
        <f>IF($H286="","",IFERROR(IF(INDEX(Vinos!$J$2:$J$301,MATCH($B286,Vinos!$A$2:$A$301,0))="","",$H286*INDEX(Vinos!$J$2:$J$301,MATCH($B286,Vinos!$A$2:$A$301,0))),""))</f>
        <v/>
      </c>
      <c r="L286" s="16">
        <f>IF($H286="","",IFERROR(IF(INDEX(Vinos!$K$2:$K$301,MATCH($B286,Vinos!$A$2:$A$301,0))="","",$H286*INDEX(Vinos!$K$2:$K$301,MATCH($B286,Vinos!$A$2:$A$301,0))),""))</f>
        <v/>
      </c>
      <c r="M286" s="21">
        <f>IF(OR($A286="",$B286=""),"",SUMIFS($H$2:$H$2001,$A$2:$A$2001,$A286,$B$2:$B$2001,$B286))</f>
        <v/>
      </c>
      <c r="N286" s="20">
        <f>IF($M286="","",IF($M286&lt;=0,"Sin stock: reponer ya",IF($M286&lt;IFERROR(N(INDEX(Vinos!$N$2:$N$301,MATCH($B286,Vinos!$A$2:$A$301,0))),0),"Bajo mínimo: reponer","OK")))</f>
        <v/>
      </c>
      <c r="O286" s="14" t="n"/>
      <c r="P286" s="14" t="n"/>
      <c r="Q286" s="20">
        <f>IF($B286="","",IFERROR(INDEX(Vinos!$C$2:$C$301,MATCH($B286,Vinos!$A$2:$A$301,0)),""))</f>
        <v/>
      </c>
      <c r="R286" s="20">
        <f>IF(OR($A286="",$A286&lt;&gt;'Resumen del inventario'!$C$3,$N286="",$N286="OK"),"",IF(COUNTIFS($A$2:$A286,$A286,$B$2:$B286,$B286)=1,1,""))</f>
        <v/>
      </c>
      <c r="S286" s="20">
        <f>IF($R286=1,COUNTIF($R$2:$R286,1),"")</f>
        <v/>
      </c>
    </row>
    <row r="287">
      <c r="A287" s="19" t="n"/>
      <c r="B287" s="14" t="n"/>
      <c r="C287" s="20">
        <f>IF($B287="","",IFERROR(INDEX(Vinos!$B$2:$B$301,MATCH($B287,Vinos!$A$2:$A$301,0)),"Código no cargado"))</f>
        <v/>
      </c>
      <c r="D287" s="14" t="n"/>
      <c r="E287" s="14" t="n"/>
      <c r="F287" s="18" t="n"/>
      <c r="G287" s="18" t="n"/>
      <c r="H287" s="21">
        <f>IF(AND($F287="",$G287=""),"",N($F287)*IFERROR(N(INDEX(Vinos!$H$2:$H$301,MATCH($B287,Vinos!$A$2:$A$301,0))),0)+N($G287))</f>
        <v/>
      </c>
      <c r="I287" s="18" t="n"/>
      <c r="J287" s="21">
        <f>IF(OR($H287="",$I287=""),"",$H287-$I287)</f>
        <v/>
      </c>
      <c r="K287" s="16">
        <f>IF($H287="","",IFERROR(IF(INDEX(Vinos!$J$2:$J$301,MATCH($B287,Vinos!$A$2:$A$301,0))="","",$H287*INDEX(Vinos!$J$2:$J$301,MATCH($B287,Vinos!$A$2:$A$301,0))),""))</f>
        <v/>
      </c>
      <c r="L287" s="16">
        <f>IF($H287="","",IFERROR(IF(INDEX(Vinos!$K$2:$K$301,MATCH($B287,Vinos!$A$2:$A$301,0))="","",$H287*INDEX(Vinos!$K$2:$K$301,MATCH($B287,Vinos!$A$2:$A$301,0))),""))</f>
        <v/>
      </c>
      <c r="M287" s="21">
        <f>IF(OR($A287="",$B287=""),"",SUMIFS($H$2:$H$2001,$A$2:$A$2001,$A287,$B$2:$B$2001,$B287))</f>
        <v/>
      </c>
      <c r="N287" s="20">
        <f>IF($M287="","",IF($M287&lt;=0,"Sin stock: reponer ya",IF($M287&lt;IFERROR(N(INDEX(Vinos!$N$2:$N$301,MATCH($B287,Vinos!$A$2:$A$301,0))),0),"Bajo mínimo: reponer","OK")))</f>
        <v/>
      </c>
      <c r="O287" s="14" t="n"/>
      <c r="P287" s="14" t="n"/>
      <c r="Q287" s="20">
        <f>IF($B287="","",IFERROR(INDEX(Vinos!$C$2:$C$301,MATCH($B287,Vinos!$A$2:$A$301,0)),""))</f>
        <v/>
      </c>
      <c r="R287" s="20">
        <f>IF(OR($A287="",$A287&lt;&gt;'Resumen del inventario'!$C$3,$N287="",$N287="OK"),"",IF(COUNTIFS($A$2:$A287,$A287,$B$2:$B287,$B287)=1,1,""))</f>
        <v/>
      </c>
      <c r="S287" s="20">
        <f>IF($R287=1,COUNTIF($R$2:$R287,1),"")</f>
        <v/>
      </c>
    </row>
    <row r="288">
      <c r="A288" s="19" t="n"/>
      <c r="B288" s="14" t="n"/>
      <c r="C288" s="20">
        <f>IF($B288="","",IFERROR(INDEX(Vinos!$B$2:$B$301,MATCH($B288,Vinos!$A$2:$A$301,0)),"Código no cargado"))</f>
        <v/>
      </c>
      <c r="D288" s="14" t="n"/>
      <c r="E288" s="14" t="n"/>
      <c r="F288" s="18" t="n"/>
      <c r="G288" s="18" t="n"/>
      <c r="H288" s="21">
        <f>IF(AND($F288="",$G288=""),"",N($F288)*IFERROR(N(INDEX(Vinos!$H$2:$H$301,MATCH($B288,Vinos!$A$2:$A$301,0))),0)+N($G288))</f>
        <v/>
      </c>
      <c r="I288" s="18" t="n"/>
      <c r="J288" s="21">
        <f>IF(OR($H288="",$I288=""),"",$H288-$I288)</f>
        <v/>
      </c>
      <c r="K288" s="16">
        <f>IF($H288="","",IFERROR(IF(INDEX(Vinos!$J$2:$J$301,MATCH($B288,Vinos!$A$2:$A$301,0))="","",$H288*INDEX(Vinos!$J$2:$J$301,MATCH($B288,Vinos!$A$2:$A$301,0))),""))</f>
        <v/>
      </c>
      <c r="L288" s="16">
        <f>IF($H288="","",IFERROR(IF(INDEX(Vinos!$K$2:$K$301,MATCH($B288,Vinos!$A$2:$A$301,0))="","",$H288*INDEX(Vinos!$K$2:$K$301,MATCH($B288,Vinos!$A$2:$A$301,0))),""))</f>
        <v/>
      </c>
      <c r="M288" s="21">
        <f>IF(OR($A288="",$B288=""),"",SUMIFS($H$2:$H$2001,$A$2:$A$2001,$A288,$B$2:$B$2001,$B288))</f>
        <v/>
      </c>
      <c r="N288" s="20">
        <f>IF($M288="","",IF($M288&lt;=0,"Sin stock: reponer ya",IF($M288&lt;IFERROR(N(INDEX(Vinos!$N$2:$N$301,MATCH($B288,Vinos!$A$2:$A$301,0))),0),"Bajo mínimo: reponer","OK")))</f>
        <v/>
      </c>
      <c r="O288" s="14" t="n"/>
      <c r="P288" s="14" t="n"/>
      <c r="Q288" s="20">
        <f>IF($B288="","",IFERROR(INDEX(Vinos!$C$2:$C$301,MATCH($B288,Vinos!$A$2:$A$301,0)),""))</f>
        <v/>
      </c>
      <c r="R288" s="20">
        <f>IF(OR($A288="",$A288&lt;&gt;'Resumen del inventario'!$C$3,$N288="",$N288="OK"),"",IF(COUNTIFS($A$2:$A288,$A288,$B$2:$B288,$B288)=1,1,""))</f>
        <v/>
      </c>
      <c r="S288" s="20">
        <f>IF($R288=1,COUNTIF($R$2:$R288,1),"")</f>
        <v/>
      </c>
    </row>
    <row r="289">
      <c r="A289" s="19" t="n"/>
      <c r="B289" s="14" t="n"/>
      <c r="C289" s="20">
        <f>IF($B289="","",IFERROR(INDEX(Vinos!$B$2:$B$301,MATCH($B289,Vinos!$A$2:$A$301,0)),"Código no cargado"))</f>
        <v/>
      </c>
      <c r="D289" s="14" t="n"/>
      <c r="E289" s="14" t="n"/>
      <c r="F289" s="18" t="n"/>
      <c r="G289" s="18" t="n"/>
      <c r="H289" s="21">
        <f>IF(AND($F289="",$G289=""),"",N($F289)*IFERROR(N(INDEX(Vinos!$H$2:$H$301,MATCH($B289,Vinos!$A$2:$A$301,0))),0)+N($G289))</f>
        <v/>
      </c>
      <c r="I289" s="18" t="n"/>
      <c r="J289" s="21">
        <f>IF(OR($H289="",$I289=""),"",$H289-$I289)</f>
        <v/>
      </c>
      <c r="K289" s="16">
        <f>IF($H289="","",IFERROR(IF(INDEX(Vinos!$J$2:$J$301,MATCH($B289,Vinos!$A$2:$A$301,0))="","",$H289*INDEX(Vinos!$J$2:$J$301,MATCH($B289,Vinos!$A$2:$A$301,0))),""))</f>
        <v/>
      </c>
      <c r="L289" s="16">
        <f>IF($H289="","",IFERROR(IF(INDEX(Vinos!$K$2:$K$301,MATCH($B289,Vinos!$A$2:$A$301,0))="","",$H289*INDEX(Vinos!$K$2:$K$301,MATCH($B289,Vinos!$A$2:$A$301,0))),""))</f>
        <v/>
      </c>
      <c r="M289" s="21">
        <f>IF(OR($A289="",$B289=""),"",SUMIFS($H$2:$H$2001,$A$2:$A$2001,$A289,$B$2:$B$2001,$B289))</f>
        <v/>
      </c>
      <c r="N289" s="20">
        <f>IF($M289="","",IF($M289&lt;=0,"Sin stock: reponer ya",IF($M289&lt;IFERROR(N(INDEX(Vinos!$N$2:$N$301,MATCH($B289,Vinos!$A$2:$A$301,0))),0),"Bajo mínimo: reponer","OK")))</f>
        <v/>
      </c>
      <c r="O289" s="14" t="n"/>
      <c r="P289" s="14" t="n"/>
      <c r="Q289" s="20">
        <f>IF($B289="","",IFERROR(INDEX(Vinos!$C$2:$C$301,MATCH($B289,Vinos!$A$2:$A$301,0)),""))</f>
        <v/>
      </c>
      <c r="R289" s="20">
        <f>IF(OR($A289="",$A289&lt;&gt;'Resumen del inventario'!$C$3,$N289="",$N289="OK"),"",IF(COUNTIFS($A$2:$A289,$A289,$B$2:$B289,$B289)=1,1,""))</f>
        <v/>
      </c>
      <c r="S289" s="20">
        <f>IF($R289=1,COUNTIF($R$2:$R289,1),"")</f>
        <v/>
      </c>
    </row>
    <row r="290">
      <c r="A290" s="19" t="n"/>
      <c r="B290" s="14" t="n"/>
      <c r="C290" s="20">
        <f>IF($B290="","",IFERROR(INDEX(Vinos!$B$2:$B$301,MATCH($B290,Vinos!$A$2:$A$301,0)),"Código no cargado"))</f>
        <v/>
      </c>
      <c r="D290" s="14" t="n"/>
      <c r="E290" s="14" t="n"/>
      <c r="F290" s="18" t="n"/>
      <c r="G290" s="18" t="n"/>
      <c r="H290" s="21">
        <f>IF(AND($F290="",$G290=""),"",N($F290)*IFERROR(N(INDEX(Vinos!$H$2:$H$301,MATCH($B290,Vinos!$A$2:$A$301,0))),0)+N($G290))</f>
        <v/>
      </c>
      <c r="I290" s="18" t="n"/>
      <c r="J290" s="21">
        <f>IF(OR($H290="",$I290=""),"",$H290-$I290)</f>
        <v/>
      </c>
      <c r="K290" s="16">
        <f>IF($H290="","",IFERROR(IF(INDEX(Vinos!$J$2:$J$301,MATCH($B290,Vinos!$A$2:$A$301,0))="","",$H290*INDEX(Vinos!$J$2:$J$301,MATCH($B290,Vinos!$A$2:$A$301,0))),""))</f>
        <v/>
      </c>
      <c r="L290" s="16">
        <f>IF($H290="","",IFERROR(IF(INDEX(Vinos!$K$2:$K$301,MATCH($B290,Vinos!$A$2:$A$301,0))="","",$H290*INDEX(Vinos!$K$2:$K$301,MATCH($B290,Vinos!$A$2:$A$301,0))),""))</f>
        <v/>
      </c>
      <c r="M290" s="21">
        <f>IF(OR($A290="",$B290=""),"",SUMIFS($H$2:$H$2001,$A$2:$A$2001,$A290,$B$2:$B$2001,$B290))</f>
        <v/>
      </c>
      <c r="N290" s="20">
        <f>IF($M290="","",IF($M290&lt;=0,"Sin stock: reponer ya",IF($M290&lt;IFERROR(N(INDEX(Vinos!$N$2:$N$301,MATCH($B290,Vinos!$A$2:$A$301,0))),0),"Bajo mínimo: reponer","OK")))</f>
        <v/>
      </c>
      <c r="O290" s="14" t="n"/>
      <c r="P290" s="14" t="n"/>
      <c r="Q290" s="20">
        <f>IF($B290="","",IFERROR(INDEX(Vinos!$C$2:$C$301,MATCH($B290,Vinos!$A$2:$A$301,0)),""))</f>
        <v/>
      </c>
      <c r="R290" s="20">
        <f>IF(OR($A290="",$A290&lt;&gt;'Resumen del inventario'!$C$3,$N290="",$N290="OK"),"",IF(COUNTIFS($A$2:$A290,$A290,$B$2:$B290,$B290)=1,1,""))</f>
        <v/>
      </c>
      <c r="S290" s="20">
        <f>IF($R290=1,COUNTIF($R$2:$R290,1),"")</f>
        <v/>
      </c>
    </row>
    <row r="291">
      <c r="A291" s="19" t="n"/>
      <c r="B291" s="14" t="n"/>
      <c r="C291" s="20">
        <f>IF($B291="","",IFERROR(INDEX(Vinos!$B$2:$B$301,MATCH($B291,Vinos!$A$2:$A$301,0)),"Código no cargado"))</f>
        <v/>
      </c>
      <c r="D291" s="14" t="n"/>
      <c r="E291" s="14" t="n"/>
      <c r="F291" s="18" t="n"/>
      <c r="G291" s="18" t="n"/>
      <c r="H291" s="21">
        <f>IF(AND($F291="",$G291=""),"",N($F291)*IFERROR(N(INDEX(Vinos!$H$2:$H$301,MATCH($B291,Vinos!$A$2:$A$301,0))),0)+N($G291))</f>
        <v/>
      </c>
      <c r="I291" s="18" t="n"/>
      <c r="J291" s="21">
        <f>IF(OR($H291="",$I291=""),"",$H291-$I291)</f>
        <v/>
      </c>
      <c r="K291" s="16">
        <f>IF($H291="","",IFERROR(IF(INDEX(Vinos!$J$2:$J$301,MATCH($B291,Vinos!$A$2:$A$301,0))="","",$H291*INDEX(Vinos!$J$2:$J$301,MATCH($B291,Vinos!$A$2:$A$301,0))),""))</f>
        <v/>
      </c>
      <c r="L291" s="16">
        <f>IF($H291="","",IFERROR(IF(INDEX(Vinos!$K$2:$K$301,MATCH($B291,Vinos!$A$2:$A$301,0))="","",$H291*INDEX(Vinos!$K$2:$K$301,MATCH($B291,Vinos!$A$2:$A$301,0))),""))</f>
        <v/>
      </c>
      <c r="M291" s="21">
        <f>IF(OR($A291="",$B291=""),"",SUMIFS($H$2:$H$2001,$A$2:$A$2001,$A291,$B$2:$B$2001,$B291))</f>
        <v/>
      </c>
      <c r="N291" s="20">
        <f>IF($M291="","",IF($M291&lt;=0,"Sin stock: reponer ya",IF($M291&lt;IFERROR(N(INDEX(Vinos!$N$2:$N$301,MATCH($B291,Vinos!$A$2:$A$301,0))),0),"Bajo mínimo: reponer","OK")))</f>
        <v/>
      </c>
      <c r="O291" s="14" t="n"/>
      <c r="P291" s="14" t="n"/>
      <c r="Q291" s="20">
        <f>IF($B291="","",IFERROR(INDEX(Vinos!$C$2:$C$301,MATCH($B291,Vinos!$A$2:$A$301,0)),""))</f>
        <v/>
      </c>
      <c r="R291" s="20">
        <f>IF(OR($A291="",$A291&lt;&gt;'Resumen del inventario'!$C$3,$N291="",$N291="OK"),"",IF(COUNTIFS($A$2:$A291,$A291,$B$2:$B291,$B291)=1,1,""))</f>
        <v/>
      </c>
      <c r="S291" s="20">
        <f>IF($R291=1,COUNTIF($R$2:$R291,1),"")</f>
        <v/>
      </c>
    </row>
    <row r="292">
      <c r="A292" s="19" t="n"/>
      <c r="B292" s="14" t="n"/>
      <c r="C292" s="20">
        <f>IF($B292="","",IFERROR(INDEX(Vinos!$B$2:$B$301,MATCH($B292,Vinos!$A$2:$A$301,0)),"Código no cargado"))</f>
        <v/>
      </c>
      <c r="D292" s="14" t="n"/>
      <c r="E292" s="14" t="n"/>
      <c r="F292" s="18" t="n"/>
      <c r="G292" s="18" t="n"/>
      <c r="H292" s="21">
        <f>IF(AND($F292="",$G292=""),"",N($F292)*IFERROR(N(INDEX(Vinos!$H$2:$H$301,MATCH($B292,Vinos!$A$2:$A$301,0))),0)+N($G292))</f>
        <v/>
      </c>
      <c r="I292" s="18" t="n"/>
      <c r="J292" s="21">
        <f>IF(OR($H292="",$I292=""),"",$H292-$I292)</f>
        <v/>
      </c>
      <c r="K292" s="16">
        <f>IF($H292="","",IFERROR(IF(INDEX(Vinos!$J$2:$J$301,MATCH($B292,Vinos!$A$2:$A$301,0))="","",$H292*INDEX(Vinos!$J$2:$J$301,MATCH($B292,Vinos!$A$2:$A$301,0))),""))</f>
        <v/>
      </c>
      <c r="L292" s="16">
        <f>IF($H292="","",IFERROR(IF(INDEX(Vinos!$K$2:$K$301,MATCH($B292,Vinos!$A$2:$A$301,0))="","",$H292*INDEX(Vinos!$K$2:$K$301,MATCH($B292,Vinos!$A$2:$A$301,0))),""))</f>
        <v/>
      </c>
      <c r="M292" s="21">
        <f>IF(OR($A292="",$B292=""),"",SUMIFS($H$2:$H$2001,$A$2:$A$2001,$A292,$B$2:$B$2001,$B292))</f>
        <v/>
      </c>
      <c r="N292" s="20">
        <f>IF($M292="","",IF($M292&lt;=0,"Sin stock: reponer ya",IF($M292&lt;IFERROR(N(INDEX(Vinos!$N$2:$N$301,MATCH($B292,Vinos!$A$2:$A$301,0))),0),"Bajo mínimo: reponer","OK")))</f>
        <v/>
      </c>
      <c r="O292" s="14" t="n"/>
      <c r="P292" s="14" t="n"/>
      <c r="Q292" s="20">
        <f>IF($B292="","",IFERROR(INDEX(Vinos!$C$2:$C$301,MATCH($B292,Vinos!$A$2:$A$301,0)),""))</f>
        <v/>
      </c>
      <c r="R292" s="20">
        <f>IF(OR($A292="",$A292&lt;&gt;'Resumen del inventario'!$C$3,$N292="",$N292="OK"),"",IF(COUNTIFS($A$2:$A292,$A292,$B$2:$B292,$B292)=1,1,""))</f>
        <v/>
      </c>
      <c r="S292" s="20">
        <f>IF($R292=1,COUNTIF($R$2:$R292,1),"")</f>
        <v/>
      </c>
    </row>
    <row r="293">
      <c r="A293" s="19" t="n"/>
      <c r="B293" s="14" t="n"/>
      <c r="C293" s="20">
        <f>IF($B293="","",IFERROR(INDEX(Vinos!$B$2:$B$301,MATCH($B293,Vinos!$A$2:$A$301,0)),"Código no cargado"))</f>
        <v/>
      </c>
      <c r="D293" s="14" t="n"/>
      <c r="E293" s="14" t="n"/>
      <c r="F293" s="18" t="n"/>
      <c r="G293" s="18" t="n"/>
      <c r="H293" s="21">
        <f>IF(AND($F293="",$G293=""),"",N($F293)*IFERROR(N(INDEX(Vinos!$H$2:$H$301,MATCH($B293,Vinos!$A$2:$A$301,0))),0)+N($G293))</f>
        <v/>
      </c>
      <c r="I293" s="18" t="n"/>
      <c r="J293" s="21">
        <f>IF(OR($H293="",$I293=""),"",$H293-$I293)</f>
        <v/>
      </c>
      <c r="K293" s="16">
        <f>IF($H293="","",IFERROR(IF(INDEX(Vinos!$J$2:$J$301,MATCH($B293,Vinos!$A$2:$A$301,0))="","",$H293*INDEX(Vinos!$J$2:$J$301,MATCH($B293,Vinos!$A$2:$A$301,0))),""))</f>
        <v/>
      </c>
      <c r="L293" s="16">
        <f>IF($H293="","",IFERROR(IF(INDEX(Vinos!$K$2:$K$301,MATCH($B293,Vinos!$A$2:$A$301,0))="","",$H293*INDEX(Vinos!$K$2:$K$301,MATCH($B293,Vinos!$A$2:$A$301,0))),""))</f>
        <v/>
      </c>
      <c r="M293" s="21">
        <f>IF(OR($A293="",$B293=""),"",SUMIFS($H$2:$H$2001,$A$2:$A$2001,$A293,$B$2:$B$2001,$B293))</f>
        <v/>
      </c>
      <c r="N293" s="20">
        <f>IF($M293="","",IF($M293&lt;=0,"Sin stock: reponer ya",IF($M293&lt;IFERROR(N(INDEX(Vinos!$N$2:$N$301,MATCH($B293,Vinos!$A$2:$A$301,0))),0),"Bajo mínimo: reponer","OK")))</f>
        <v/>
      </c>
      <c r="O293" s="14" t="n"/>
      <c r="P293" s="14" t="n"/>
      <c r="Q293" s="20">
        <f>IF($B293="","",IFERROR(INDEX(Vinos!$C$2:$C$301,MATCH($B293,Vinos!$A$2:$A$301,0)),""))</f>
        <v/>
      </c>
      <c r="R293" s="20">
        <f>IF(OR($A293="",$A293&lt;&gt;'Resumen del inventario'!$C$3,$N293="",$N293="OK"),"",IF(COUNTIFS($A$2:$A293,$A293,$B$2:$B293,$B293)=1,1,""))</f>
        <v/>
      </c>
      <c r="S293" s="20">
        <f>IF($R293=1,COUNTIF($R$2:$R293,1),"")</f>
        <v/>
      </c>
    </row>
    <row r="294">
      <c r="A294" s="19" t="n"/>
      <c r="B294" s="14" t="n"/>
      <c r="C294" s="20">
        <f>IF($B294="","",IFERROR(INDEX(Vinos!$B$2:$B$301,MATCH($B294,Vinos!$A$2:$A$301,0)),"Código no cargado"))</f>
        <v/>
      </c>
      <c r="D294" s="14" t="n"/>
      <c r="E294" s="14" t="n"/>
      <c r="F294" s="18" t="n"/>
      <c r="G294" s="18" t="n"/>
      <c r="H294" s="21">
        <f>IF(AND($F294="",$G294=""),"",N($F294)*IFERROR(N(INDEX(Vinos!$H$2:$H$301,MATCH($B294,Vinos!$A$2:$A$301,0))),0)+N($G294))</f>
        <v/>
      </c>
      <c r="I294" s="18" t="n"/>
      <c r="J294" s="21">
        <f>IF(OR($H294="",$I294=""),"",$H294-$I294)</f>
        <v/>
      </c>
      <c r="K294" s="16">
        <f>IF($H294="","",IFERROR(IF(INDEX(Vinos!$J$2:$J$301,MATCH($B294,Vinos!$A$2:$A$301,0))="","",$H294*INDEX(Vinos!$J$2:$J$301,MATCH($B294,Vinos!$A$2:$A$301,0))),""))</f>
        <v/>
      </c>
      <c r="L294" s="16">
        <f>IF($H294="","",IFERROR(IF(INDEX(Vinos!$K$2:$K$301,MATCH($B294,Vinos!$A$2:$A$301,0))="","",$H294*INDEX(Vinos!$K$2:$K$301,MATCH($B294,Vinos!$A$2:$A$301,0))),""))</f>
        <v/>
      </c>
      <c r="M294" s="21">
        <f>IF(OR($A294="",$B294=""),"",SUMIFS($H$2:$H$2001,$A$2:$A$2001,$A294,$B$2:$B$2001,$B294))</f>
        <v/>
      </c>
      <c r="N294" s="20">
        <f>IF($M294="","",IF($M294&lt;=0,"Sin stock: reponer ya",IF($M294&lt;IFERROR(N(INDEX(Vinos!$N$2:$N$301,MATCH($B294,Vinos!$A$2:$A$301,0))),0),"Bajo mínimo: reponer","OK")))</f>
        <v/>
      </c>
      <c r="O294" s="14" t="n"/>
      <c r="P294" s="14" t="n"/>
      <c r="Q294" s="20">
        <f>IF($B294="","",IFERROR(INDEX(Vinos!$C$2:$C$301,MATCH($B294,Vinos!$A$2:$A$301,0)),""))</f>
        <v/>
      </c>
      <c r="R294" s="20">
        <f>IF(OR($A294="",$A294&lt;&gt;'Resumen del inventario'!$C$3,$N294="",$N294="OK"),"",IF(COUNTIFS($A$2:$A294,$A294,$B$2:$B294,$B294)=1,1,""))</f>
        <v/>
      </c>
      <c r="S294" s="20">
        <f>IF($R294=1,COUNTIF($R$2:$R294,1),"")</f>
        <v/>
      </c>
    </row>
    <row r="295">
      <c r="A295" s="19" t="n"/>
      <c r="B295" s="14" t="n"/>
      <c r="C295" s="20">
        <f>IF($B295="","",IFERROR(INDEX(Vinos!$B$2:$B$301,MATCH($B295,Vinos!$A$2:$A$301,0)),"Código no cargado"))</f>
        <v/>
      </c>
      <c r="D295" s="14" t="n"/>
      <c r="E295" s="14" t="n"/>
      <c r="F295" s="18" t="n"/>
      <c r="G295" s="18" t="n"/>
      <c r="H295" s="21">
        <f>IF(AND($F295="",$G295=""),"",N($F295)*IFERROR(N(INDEX(Vinos!$H$2:$H$301,MATCH($B295,Vinos!$A$2:$A$301,0))),0)+N($G295))</f>
        <v/>
      </c>
      <c r="I295" s="18" t="n"/>
      <c r="J295" s="21">
        <f>IF(OR($H295="",$I295=""),"",$H295-$I295)</f>
        <v/>
      </c>
      <c r="K295" s="16">
        <f>IF($H295="","",IFERROR(IF(INDEX(Vinos!$J$2:$J$301,MATCH($B295,Vinos!$A$2:$A$301,0))="","",$H295*INDEX(Vinos!$J$2:$J$301,MATCH($B295,Vinos!$A$2:$A$301,0))),""))</f>
        <v/>
      </c>
      <c r="L295" s="16">
        <f>IF($H295="","",IFERROR(IF(INDEX(Vinos!$K$2:$K$301,MATCH($B295,Vinos!$A$2:$A$301,0))="","",$H295*INDEX(Vinos!$K$2:$K$301,MATCH($B295,Vinos!$A$2:$A$301,0))),""))</f>
        <v/>
      </c>
      <c r="M295" s="21">
        <f>IF(OR($A295="",$B295=""),"",SUMIFS($H$2:$H$2001,$A$2:$A$2001,$A295,$B$2:$B$2001,$B295))</f>
        <v/>
      </c>
      <c r="N295" s="20">
        <f>IF($M295="","",IF($M295&lt;=0,"Sin stock: reponer ya",IF($M295&lt;IFERROR(N(INDEX(Vinos!$N$2:$N$301,MATCH($B295,Vinos!$A$2:$A$301,0))),0),"Bajo mínimo: reponer","OK")))</f>
        <v/>
      </c>
      <c r="O295" s="14" t="n"/>
      <c r="P295" s="14" t="n"/>
      <c r="Q295" s="20">
        <f>IF($B295="","",IFERROR(INDEX(Vinos!$C$2:$C$301,MATCH($B295,Vinos!$A$2:$A$301,0)),""))</f>
        <v/>
      </c>
      <c r="R295" s="20">
        <f>IF(OR($A295="",$A295&lt;&gt;'Resumen del inventario'!$C$3,$N295="",$N295="OK"),"",IF(COUNTIFS($A$2:$A295,$A295,$B$2:$B295,$B295)=1,1,""))</f>
        <v/>
      </c>
      <c r="S295" s="20">
        <f>IF($R295=1,COUNTIF($R$2:$R295,1),"")</f>
        <v/>
      </c>
    </row>
    <row r="296">
      <c r="A296" s="19" t="n"/>
      <c r="B296" s="14" t="n"/>
      <c r="C296" s="20">
        <f>IF($B296="","",IFERROR(INDEX(Vinos!$B$2:$B$301,MATCH($B296,Vinos!$A$2:$A$301,0)),"Código no cargado"))</f>
        <v/>
      </c>
      <c r="D296" s="14" t="n"/>
      <c r="E296" s="14" t="n"/>
      <c r="F296" s="18" t="n"/>
      <c r="G296" s="18" t="n"/>
      <c r="H296" s="21">
        <f>IF(AND($F296="",$G296=""),"",N($F296)*IFERROR(N(INDEX(Vinos!$H$2:$H$301,MATCH($B296,Vinos!$A$2:$A$301,0))),0)+N($G296))</f>
        <v/>
      </c>
      <c r="I296" s="18" t="n"/>
      <c r="J296" s="21">
        <f>IF(OR($H296="",$I296=""),"",$H296-$I296)</f>
        <v/>
      </c>
      <c r="K296" s="16">
        <f>IF($H296="","",IFERROR(IF(INDEX(Vinos!$J$2:$J$301,MATCH($B296,Vinos!$A$2:$A$301,0))="","",$H296*INDEX(Vinos!$J$2:$J$301,MATCH($B296,Vinos!$A$2:$A$301,0))),""))</f>
        <v/>
      </c>
      <c r="L296" s="16">
        <f>IF($H296="","",IFERROR(IF(INDEX(Vinos!$K$2:$K$301,MATCH($B296,Vinos!$A$2:$A$301,0))="","",$H296*INDEX(Vinos!$K$2:$K$301,MATCH($B296,Vinos!$A$2:$A$301,0))),""))</f>
        <v/>
      </c>
      <c r="M296" s="21">
        <f>IF(OR($A296="",$B296=""),"",SUMIFS($H$2:$H$2001,$A$2:$A$2001,$A296,$B$2:$B$2001,$B296))</f>
        <v/>
      </c>
      <c r="N296" s="20">
        <f>IF($M296="","",IF($M296&lt;=0,"Sin stock: reponer ya",IF($M296&lt;IFERROR(N(INDEX(Vinos!$N$2:$N$301,MATCH($B296,Vinos!$A$2:$A$301,0))),0),"Bajo mínimo: reponer","OK")))</f>
        <v/>
      </c>
      <c r="O296" s="14" t="n"/>
      <c r="P296" s="14" t="n"/>
      <c r="Q296" s="20">
        <f>IF($B296="","",IFERROR(INDEX(Vinos!$C$2:$C$301,MATCH($B296,Vinos!$A$2:$A$301,0)),""))</f>
        <v/>
      </c>
      <c r="R296" s="20">
        <f>IF(OR($A296="",$A296&lt;&gt;'Resumen del inventario'!$C$3,$N296="",$N296="OK"),"",IF(COUNTIFS($A$2:$A296,$A296,$B$2:$B296,$B296)=1,1,""))</f>
        <v/>
      </c>
      <c r="S296" s="20">
        <f>IF($R296=1,COUNTIF($R$2:$R296,1),"")</f>
        <v/>
      </c>
    </row>
    <row r="297">
      <c r="A297" s="19" t="n"/>
      <c r="B297" s="14" t="n"/>
      <c r="C297" s="20">
        <f>IF($B297="","",IFERROR(INDEX(Vinos!$B$2:$B$301,MATCH($B297,Vinos!$A$2:$A$301,0)),"Código no cargado"))</f>
        <v/>
      </c>
      <c r="D297" s="14" t="n"/>
      <c r="E297" s="14" t="n"/>
      <c r="F297" s="18" t="n"/>
      <c r="G297" s="18" t="n"/>
      <c r="H297" s="21">
        <f>IF(AND($F297="",$G297=""),"",N($F297)*IFERROR(N(INDEX(Vinos!$H$2:$H$301,MATCH($B297,Vinos!$A$2:$A$301,0))),0)+N($G297))</f>
        <v/>
      </c>
      <c r="I297" s="18" t="n"/>
      <c r="J297" s="21">
        <f>IF(OR($H297="",$I297=""),"",$H297-$I297)</f>
        <v/>
      </c>
      <c r="K297" s="16">
        <f>IF($H297="","",IFERROR(IF(INDEX(Vinos!$J$2:$J$301,MATCH($B297,Vinos!$A$2:$A$301,0))="","",$H297*INDEX(Vinos!$J$2:$J$301,MATCH($B297,Vinos!$A$2:$A$301,0))),""))</f>
        <v/>
      </c>
      <c r="L297" s="16">
        <f>IF($H297="","",IFERROR(IF(INDEX(Vinos!$K$2:$K$301,MATCH($B297,Vinos!$A$2:$A$301,0))="","",$H297*INDEX(Vinos!$K$2:$K$301,MATCH($B297,Vinos!$A$2:$A$301,0))),""))</f>
        <v/>
      </c>
      <c r="M297" s="21">
        <f>IF(OR($A297="",$B297=""),"",SUMIFS($H$2:$H$2001,$A$2:$A$2001,$A297,$B$2:$B$2001,$B297))</f>
        <v/>
      </c>
      <c r="N297" s="20">
        <f>IF($M297="","",IF($M297&lt;=0,"Sin stock: reponer ya",IF($M297&lt;IFERROR(N(INDEX(Vinos!$N$2:$N$301,MATCH($B297,Vinos!$A$2:$A$301,0))),0),"Bajo mínimo: reponer","OK")))</f>
        <v/>
      </c>
      <c r="O297" s="14" t="n"/>
      <c r="P297" s="14" t="n"/>
      <c r="Q297" s="20">
        <f>IF($B297="","",IFERROR(INDEX(Vinos!$C$2:$C$301,MATCH($B297,Vinos!$A$2:$A$301,0)),""))</f>
        <v/>
      </c>
      <c r="R297" s="20">
        <f>IF(OR($A297="",$A297&lt;&gt;'Resumen del inventario'!$C$3,$N297="",$N297="OK"),"",IF(COUNTIFS($A$2:$A297,$A297,$B$2:$B297,$B297)=1,1,""))</f>
        <v/>
      </c>
      <c r="S297" s="20">
        <f>IF($R297=1,COUNTIF($R$2:$R297,1),"")</f>
        <v/>
      </c>
    </row>
    <row r="298">
      <c r="A298" s="19" t="n"/>
      <c r="B298" s="14" t="n"/>
      <c r="C298" s="20">
        <f>IF($B298="","",IFERROR(INDEX(Vinos!$B$2:$B$301,MATCH($B298,Vinos!$A$2:$A$301,0)),"Código no cargado"))</f>
        <v/>
      </c>
      <c r="D298" s="14" t="n"/>
      <c r="E298" s="14" t="n"/>
      <c r="F298" s="18" t="n"/>
      <c r="G298" s="18" t="n"/>
      <c r="H298" s="21">
        <f>IF(AND($F298="",$G298=""),"",N($F298)*IFERROR(N(INDEX(Vinos!$H$2:$H$301,MATCH($B298,Vinos!$A$2:$A$301,0))),0)+N($G298))</f>
        <v/>
      </c>
      <c r="I298" s="18" t="n"/>
      <c r="J298" s="21">
        <f>IF(OR($H298="",$I298=""),"",$H298-$I298)</f>
        <v/>
      </c>
      <c r="K298" s="16">
        <f>IF($H298="","",IFERROR(IF(INDEX(Vinos!$J$2:$J$301,MATCH($B298,Vinos!$A$2:$A$301,0))="","",$H298*INDEX(Vinos!$J$2:$J$301,MATCH($B298,Vinos!$A$2:$A$301,0))),""))</f>
        <v/>
      </c>
      <c r="L298" s="16">
        <f>IF($H298="","",IFERROR(IF(INDEX(Vinos!$K$2:$K$301,MATCH($B298,Vinos!$A$2:$A$301,0))="","",$H298*INDEX(Vinos!$K$2:$K$301,MATCH($B298,Vinos!$A$2:$A$301,0))),""))</f>
        <v/>
      </c>
      <c r="M298" s="21">
        <f>IF(OR($A298="",$B298=""),"",SUMIFS($H$2:$H$2001,$A$2:$A$2001,$A298,$B$2:$B$2001,$B298))</f>
        <v/>
      </c>
      <c r="N298" s="20">
        <f>IF($M298="","",IF($M298&lt;=0,"Sin stock: reponer ya",IF($M298&lt;IFERROR(N(INDEX(Vinos!$N$2:$N$301,MATCH($B298,Vinos!$A$2:$A$301,0))),0),"Bajo mínimo: reponer","OK")))</f>
        <v/>
      </c>
      <c r="O298" s="14" t="n"/>
      <c r="P298" s="14" t="n"/>
      <c r="Q298" s="20">
        <f>IF($B298="","",IFERROR(INDEX(Vinos!$C$2:$C$301,MATCH($B298,Vinos!$A$2:$A$301,0)),""))</f>
        <v/>
      </c>
      <c r="R298" s="20">
        <f>IF(OR($A298="",$A298&lt;&gt;'Resumen del inventario'!$C$3,$N298="",$N298="OK"),"",IF(COUNTIFS($A$2:$A298,$A298,$B$2:$B298,$B298)=1,1,""))</f>
        <v/>
      </c>
      <c r="S298" s="20">
        <f>IF($R298=1,COUNTIF($R$2:$R298,1),"")</f>
        <v/>
      </c>
    </row>
    <row r="299">
      <c r="A299" s="19" t="n"/>
      <c r="B299" s="14" t="n"/>
      <c r="C299" s="20">
        <f>IF($B299="","",IFERROR(INDEX(Vinos!$B$2:$B$301,MATCH($B299,Vinos!$A$2:$A$301,0)),"Código no cargado"))</f>
        <v/>
      </c>
      <c r="D299" s="14" t="n"/>
      <c r="E299" s="14" t="n"/>
      <c r="F299" s="18" t="n"/>
      <c r="G299" s="18" t="n"/>
      <c r="H299" s="21">
        <f>IF(AND($F299="",$G299=""),"",N($F299)*IFERROR(N(INDEX(Vinos!$H$2:$H$301,MATCH($B299,Vinos!$A$2:$A$301,0))),0)+N($G299))</f>
        <v/>
      </c>
      <c r="I299" s="18" t="n"/>
      <c r="J299" s="21">
        <f>IF(OR($H299="",$I299=""),"",$H299-$I299)</f>
        <v/>
      </c>
      <c r="K299" s="16">
        <f>IF($H299="","",IFERROR(IF(INDEX(Vinos!$J$2:$J$301,MATCH($B299,Vinos!$A$2:$A$301,0))="","",$H299*INDEX(Vinos!$J$2:$J$301,MATCH($B299,Vinos!$A$2:$A$301,0))),""))</f>
        <v/>
      </c>
      <c r="L299" s="16">
        <f>IF($H299="","",IFERROR(IF(INDEX(Vinos!$K$2:$K$301,MATCH($B299,Vinos!$A$2:$A$301,0))="","",$H299*INDEX(Vinos!$K$2:$K$301,MATCH($B299,Vinos!$A$2:$A$301,0))),""))</f>
        <v/>
      </c>
      <c r="M299" s="21">
        <f>IF(OR($A299="",$B299=""),"",SUMIFS($H$2:$H$2001,$A$2:$A$2001,$A299,$B$2:$B$2001,$B299))</f>
        <v/>
      </c>
      <c r="N299" s="20">
        <f>IF($M299="","",IF($M299&lt;=0,"Sin stock: reponer ya",IF($M299&lt;IFERROR(N(INDEX(Vinos!$N$2:$N$301,MATCH($B299,Vinos!$A$2:$A$301,0))),0),"Bajo mínimo: reponer","OK")))</f>
        <v/>
      </c>
      <c r="O299" s="14" t="n"/>
      <c r="P299" s="14" t="n"/>
      <c r="Q299" s="20">
        <f>IF($B299="","",IFERROR(INDEX(Vinos!$C$2:$C$301,MATCH($B299,Vinos!$A$2:$A$301,0)),""))</f>
        <v/>
      </c>
      <c r="R299" s="20">
        <f>IF(OR($A299="",$A299&lt;&gt;'Resumen del inventario'!$C$3,$N299="",$N299="OK"),"",IF(COUNTIFS($A$2:$A299,$A299,$B$2:$B299,$B299)=1,1,""))</f>
        <v/>
      </c>
      <c r="S299" s="20">
        <f>IF($R299=1,COUNTIF($R$2:$R299,1),"")</f>
        <v/>
      </c>
    </row>
    <row r="300">
      <c r="A300" s="19" t="n"/>
      <c r="B300" s="14" t="n"/>
      <c r="C300" s="20">
        <f>IF($B300="","",IFERROR(INDEX(Vinos!$B$2:$B$301,MATCH($B300,Vinos!$A$2:$A$301,0)),"Código no cargado"))</f>
        <v/>
      </c>
      <c r="D300" s="14" t="n"/>
      <c r="E300" s="14" t="n"/>
      <c r="F300" s="18" t="n"/>
      <c r="G300" s="18" t="n"/>
      <c r="H300" s="21">
        <f>IF(AND($F300="",$G300=""),"",N($F300)*IFERROR(N(INDEX(Vinos!$H$2:$H$301,MATCH($B300,Vinos!$A$2:$A$301,0))),0)+N($G300))</f>
        <v/>
      </c>
      <c r="I300" s="18" t="n"/>
      <c r="J300" s="21">
        <f>IF(OR($H300="",$I300=""),"",$H300-$I300)</f>
        <v/>
      </c>
      <c r="K300" s="16">
        <f>IF($H300="","",IFERROR(IF(INDEX(Vinos!$J$2:$J$301,MATCH($B300,Vinos!$A$2:$A$301,0))="","",$H300*INDEX(Vinos!$J$2:$J$301,MATCH($B300,Vinos!$A$2:$A$301,0))),""))</f>
        <v/>
      </c>
      <c r="L300" s="16">
        <f>IF($H300="","",IFERROR(IF(INDEX(Vinos!$K$2:$K$301,MATCH($B300,Vinos!$A$2:$A$301,0))="","",$H300*INDEX(Vinos!$K$2:$K$301,MATCH($B300,Vinos!$A$2:$A$301,0))),""))</f>
        <v/>
      </c>
      <c r="M300" s="21">
        <f>IF(OR($A300="",$B300=""),"",SUMIFS($H$2:$H$2001,$A$2:$A$2001,$A300,$B$2:$B$2001,$B300))</f>
        <v/>
      </c>
      <c r="N300" s="20">
        <f>IF($M300="","",IF($M300&lt;=0,"Sin stock: reponer ya",IF($M300&lt;IFERROR(N(INDEX(Vinos!$N$2:$N$301,MATCH($B300,Vinos!$A$2:$A$301,0))),0),"Bajo mínimo: reponer","OK")))</f>
        <v/>
      </c>
      <c r="O300" s="14" t="n"/>
      <c r="P300" s="14" t="n"/>
      <c r="Q300" s="20">
        <f>IF($B300="","",IFERROR(INDEX(Vinos!$C$2:$C$301,MATCH($B300,Vinos!$A$2:$A$301,0)),""))</f>
        <v/>
      </c>
      <c r="R300" s="20">
        <f>IF(OR($A300="",$A300&lt;&gt;'Resumen del inventario'!$C$3,$N300="",$N300="OK"),"",IF(COUNTIFS($A$2:$A300,$A300,$B$2:$B300,$B300)=1,1,""))</f>
        <v/>
      </c>
      <c r="S300" s="20">
        <f>IF($R300=1,COUNTIF($R$2:$R300,1),"")</f>
        <v/>
      </c>
    </row>
    <row r="301">
      <c r="A301" s="19" t="n"/>
      <c r="B301" s="14" t="n"/>
      <c r="C301" s="20">
        <f>IF($B301="","",IFERROR(INDEX(Vinos!$B$2:$B$301,MATCH($B301,Vinos!$A$2:$A$301,0)),"Código no cargado"))</f>
        <v/>
      </c>
      <c r="D301" s="14" t="n"/>
      <c r="E301" s="14" t="n"/>
      <c r="F301" s="18" t="n"/>
      <c r="G301" s="18" t="n"/>
      <c r="H301" s="21">
        <f>IF(AND($F301="",$G301=""),"",N($F301)*IFERROR(N(INDEX(Vinos!$H$2:$H$301,MATCH($B301,Vinos!$A$2:$A$301,0))),0)+N($G301))</f>
        <v/>
      </c>
      <c r="I301" s="18" t="n"/>
      <c r="J301" s="21">
        <f>IF(OR($H301="",$I301=""),"",$H301-$I301)</f>
        <v/>
      </c>
      <c r="K301" s="16">
        <f>IF($H301="","",IFERROR(IF(INDEX(Vinos!$J$2:$J$301,MATCH($B301,Vinos!$A$2:$A$301,0))="","",$H301*INDEX(Vinos!$J$2:$J$301,MATCH($B301,Vinos!$A$2:$A$301,0))),""))</f>
        <v/>
      </c>
      <c r="L301" s="16">
        <f>IF($H301="","",IFERROR(IF(INDEX(Vinos!$K$2:$K$301,MATCH($B301,Vinos!$A$2:$A$301,0))="","",$H301*INDEX(Vinos!$K$2:$K$301,MATCH($B301,Vinos!$A$2:$A$301,0))),""))</f>
        <v/>
      </c>
      <c r="M301" s="21">
        <f>IF(OR($A301="",$B301=""),"",SUMIFS($H$2:$H$2001,$A$2:$A$2001,$A301,$B$2:$B$2001,$B301))</f>
        <v/>
      </c>
      <c r="N301" s="20">
        <f>IF($M301="","",IF($M301&lt;=0,"Sin stock: reponer ya",IF($M301&lt;IFERROR(N(INDEX(Vinos!$N$2:$N$301,MATCH($B301,Vinos!$A$2:$A$301,0))),0),"Bajo mínimo: reponer","OK")))</f>
        <v/>
      </c>
      <c r="O301" s="14" t="n"/>
      <c r="P301" s="14" t="n"/>
      <c r="Q301" s="20">
        <f>IF($B301="","",IFERROR(INDEX(Vinos!$C$2:$C$301,MATCH($B301,Vinos!$A$2:$A$301,0)),""))</f>
        <v/>
      </c>
      <c r="R301" s="20">
        <f>IF(OR($A301="",$A301&lt;&gt;'Resumen del inventario'!$C$3,$N301="",$N301="OK"),"",IF(COUNTIFS($A$2:$A301,$A301,$B$2:$B301,$B301)=1,1,""))</f>
        <v/>
      </c>
      <c r="S301" s="20">
        <f>IF($R301=1,COUNTIF($R$2:$R301,1),"")</f>
        <v/>
      </c>
    </row>
    <row r="302">
      <c r="A302" s="19" t="n"/>
      <c r="B302" s="14" t="n"/>
      <c r="C302" s="20">
        <f>IF($B302="","",IFERROR(INDEX(Vinos!$B$2:$B$301,MATCH($B302,Vinos!$A$2:$A$301,0)),"Código no cargado"))</f>
        <v/>
      </c>
      <c r="D302" s="14" t="n"/>
      <c r="E302" s="14" t="n"/>
      <c r="F302" s="18" t="n"/>
      <c r="G302" s="18" t="n"/>
      <c r="H302" s="21">
        <f>IF(AND($F302="",$G302=""),"",N($F302)*IFERROR(N(INDEX(Vinos!$H$2:$H$301,MATCH($B302,Vinos!$A$2:$A$301,0))),0)+N($G302))</f>
        <v/>
      </c>
      <c r="I302" s="18" t="n"/>
      <c r="J302" s="21">
        <f>IF(OR($H302="",$I302=""),"",$H302-$I302)</f>
        <v/>
      </c>
      <c r="K302" s="16">
        <f>IF($H302="","",IFERROR(IF(INDEX(Vinos!$J$2:$J$301,MATCH($B302,Vinos!$A$2:$A$301,0))="","",$H302*INDEX(Vinos!$J$2:$J$301,MATCH($B302,Vinos!$A$2:$A$301,0))),""))</f>
        <v/>
      </c>
      <c r="L302" s="16">
        <f>IF($H302="","",IFERROR(IF(INDEX(Vinos!$K$2:$K$301,MATCH($B302,Vinos!$A$2:$A$301,0))="","",$H302*INDEX(Vinos!$K$2:$K$301,MATCH($B302,Vinos!$A$2:$A$301,0))),""))</f>
        <v/>
      </c>
      <c r="M302" s="21">
        <f>IF(OR($A302="",$B302=""),"",SUMIFS($H$2:$H$2001,$A$2:$A$2001,$A302,$B$2:$B$2001,$B302))</f>
        <v/>
      </c>
      <c r="N302" s="20">
        <f>IF($M302="","",IF($M302&lt;=0,"Sin stock: reponer ya",IF($M302&lt;IFERROR(N(INDEX(Vinos!$N$2:$N$301,MATCH($B302,Vinos!$A$2:$A$301,0))),0),"Bajo mínimo: reponer","OK")))</f>
        <v/>
      </c>
      <c r="O302" s="14" t="n"/>
      <c r="P302" s="14" t="n"/>
      <c r="Q302" s="20">
        <f>IF($B302="","",IFERROR(INDEX(Vinos!$C$2:$C$301,MATCH($B302,Vinos!$A$2:$A$301,0)),""))</f>
        <v/>
      </c>
      <c r="R302" s="20">
        <f>IF(OR($A302="",$A302&lt;&gt;'Resumen del inventario'!$C$3,$N302="",$N302="OK"),"",IF(COUNTIFS($A$2:$A302,$A302,$B$2:$B302,$B302)=1,1,""))</f>
        <v/>
      </c>
      <c r="S302" s="20">
        <f>IF($R302=1,COUNTIF($R$2:$R302,1),"")</f>
        <v/>
      </c>
    </row>
    <row r="303">
      <c r="A303" s="19" t="n"/>
      <c r="B303" s="14" t="n"/>
      <c r="C303" s="20">
        <f>IF($B303="","",IFERROR(INDEX(Vinos!$B$2:$B$301,MATCH($B303,Vinos!$A$2:$A$301,0)),"Código no cargado"))</f>
        <v/>
      </c>
      <c r="D303" s="14" t="n"/>
      <c r="E303" s="14" t="n"/>
      <c r="F303" s="18" t="n"/>
      <c r="G303" s="18" t="n"/>
      <c r="H303" s="21">
        <f>IF(AND($F303="",$G303=""),"",N($F303)*IFERROR(N(INDEX(Vinos!$H$2:$H$301,MATCH($B303,Vinos!$A$2:$A$301,0))),0)+N($G303))</f>
        <v/>
      </c>
      <c r="I303" s="18" t="n"/>
      <c r="J303" s="21">
        <f>IF(OR($H303="",$I303=""),"",$H303-$I303)</f>
        <v/>
      </c>
      <c r="K303" s="16">
        <f>IF($H303="","",IFERROR(IF(INDEX(Vinos!$J$2:$J$301,MATCH($B303,Vinos!$A$2:$A$301,0))="","",$H303*INDEX(Vinos!$J$2:$J$301,MATCH($B303,Vinos!$A$2:$A$301,0))),""))</f>
        <v/>
      </c>
      <c r="L303" s="16">
        <f>IF($H303="","",IFERROR(IF(INDEX(Vinos!$K$2:$K$301,MATCH($B303,Vinos!$A$2:$A$301,0))="","",$H303*INDEX(Vinos!$K$2:$K$301,MATCH($B303,Vinos!$A$2:$A$301,0))),""))</f>
        <v/>
      </c>
      <c r="M303" s="21">
        <f>IF(OR($A303="",$B303=""),"",SUMIFS($H$2:$H$2001,$A$2:$A$2001,$A303,$B$2:$B$2001,$B303))</f>
        <v/>
      </c>
      <c r="N303" s="20">
        <f>IF($M303="","",IF($M303&lt;=0,"Sin stock: reponer ya",IF($M303&lt;IFERROR(N(INDEX(Vinos!$N$2:$N$301,MATCH($B303,Vinos!$A$2:$A$301,0))),0),"Bajo mínimo: reponer","OK")))</f>
        <v/>
      </c>
      <c r="O303" s="14" t="n"/>
      <c r="P303" s="14" t="n"/>
      <c r="Q303" s="20">
        <f>IF($B303="","",IFERROR(INDEX(Vinos!$C$2:$C$301,MATCH($B303,Vinos!$A$2:$A$301,0)),""))</f>
        <v/>
      </c>
      <c r="R303" s="20">
        <f>IF(OR($A303="",$A303&lt;&gt;'Resumen del inventario'!$C$3,$N303="",$N303="OK"),"",IF(COUNTIFS($A$2:$A303,$A303,$B$2:$B303,$B303)=1,1,""))</f>
        <v/>
      </c>
      <c r="S303" s="20">
        <f>IF($R303=1,COUNTIF($R$2:$R303,1),"")</f>
        <v/>
      </c>
    </row>
    <row r="304">
      <c r="A304" s="19" t="n"/>
      <c r="B304" s="14" t="n"/>
      <c r="C304" s="20">
        <f>IF($B304="","",IFERROR(INDEX(Vinos!$B$2:$B$301,MATCH($B304,Vinos!$A$2:$A$301,0)),"Código no cargado"))</f>
        <v/>
      </c>
      <c r="D304" s="14" t="n"/>
      <c r="E304" s="14" t="n"/>
      <c r="F304" s="18" t="n"/>
      <c r="G304" s="18" t="n"/>
      <c r="H304" s="21">
        <f>IF(AND($F304="",$G304=""),"",N($F304)*IFERROR(N(INDEX(Vinos!$H$2:$H$301,MATCH($B304,Vinos!$A$2:$A$301,0))),0)+N($G304))</f>
        <v/>
      </c>
      <c r="I304" s="18" t="n"/>
      <c r="J304" s="21">
        <f>IF(OR($H304="",$I304=""),"",$H304-$I304)</f>
        <v/>
      </c>
      <c r="K304" s="16">
        <f>IF($H304="","",IFERROR(IF(INDEX(Vinos!$J$2:$J$301,MATCH($B304,Vinos!$A$2:$A$301,0))="","",$H304*INDEX(Vinos!$J$2:$J$301,MATCH($B304,Vinos!$A$2:$A$301,0))),""))</f>
        <v/>
      </c>
      <c r="L304" s="16">
        <f>IF($H304="","",IFERROR(IF(INDEX(Vinos!$K$2:$K$301,MATCH($B304,Vinos!$A$2:$A$301,0))="","",$H304*INDEX(Vinos!$K$2:$K$301,MATCH($B304,Vinos!$A$2:$A$301,0))),""))</f>
        <v/>
      </c>
      <c r="M304" s="21">
        <f>IF(OR($A304="",$B304=""),"",SUMIFS($H$2:$H$2001,$A$2:$A$2001,$A304,$B$2:$B$2001,$B304))</f>
        <v/>
      </c>
      <c r="N304" s="20">
        <f>IF($M304="","",IF($M304&lt;=0,"Sin stock: reponer ya",IF($M304&lt;IFERROR(N(INDEX(Vinos!$N$2:$N$301,MATCH($B304,Vinos!$A$2:$A$301,0))),0),"Bajo mínimo: reponer","OK")))</f>
        <v/>
      </c>
      <c r="O304" s="14" t="n"/>
      <c r="P304" s="14" t="n"/>
      <c r="Q304" s="20">
        <f>IF($B304="","",IFERROR(INDEX(Vinos!$C$2:$C$301,MATCH($B304,Vinos!$A$2:$A$301,0)),""))</f>
        <v/>
      </c>
      <c r="R304" s="20">
        <f>IF(OR($A304="",$A304&lt;&gt;'Resumen del inventario'!$C$3,$N304="",$N304="OK"),"",IF(COUNTIFS($A$2:$A304,$A304,$B$2:$B304,$B304)=1,1,""))</f>
        <v/>
      </c>
      <c r="S304" s="20">
        <f>IF($R304=1,COUNTIF($R$2:$R304,1),"")</f>
        <v/>
      </c>
    </row>
    <row r="305">
      <c r="A305" s="19" t="n"/>
      <c r="B305" s="14" t="n"/>
      <c r="C305" s="20">
        <f>IF($B305="","",IFERROR(INDEX(Vinos!$B$2:$B$301,MATCH($B305,Vinos!$A$2:$A$301,0)),"Código no cargado"))</f>
        <v/>
      </c>
      <c r="D305" s="14" t="n"/>
      <c r="E305" s="14" t="n"/>
      <c r="F305" s="18" t="n"/>
      <c r="G305" s="18" t="n"/>
      <c r="H305" s="21">
        <f>IF(AND($F305="",$G305=""),"",N($F305)*IFERROR(N(INDEX(Vinos!$H$2:$H$301,MATCH($B305,Vinos!$A$2:$A$301,0))),0)+N($G305))</f>
        <v/>
      </c>
      <c r="I305" s="18" t="n"/>
      <c r="J305" s="21">
        <f>IF(OR($H305="",$I305=""),"",$H305-$I305)</f>
        <v/>
      </c>
      <c r="K305" s="16">
        <f>IF($H305="","",IFERROR(IF(INDEX(Vinos!$J$2:$J$301,MATCH($B305,Vinos!$A$2:$A$301,0))="","",$H305*INDEX(Vinos!$J$2:$J$301,MATCH($B305,Vinos!$A$2:$A$301,0))),""))</f>
        <v/>
      </c>
      <c r="L305" s="16">
        <f>IF($H305="","",IFERROR(IF(INDEX(Vinos!$K$2:$K$301,MATCH($B305,Vinos!$A$2:$A$301,0))="","",$H305*INDEX(Vinos!$K$2:$K$301,MATCH($B305,Vinos!$A$2:$A$301,0))),""))</f>
        <v/>
      </c>
      <c r="M305" s="21">
        <f>IF(OR($A305="",$B305=""),"",SUMIFS($H$2:$H$2001,$A$2:$A$2001,$A305,$B$2:$B$2001,$B305))</f>
        <v/>
      </c>
      <c r="N305" s="20">
        <f>IF($M305="","",IF($M305&lt;=0,"Sin stock: reponer ya",IF($M305&lt;IFERROR(N(INDEX(Vinos!$N$2:$N$301,MATCH($B305,Vinos!$A$2:$A$301,0))),0),"Bajo mínimo: reponer","OK")))</f>
        <v/>
      </c>
      <c r="O305" s="14" t="n"/>
      <c r="P305" s="14" t="n"/>
      <c r="Q305" s="20">
        <f>IF($B305="","",IFERROR(INDEX(Vinos!$C$2:$C$301,MATCH($B305,Vinos!$A$2:$A$301,0)),""))</f>
        <v/>
      </c>
      <c r="R305" s="20">
        <f>IF(OR($A305="",$A305&lt;&gt;'Resumen del inventario'!$C$3,$N305="",$N305="OK"),"",IF(COUNTIFS($A$2:$A305,$A305,$B$2:$B305,$B305)=1,1,""))</f>
        <v/>
      </c>
      <c r="S305" s="20">
        <f>IF($R305=1,COUNTIF($R$2:$R305,1),"")</f>
        <v/>
      </c>
    </row>
    <row r="306">
      <c r="A306" s="19" t="n"/>
      <c r="B306" s="14" t="n"/>
      <c r="C306" s="20">
        <f>IF($B306="","",IFERROR(INDEX(Vinos!$B$2:$B$301,MATCH($B306,Vinos!$A$2:$A$301,0)),"Código no cargado"))</f>
        <v/>
      </c>
      <c r="D306" s="14" t="n"/>
      <c r="E306" s="14" t="n"/>
      <c r="F306" s="18" t="n"/>
      <c r="G306" s="18" t="n"/>
      <c r="H306" s="21">
        <f>IF(AND($F306="",$G306=""),"",N($F306)*IFERROR(N(INDEX(Vinos!$H$2:$H$301,MATCH($B306,Vinos!$A$2:$A$301,0))),0)+N($G306))</f>
        <v/>
      </c>
      <c r="I306" s="18" t="n"/>
      <c r="J306" s="21">
        <f>IF(OR($H306="",$I306=""),"",$H306-$I306)</f>
        <v/>
      </c>
      <c r="K306" s="16">
        <f>IF($H306="","",IFERROR(IF(INDEX(Vinos!$J$2:$J$301,MATCH($B306,Vinos!$A$2:$A$301,0))="","",$H306*INDEX(Vinos!$J$2:$J$301,MATCH($B306,Vinos!$A$2:$A$301,0))),""))</f>
        <v/>
      </c>
      <c r="L306" s="16">
        <f>IF($H306="","",IFERROR(IF(INDEX(Vinos!$K$2:$K$301,MATCH($B306,Vinos!$A$2:$A$301,0))="","",$H306*INDEX(Vinos!$K$2:$K$301,MATCH($B306,Vinos!$A$2:$A$301,0))),""))</f>
        <v/>
      </c>
      <c r="M306" s="21">
        <f>IF(OR($A306="",$B306=""),"",SUMIFS($H$2:$H$2001,$A$2:$A$2001,$A306,$B$2:$B$2001,$B306))</f>
        <v/>
      </c>
      <c r="N306" s="20">
        <f>IF($M306="","",IF($M306&lt;=0,"Sin stock: reponer ya",IF($M306&lt;IFERROR(N(INDEX(Vinos!$N$2:$N$301,MATCH($B306,Vinos!$A$2:$A$301,0))),0),"Bajo mínimo: reponer","OK")))</f>
        <v/>
      </c>
      <c r="O306" s="14" t="n"/>
      <c r="P306" s="14" t="n"/>
      <c r="Q306" s="20">
        <f>IF($B306="","",IFERROR(INDEX(Vinos!$C$2:$C$301,MATCH($B306,Vinos!$A$2:$A$301,0)),""))</f>
        <v/>
      </c>
      <c r="R306" s="20">
        <f>IF(OR($A306="",$A306&lt;&gt;'Resumen del inventario'!$C$3,$N306="",$N306="OK"),"",IF(COUNTIFS($A$2:$A306,$A306,$B$2:$B306,$B306)=1,1,""))</f>
        <v/>
      </c>
      <c r="S306" s="20">
        <f>IF($R306=1,COUNTIF($R$2:$R306,1),"")</f>
        <v/>
      </c>
    </row>
    <row r="307">
      <c r="A307" s="19" t="n"/>
      <c r="B307" s="14" t="n"/>
      <c r="C307" s="20">
        <f>IF($B307="","",IFERROR(INDEX(Vinos!$B$2:$B$301,MATCH($B307,Vinos!$A$2:$A$301,0)),"Código no cargado"))</f>
        <v/>
      </c>
      <c r="D307" s="14" t="n"/>
      <c r="E307" s="14" t="n"/>
      <c r="F307" s="18" t="n"/>
      <c r="G307" s="18" t="n"/>
      <c r="H307" s="21">
        <f>IF(AND($F307="",$G307=""),"",N($F307)*IFERROR(N(INDEX(Vinos!$H$2:$H$301,MATCH($B307,Vinos!$A$2:$A$301,0))),0)+N($G307))</f>
        <v/>
      </c>
      <c r="I307" s="18" t="n"/>
      <c r="J307" s="21">
        <f>IF(OR($H307="",$I307=""),"",$H307-$I307)</f>
        <v/>
      </c>
      <c r="K307" s="16">
        <f>IF($H307="","",IFERROR(IF(INDEX(Vinos!$J$2:$J$301,MATCH($B307,Vinos!$A$2:$A$301,0))="","",$H307*INDEX(Vinos!$J$2:$J$301,MATCH($B307,Vinos!$A$2:$A$301,0))),""))</f>
        <v/>
      </c>
      <c r="L307" s="16">
        <f>IF($H307="","",IFERROR(IF(INDEX(Vinos!$K$2:$K$301,MATCH($B307,Vinos!$A$2:$A$301,0))="","",$H307*INDEX(Vinos!$K$2:$K$301,MATCH($B307,Vinos!$A$2:$A$301,0))),""))</f>
        <v/>
      </c>
      <c r="M307" s="21">
        <f>IF(OR($A307="",$B307=""),"",SUMIFS($H$2:$H$2001,$A$2:$A$2001,$A307,$B$2:$B$2001,$B307))</f>
        <v/>
      </c>
      <c r="N307" s="20">
        <f>IF($M307="","",IF($M307&lt;=0,"Sin stock: reponer ya",IF($M307&lt;IFERROR(N(INDEX(Vinos!$N$2:$N$301,MATCH($B307,Vinos!$A$2:$A$301,0))),0),"Bajo mínimo: reponer","OK")))</f>
        <v/>
      </c>
      <c r="O307" s="14" t="n"/>
      <c r="P307" s="14" t="n"/>
      <c r="Q307" s="20">
        <f>IF($B307="","",IFERROR(INDEX(Vinos!$C$2:$C$301,MATCH($B307,Vinos!$A$2:$A$301,0)),""))</f>
        <v/>
      </c>
      <c r="R307" s="20">
        <f>IF(OR($A307="",$A307&lt;&gt;'Resumen del inventario'!$C$3,$N307="",$N307="OK"),"",IF(COUNTIFS($A$2:$A307,$A307,$B$2:$B307,$B307)=1,1,""))</f>
        <v/>
      </c>
      <c r="S307" s="20">
        <f>IF($R307=1,COUNTIF($R$2:$R307,1),"")</f>
        <v/>
      </c>
    </row>
    <row r="308">
      <c r="A308" s="19" t="n"/>
      <c r="B308" s="14" t="n"/>
      <c r="C308" s="20">
        <f>IF($B308="","",IFERROR(INDEX(Vinos!$B$2:$B$301,MATCH($B308,Vinos!$A$2:$A$301,0)),"Código no cargado"))</f>
        <v/>
      </c>
      <c r="D308" s="14" t="n"/>
      <c r="E308" s="14" t="n"/>
      <c r="F308" s="18" t="n"/>
      <c r="G308" s="18" t="n"/>
      <c r="H308" s="21">
        <f>IF(AND($F308="",$G308=""),"",N($F308)*IFERROR(N(INDEX(Vinos!$H$2:$H$301,MATCH($B308,Vinos!$A$2:$A$301,0))),0)+N($G308))</f>
        <v/>
      </c>
      <c r="I308" s="18" t="n"/>
      <c r="J308" s="21">
        <f>IF(OR($H308="",$I308=""),"",$H308-$I308)</f>
        <v/>
      </c>
      <c r="K308" s="16">
        <f>IF($H308="","",IFERROR(IF(INDEX(Vinos!$J$2:$J$301,MATCH($B308,Vinos!$A$2:$A$301,0))="","",$H308*INDEX(Vinos!$J$2:$J$301,MATCH($B308,Vinos!$A$2:$A$301,0))),""))</f>
        <v/>
      </c>
      <c r="L308" s="16">
        <f>IF($H308="","",IFERROR(IF(INDEX(Vinos!$K$2:$K$301,MATCH($B308,Vinos!$A$2:$A$301,0))="","",$H308*INDEX(Vinos!$K$2:$K$301,MATCH($B308,Vinos!$A$2:$A$301,0))),""))</f>
        <v/>
      </c>
      <c r="M308" s="21">
        <f>IF(OR($A308="",$B308=""),"",SUMIFS($H$2:$H$2001,$A$2:$A$2001,$A308,$B$2:$B$2001,$B308))</f>
        <v/>
      </c>
      <c r="N308" s="20">
        <f>IF($M308="","",IF($M308&lt;=0,"Sin stock: reponer ya",IF($M308&lt;IFERROR(N(INDEX(Vinos!$N$2:$N$301,MATCH($B308,Vinos!$A$2:$A$301,0))),0),"Bajo mínimo: reponer","OK")))</f>
        <v/>
      </c>
      <c r="O308" s="14" t="n"/>
      <c r="P308" s="14" t="n"/>
      <c r="Q308" s="20">
        <f>IF($B308="","",IFERROR(INDEX(Vinos!$C$2:$C$301,MATCH($B308,Vinos!$A$2:$A$301,0)),""))</f>
        <v/>
      </c>
      <c r="R308" s="20">
        <f>IF(OR($A308="",$A308&lt;&gt;'Resumen del inventario'!$C$3,$N308="",$N308="OK"),"",IF(COUNTIFS($A$2:$A308,$A308,$B$2:$B308,$B308)=1,1,""))</f>
        <v/>
      </c>
      <c r="S308" s="20">
        <f>IF($R308=1,COUNTIF($R$2:$R308,1),"")</f>
        <v/>
      </c>
    </row>
    <row r="309">
      <c r="A309" s="19" t="n"/>
      <c r="B309" s="14" t="n"/>
      <c r="C309" s="20">
        <f>IF($B309="","",IFERROR(INDEX(Vinos!$B$2:$B$301,MATCH($B309,Vinos!$A$2:$A$301,0)),"Código no cargado"))</f>
        <v/>
      </c>
      <c r="D309" s="14" t="n"/>
      <c r="E309" s="14" t="n"/>
      <c r="F309" s="18" t="n"/>
      <c r="G309" s="18" t="n"/>
      <c r="H309" s="21">
        <f>IF(AND($F309="",$G309=""),"",N($F309)*IFERROR(N(INDEX(Vinos!$H$2:$H$301,MATCH($B309,Vinos!$A$2:$A$301,0))),0)+N($G309))</f>
        <v/>
      </c>
      <c r="I309" s="18" t="n"/>
      <c r="J309" s="21">
        <f>IF(OR($H309="",$I309=""),"",$H309-$I309)</f>
        <v/>
      </c>
      <c r="K309" s="16">
        <f>IF($H309="","",IFERROR(IF(INDEX(Vinos!$J$2:$J$301,MATCH($B309,Vinos!$A$2:$A$301,0))="","",$H309*INDEX(Vinos!$J$2:$J$301,MATCH($B309,Vinos!$A$2:$A$301,0))),""))</f>
        <v/>
      </c>
      <c r="L309" s="16">
        <f>IF($H309="","",IFERROR(IF(INDEX(Vinos!$K$2:$K$301,MATCH($B309,Vinos!$A$2:$A$301,0))="","",$H309*INDEX(Vinos!$K$2:$K$301,MATCH($B309,Vinos!$A$2:$A$301,0))),""))</f>
        <v/>
      </c>
      <c r="M309" s="21">
        <f>IF(OR($A309="",$B309=""),"",SUMIFS($H$2:$H$2001,$A$2:$A$2001,$A309,$B$2:$B$2001,$B309))</f>
        <v/>
      </c>
      <c r="N309" s="20">
        <f>IF($M309="","",IF($M309&lt;=0,"Sin stock: reponer ya",IF($M309&lt;IFERROR(N(INDEX(Vinos!$N$2:$N$301,MATCH($B309,Vinos!$A$2:$A$301,0))),0),"Bajo mínimo: reponer","OK")))</f>
        <v/>
      </c>
      <c r="O309" s="14" t="n"/>
      <c r="P309" s="14" t="n"/>
      <c r="Q309" s="20">
        <f>IF($B309="","",IFERROR(INDEX(Vinos!$C$2:$C$301,MATCH($B309,Vinos!$A$2:$A$301,0)),""))</f>
        <v/>
      </c>
      <c r="R309" s="20">
        <f>IF(OR($A309="",$A309&lt;&gt;'Resumen del inventario'!$C$3,$N309="",$N309="OK"),"",IF(COUNTIFS($A$2:$A309,$A309,$B$2:$B309,$B309)=1,1,""))</f>
        <v/>
      </c>
      <c r="S309" s="20">
        <f>IF($R309=1,COUNTIF($R$2:$R309,1),"")</f>
        <v/>
      </c>
    </row>
    <row r="310">
      <c r="A310" s="19" t="n"/>
      <c r="B310" s="14" t="n"/>
      <c r="C310" s="20">
        <f>IF($B310="","",IFERROR(INDEX(Vinos!$B$2:$B$301,MATCH($B310,Vinos!$A$2:$A$301,0)),"Código no cargado"))</f>
        <v/>
      </c>
      <c r="D310" s="14" t="n"/>
      <c r="E310" s="14" t="n"/>
      <c r="F310" s="18" t="n"/>
      <c r="G310" s="18" t="n"/>
      <c r="H310" s="21">
        <f>IF(AND($F310="",$G310=""),"",N($F310)*IFERROR(N(INDEX(Vinos!$H$2:$H$301,MATCH($B310,Vinos!$A$2:$A$301,0))),0)+N($G310))</f>
        <v/>
      </c>
      <c r="I310" s="18" t="n"/>
      <c r="J310" s="21">
        <f>IF(OR($H310="",$I310=""),"",$H310-$I310)</f>
        <v/>
      </c>
      <c r="K310" s="16">
        <f>IF($H310="","",IFERROR(IF(INDEX(Vinos!$J$2:$J$301,MATCH($B310,Vinos!$A$2:$A$301,0))="","",$H310*INDEX(Vinos!$J$2:$J$301,MATCH($B310,Vinos!$A$2:$A$301,0))),""))</f>
        <v/>
      </c>
      <c r="L310" s="16">
        <f>IF($H310="","",IFERROR(IF(INDEX(Vinos!$K$2:$K$301,MATCH($B310,Vinos!$A$2:$A$301,0))="","",$H310*INDEX(Vinos!$K$2:$K$301,MATCH($B310,Vinos!$A$2:$A$301,0))),""))</f>
        <v/>
      </c>
      <c r="M310" s="21">
        <f>IF(OR($A310="",$B310=""),"",SUMIFS($H$2:$H$2001,$A$2:$A$2001,$A310,$B$2:$B$2001,$B310))</f>
        <v/>
      </c>
      <c r="N310" s="20">
        <f>IF($M310="","",IF($M310&lt;=0,"Sin stock: reponer ya",IF($M310&lt;IFERROR(N(INDEX(Vinos!$N$2:$N$301,MATCH($B310,Vinos!$A$2:$A$301,0))),0),"Bajo mínimo: reponer","OK")))</f>
        <v/>
      </c>
      <c r="O310" s="14" t="n"/>
      <c r="P310" s="14" t="n"/>
      <c r="Q310" s="20">
        <f>IF($B310="","",IFERROR(INDEX(Vinos!$C$2:$C$301,MATCH($B310,Vinos!$A$2:$A$301,0)),""))</f>
        <v/>
      </c>
      <c r="R310" s="20">
        <f>IF(OR($A310="",$A310&lt;&gt;'Resumen del inventario'!$C$3,$N310="",$N310="OK"),"",IF(COUNTIFS($A$2:$A310,$A310,$B$2:$B310,$B310)=1,1,""))</f>
        <v/>
      </c>
      <c r="S310" s="20">
        <f>IF($R310=1,COUNTIF($R$2:$R310,1),"")</f>
        <v/>
      </c>
    </row>
    <row r="311">
      <c r="A311" s="19" t="n"/>
      <c r="B311" s="14" t="n"/>
      <c r="C311" s="20">
        <f>IF($B311="","",IFERROR(INDEX(Vinos!$B$2:$B$301,MATCH($B311,Vinos!$A$2:$A$301,0)),"Código no cargado"))</f>
        <v/>
      </c>
      <c r="D311" s="14" t="n"/>
      <c r="E311" s="14" t="n"/>
      <c r="F311" s="18" t="n"/>
      <c r="G311" s="18" t="n"/>
      <c r="H311" s="21">
        <f>IF(AND($F311="",$G311=""),"",N($F311)*IFERROR(N(INDEX(Vinos!$H$2:$H$301,MATCH($B311,Vinos!$A$2:$A$301,0))),0)+N($G311))</f>
        <v/>
      </c>
      <c r="I311" s="18" t="n"/>
      <c r="J311" s="21">
        <f>IF(OR($H311="",$I311=""),"",$H311-$I311)</f>
        <v/>
      </c>
      <c r="K311" s="16">
        <f>IF($H311="","",IFERROR(IF(INDEX(Vinos!$J$2:$J$301,MATCH($B311,Vinos!$A$2:$A$301,0))="","",$H311*INDEX(Vinos!$J$2:$J$301,MATCH($B311,Vinos!$A$2:$A$301,0))),""))</f>
        <v/>
      </c>
      <c r="L311" s="16">
        <f>IF($H311="","",IFERROR(IF(INDEX(Vinos!$K$2:$K$301,MATCH($B311,Vinos!$A$2:$A$301,0))="","",$H311*INDEX(Vinos!$K$2:$K$301,MATCH($B311,Vinos!$A$2:$A$301,0))),""))</f>
        <v/>
      </c>
      <c r="M311" s="21">
        <f>IF(OR($A311="",$B311=""),"",SUMIFS($H$2:$H$2001,$A$2:$A$2001,$A311,$B$2:$B$2001,$B311))</f>
        <v/>
      </c>
      <c r="N311" s="20">
        <f>IF($M311="","",IF($M311&lt;=0,"Sin stock: reponer ya",IF($M311&lt;IFERROR(N(INDEX(Vinos!$N$2:$N$301,MATCH($B311,Vinos!$A$2:$A$301,0))),0),"Bajo mínimo: reponer","OK")))</f>
        <v/>
      </c>
      <c r="O311" s="14" t="n"/>
      <c r="P311" s="14" t="n"/>
      <c r="Q311" s="20">
        <f>IF($B311="","",IFERROR(INDEX(Vinos!$C$2:$C$301,MATCH($B311,Vinos!$A$2:$A$301,0)),""))</f>
        <v/>
      </c>
      <c r="R311" s="20">
        <f>IF(OR($A311="",$A311&lt;&gt;'Resumen del inventario'!$C$3,$N311="",$N311="OK"),"",IF(COUNTIFS($A$2:$A311,$A311,$B$2:$B311,$B311)=1,1,""))</f>
        <v/>
      </c>
      <c r="S311" s="20">
        <f>IF($R311=1,COUNTIF($R$2:$R311,1),"")</f>
        <v/>
      </c>
    </row>
    <row r="312">
      <c r="A312" s="19" t="n"/>
      <c r="B312" s="14" t="n"/>
      <c r="C312" s="20">
        <f>IF($B312="","",IFERROR(INDEX(Vinos!$B$2:$B$301,MATCH($B312,Vinos!$A$2:$A$301,0)),"Código no cargado"))</f>
        <v/>
      </c>
      <c r="D312" s="14" t="n"/>
      <c r="E312" s="14" t="n"/>
      <c r="F312" s="18" t="n"/>
      <c r="G312" s="18" t="n"/>
      <c r="H312" s="21">
        <f>IF(AND($F312="",$G312=""),"",N($F312)*IFERROR(N(INDEX(Vinos!$H$2:$H$301,MATCH($B312,Vinos!$A$2:$A$301,0))),0)+N($G312))</f>
        <v/>
      </c>
      <c r="I312" s="18" t="n"/>
      <c r="J312" s="21">
        <f>IF(OR($H312="",$I312=""),"",$H312-$I312)</f>
        <v/>
      </c>
      <c r="K312" s="16">
        <f>IF($H312="","",IFERROR(IF(INDEX(Vinos!$J$2:$J$301,MATCH($B312,Vinos!$A$2:$A$301,0))="","",$H312*INDEX(Vinos!$J$2:$J$301,MATCH($B312,Vinos!$A$2:$A$301,0))),""))</f>
        <v/>
      </c>
      <c r="L312" s="16">
        <f>IF($H312="","",IFERROR(IF(INDEX(Vinos!$K$2:$K$301,MATCH($B312,Vinos!$A$2:$A$301,0))="","",$H312*INDEX(Vinos!$K$2:$K$301,MATCH($B312,Vinos!$A$2:$A$301,0))),""))</f>
        <v/>
      </c>
      <c r="M312" s="21">
        <f>IF(OR($A312="",$B312=""),"",SUMIFS($H$2:$H$2001,$A$2:$A$2001,$A312,$B$2:$B$2001,$B312))</f>
        <v/>
      </c>
      <c r="N312" s="20">
        <f>IF($M312="","",IF($M312&lt;=0,"Sin stock: reponer ya",IF($M312&lt;IFERROR(N(INDEX(Vinos!$N$2:$N$301,MATCH($B312,Vinos!$A$2:$A$301,0))),0),"Bajo mínimo: reponer","OK")))</f>
        <v/>
      </c>
      <c r="O312" s="14" t="n"/>
      <c r="P312" s="14" t="n"/>
      <c r="Q312" s="20">
        <f>IF($B312="","",IFERROR(INDEX(Vinos!$C$2:$C$301,MATCH($B312,Vinos!$A$2:$A$301,0)),""))</f>
        <v/>
      </c>
      <c r="R312" s="20">
        <f>IF(OR($A312="",$A312&lt;&gt;'Resumen del inventario'!$C$3,$N312="",$N312="OK"),"",IF(COUNTIFS($A$2:$A312,$A312,$B$2:$B312,$B312)=1,1,""))</f>
        <v/>
      </c>
      <c r="S312" s="20">
        <f>IF($R312=1,COUNTIF($R$2:$R312,1),"")</f>
        <v/>
      </c>
    </row>
    <row r="313">
      <c r="A313" s="19" t="n"/>
      <c r="B313" s="14" t="n"/>
      <c r="C313" s="20">
        <f>IF($B313="","",IFERROR(INDEX(Vinos!$B$2:$B$301,MATCH($B313,Vinos!$A$2:$A$301,0)),"Código no cargado"))</f>
        <v/>
      </c>
      <c r="D313" s="14" t="n"/>
      <c r="E313" s="14" t="n"/>
      <c r="F313" s="18" t="n"/>
      <c r="G313" s="18" t="n"/>
      <c r="H313" s="21">
        <f>IF(AND($F313="",$G313=""),"",N($F313)*IFERROR(N(INDEX(Vinos!$H$2:$H$301,MATCH($B313,Vinos!$A$2:$A$301,0))),0)+N($G313))</f>
        <v/>
      </c>
      <c r="I313" s="18" t="n"/>
      <c r="J313" s="21">
        <f>IF(OR($H313="",$I313=""),"",$H313-$I313)</f>
        <v/>
      </c>
      <c r="K313" s="16">
        <f>IF($H313="","",IFERROR(IF(INDEX(Vinos!$J$2:$J$301,MATCH($B313,Vinos!$A$2:$A$301,0))="","",$H313*INDEX(Vinos!$J$2:$J$301,MATCH($B313,Vinos!$A$2:$A$301,0))),""))</f>
        <v/>
      </c>
      <c r="L313" s="16">
        <f>IF($H313="","",IFERROR(IF(INDEX(Vinos!$K$2:$K$301,MATCH($B313,Vinos!$A$2:$A$301,0))="","",$H313*INDEX(Vinos!$K$2:$K$301,MATCH($B313,Vinos!$A$2:$A$301,0))),""))</f>
        <v/>
      </c>
      <c r="M313" s="21">
        <f>IF(OR($A313="",$B313=""),"",SUMIFS($H$2:$H$2001,$A$2:$A$2001,$A313,$B$2:$B$2001,$B313))</f>
        <v/>
      </c>
      <c r="N313" s="20">
        <f>IF($M313="","",IF($M313&lt;=0,"Sin stock: reponer ya",IF($M313&lt;IFERROR(N(INDEX(Vinos!$N$2:$N$301,MATCH($B313,Vinos!$A$2:$A$301,0))),0),"Bajo mínimo: reponer","OK")))</f>
        <v/>
      </c>
      <c r="O313" s="14" t="n"/>
      <c r="P313" s="14" t="n"/>
      <c r="Q313" s="20">
        <f>IF($B313="","",IFERROR(INDEX(Vinos!$C$2:$C$301,MATCH($B313,Vinos!$A$2:$A$301,0)),""))</f>
        <v/>
      </c>
      <c r="R313" s="20">
        <f>IF(OR($A313="",$A313&lt;&gt;'Resumen del inventario'!$C$3,$N313="",$N313="OK"),"",IF(COUNTIFS($A$2:$A313,$A313,$B$2:$B313,$B313)=1,1,""))</f>
        <v/>
      </c>
      <c r="S313" s="20">
        <f>IF($R313=1,COUNTIF($R$2:$R313,1),"")</f>
        <v/>
      </c>
    </row>
    <row r="314">
      <c r="A314" s="19" t="n"/>
      <c r="B314" s="14" t="n"/>
      <c r="C314" s="20">
        <f>IF($B314="","",IFERROR(INDEX(Vinos!$B$2:$B$301,MATCH($B314,Vinos!$A$2:$A$301,0)),"Código no cargado"))</f>
        <v/>
      </c>
      <c r="D314" s="14" t="n"/>
      <c r="E314" s="14" t="n"/>
      <c r="F314" s="18" t="n"/>
      <c r="G314" s="18" t="n"/>
      <c r="H314" s="21">
        <f>IF(AND($F314="",$G314=""),"",N($F314)*IFERROR(N(INDEX(Vinos!$H$2:$H$301,MATCH($B314,Vinos!$A$2:$A$301,0))),0)+N($G314))</f>
        <v/>
      </c>
      <c r="I314" s="18" t="n"/>
      <c r="J314" s="21">
        <f>IF(OR($H314="",$I314=""),"",$H314-$I314)</f>
        <v/>
      </c>
      <c r="K314" s="16">
        <f>IF($H314="","",IFERROR(IF(INDEX(Vinos!$J$2:$J$301,MATCH($B314,Vinos!$A$2:$A$301,0))="","",$H314*INDEX(Vinos!$J$2:$J$301,MATCH($B314,Vinos!$A$2:$A$301,0))),""))</f>
        <v/>
      </c>
      <c r="L314" s="16">
        <f>IF($H314="","",IFERROR(IF(INDEX(Vinos!$K$2:$K$301,MATCH($B314,Vinos!$A$2:$A$301,0))="","",$H314*INDEX(Vinos!$K$2:$K$301,MATCH($B314,Vinos!$A$2:$A$301,0))),""))</f>
        <v/>
      </c>
      <c r="M314" s="21">
        <f>IF(OR($A314="",$B314=""),"",SUMIFS($H$2:$H$2001,$A$2:$A$2001,$A314,$B$2:$B$2001,$B314))</f>
        <v/>
      </c>
      <c r="N314" s="20">
        <f>IF($M314="","",IF($M314&lt;=0,"Sin stock: reponer ya",IF($M314&lt;IFERROR(N(INDEX(Vinos!$N$2:$N$301,MATCH($B314,Vinos!$A$2:$A$301,0))),0),"Bajo mínimo: reponer","OK")))</f>
        <v/>
      </c>
      <c r="O314" s="14" t="n"/>
      <c r="P314" s="14" t="n"/>
      <c r="Q314" s="20">
        <f>IF($B314="","",IFERROR(INDEX(Vinos!$C$2:$C$301,MATCH($B314,Vinos!$A$2:$A$301,0)),""))</f>
        <v/>
      </c>
      <c r="R314" s="20">
        <f>IF(OR($A314="",$A314&lt;&gt;'Resumen del inventario'!$C$3,$N314="",$N314="OK"),"",IF(COUNTIFS($A$2:$A314,$A314,$B$2:$B314,$B314)=1,1,""))</f>
        <v/>
      </c>
      <c r="S314" s="20">
        <f>IF($R314=1,COUNTIF($R$2:$R314,1),"")</f>
        <v/>
      </c>
    </row>
    <row r="315">
      <c r="A315" s="19" t="n"/>
      <c r="B315" s="14" t="n"/>
      <c r="C315" s="20">
        <f>IF($B315="","",IFERROR(INDEX(Vinos!$B$2:$B$301,MATCH($B315,Vinos!$A$2:$A$301,0)),"Código no cargado"))</f>
        <v/>
      </c>
      <c r="D315" s="14" t="n"/>
      <c r="E315" s="14" t="n"/>
      <c r="F315" s="18" t="n"/>
      <c r="G315" s="18" t="n"/>
      <c r="H315" s="21">
        <f>IF(AND($F315="",$G315=""),"",N($F315)*IFERROR(N(INDEX(Vinos!$H$2:$H$301,MATCH($B315,Vinos!$A$2:$A$301,0))),0)+N($G315))</f>
        <v/>
      </c>
      <c r="I315" s="18" t="n"/>
      <c r="J315" s="21">
        <f>IF(OR($H315="",$I315=""),"",$H315-$I315)</f>
        <v/>
      </c>
      <c r="K315" s="16">
        <f>IF($H315="","",IFERROR(IF(INDEX(Vinos!$J$2:$J$301,MATCH($B315,Vinos!$A$2:$A$301,0))="","",$H315*INDEX(Vinos!$J$2:$J$301,MATCH($B315,Vinos!$A$2:$A$301,0))),""))</f>
        <v/>
      </c>
      <c r="L315" s="16">
        <f>IF($H315="","",IFERROR(IF(INDEX(Vinos!$K$2:$K$301,MATCH($B315,Vinos!$A$2:$A$301,0))="","",$H315*INDEX(Vinos!$K$2:$K$301,MATCH($B315,Vinos!$A$2:$A$301,0))),""))</f>
        <v/>
      </c>
      <c r="M315" s="21">
        <f>IF(OR($A315="",$B315=""),"",SUMIFS($H$2:$H$2001,$A$2:$A$2001,$A315,$B$2:$B$2001,$B315))</f>
        <v/>
      </c>
      <c r="N315" s="20">
        <f>IF($M315="","",IF($M315&lt;=0,"Sin stock: reponer ya",IF($M315&lt;IFERROR(N(INDEX(Vinos!$N$2:$N$301,MATCH($B315,Vinos!$A$2:$A$301,0))),0),"Bajo mínimo: reponer","OK")))</f>
        <v/>
      </c>
      <c r="O315" s="14" t="n"/>
      <c r="P315" s="14" t="n"/>
      <c r="Q315" s="20">
        <f>IF($B315="","",IFERROR(INDEX(Vinos!$C$2:$C$301,MATCH($B315,Vinos!$A$2:$A$301,0)),""))</f>
        <v/>
      </c>
      <c r="R315" s="20">
        <f>IF(OR($A315="",$A315&lt;&gt;'Resumen del inventario'!$C$3,$N315="",$N315="OK"),"",IF(COUNTIFS($A$2:$A315,$A315,$B$2:$B315,$B315)=1,1,""))</f>
        <v/>
      </c>
      <c r="S315" s="20">
        <f>IF($R315=1,COUNTIF($R$2:$R315,1),"")</f>
        <v/>
      </c>
    </row>
    <row r="316">
      <c r="A316" s="19" t="n"/>
      <c r="B316" s="14" t="n"/>
      <c r="C316" s="20">
        <f>IF($B316="","",IFERROR(INDEX(Vinos!$B$2:$B$301,MATCH($B316,Vinos!$A$2:$A$301,0)),"Código no cargado"))</f>
        <v/>
      </c>
      <c r="D316" s="14" t="n"/>
      <c r="E316" s="14" t="n"/>
      <c r="F316" s="18" t="n"/>
      <c r="G316" s="18" t="n"/>
      <c r="H316" s="21">
        <f>IF(AND($F316="",$G316=""),"",N($F316)*IFERROR(N(INDEX(Vinos!$H$2:$H$301,MATCH($B316,Vinos!$A$2:$A$301,0))),0)+N($G316))</f>
        <v/>
      </c>
      <c r="I316" s="18" t="n"/>
      <c r="J316" s="21">
        <f>IF(OR($H316="",$I316=""),"",$H316-$I316)</f>
        <v/>
      </c>
      <c r="K316" s="16">
        <f>IF($H316="","",IFERROR(IF(INDEX(Vinos!$J$2:$J$301,MATCH($B316,Vinos!$A$2:$A$301,0))="","",$H316*INDEX(Vinos!$J$2:$J$301,MATCH($B316,Vinos!$A$2:$A$301,0))),""))</f>
        <v/>
      </c>
      <c r="L316" s="16">
        <f>IF($H316="","",IFERROR(IF(INDEX(Vinos!$K$2:$K$301,MATCH($B316,Vinos!$A$2:$A$301,0))="","",$H316*INDEX(Vinos!$K$2:$K$301,MATCH($B316,Vinos!$A$2:$A$301,0))),""))</f>
        <v/>
      </c>
      <c r="M316" s="21">
        <f>IF(OR($A316="",$B316=""),"",SUMIFS($H$2:$H$2001,$A$2:$A$2001,$A316,$B$2:$B$2001,$B316))</f>
        <v/>
      </c>
      <c r="N316" s="20">
        <f>IF($M316="","",IF($M316&lt;=0,"Sin stock: reponer ya",IF($M316&lt;IFERROR(N(INDEX(Vinos!$N$2:$N$301,MATCH($B316,Vinos!$A$2:$A$301,0))),0),"Bajo mínimo: reponer","OK")))</f>
        <v/>
      </c>
      <c r="O316" s="14" t="n"/>
      <c r="P316" s="14" t="n"/>
      <c r="Q316" s="20">
        <f>IF($B316="","",IFERROR(INDEX(Vinos!$C$2:$C$301,MATCH($B316,Vinos!$A$2:$A$301,0)),""))</f>
        <v/>
      </c>
      <c r="R316" s="20">
        <f>IF(OR($A316="",$A316&lt;&gt;'Resumen del inventario'!$C$3,$N316="",$N316="OK"),"",IF(COUNTIFS($A$2:$A316,$A316,$B$2:$B316,$B316)=1,1,""))</f>
        <v/>
      </c>
      <c r="S316" s="20">
        <f>IF($R316=1,COUNTIF($R$2:$R316,1),"")</f>
        <v/>
      </c>
    </row>
    <row r="317">
      <c r="A317" s="19" t="n"/>
      <c r="B317" s="14" t="n"/>
      <c r="C317" s="20">
        <f>IF($B317="","",IFERROR(INDEX(Vinos!$B$2:$B$301,MATCH($B317,Vinos!$A$2:$A$301,0)),"Código no cargado"))</f>
        <v/>
      </c>
      <c r="D317" s="14" t="n"/>
      <c r="E317" s="14" t="n"/>
      <c r="F317" s="18" t="n"/>
      <c r="G317" s="18" t="n"/>
      <c r="H317" s="21">
        <f>IF(AND($F317="",$G317=""),"",N($F317)*IFERROR(N(INDEX(Vinos!$H$2:$H$301,MATCH($B317,Vinos!$A$2:$A$301,0))),0)+N($G317))</f>
        <v/>
      </c>
      <c r="I317" s="18" t="n"/>
      <c r="J317" s="21">
        <f>IF(OR($H317="",$I317=""),"",$H317-$I317)</f>
        <v/>
      </c>
      <c r="K317" s="16">
        <f>IF($H317="","",IFERROR(IF(INDEX(Vinos!$J$2:$J$301,MATCH($B317,Vinos!$A$2:$A$301,0))="","",$H317*INDEX(Vinos!$J$2:$J$301,MATCH($B317,Vinos!$A$2:$A$301,0))),""))</f>
        <v/>
      </c>
      <c r="L317" s="16">
        <f>IF($H317="","",IFERROR(IF(INDEX(Vinos!$K$2:$K$301,MATCH($B317,Vinos!$A$2:$A$301,0))="","",$H317*INDEX(Vinos!$K$2:$K$301,MATCH($B317,Vinos!$A$2:$A$301,0))),""))</f>
        <v/>
      </c>
      <c r="M317" s="21">
        <f>IF(OR($A317="",$B317=""),"",SUMIFS($H$2:$H$2001,$A$2:$A$2001,$A317,$B$2:$B$2001,$B317))</f>
        <v/>
      </c>
      <c r="N317" s="20">
        <f>IF($M317="","",IF($M317&lt;=0,"Sin stock: reponer ya",IF($M317&lt;IFERROR(N(INDEX(Vinos!$N$2:$N$301,MATCH($B317,Vinos!$A$2:$A$301,0))),0),"Bajo mínimo: reponer","OK")))</f>
        <v/>
      </c>
      <c r="O317" s="14" t="n"/>
      <c r="P317" s="14" t="n"/>
      <c r="Q317" s="20">
        <f>IF($B317="","",IFERROR(INDEX(Vinos!$C$2:$C$301,MATCH($B317,Vinos!$A$2:$A$301,0)),""))</f>
        <v/>
      </c>
      <c r="R317" s="20">
        <f>IF(OR($A317="",$A317&lt;&gt;'Resumen del inventario'!$C$3,$N317="",$N317="OK"),"",IF(COUNTIFS($A$2:$A317,$A317,$B$2:$B317,$B317)=1,1,""))</f>
        <v/>
      </c>
      <c r="S317" s="20">
        <f>IF($R317=1,COUNTIF($R$2:$R317,1),"")</f>
        <v/>
      </c>
    </row>
    <row r="318">
      <c r="A318" s="19" t="n"/>
      <c r="B318" s="14" t="n"/>
      <c r="C318" s="20">
        <f>IF($B318="","",IFERROR(INDEX(Vinos!$B$2:$B$301,MATCH($B318,Vinos!$A$2:$A$301,0)),"Código no cargado"))</f>
        <v/>
      </c>
      <c r="D318" s="14" t="n"/>
      <c r="E318" s="14" t="n"/>
      <c r="F318" s="18" t="n"/>
      <c r="G318" s="18" t="n"/>
      <c r="H318" s="21">
        <f>IF(AND($F318="",$G318=""),"",N($F318)*IFERROR(N(INDEX(Vinos!$H$2:$H$301,MATCH($B318,Vinos!$A$2:$A$301,0))),0)+N($G318))</f>
        <v/>
      </c>
      <c r="I318" s="18" t="n"/>
      <c r="J318" s="21">
        <f>IF(OR($H318="",$I318=""),"",$H318-$I318)</f>
        <v/>
      </c>
      <c r="K318" s="16">
        <f>IF($H318="","",IFERROR(IF(INDEX(Vinos!$J$2:$J$301,MATCH($B318,Vinos!$A$2:$A$301,0))="","",$H318*INDEX(Vinos!$J$2:$J$301,MATCH($B318,Vinos!$A$2:$A$301,0))),""))</f>
        <v/>
      </c>
      <c r="L318" s="16">
        <f>IF($H318="","",IFERROR(IF(INDEX(Vinos!$K$2:$K$301,MATCH($B318,Vinos!$A$2:$A$301,0))="","",$H318*INDEX(Vinos!$K$2:$K$301,MATCH($B318,Vinos!$A$2:$A$301,0))),""))</f>
        <v/>
      </c>
      <c r="M318" s="21">
        <f>IF(OR($A318="",$B318=""),"",SUMIFS($H$2:$H$2001,$A$2:$A$2001,$A318,$B$2:$B$2001,$B318))</f>
        <v/>
      </c>
      <c r="N318" s="20">
        <f>IF($M318="","",IF($M318&lt;=0,"Sin stock: reponer ya",IF($M318&lt;IFERROR(N(INDEX(Vinos!$N$2:$N$301,MATCH($B318,Vinos!$A$2:$A$301,0))),0),"Bajo mínimo: reponer","OK")))</f>
        <v/>
      </c>
      <c r="O318" s="14" t="n"/>
      <c r="P318" s="14" t="n"/>
      <c r="Q318" s="20">
        <f>IF($B318="","",IFERROR(INDEX(Vinos!$C$2:$C$301,MATCH($B318,Vinos!$A$2:$A$301,0)),""))</f>
        <v/>
      </c>
      <c r="R318" s="20">
        <f>IF(OR($A318="",$A318&lt;&gt;'Resumen del inventario'!$C$3,$N318="",$N318="OK"),"",IF(COUNTIFS($A$2:$A318,$A318,$B$2:$B318,$B318)=1,1,""))</f>
        <v/>
      </c>
      <c r="S318" s="20">
        <f>IF($R318=1,COUNTIF($R$2:$R318,1),"")</f>
        <v/>
      </c>
    </row>
    <row r="319">
      <c r="A319" s="19" t="n"/>
      <c r="B319" s="14" t="n"/>
      <c r="C319" s="20">
        <f>IF($B319="","",IFERROR(INDEX(Vinos!$B$2:$B$301,MATCH($B319,Vinos!$A$2:$A$301,0)),"Código no cargado"))</f>
        <v/>
      </c>
      <c r="D319" s="14" t="n"/>
      <c r="E319" s="14" t="n"/>
      <c r="F319" s="18" t="n"/>
      <c r="G319" s="18" t="n"/>
      <c r="H319" s="21">
        <f>IF(AND($F319="",$G319=""),"",N($F319)*IFERROR(N(INDEX(Vinos!$H$2:$H$301,MATCH($B319,Vinos!$A$2:$A$301,0))),0)+N($G319))</f>
        <v/>
      </c>
      <c r="I319" s="18" t="n"/>
      <c r="J319" s="21">
        <f>IF(OR($H319="",$I319=""),"",$H319-$I319)</f>
        <v/>
      </c>
      <c r="K319" s="16">
        <f>IF($H319="","",IFERROR(IF(INDEX(Vinos!$J$2:$J$301,MATCH($B319,Vinos!$A$2:$A$301,0))="","",$H319*INDEX(Vinos!$J$2:$J$301,MATCH($B319,Vinos!$A$2:$A$301,0))),""))</f>
        <v/>
      </c>
      <c r="L319" s="16">
        <f>IF($H319="","",IFERROR(IF(INDEX(Vinos!$K$2:$K$301,MATCH($B319,Vinos!$A$2:$A$301,0))="","",$H319*INDEX(Vinos!$K$2:$K$301,MATCH($B319,Vinos!$A$2:$A$301,0))),""))</f>
        <v/>
      </c>
      <c r="M319" s="21">
        <f>IF(OR($A319="",$B319=""),"",SUMIFS($H$2:$H$2001,$A$2:$A$2001,$A319,$B$2:$B$2001,$B319))</f>
        <v/>
      </c>
      <c r="N319" s="20">
        <f>IF($M319="","",IF($M319&lt;=0,"Sin stock: reponer ya",IF($M319&lt;IFERROR(N(INDEX(Vinos!$N$2:$N$301,MATCH($B319,Vinos!$A$2:$A$301,0))),0),"Bajo mínimo: reponer","OK")))</f>
        <v/>
      </c>
      <c r="O319" s="14" t="n"/>
      <c r="P319" s="14" t="n"/>
      <c r="Q319" s="20">
        <f>IF($B319="","",IFERROR(INDEX(Vinos!$C$2:$C$301,MATCH($B319,Vinos!$A$2:$A$301,0)),""))</f>
        <v/>
      </c>
      <c r="R319" s="20">
        <f>IF(OR($A319="",$A319&lt;&gt;'Resumen del inventario'!$C$3,$N319="",$N319="OK"),"",IF(COUNTIFS($A$2:$A319,$A319,$B$2:$B319,$B319)=1,1,""))</f>
        <v/>
      </c>
      <c r="S319" s="20">
        <f>IF($R319=1,COUNTIF($R$2:$R319,1),"")</f>
        <v/>
      </c>
    </row>
    <row r="320">
      <c r="A320" s="19" t="n"/>
      <c r="B320" s="14" t="n"/>
      <c r="C320" s="20">
        <f>IF($B320="","",IFERROR(INDEX(Vinos!$B$2:$B$301,MATCH($B320,Vinos!$A$2:$A$301,0)),"Código no cargado"))</f>
        <v/>
      </c>
      <c r="D320" s="14" t="n"/>
      <c r="E320" s="14" t="n"/>
      <c r="F320" s="18" t="n"/>
      <c r="G320" s="18" t="n"/>
      <c r="H320" s="21">
        <f>IF(AND($F320="",$G320=""),"",N($F320)*IFERROR(N(INDEX(Vinos!$H$2:$H$301,MATCH($B320,Vinos!$A$2:$A$301,0))),0)+N($G320))</f>
        <v/>
      </c>
      <c r="I320" s="18" t="n"/>
      <c r="J320" s="21">
        <f>IF(OR($H320="",$I320=""),"",$H320-$I320)</f>
        <v/>
      </c>
      <c r="K320" s="16">
        <f>IF($H320="","",IFERROR(IF(INDEX(Vinos!$J$2:$J$301,MATCH($B320,Vinos!$A$2:$A$301,0))="","",$H320*INDEX(Vinos!$J$2:$J$301,MATCH($B320,Vinos!$A$2:$A$301,0))),""))</f>
        <v/>
      </c>
      <c r="L320" s="16">
        <f>IF($H320="","",IFERROR(IF(INDEX(Vinos!$K$2:$K$301,MATCH($B320,Vinos!$A$2:$A$301,0))="","",$H320*INDEX(Vinos!$K$2:$K$301,MATCH($B320,Vinos!$A$2:$A$301,0))),""))</f>
        <v/>
      </c>
      <c r="M320" s="21">
        <f>IF(OR($A320="",$B320=""),"",SUMIFS($H$2:$H$2001,$A$2:$A$2001,$A320,$B$2:$B$2001,$B320))</f>
        <v/>
      </c>
      <c r="N320" s="20">
        <f>IF($M320="","",IF($M320&lt;=0,"Sin stock: reponer ya",IF($M320&lt;IFERROR(N(INDEX(Vinos!$N$2:$N$301,MATCH($B320,Vinos!$A$2:$A$301,0))),0),"Bajo mínimo: reponer","OK")))</f>
        <v/>
      </c>
      <c r="O320" s="14" t="n"/>
      <c r="P320" s="14" t="n"/>
      <c r="Q320" s="20">
        <f>IF($B320="","",IFERROR(INDEX(Vinos!$C$2:$C$301,MATCH($B320,Vinos!$A$2:$A$301,0)),""))</f>
        <v/>
      </c>
      <c r="R320" s="20">
        <f>IF(OR($A320="",$A320&lt;&gt;'Resumen del inventario'!$C$3,$N320="",$N320="OK"),"",IF(COUNTIFS($A$2:$A320,$A320,$B$2:$B320,$B320)=1,1,""))</f>
        <v/>
      </c>
      <c r="S320" s="20">
        <f>IF($R320=1,COUNTIF($R$2:$R320,1),"")</f>
        <v/>
      </c>
    </row>
    <row r="321">
      <c r="A321" s="19" t="n"/>
      <c r="B321" s="14" t="n"/>
      <c r="C321" s="20">
        <f>IF($B321="","",IFERROR(INDEX(Vinos!$B$2:$B$301,MATCH($B321,Vinos!$A$2:$A$301,0)),"Código no cargado"))</f>
        <v/>
      </c>
      <c r="D321" s="14" t="n"/>
      <c r="E321" s="14" t="n"/>
      <c r="F321" s="18" t="n"/>
      <c r="G321" s="18" t="n"/>
      <c r="H321" s="21">
        <f>IF(AND($F321="",$G321=""),"",N($F321)*IFERROR(N(INDEX(Vinos!$H$2:$H$301,MATCH($B321,Vinos!$A$2:$A$301,0))),0)+N($G321))</f>
        <v/>
      </c>
      <c r="I321" s="18" t="n"/>
      <c r="J321" s="21">
        <f>IF(OR($H321="",$I321=""),"",$H321-$I321)</f>
        <v/>
      </c>
      <c r="K321" s="16">
        <f>IF($H321="","",IFERROR(IF(INDEX(Vinos!$J$2:$J$301,MATCH($B321,Vinos!$A$2:$A$301,0))="","",$H321*INDEX(Vinos!$J$2:$J$301,MATCH($B321,Vinos!$A$2:$A$301,0))),""))</f>
        <v/>
      </c>
      <c r="L321" s="16">
        <f>IF($H321="","",IFERROR(IF(INDEX(Vinos!$K$2:$K$301,MATCH($B321,Vinos!$A$2:$A$301,0))="","",$H321*INDEX(Vinos!$K$2:$K$301,MATCH($B321,Vinos!$A$2:$A$301,0))),""))</f>
        <v/>
      </c>
      <c r="M321" s="21">
        <f>IF(OR($A321="",$B321=""),"",SUMIFS($H$2:$H$2001,$A$2:$A$2001,$A321,$B$2:$B$2001,$B321))</f>
        <v/>
      </c>
      <c r="N321" s="20">
        <f>IF($M321="","",IF($M321&lt;=0,"Sin stock: reponer ya",IF($M321&lt;IFERROR(N(INDEX(Vinos!$N$2:$N$301,MATCH($B321,Vinos!$A$2:$A$301,0))),0),"Bajo mínimo: reponer","OK")))</f>
        <v/>
      </c>
      <c r="O321" s="14" t="n"/>
      <c r="P321" s="14" t="n"/>
      <c r="Q321" s="20">
        <f>IF($B321="","",IFERROR(INDEX(Vinos!$C$2:$C$301,MATCH($B321,Vinos!$A$2:$A$301,0)),""))</f>
        <v/>
      </c>
      <c r="R321" s="20">
        <f>IF(OR($A321="",$A321&lt;&gt;'Resumen del inventario'!$C$3,$N321="",$N321="OK"),"",IF(COUNTIFS($A$2:$A321,$A321,$B$2:$B321,$B321)=1,1,""))</f>
        <v/>
      </c>
      <c r="S321" s="20">
        <f>IF($R321=1,COUNTIF($R$2:$R321,1),"")</f>
        <v/>
      </c>
    </row>
    <row r="322">
      <c r="A322" s="19" t="n"/>
      <c r="B322" s="14" t="n"/>
      <c r="C322" s="20">
        <f>IF($B322="","",IFERROR(INDEX(Vinos!$B$2:$B$301,MATCH($B322,Vinos!$A$2:$A$301,0)),"Código no cargado"))</f>
        <v/>
      </c>
      <c r="D322" s="14" t="n"/>
      <c r="E322" s="14" t="n"/>
      <c r="F322" s="18" t="n"/>
      <c r="G322" s="18" t="n"/>
      <c r="H322" s="21">
        <f>IF(AND($F322="",$G322=""),"",N($F322)*IFERROR(N(INDEX(Vinos!$H$2:$H$301,MATCH($B322,Vinos!$A$2:$A$301,0))),0)+N($G322))</f>
        <v/>
      </c>
      <c r="I322" s="18" t="n"/>
      <c r="J322" s="21">
        <f>IF(OR($H322="",$I322=""),"",$H322-$I322)</f>
        <v/>
      </c>
      <c r="K322" s="16">
        <f>IF($H322="","",IFERROR(IF(INDEX(Vinos!$J$2:$J$301,MATCH($B322,Vinos!$A$2:$A$301,0))="","",$H322*INDEX(Vinos!$J$2:$J$301,MATCH($B322,Vinos!$A$2:$A$301,0))),""))</f>
        <v/>
      </c>
      <c r="L322" s="16">
        <f>IF($H322="","",IFERROR(IF(INDEX(Vinos!$K$2:$K$301,MATCH($B322,Vinos!$A$2:$A$301,0))="","",$H322*INDEX(Vinos!$K$2:$K$301,MATCH($B322,Vinos!$A$2:$A$301,0))),""))</f>
        <v/>
      </c>
      <c r="M322" s="21">
        <f>IF(OR($A322="",$B322=""),"",SUMIFS($H$2:$H$2001,$A$2:$A$2001,$A322,$B$2:$B$2001,$B322))</f>
        <v/>
      </c>
      <c r="N322" s="20">
        <f>IF($M322="","",IF($M322&lt;=0,"Sin stock: reponer ya",IF($M322&lt;IFERROR(N(INDEX(Vinos!$N$2:$N$301,MATCH($B322,Vinos!$A$2:$A$301,0))),0),"Bajo mínimo: reponer","OK")))</f>
        <v/>
      </c>
      <c r="O322" s="14" t="n"/>
      <c r="P322" s="14" t="n"/>
      <c r="Q322" s="20">
        <f>IF($B322="","",IFERROR(INDEX(Vinos!$C$2:$C$301,MATCH($B322,Vinos!$A$2:$A$301,0)),""))</f>
        <v/>
      </c>
      <c r="R322" s="20">
        <f>IF(OR($A322="",$A322&lt;&gt;'Resumen del inventario'!$C$3,$N322="",$N322="OK"),"",IF(COUNTIFS($A$2:$A322,$A322,$B$2:$B322,$B322)=1,1,""))</f>
        <v/>
      </c>
      <c r="S322" s="20">
        <f>IF($R322=1,COUNTIF($R$2:$R322,1),"")</f>
        <v/>
      </c>
    </row>
    <row r="323">
      <c r="A323" s="19" t="n"/>
      <c r="B323" s="14" t="n"/>
      <c r="C323" s="20">
        <f>IF($B323="","",IFERROR(INDEX(Vinos!$B$2:$B$301,MATCH($B323,Vinos!$A$2:$A$301,0)),"Código no cargado"))</f>
        <v/>
      </c>
      <c r="D323" s="14" t="n"/>
      <c r="E323" s="14" t="n"/>
      <c r="F323" s="18" t="n"/>
      <c r="G323" s="18" t="n"/>
      <c r="H323" s="21">
        <f>IF(AND($F323="",$G323=""),"",N($F323)*IFERROR(N(INDEX(Vinos!$H$2:$H$301,MATCH($B323,Vinos!$A$2:$A$301,0))),0)+N($G323))</f>
        <v/>
      </c>
      <c r="I323" s="18" t="n"/>
      <c r="J323" s="21">
        <f>IF(OR($H323="",$I323=""),"",$H323-$I323)</f>
        <v/>
      </c>
      <c r="K323" s="16">
        <f>IF($H323="","",IFERROR(IF(INDEX(Vinos!$J$2:$J$301,MATCH($B323,Vinos!$A$2:$A$301,0))="","",$H323*INDEX(Vinos!$J$2:$J$301,MATCH($B323,Vinos!$A$2:$A$301,0))),""))</f>
        <v/>
      </c>
      <c r="L323" s="16">
        <f>IF($H323="","",IFERROR(IF(INDEX(Vinos!$K$2:$K$301,MATCH($B323,Vinos!$A$2:$A$301,0))="","",$H323*INDEX(Vinos!$K$2:$K$301,MATCH($B323,Vinos!$A$2:$A$301,0))),""))</f>
        <v/>
      </c>
      <c r="M323" s="21">
        <f>IF(OR($A323="",$B323=""),"",SUMIFS($H$2:$H$2001,$A$2:$A$2001,$A323,$B$2:$B$2001,$B323))</f>
        <v/>
      </c>
      <c r="N323" s="20">
        <f>IF($M323="","",IF($M323&lt;=0,"Sin stock: reponer ya",IF($M323&lt;IFERROR(N(INDEX(Vinos!$N$2:$N$301,MATCH($B323,Vinos!$A$2:$A$301,0))),0),"Bajo mínimo: reponer","OK")))</f>
        <v/>
      </c>
      <c r="O323" s="14" t="n"/>
      <c r="P323" s="14" t="n"/>
      <c r="Q323" s="20">
        <f>IF($B323="","",IFERROR(INDEX(Vinos!$C$2:$C$301,MATCH($B323,Vinos!$A$2:$A$301,0)),""))</f>
        <v/>
      </c>
      <c r="R323" s="20">
        <f>IF(OR($A323="",$A323&lt;&gt;'Resumen del inventario'!$C$3,$N323="",$N323="OK"),"",IF(COUNTIFS($A$2:$A323,$A323,$B$2:$B323,$B323)=1,1,""))</f>
        <v/>
      </c>
      <c r="S323" s="20">
        <f>IF($R323=1,COUNTIF($R$2:$R323,1),"")</f>
        <v/>
      </c>
    </row>
    <row r="324">
      <c r="A324" s="19" t="n"/>
      <c r="B324" s="14" t="n"/>
      <c r="C324" s="20">
        <f>IF($B324="","",IFERROR(INDEX(Vinos!$B$2:$B$301,MATCH($B324,Vinos!$A$2:$A$301,0)),"Código no cargado"))</f>
        <v/>
      </c>
      <c r="D324" s="14" t="n"/>
      <c r="E324" s="14" t="n"/>
      <c r="F324" s="18" t="n"/>
      <c r="G324" s="18" t="n"/>
      <c r="H324" s="21">
        <f>IF(AND($F324="",$G324=""),"",N($F324)*IFERROR(N(INDEX(Vinos!$H$2:$H$301,MATCH($B324,Vinos!$A$2:$A$301,0))),0)+N($G324))</f>
        <v/>
      </c>
      <c r="I324" s="18" t="n"/>
      <c r="J324" s="21">
        <f>IF(OR($H324="",$I324=""),"",$H324-$I324)</f>
        <v/>
      </c>
      <c r="K324" s="16">
        <f>IF($H324="","",IFERROR(IF(INDEX(Vinos!$J$2:$J$301,MATCH($B324,Vinos!$A$2:$A$301,0))="","",$H324*INDEX(Vinos!$J$2:$J$301,MATCH($B324,Vinos!$A$2:$A$301,0))),""))</f>
        <v/>
      </c>
      <c r="L324" s="16">
        <f>IF($H324="","",IFERROR(IF(INDEX(Vinos!$K$2:$K$301,MATCH($B324,Vinos!$A$2:$A$301,0))="","",$H324*INDEX(Vinos!$K$2:$K$301,MATCH($B324,Vinos!$A$2:$A$301,0))),""))</f>
        <v/>
      </c>
      <c r="M324" s="21">
        <f>IF(OR($A324="",$B324=""),"",SUMIFS($H$2:$H$2001,$A$2:$A$2001,$A324,$B$2:$B$2001,$B324))</f>
        <v/>
      </c>
      <c r="N324" s="20">
        <f>IF($M324="","",IF($M324&lt;=0,"Sin stock: reponer ya",IF($M324&lt;IFERROR(N(INDEX(Vinos!$N$2:$N$301,MATCH($B324,Vinos!$A$2:$A$301,0))),0),"Bajo mínimo: reponer","OK")))</f>
        <v/>
      </c>
      <c r="O324" s="14" t="n"/>
      <c r="P324" s="14" t="n"/>
      <c r="Q324" s="20">
        <f>IF($B324="","",IFERROR(INDEX(Vinos!$C$2:$C$301,MATCH($B324,Vinos!$A$2:$A$301,0)),""))</f>
        <v/>
      </c>
      <c r="R324" s="20">
        <f>IF(OR($A324="",$A324&lt;&gt;'Resumen del inventario'!$C$3,$N324="",$N324="OK"),"",IF(COUNTIFS($A$2:$A324,$A324,$B$2:$B324,$B324)=1,1,""))</f>
        <v/>
      </c>
      <c r="S324" s="20">
        <f>IF($R324=1,COUNTIF($R$2:$R324,1),"")</f>
        <v/>
      </c>
    </row>
    <row r="325">
      <c r="A325" s="19" t="n"/>
      <c r="B325" s="14" t="n"/>
      <c r="C325" s="20">
        <f>IF($B325="","",IFERROR(INDEX(Vinos!$B$2:$B$301,MATCH($B325,Vinos!$A$2:$A$301,0)),"Código no cargado"))</f>
        <v/>
      </c>
      <c r="D325" s="14" t="n"/>
      <c r="E325" s="14" t="n"/>
      <c r="F325" s="18" t="n"/>
      <c r="G325" s="18" t="n"/>
      <c r="H325" s="21">
        <f>IF(AND($F325="",$G325=""),"",N($F325)*IFERROR(N(INDEX(Vinos!$H$2:$H$301,MATCH($B325,Vinos!$A$2:$A$301,0))),0)+N($G325))</f>
        <v/>
      </c>
      <c r="I325" s="18" t="n"/>
      <c r="J325" s="21">
        <f>IF(OR($H325="",$I325=""),"",$H325-$I325)</f>
        <v/>
      </c>
      <c r="K325" s="16">
        <f>IF($H325="","",IFERROR(IF(INDEX(Vinos!$J$2:$J$301,MATCH($B325,Vinos!$A$2:$A$301,0))="","",$H325*INDEX(Vinos!$J$2:$J$301,MATCH($B325,Vinos!$A$2:$A$301,0))),""))</f>
        <v/>
      </c>
      <c r="L325" s="16">
        <f>IF($H325="","",IFERROR(IF(INDEX(Vinos!$K$2:$K$301,MATCH($B325,Vinos!$A$2:$A$301,0))="","",$H325*INDEX(Vinos!$K$2:$K$301,MATCH($B325,Vinos!$A$2:$A$301,0))),""))</f>
        <v/>
      </c>
      <c r="M325" s="21">
        <f>IF(OR($A325="",$B325=""),"",SUMIFS($H$2:$H$2001,$A$2:$A$2001,$A325,$B$2:$B$2001,$B325))</f>
        <v/>
      </c>
      <c r="N325" s="20">
        <f>IF($M325="","",IF($M325&lt;=0,"Sin stock: reponer ya",IF($M325&lt;IFERROR(N(INDEX(Vinos!$N$2:$N$301,MATCH($B325,Vinos!$A$2:$A$301,0))),0),"Bajo mínimo: reponer","OK")))</f>
        <v/>
      </c>
      <c r="O325" s="14" t="n"/>
      <c r="P325" s="14" t="n"/>
      <c r="Q325" s="20">
        <f>IF($B325="","",IFERROR(INDEX(Vinos!$C$2:$C$301,MATCH($B325,Vinos!$A$2:$A$301,0)),""))</f>
        <v/>
      </c>
      <c r="R325" s="20">
        <f>IF(OR($A325="",$A325&lt;&gt;'Resumen del inventario'!$C$3,$N325="",$N325="OK"),"",IF(COUNTIFS($A$2:$A325,$A325,$B$2:$B325,$B325)=1,1,""))</f>
        <v/>
      </c>
      <c r="S325" s="20">
        <f>IF($R325=1,COUNTIF($R$2:$R325,1),"")</f>
        <v/>
      </c>
    </row>
    <row r="326">
      <c r="A326" s="19" t="n"/>
      <c r="B326" s="14" t="n"/>
      <c r="C326" s="20">
        <f>IF($B326="","",IFERROR(INDEX(Vinos!$B$2:$B$301,MATCH($B326,Vinos!$A$2:$A$301,0)),"Código no cargado"))</f>
        <v/>
      </c>
      <c r="D326" s="14" t="n"/>
      <c r="E326" s="14" t="n"/>
      <c r="F326" s="18" t="n"/>
      <c r="G326" s="18" t="n"/>
      <c r="H326" s="21">
        <f>IF(AND($F326="",$G326=""),"",N($F326)*IFERROR(N(INDEX(Vinos!$H$2:$H$301,MATCH($B326,Vinos!$A$2:$A$301,0))),0)+N($G326))</f>
        <v/>
      </c>
      <c r="I326" s="18" t="n"/>
      <c r="J326" s="21">
        <f>IF(OR($H326="",$I326=""),"",$H326-$I326)</f>
        <v/>
      </c>
      <c r="K326" s="16">
        <f>IF($H326="","",IFERROR(IF(INDEX(Vinos!$J$2:$J$301,MATCH($B326,Vinos!$A$2:$A$301,0))="","",$H326*INDEX(Vinos!$J$2:$J$301,MATCH($B326,Vinos!$A$2:$A$301,0))),""))</f>
        <v/>
      </c>
      <c r="L326" s="16">
        <f>IF($H326="","",IFERROR(IF(INDEX(Vinos!$K$2:$K$301,MATCH($B326,Vinos!$A$2:$A$301,0))="","",$H326*INDEX(Vinos!$K$2:$K$301,MATCH($B326,Vinos!$A$2:$A$301,0))),""))</f>
        <v/>
      </c>
      <c r="M326" s="21">
        <f>IF(OR($A326="",$B326=""),"",SUMIFS($H$2:$H$2001,$A$2:$A$2001,$A326,$B$2:$B$2001,$B326))</f>
        <v/>
      </c>
      <c r="N326" s="20">
        <f>IF($M326="","",IF($M326&lt;=0,"Sin stock: reponer ya",IF($M326&lt;IFERROR(N(INDEX(Vinos!$N$2:$N$301,MATCH($B326,Vinos!$A$2:$A$301,0))),0),"Bajo mínimo: reponer","OK")))</f>
        <v/>
      </c>
      <c r="O326" s="14" t="n"/>
      <c r="P326" s="14" t="n"/>
      <c r="Q326" s="20">
        <f>IF($B326="","",IFERROR(INDEX(Vinos!$C$2:$C$301,MATCH($B326,Vinos!$A$2:$A$301,0)),""))</f>
        <v/>
      </c>
      <c r="R326" s="20">
        <f>IF(OR($A326="",$A326&lt;&gt;'Resumen del inventario'!$C$3,$N326="",$N326="OK"),"",IF(COUNTIFS($A$2:$A326,$A326,$B$2:$B326,$B326)=1,1,""))</f>
        <v/>
      </c>
      <c r="S326" s="20">
        <f>IF($R326=1,COUNTIF($R$2:$R326,1),"")</f>
        <v/>
      </c>
    </row>
    <row r="327">
      <c r="A327" s="19" t="n"/>
      <c r="B327" s="14" t="n"/>
      <c r="C327" s="20">
        <f>IF($B327="","",IFERROR(INDEX(Vinos!$B$2:$B$301,MATCH($B327,Vinos!$A$2:$A$301,0)),"Código no cargado"))</f>
        <v/>
      </c>
      <c r="D327" s="14" t="n"/>
      <c r="E327" s="14" t="n"/>
      <c r="F327" s="18" t="n"/>
      <c r="G327" s="18" t="n"/>
      <c r="H327" s="21">
        <f>IF(AND($F327="",$G327=""),"",N($F327)*IFERROR(N(INDEX(Vinos!$H$2:$H$301,MATCH($B327,Vinos!$A$2:$A$301,0))),0)+N($G327))</f>
        <v/>
      </c>
      <c r="I327" s="18" t="n"/>
      <c r="J327" s="21">
        <f>IF(OR($H327="",$I327=""),"",$H327-$I327)</f>
        <v/>
      </c>
      <c r="K327" s="16">
        <f>IF($H327="","",IFERROR(IF(INDEX(Vinos!$J$2:$J$301,MATCH($B327,Vinos!$A$2:$A$301,0))="","",$H327*INDEX(Vinos!$J$2:$J$301,MATCH($B327,Vinos!$A$2:$A$301,0))),""))</f>
        <v/>
      </c>
      <c r="L327" s="16">
        <f>IF($H327="","",IFERROR(IF(INDEX(Vinos!$K$2:$K$301,MATCH($B327,Vinos!$A$2:$A$301,0))="","",$H327*INDEX(Vinos!$K$2:$K$301,MATCH($B327,Vinos!$A$2:$A$301,0))),""))</f>
        <v/>
      </c>
      <c r="M327" s="21">
        <f>IF(OR($A327="",$B327=""),"",SUMIFS($H$2:$H$2001,$A$2:$A$2001,$A327,$B$2:$B$2001,$B327))</f>
        <v/>
      </c>
      <c r="N327" s="20">
        <f>IF($M327="","",IF($M327&lt;=0,"Sin stock: reponer ya",IF($M327&lt;IFERROR(N(INDEX(Vinos!$N$2:$N$301,MATCH($B327,Vinos!$A$2:$A$301,0))),0),"Bajo mínimo: reponer","OK")))</f>
        <v/>
      </c>
      <c r="O327" s="14" t="n"/>
      <c r="P327" s="14" t="n"/>
      <c r="Q327" s="20">
        <f>IF($B327="","",IFERROR(INDEX(Vinos!$C$2:$C$301,MATCH($B327,Vinos!$A$2:$A$301,0)),""))</f>
        <v/>
      </c>
      <c r="R327" s="20">
        <f>IF(OR($A327="",$A327&lt;&gt;'Resumen del inventario'!$C$3,$N327="",$N327="OK"),"",IF(COUNTIFS($A$2:$A327,$A327,$B$2:$B327,$B327)=1,1,""))</f>
        <v/>
      </c>
      <c r="S327" s="20">
        <f>IF($R327=1,COUNTIF($R$2:$R327,1),"")</f>
        <v/>
      </c>
    </row>
    <row r="328">
      <c r="A328" s="19" t="n"/>
      <c r="B328" s="14" t="n"/>
      <c r="C328" s="20">
        <f>IF($B328="","",IFERROR(INDEX(Vinos!$B$2:$B$301,MATCH($B328,Vinos!$A$2:$A$301,0)),"Código no cargado"))</f>
        <v/>
      </c>
      <c r="D328" s="14" t="n"/>
      <c r="E328" s="14" t="n"/>
      <c r="F328" s="18" t="n"/>
      <c r="G328" s="18" t="n"/>
      <c r="H328" s="21">
        <f>IF(AND($F328="",$G328=""),"",N($F328)*IFERROR(N(INDEX(Vinos!$H$2:$H$301,MATCH($B328,Vinos!$A$2:$A$301,0))),0)+N($G328))</f>
        <v/>
      </c>
      <c r="I328" s="18" t="n"/>
      <c r="J328" s="21">
        <f>IF(OR($H328="",$I328=""),"",$H328-$I328)</f>
        <v/>
      </c>
      <c r="K328" s="16">
        <f>IF($H328="","",IFERROR(IF(INDEX(Vinos!$J$2:$J$301,MATCH($B328,Vinos!$A$2:$A$301,0))="","",$H328*INDEX(Vinos!$J$2:$J$301,MATCH($B328,Vinos!$A$2:$A$301,0))),""))</f>
        <v/>
      </c>
      <c r="L328" s="16">
        <f>IF($H328="","",IFERROR(IF(INDEX(Vinos!$K$2:$K$301,MATCH($B328,Vinos!$A$2:$A$301,0))="","",$H328*INDEX(Vinos!$K$2:$K$301,MATCH($B328,Vinos!$A$2:$A$301,0))),""))</f>
        <v/>
      </c>
      <c r="M328" s="21">
        <f>IF(OR($A328="",$B328=""),"",SUMIFS($H$2:$H$2001,$A$2:$A$2001,$A328,$B$2:$B$2001,$B328))</f>
        <v/>
      </c>
      <c r="N328" s="20">
        <f>IF($M328="","",IF($M328&lt;=0,"Sin stock: reponer ya",IF($M328&lt;IFERROR(N(INDEX(Vinos!$N$2:$N$301,MATCH($B328,Vinos!$A$2:$A$301,0))),0),"Bajo mínimo: reponer","OK")))</f>
        <v/>
      </c>
      <c r="O328" s="14" t="n"/>
      <c r="P328" s="14" t="n"/>
      <c r="Q328" s="20">
        <f>IF($B328="","",IFERROR(INDEX(Vinos!$C$2:$C$301,MATCH($B328,Vinos!$A$2:$A$301,0)),""))</f>
        <v/>
      </c>
      <c r="R328" s="20">
        <f>IF(OR($A328="",$A328&lt;&gt;'Resumen del inventario'!$C$3,$N328="",$N328="OK"),"",IF(COUNTIFS($A$2:$A328,$A328,$B$2:$B328,$B328)=1,1,""))</f>
        <v/>
      </c>
      <c r="S328" s="20">
        <f>IF($R328=1,COUNTIF($R$2:$R328,1),"")</f>
        <v/>
      </c>
    </row>
    <row r="329">
      <c r="A329" s="19" t="n"/>
      <c r="B329" s="14" t="n"/>
      <c r="C329" s="20">
        <f>IF($B329="","",IFERROR(INDEX(Vinos!$B$2:$B$301,MATCH($B329,Vinos!$A$2:$A$301,0)),"Código no cargado"))</f>
        <v/>
      </c>
      <c r="D329" s="14" t="n"/>
      <c r="E329" s="14" t="n"/>
      <c r="F329" s="18" t="n"/>
      <c r="G329" s="18" t="n"/>
      <c r="H329" s="21">
        <f>IF(AND($F329="",$G329=""),"",N($F329)*IFERROR(N(INDEX(Vinos!$H$2:$H$301,MATCH($B329,Vinos!$A$2:$A$301,0))),0)+N($G329))</f>
        <v/>
      </c>
      <c r="I329" s="18" t="n"/>
      <c r="J329" s="21">
        <f>IF(OR($H329="",$I329=""),"",$H329-$I329)</f>
        <v/>
      </c>
      <c r="K329" s="16">
        <f>IF($H329="","",IFERROR(IF(INDEX(Vinos!$J$2:$J$301,MATCH($B329,Vinos!$A$2:$A$301,0))="","",$H329*INDEX(Vinos!$J$2:$J$301,MATCH($B329,Vinos!$A$2:$A$301,0))),""))</f>
        <v/>
      </c>
      <c r="L329" s="16">
        <f>IF($H329="","",IFERROR(IF(INDEX(Vinos!$K$2:$K$301,MATCH($B329,Vinos!$A$2:$A$301,0))="","",$H329*INDEX(Vinos!$K$2:$K$301,MATCH($B329,Vinos!$A$2:$A$301,0))),""))</f>
        <v/>
      </c>
      <c r="M329" s="21">
        <f>IF(OR($A329="",$B329=""),"",SUMIFS($H$2:$H$2001,$A$2:$A$2001,$A329,$B$2:$B$2001,$B329))</f>
        <v/>
      </c>
      <c r="N329" s="20">
        <f>IF($M329="","",IF($M329&lt;=0,"Sin stock: reponer ya",IF($M329&lt;IFERROR(N(INDEX(Vinos!$N$2:$N$301,MATCH($B329,Vinos!$A$2:$A$301,0))),0),"Bajo mínimo: reponer","OK")))</f>
        <v/>
      </c>
      <c r="O329" s="14" t="n"/>
      <c r="P329" s="14" t="n"/>
      <c r="Q329" s="20">
        <f>IF($B329="","",IFERROR(INDEX(Vinos!$C$2:$C$301,MATCH($B329,Vinos!$A$2:$A$301,0)),""))</f>
        <v/>
      </c>
      <c r="R329" s="20">
        <f>IF(OR($A329="",$A329&lt;&gt;'Resumen del inventario'!$C$3,$N329="",$N329="OK"),"",IF(COUNTIFS($A$2:$A329,$A329,$B$2:$B329,$B329)=1,1,""))</f>
        <v/>
      </c>
      <c r="S329" s="20">
        <f>IF($R329=1,COUNTIF($R$2:$R329,1),"")</f>
        <v/>
      </c>
    </row>
    <row r="330">
      <c r="A330" s="19" t="n"/>
      <c r="B330" s="14" t="n"/>
      <c r="C330" s="20">
        <f>IF($B330="","",IFERROR(INDEX(Vinos!$B$2:$B$301,MATCH($B330,Vinos!$A$2:$A$301,0)),"Código no cargado"))</f>
        <v/>
      </c>
      <c r="D330" s="14" t="n"/>
      <c r="E330" s="14" t="n"/>
      <c r="F330" s="18" t="n"/>
      <c r="G330" s="18" t="n"/>
      <c r="H330" s="21">
        <f>IF(AND($F330="",$G330=""),"",N($F330)*IFERROR(N(INDEX(Vinos!$H$2:$H$301,MATCH($B330,Vinos!$A$2:$A$301,0))),0)+N($G330))</f>
        <v/>
      </c>
      <c r="I330" s="18" t="n"/>
      <c r="J330" s="21">
        <f>IF(OR($H330="",$I330=""),"",$H330-$I330)</f>
        <v/>
      </c>
      <c r="K330" s="16">
        <f>IF($H330="","",IFERROR(IF(INDEX(Vinos!$J$2:$J$301,MATCH($B330,Vinos!$A$2:$A$301,0))="","",$H330*INDEX(Vinos!$J$2:$J$301,MATCH($B330,Vinos!$A$2:$A$301,0))),""))</f>
        <v/>
      </c>
      <c r="L330" s="16">
        <f>IF($H330="","",IFERROR(IF(INDEX(Vinos!$K$2:$K$301,MATCH($B330,Vinos!$A$2:$A$301,0))="","",$H330*INDEX(Vinos!$K$2:$K$301,MATCH($B330,Vinos!$A$2:$A$301,0))),""))</f>
        <v/>
      </c>
      <c r="M330" s="21">
        <f>IF(OR($A330="",$B330=""),"",SUMIFS($H$2:$H$2001,$A$2:$A$2001,$A330,$B$2:$B$2001,$B330))</f>
        <v/>
      </c>
      <c r="N330" s="20">
        <f>IF($M330="","",IF($M330&lt;=0,"Sin stock: reponer ya",IF($M330&lt;IFERROR(N(INDEX(Vinos!$N$2:$N$301,MATCH($B330,Vinos!$A$2:$A$301,0))),0),"Bajo mínimo: reponer","OK")))</f>
        <v/>
      </c>
      <c r="O330" s="14" t="n"/>
      <c r="P330" s="14" t="n"/>
      <c r="Q330" s="20">
        <f>IF($B330="","",IFERROR(INDEX(Vinos!$C$2:$C$301,MATCH($B330,Vinos!$A$2:$A$301,0)),""))</f>
        <v/>
      </c>
      <c r="R330" s="20">
        <f>IF(OR($A330="",$A330&lt;&gt;'Resumen del inventario'!$C$3,$N330="",$N330="OK"),"",IF(COUNTIFS($A$2:$A330,$A330,$B$2:$B330,$B330)=1,1,""))</f>
        <v/>
      </c>
      <c r="S330" s="20">
        <f>IF($R330=1,COUNTIF($R$2:$R330,1),"")</f>
        <v/>
      </c>
    </row>
    <row r="331">
      <c r="A331" s="19" t="n"/>
      <c r="B331" s="14" t="n"/>
      <c r="C331" s="20">
        <f>IF($B331="","",IFERROR(INDEX(Vinos!$B$2:$B$301,MATCH($B331,Vinos!$A$2:$A$301,0)),"Código no cargado"))</f>
        <v/>
      </c>
      <c r="D331" s="14" t="n"/>
      <c r="E331" s="14" t="n"/>
      <c r="F331" s="18" t="n"/>
      <c r="G331" s="18" t="n"/>
      <c r="H331" s="21">
        <f>IF(AND($F331="",$G331=""),"",N($F331)*IFERROR(N(INDEX(Vinos!$H$2:$H$301,MATCH($B331,Vinos!$A$2:$A$301,0))),0)+N($G331))</f>
        <v/>
      </c>
      <c r="I331" s="18" t="n"/>
      <c r="J331" s="21">
        <f>IF(OR($H331="",$I331=""),"",$H331-$I331)</f>
        <v/>
      </c>
      <c r="K331" s="16">
        <f>IF($H331="","",IFERROR(IF(INDEX(Vinos!$J$2:$J$301,MATCH($B331,Vinos!$A$2:$A$301,0))="","",$H331*INDEX(Vinos!$J$2:$J$301,MATCH($B331,Vinos!$A$2:$A$301,0))),""))</f>
        <v/>
      </c>
      <c r="L331" s="16">
        <f>IF($H331="","",IFERROR(IF(INDEX(Vinos!$K$2:$K$301,MATCH($B331,Vinos!$A$2:$A$301,0))="","",$H331*INDEX(Vinos!$K$2:$K$301,MATCH($B331,Vinos!$A$2:$A$301,0))),""))</f>
        <v/>
      </c>
      <c r="M331" s="21">
        <f>IF(OR($A331="",$B331=""),"",SUMIFS($H$2:$H$2001,$A$2:$A$2001,$A331,$B$2:$B$2001,$B331))</f>
        <v/>
      </c>
      <c r="N331" s="20">
        <f>IF($M331="","",IF($M331&lt;=0,"Sin stock: reponer ya",IF($M331&lt;IFERROR(N(INDEX(Vinos!$N$2:$N$301,MATCH($B331,Vinos!$A$2:$A$301,0))),0),"Bajo mínimo: reponer","OK")))</f>
        <v/>
      </c>
      <c r="O331" s="14" t="n"/>
      <c r="P331" s="14" t="n"/>
      <c r="Q331" s="20">
        <f>IF($B331="","",IFERROR(INDEX(Vinos!$C$2:$C$301,MATCH($B331,Vinos!$A$2:$A$301,0)),""))</f>
        <v/>
      </c>
      <c r="R331" s="20">
        <f>IF(OR($A331="",$A331&lt;&gt;'Resumen del inventario'!$C$3,$N331="",$N331="OK"),"",IF(COUNTIFS($A$2:$A331,$A331,$B$2:$B331,$B331)=1,1,""))</f>
        <v/>
      </c>
      <c r="S331" s="20">
        <f>IF($R331=1,COUNTIF($R$2:$R331,1),"")</f>
        <v/>
      </c>
    </row>
    <row r="332">
      <c r="A332" s="19" t="n"/>
      <c r="B332" s="14" t="n"/>
      <c r="C332" s="20">
        <f>IF($B332="","",IFERROR(INDEX(Vinos!$B$2:$B$301,MATCH($B332,Vinos!$A$2:$A$301,0)),"Código no cargado"))</f>
        <v/>
      </c>
      <c r="D332" s="14" t="n"/>
      <c r="E332" s="14" t="n"/>
      <c r="F332" s="18" t="n"/>
      <c r="G332" s="18" t="n"/>
      <c r="H332" s="21">
        <f>IF(AND($F332="",$G332=""),"",N($F332)*IFERROR(N(INDEX(Vinos!$H$2:$H$301,MATCH($B332,Vinos!$A$2:$A$301,0))),0)+N($G332))</f>
        <v/>
      </c>
      <c r="I332" s="18" t="n"/>
      <c r="J332" s="21">
        <f>IF(OR($H332="",$I332=""),"",$H332-$I332)</f>
        <v/>
      </c>
      <c r="K332" s="16">
        <f>IF($H332="","",IFERROR(IF(INDEX(Vinos!$J$2:$J$301,MATCH($B332,Vinos!$A$2:$A$301,0))="","",$H332*INDEX(Vinos!$J$2:$J$301,MATCH($B332,Vinos!$A$2:$A$301,0))),""))</f>
        <v/>
      </c>
      <c r="L332" s="16">
        <f>IF($H332="","",IFERROR(IF(INDEX(Vinos!$K$2:$K$301,MATCH($B332,Vinos!$A$2:$A$301,0))="","",$H332*INDEX(Vinos!$K$2:$K$301,MATCH($B332,Vinos!$A$2:$A$301,0))),""))</f>
        <v/>
      </c>
      <c r="M332" s="21">
        <f>IF(OR($A332="",$B332=""),"",SUMIFS($H$2:$H$2001,$A$2:$A$2001,$A332,$B$2:$B$2001,$B332))</f>
        <v/>
      </c>
      <c r="N332" s="20">
        <f>IF($M332="","",IF($M332&lt;=0,"Sin stock: reponer ya",IF($M332&lt;IFERROR(N(INDEX(Vinos!$N$2:$N$301,MATCH($B332,Vinos!$A$2:$A$301,0))),0),"Bajo mínimo: reponer","OK")))</f>
        <v/>
      </c>
      <c r="O332" s="14" t="n"/>
      <c r="P332" s="14" t="n"/>
      <c r="Q332" s="20">
        <f>IF($B332="","",IFERROR(INDEX(Vinos!$C$2:$C$301,MATCH($B332,Vinos!$A$2:$A$301,0)),""))</f>
        <v/>
      </c>
      <c r="R332" s="20">
        <f>IF(OR($A332="",$A332&lt;&gt;'Resumen del inventario'!$C$3,$N332="",$N332="OK"),"",IF(COUNTIFS($A$2:$A332,$A332,$B$2:$B332,$B332)=1,1,""))</f>
        <v/>
      </c>
      <c r="S332" s="20">
        <f>IF($R332=1,COUNTIF($R$2:$R332,1),"")</f>
        <v/>
      </c>
    </row>
    <row r="333">
      <c r="A333" s="19" t="n"/>
      <c r="B333" s="14" t="n"/>
      <c r="C333" s="20">
        <f>IF($B333="","",IFERROR(INDEX(Vinos!$B$2:$B$301,MATCH($B333,Vinos!$A$2:$A$301,0)),"Código no cargado"))</f>
        <v/>
      </c>
      <c r="D333" s="14" t="n"/>
      <c r="E333" s="14" t="n"/>
      <c r="F333" s="18" t="n"/>
      <c r="G333" s="18" t="n"/>
      <c r="H333" s="21">
        <f>IF(AND($F333="",$G333=""),"",N($F333)*IFERROR(N(INDEX(Vinos!$H$2:$H$301,MATCH($B333,Vinos!$A$2:$A$301,0))),0)+N($G333))</f>
        <v/>
      </c>
      <c r="I333" s="18" t="n"/>
      <c r="J333" s="21">
        <f>IF(OR($H333="",$I333=""),"",$H333-$I333)</f>
        <v/>
      </c>
      <c r="K333" s="16">
        <f>IF($H333="","",IFERROR(IF(INDEX(Vinos!$J$2:$J$301,MATCH($B333,Vinos!$A$2:$A$301,0))="","",$H333*INDEX(Vinos!$J$2:$J$301,MATCH($B333,Vinos!$A$2:$A$301,0))),""))</f>
        <v/>
      </c>
      <c r="L333" s="16">
        <f>IF($H333="","",IFERROR(IF(INDEX(Vinos!$K$2:$K$301,MATCH($B333,Vinos!$A$2:$A$301,0))="","",$H333*INDEX(Vinos!$K$2:$K$301,MATCH($B333,Vinos!$A$2:$A$301,0))),""))</f>
        <v/>
      </c>
      <c r="M333" s="21">
        <f>IF(OR($A333="",$B333=""),"",SUMIFS($H$2:$H$2001,$A$2:$A$2001,$A333,$B$2:$B$2001,$B333))</f>
        <v/>
      </c>
      <c r="N333" s="20">
        <f>IF($M333="","",IF($M333&lt;=0,"Sin stock: reponer ya",IF($M333&lt;IFERROR(N(INDEX(Vinos!$N$2:$N$301,MATCH($B333,Vinos!$A$2:$A$301,0))),0),"Bajo mínimo: reponer","OK")))</f>
        <v/>
      </c>
      <c r="O333" s="14" t="n"/>
      <c r="P333" s="14" t="n"/>
      <c r="Q333" s="20">
        <f>IF($B333="","",IFERROR(INDEX(Vinos!$C$2:$C$301,MATCH($B333,Vinos!$A$2:$A$301,0)),""))</f>
        <v/>
      </c>
      <c r="R333" s="20">
        <f>IF(OR($A333="",$A333&lt;&gt;'Resumen del inventario'!$C$3,$N333="",$N333="OK"),"",IF(COUNTIFS($A$2:$A333,$A333,$B$2:$B333,$B333)=1,1,""))</f>
        <v/>
      </c>
      <c r="S333" s="20">
        <f>IF($R333=1,COUNTIF($R$2:$R333,1),"")</f>
        <v/>
      </c>
    </row>
    <row r="334">
      <c r="A334" s="19" t="n"/>
      <c r="B334" s="14" t="n"/>
      <c r="C334" s="20">
        <f>IF($B334="","",IFERROR(INDEX(Vinos!$B$2:$B$301,MATCH($B334,Vinos!$A$2:$A$301,0)),"Código no cargado"))</f>
        <v/>
      </c>
      <c r="D334" s="14" t="n"/>
      <c r="E334" s="14" t="n"/>
      <c r="F334" s="18" t="n"/>
      <c r="G334" s="18" t="n"/>
      <c r="H334" s="21">
        <f>IF(AND($F334="",$G334=""),"",N($F334)*IFERROR(N(INDEX(Vinos!$H$2:$H$301,MATCH($B334,Vinos!$A$2:$A$301,0))),0)+N($G334))</f>
        <v/>
      </c>
      <c r="I334" s="18" t="n"/>
      <c r="J334" s="21">
        <f>IF(OR($H334="",$I334=""),"",$H334-$I334)</f>
        <v/>
      </c>
      <c r="K334" s="16">
        <f>IF($H334="","",IFERROR(IF(INDEX(Vinos!$J$2:$J$301,MATCH($B334,Vinos!$A$2:$A$301,0))="","",$H334*INDEX(Vinos!$J$2:$J$301,MATCH($B334,Vinos!$A$2:$A$301,0))),""))</f>
        <v/>
      </c>
      <c r="L334" s="16">
        <f>IF($H334="","",IFERROR(IF(INDEX(Vinos!$K$2:$K$301,MATCH($B334,Vinos!$A$2:$A$301,0))="","",$H334*INDEX(Vinos!$K$2:$K$301,MATCH($B334,Vinos!$A$2:$A$301,0))),""))</f>
        <v/>
      </c>
      <c r="M334" s="21">
        <f>IF(OR($A334="",$B334=""),"",SUMIFS($H$2:$H$2001,$A$2:$A$2001,$A334,$B$2:$B$2001,$B334))</f>
        <v/>
      </c>
      <c r="N334" s="20">
        <f>IF($M334="","",IF($M334&lt;=0,"Sin stock: reponer ya",IF($M334&lt;IFERROR(N(INDEX(Vinos!$N$2:$N$301,MATCH($B334,Vinos!$A$2:$A$301,0))),0),"Bajo mínimo: reponer","OK")))</f>
        <v/>
      </c>
      <c r="O334" s="14" t="n"/>
      <c r="P334" s="14" t="n"/>
      <c r="Q334" s="20">
        <f>IF($B334="","",IFERROR(INDEX(Vinos!$C$2:$C$301,MATCH($B334,Vinos!$A$2:$A$301,0)),""))</f>
        <v/>
      </c>
      <c r="R334" s="20">
        <f>IF(OR($A334="",$A334&lt;&gt;'Resumen del inventario'!$C$3,$N334="",$N334="OK"),"",IF(COUNTIFS($A$2:$A334,$A334,$B$2:$B334,$B334)=1,1,""))</f>
        <v/>
      </c>
      <c r="S334" s="20">
        <f>IF($R334=1,COUNTIF($R$2:$R334,1),"")</f>
        <v/>
      </c>
    </row>
    <row r="335">
      <c r="A335" s="19" t="n"/>
      <c r="B335" s="14" t="n"/>
      <c r="C335" s="20">
        <f>IF($B335="","",IFERROR(INDEX(Vinos!$B$2:$B$301,MATCH($B335,Vinos!$A$2:$A$301,0)),"Código no cargado"))</f>
        <v/>
      </c>
      <c r="D335" s="14" t="n"/>
      <c r="E335" s="14" t="n"/>
      <c r="F335" s="18" t="n"/>
      <c r="G335" s="18" t="n"/>
      <c r="H335" s="21">
        <f>IF(AND($F335="",$G335=""),"",N($F335)*IFERROR(N(INDEX(Vinos!$H$2:$H$301,MATCH($B335,Vinos!$A$2:$A$301,0))),0)+N($G335))</f>
        <v/>
      </c>
      <c r="I335" s="18" t="n"/>
      <c r="J335" s="21">
        <f>IF(OR($H335="",$I335=""),"",$H335-$I335)</f>
        <v/>
      </c>
      <c r="K335" s="16">
        <f>IF($H335="","",IFERROR(IF(INDEX(Vinos!$J$2:$J$301,MATCH($B335,Vinos!$A$2:$A$301,0))="","",$H335*INDEX(Vinos!$J$2:$J$301,MATCH($B335,Vinos!$A$2:$A$301,0))),""))</f>
        <v/>
      </c>
      <c r="L335" s="16">
        <f>IF($H335="","",IFERROR(IF(INDEX(Vinos!$K$2:$K$301,MATCH($B335,Vinos!$A$2:$A$301,0))="","",$H335*INDEX(Vinos!$K$2:$K$301,MATCH($B335,Vinos!$A$2:$A$301,0))),""))</f>
        <v/>
      </c>
      <c r="M335" s="21">
        <f>IF(OR($A335="",$B335=""),"",SUMIFS($H$2:$H$2001,$A$2:$A$2001,$A335,$B$2:$B$2001,$B335))</f>
        <v/>
      </c>
      <c r="N335" s="20">
        <f>IF($M335="","",IF($M335&lt;=0,"Sin stock: reponer ya",IF($M335&lt;IFERROR(N(INDEX(Vinos!$N$2:$N$301,MATCH($B335,Vinos!$A$2:$A$301,0))),0),"Bajo mínimo: reponer","OK")))</f>
        <v/>
      </c>
      <c r="O335" s="14" t="n"/>
      <c r="P335" s="14" t="n"/>
      <c r="Q335" s="20">
        <f>IF($B335="","",IFERROR(INDEX(Vinos!$C$2:$C$301,MATCH($B335,Vinos!$A$2:$A$301,0)),""))</f>
        <v/>
      </c>
      <c r="R335" s="20">
        <f>IF(OR($A335="",$A335&lt;&gt;'Resumen del inventario'!$C$3,$N335="",$N335="OK"),"",IF(COUNTIFS($A$2:$A335,$A335,$B$2:$B335,$B335)=1,1,""))</f>
        <v/>
      </c>
      <c r="S335" s="20">
        <f>IF($R335=1,COUNTIF($R$2:$R335,1),"")</f>
        <v/>
      </c>
    </row>
    <row r="336">
      <c r="A336" s="19" t="n"/>
      <c r="B336" s="14" t="n"/>
      <c r="C336" s="20">
        <f>IF($B336="","",IFERROR(INDEX(Vinos!$B$2:$B$301,MATCH($B336,Vinos!$A$2:$A$301,0)),"Código no cargado"))</f>
        <v/>
      </c>
      <c r="D336" s="14" t="n"/>
      <c r="E336" s="14" t="n"/>
      <c r="F336" s="18" t="n"/>
      <c r="G336" s="18" t="n"/>
      <c r="H336" s="21">
        <f>IF(AND($F336="",$G336=""),"",N($F336)*IFERROR(N(INDEX(Vinos!$H$2:$H$301,MATCH($B336,Vinos!$A$2:$A$301,0))),0)+N($G336))</f>
        <v/>
      </c>
      <c r="I336" s="18" t="n"/>
      <c r="J336" s="21">
        <f>IF(OR($H336="",$I336=""),"",$H336-$I336)</f>
        <v/>
      </c>
      <c r="K336" s="16">
        <f>IF($H336="","",IFERROR(IF(INDEX(Vinos!$J$2:$J$301,MATCH($B336,Vinos!$A$2:$A$301,0))="","",$H336*INDEX(Vinos!$J$2:$J$301,MATCH($B336,Vinos!$A$2:$A$301,0))),""))</f>
        <v/>
      </c>
      <c r="L336" s="16">
        <f>IF($H336="","",IFERROR(IF(INDEX(Vinos!$K$2:$K$301,MATCH($B336,Vinos!$A$2:$A$301,0))="","",$H336*INDEX(Vinos!$K$2:$K$301,MATCH($B336,Vinos!$A$2:$A$301,0))),""))</f>
        <v/>
      </c>
      <c r="M336" s="21">
        <f>IF(OR($A336="",$B336=""),"",SUMIFS($H$2:$H$2001,$A$2:$A$2001,$A336,$B$2:$B$2001,$B336))</f>
        <v/>
      </c>
      <c r="N336" s="20">
        <f>IF($M336="","",IF($M336&lt;=0,"Sin stock: reponer ya",IF($M336&lt;IFERROR(N(INDEX(Vinos!$N$2:$N$301,MATCH($B336,Vinos!$A$2:$A$301,0))),0),"Bajo mínimo: reponer","OK")))</f>
        <v/>
      </c>
      <c r="O336" s="14" t="n"/>
      <c r="P336" s="14" t="n"/>
      <c r="Q336" s="20">
        <f>IF($B336="","",IFERROR(INDEX(Vinos!$C$2:$C$301,MATCH($B336,Vinos!$A$2:$A$301,0)),""))</f>
        <v/>
      </c>
      <c r="R336" s="20">
        <f>IF(OR($A336="",$A336&lt;&gt;'Resumen del inventario'!$C$3,$N336="",$N336="OK"),"",IF(COUNTIFS($A$2:$A336,$A336,$B$2:$B336,$B336)=1,1,""))</f>
        <v/>
      </c>
      <c r="S336" s="20">
        <f>IF($R336=1,COUNTIF($R$2:$R336,1),"")</f>
        <v/>
      </c>
    </row>
    <row r="337">
      <c r="A337" s="19" t="n"/>
      <c r="B337" s="14" t="n"/>
      <c r="C337" s="20">
        <f>IF($B337="","",IFERROR(INDEX(Vinos!$B$2:$B$301,MATCH($B337,Vinos!$A$2:$A$301,0)),"Código no cargado"))</f>
        <v/>
      </c>
      <c r="D337" s="14" t="n"/>
      <c r="E337" s="14" t="n"/>
      <c r="F337" s="18" t="n"/>
      <c r="G337" s="18" t="n"/>
      <c r="H337" s="21">
        <f>IF(AND($F337="",$G337=""),"",N($F337)*IFERROR(N(INDEX(Vinos!$H$2:$H$301,MATCH($B337,Vinos!$A$2:$A$301,0))),0)+N($G337))</f>
        <v/>
      </c>
      <c r="I337" s="18" t="n"/>
      <c r="J337" s="21">
        <f>IF(OR($H337="",$I337=""),"",$H337-$I337)</f>
        <v/>
      </c>
      <c r="K337" s="16">
        <f>IF($H337="","",IFERROR(IF(INDEX(Vinos!$J$2:$J$301,MATCH($B337,Vinos!$A$2:$A$301,0))="","",$H337*INDEX(Vinos!$J$2:$J$301,MATCH($B337,Vinos!$A$2:$A$301,0))),""))</f>
        <v/>
      </c>
      <c r="L337" s="16">
        <f>IF($H337="","",IFERROR(IF(INDEX(Vinos!$K$2:$K$301,MATCH($B337,Vinos!$A$2:$A$301,0))="","",$H337*INDEX(Vinos!$K$2:$K$301,MATCH($B337,Vinos!$A$2:$A$301,0))),""))</f>
        <v/>
      </c>
      <c r="M337" s="21">
        <f>IF(OR($A337="",$B337=""),"",SUMIFS($H$2:$H$2001,$A$2:$A$2001,$A337,$B$2:$B$2001,$B337))</f>
        <v/>
      </c>
      <c r="N337" s="20">
        <f>IF($M337="","",IF($M337&lt;=0,"Sin stock: reponer ya",IF($M337&lt;IFERROR(N(INDEX(Vinos!$N$2:$N$301,MATCH($B337,Vinos!$A$2:$A$301,0))),0),"Bajo mínimo: reponer","OK")))</f>
        <v/>
      </c>
      <c r="O337" s="14" t="n"/>
      <c r="P337" s="14" t="n"/>
      <c r="Q337" s="20">
        <f>IF($B337="","",IFERROR(INDEX(Vinos!$C$2:$C$301,MATCH($B337,Vinos!$A$2:$A$301,0)),""))</f>
        <v/>
      </c>
      <c r="R337" s="20">
        <f>IF(OR($A337="",$A337&lt;&gt;'Resumen del inventario'!$C$3,$N337="",$N337="OK"),"",IF(COUNTIFS($A$2:$A337,$A337,$B$2:$B337,$B337)=1,1,""))</f>
        <v/>
      </c>
      <c r="S337" s="20">
        <f>IF($R337=1,COUNTIF($R$2:$R337,1),"")</f>
        <v/>
      </c>
    </row>
    <row r="338">
      <c r="A338" s="19" t="n"/>
      <c r="B338" s="14" t="n"/>
      <c r="C338" s="20">
        <f>IF($B338="","",IFERROR(INDEX(Vinos!$B$2:$B$301,MATCH($B338,Vinos!$A$2:$A$301,0)),"Código no cargado"))</f>
        <v/>
      </c>
      <c r="D338" s="14" t="n"/>
      <c r="E338" s="14" t="n"/>
      <c r="F338" s="18" t="n"/>
      <c r="G338" s="18" t="n"/>
      <c r="H338" s="21">
        <f>IF(AND($F338="",$G338=""),"",N($F338)*IFERROR(N(INDEX(Vinos!$H$2:$H$301,MATCH($B338,Vinos!$A$2:$A$301,0))),0)+N($G338))</f>
        <v/>
      </c>
      <c r="I338" s="18" t="n"/>
      <c r="J338" s="21">
        <f>IF(OR($H338="",$I338=""),"",$H338-$I338)</f>
        <v/>
      </c>
      <c r="K338" s="16">
        <f>IF($H338="","",IFERROR(IF(INDEX(Vinos!$J$2:$J$301,MATCH($B338,Vinos!$A$2:$A$301,0))="","",$H338*INDEX(Vinos!$J$2:$J$301,MATCH($B338,Vinos!$A$2:$A$301,0))),""))</f>
        <v/>
      </c>
      <c r="L338" s="16">
        <f>IF($H338="","",IFERROR(IF(INDEX(Vinos!$K$2:$K$301,MATCH($B338,Vinos!$A$2:$A$301,0))="","",$H338*INDEX(Vinos!$K$2:$K$301,MATCH($B338,Vinos!$A$2:$A$301,0))),""))</f>
        <v/>
      </c>
      <c r="M338" s="21">
        <f>IF(OR($A338="",$B338=""),"",SUMIFS($H$2:$H$2001,$A$2:$A$2001,$A338,$B$2:$B$2001,$B338))</f>
        <v/>
      </c>
      <c r="N338" s="20">
        <f>IF($M338="","",IF($M338&lt;=0,"Sin stock: reponer ya",IF($M338&lt;IFERROR(N(INDEX(Vinos!$N$2:$N$301,MATCH($B338,Vinos!$A$2:$A$301,0))),0),"Bajo mínimo: reponer","OK")))</f>
        <v/>
      </c>
      <c r="O338" s="14" t="n"/>
      <c r="P338" s="14" t="n"/>
      <c r="Q338" s="20">
        <f>IF($B338="","",IFERROR(INDEX(Vinos!$C$2:$C$301,MATCH($B338,Vinos!$A$2:$A$301,0)),""))</f>
        <v/>
      </c>
      <c r="R338" s="20">
        <f>IF(OR($A338="",$A338&lt;&gt;'Resumen del inventario'!$C$3,$N338="",$N338="OK"),"",IF(COUNTIFS($A$2:$A338,$A338,$B$2:$B338,$B338)=1,1,""))</f>
        <v/>
      </c>
      <c r="S338" s="20">
        <f>IF($R338=1,COUNTIF($R$2:$R338,1),"")</f>
        <v/>
      </c>
    </row>
    <row r="339">
      <c r="A339" s="19" t="n"/>
      <c r="B339" s="14" t="n"/>
      <c r="C339" s="20">
        <f>IF($B339="","",IFERROR(INDEX(Vinos!$B$2:$B$301,MATCH($B339,Vinos!$A$2:$A$301,0)),"Código no cargado"))</f>
        <v/>
      </c>
      <c r="D339" s="14" t="n"/>
      <c r="E339" s="14" t="n"/>
      <c r="F339" s="18" t="n"/>
      <c r="G339" s="18" t="n"/>
      <c r="H339" s="21">
        <f>IF(AND($F339="",$G339=""),"",N($F339)*IFERROR(N(INDEX(Vinos!$H$2:$H$301,MATCH($B339,Vinos!$A$2:$A$301,0))),0)+N($G339))</f>
        <v/>
      </c>
      <c r="I339" s="18" t="n"/>
      <c r="J339" s="21">
        <f>IF(OR($H339="",$I339=""),"",$H339-$I339)</f>
        <v/>
      </c>
      <c r="K339" s="16">
        <f>IF($H339="","",IFERROR(IF(INDEX(Vinos!$J$2:$J$301,MATCH($B339,Vinos!$A$2:$A$301,0))="","",$H339*INDEX(Vinos!$J$2:$J$301,MATCH($B339,Vinos!$A$2:$A$301,0))),""))</f>
        <v/>
      </c>
      <c r="L339" s="16">
        <f>IF($H339="","",IFERROR(IF(INDEX(Vinos!$K$2:$K$301,MATCH($B339,Vinos!$A$2:$A$301,0))="","",$H339*INDEX(Vinos!$K$2:$K$301,MATCH($B339,Vinos!$A$2:$A$301,0))),""))</f>
        <v/>
      </c>
      <c r="M339" s="21">
        <f>IF(OR($A339="",$B339=""),"",SUMIFS($H$2:$H$2001,$A$2:$A$2001,$A339,$B$2:$B$2001,$B339))</f>
        <v/>
      </c>
      <c r="N339" s="20">
        <f>IF($M339="","",IF($M339&lt;=0,"Sin stock: reponer ya",IF($M339&lt;IFERROR(N(INDEX(Vinos!$N$2:$N$301,MATCH($B339,Vinos!$A$2:$A$301,0))),0),"Bajo mínimo: reponer","OK")))</f>
        <v/>
      </c>
      <c r="O339" s="14" t="n"/>
      <c r="P339" s="14" t="n"/>
      <c r="Q339" s="20">
        <f>IF($B339="","",IFERROR(INDEX(Vinos!$C$2:$C$301,MATCH($B339,Vinos!$A$2:$A$301,0)),""))</f>
        <v/>
      </c>
      <c r="R339" s="20">
        <f>IF(OR($A339="",$A339&lt;&gt;'Resumen del inventario'!$C$3,$N339="",$N339="OK"),"",IF(COUNTIFS($A$2:$A339,$A339,$B$2:$B339,$B339)=1,1,""))</f>
        <v/>
      </c>
      <c r="S339" s="20">
        <f>IF($R339=1,COUNTIF($R$2:$R339,1),"")</f>
        <v/>
      </c>
    </row>
    <row r="340">
      <c r="A340" s="19" t="n"/>
      <c r="B340" s="14" t="n"/>
      <c r="C340" s="20">
        <f>IF($B340="","",IFERROR(INDEX(Vinos!$B$2:$B$301,MATCH($B340,Vinos!$A$2:$A$301,0)),"Código no cargado"))</f>
        <v/>
      </c>
      <c r="D340" s="14" t="n"/>
      <c r="E340" s="14" t="n"/>
      <c r="F340" s="18" t="n"/>
      <c r="G340" s="18" t="n"/>
      <c r="H340" s="21">
        <f>IF(AND($F340="",$G340=""),"",N($F340)*IFERROR(N(INDEX(Vinos!$H$2:$H$301,MATCH($B340,Vinos!$A$2:$A$301,0))),0)+N($G340))</f>
        <v/>
      </c>
      <c r="I340" s="18" t="n"/>
      <c r="J340" s="21">
        <f>IF(OR($H340="",$I340=""),"",$H340-$I340)</f>
        <v/>
      </c>
      <c r="K340" s="16">
        <f>IF($H340="","",IFERROR(IF(INDEX(Vinos!$J$2:$J$301,MATCH($B340,Vinos!$A$2:$A$301,0))="","",$H340*INDEX(Vinos!$J$2:$J$301,MATCH($B340,Vinos!$A$2:$A$301,0))),""))</f>
        <v/>
      </c>
      <c r="L340" s="16">
        <f>IF($H340="","",IFERROR(IF(INDEX(Vinos!$K$2:$K$301,MATCH($B340,Vinos!$A$2:$A$301,0))="","",$H340*INDEX(Vinos!$K$2:$K$301,MATCH($B340,Vinos!$A$2:$A$301,0))),""))</f>
        <v/>
      </c>
      <c r="M340" s="21">
        <f>IF(OR($A340="",$B340=""),"",SUMIFS($H$2:$H$2001,$A$2:$A$2001,$A340,$B$2:$B$2001,$B340))</f>
        <v/>
      </c>
      <c r="N340" s="20">
        <f>IF($M340="","",IF($M340&lt;=0,"Sin stock: reponer ya",IF($M340&lt;IFERROR(N(INDEX(Vinos!$N$2:$N$301,MATCH($B340,Vinos!$A$2:$A$301,0))),0),"Bajo mínimo: reponer","OK")))</f>
        <v/>
      </c>
      <c r="O340" s="14" t="n"/>
      <c r="P340" s="14" t="n"/>
      <c r="Q340" s="20">
        <f>IF($B340="","",IFERROR(INDEX(Vinos!$C$2:$C$301,MATCH($B340,Vinos!$A$2:$A$301,0)),""))</f>
        <v/>
      </c>
      <c r="R340" s="20">
        <f>IF(OR($A340="",$A340&lt;&gt;'Resumen del inventario'!$C$3,$N340="",$N340="OK"),"",IF(COUNTIFS($A$2:$A340,$A340,$B$2:$B340,$B340)=1,1,""))</f>
        <v/>
      </c>
      <c r="S340" s="20">
        <f>IF($R340=1,COUNTIF($R$2:$R340,1),"")</f>
        <v/>
      </c>
    </row>
    <row r="341">
      <c r="A341" s="19" t="n"/>
      <c r="B341" s="14" t="n"/>
      <c r="C341" s="20">
        <f>IF($B341="","",IFERROR(INDEX(Vinos!$B$2:$B$301,MATCH($B341,Vinos!$A$2:$A$301,0)),"Código no cargado"))</f>
        <v/>
      </c>
      <c r="D341" s="14" t="n"/>
      <c r="E341" s="14" t="n"/>
      <c r="F341" s="18" t="n"/>
      <c r="G341" s="18" t="n"/>
      <c r="H341" s="21">
        <f>IF(AND($F341="",$G341=""),"",N($F341)*IFERROR(N(INDEX(Vinos!$H$2:$H$301,MATCH($B341,Vinos!$A$2:$A$301,0))),0)+N($G341))</f>
        <v/>
      </c>
      <c r="I341" s="18" t="n"/>
      <c r="J341" s="21">
        <f>IF(OR($H341="",$I341=""),"",$H341-$I341)</f>
        <v/>
      </c>
      <c r="K341" s="16">
        <f>IF($H341="","",IFERROR(IF(INDEX(Vinos!$J$2:$J$301,MATCH($B341,Vinos!$A$2:$A$301,0))="","",$H341*INDEX(Vinos!$J$2:$J$301,MATCH($B341,Vinos!$A$2:$A$301,0))),""))</f>
        <v/>
      </c>
      <c r="L341" s="16">
        <f>IF($H341="","",IFERROR(IF(INDEX(Vinos!$K$2:$K$301,MATCH($B341,Vinos!$A$2:$A$301,0))="","",$H341*INDEX(Vinos!$K$2:$K$301,MATCH($B341,Vinos!$A$2:$A$301,0))),""))</f>
        <v/>
      </c>
      <c r="M341" s="21">
        <f>IF(OR($A341="",$B341=""),"",SUMIFS($H$2:$H$2001,$A$2:$A$2001,$A341,$B$2:$B$2001,$B341))</f>
        <v/>
      </c>
      <c r="N341" s="20">
        <f>IF($M341="","",IF($M341&lt;=0,"Sin stock: reponer ya",IF($M341&lt;IFERROR(N(INDEX(Vinos!$N$2:$N$301,MATCH($B341,Vinos!$A$2:$A$301,0))),0),"Bajo mínimo: reponer","OK")))</f>
        <v/>
      </c>
      <c r="O341" s="14" t="n"/>
      <c r="P341" s="14" t="n"/>
      <c r="Q341" s="20">
        <f>IF($B341="","",IFERROR(INDEX(Vinos!$C$2:$C$301,MATCH($B341,Vinos!$A$2:$A$301,0)),""))</f>
        <v/>
      </c>
      <c r="R341" s="20">
        <f>IF(OR($A341="",$A341&lt;&gt;'Resumen del inventario'!$C$3,$N341="",$N341="OK"),"",IF(COUNTIFS($A$2:$A341,$A341,$B$2:$B341,$B341)=1,1,""))</f>
        <v/>
      </c>
      <c r="S341" s="20">
        <f>IF($R341=1,COUNTIF($R$2:$R341,1),"")</f>
        <v/>
      </c>
    </row>
    <row r="342">
      <c r="A342" s="19" t="n"/>
      <c r="B342" s="14" t="n"/>
      <c r="C342" s="20">
        <f>IF($B342="","",IFERROR(INDEX(Vinos!$B$2:$B$301,MATCH($B342,Vinos!$A$2:$A$301,0)),"Código no cargado"))</f>
        <v/>
      </c>
      <c r="D342" s="14" t="n"/>
      <c r="E342" s="14" t="n"/>
      <c r="F342" s="18" t="n"/>
      <c r="G342" s="18" t="n"/>
      <c r="H342" s="21">
        <f>IF(AND($F342="",$G342=""),"",N($F342)*IFERROR(N(INDEX(Vinos!$H$2:$H$301,MATCH($B342,Vinos!$A$2:$A$301,0))),0)+N($G342))</f>
        <v/>
      </c>
      <c r="I342" s="18" t="n"/>
      <c r="J342" s="21">
        <f>IF(OR($H342="",$I342=""),"",$H342-$I342)</f>
        <v/>
      </c>
      <c r="K342" s="16">
        <f>IF($H342="","",IFERROR(IF(INDEX(Vinos!$J$2:$J$301,MATCH($B342,Vinos!$A$2:$A$301,0))="","",$H342*INDEX(Vinos!$J$2:$J$301,MATCH($B342,Vinos!$A$2:$A$301,0))),""))</f>
        <v/>
      </c>
      <c r="L342" s="16">
        <f>IF($H342="","",IFERROR(IF(INDEX(Vinos!$K$2:$K$301,MATCH($B342,Vinos!$A$2:$A$301,0))="","",$H342*INDEX(Vinos!$K$2:$K$301,MATCH($B342,Vinos!$A$2:$A$301,0))),""))</f>
        <v/>
      </c>
      <c r="M342" s="21">
        <f>IF(OR($A342="",$B342=""),"",SUMIFS($H$2:$H$2001,$A$2:$A$2001,$A342,$B$2:$B$2001,$B342))</f>
        <v/>
      </c>
      <c r="N342" s="20">
        <f>IF($M342="","",IF($M342&lt;=0,"Sin stock: reponer ya",IF($M342&lt;IFERROR(N(INDEX(Vinos!$N$2:$N$301,MATCH($B342,Vinos!$A$2:$A$301,0))),0),"Bajo mínimo: reponer","OK")))</f>
        <v/>
      </c>
      <c r="O342" s="14" t="n"/>
      <c r="P342" s="14" t="n"/>
      <c r="Q342" s="20">
        <f>IF($B342="","",IFERROR(INDEX(Vinos!$C$2:$C$301,MATCH($B342,Vinos!$A$2:$A$301,0)),""))</f>
        <v/>
      </c>
      <c r="R342" s="20">
        <f>IF(OR($A342="",$A342&lt;&gt;'Resumen del inventario'!$C$3,$N342="",$N342="OK"),"",IF(COUNTIFS($A$2:$A342,$A342,$B$2:$B342,$B342)=1,1,""))</f>
        <v/>
      </c>
      <c r="S342" s="20">
        <f>IF($R342=1,COUNTIF($R$2:$R342,1),"")</f>
        <v/>
      </c>
    </row>
    <row r="343">
      <c r="A343" s="19" t="n"/>
      <c r="B343" s="14" t="n"/>
      <c r="C343" s="20">
        <f>IF($B343="","",IFERROR(INDEX(Vinos!$B$2:$B$301,MATCH($B343,Vinos!$A$2:$A$301,0)),"Código no cargado"))</f>
        <v/>
      </c>
      <c r="D343" s="14" t="n"/>
      <c r="E343" s="14" t="n"/>
      <c r="F343" s="18" t="n"/>
      <c r="G343" s="18" t="n"/>
      <c r="H343" s="21">
        <f>IF(AND($F343="",$G343=""),"",N($F343)*IFERROR(N(INDEX(Vinos!$H$2:$H$301,MATCH($B343,Vinos!$A$2:$A$301,0))),0)+N($G343))</f>
        <v/>
      </c>
      <c r="I343" s="18" t="n"/>
      <c r="J343" s="21">
        <f>IF(OR($H343="",$I343=""),"",$H343-$I343)</f>
        <v/>
      </c>
      <c r="K343" s="16">
        <f>IF($H343="","",IFERROR(IF(INDEX(Vinos!$J$2:$J$301,MATCH($B343,Vinos!$A$2:$A$301,0))="","",$H343*INDEX(Vinos!$J$2:$J$301,MATCH($B343,Vinos!$A$2:$A$301,0))),""))</f>
        <v/>
      </c>
      <c r="L343" s="16">
        <f>IF($H343="","",IFERROR(IF(INDEX(Vinos!$K$2:$K$301,MATCH($B343,Vinos!$A$2:$A$301,0))="","",$H343*INDEX(Vinos!$K$2:$K$301,MATCH($B343,Vinos!$A$2:$A$301,0))),""))</f>
        <v/>
      </c>
      <c r="M343" s="21">
        <f>IF(OR($A343="",$B343=""),"",SUMIFS($H$2:$H$2001,$A$2:$A$2001,$A343,$B$2:$B$2001,$B343))</f>
        <v/>
      </c>
      <c r="N343" s="20">
        <f>IF($M343="","",IF($M343&lt;=0,"Sin stock: reponer ya",IF($M343&lt;IFERROR(N(INDEX(Vinos!$N$2:$N$301,MATCH($B343,Vinos!$A$2:$A$301,0))),0),"Bajo mínimo: reponer","OK")))</f>
        <v/>
      </c>
      <c r="O343" s="14" t="n"/>
      <c r="P343" s="14" t="n"/>
      <c r="Q343" s="20">
        <f>IF($B343="","",IFERROR(INDEX(Vinos!$C$2:$C$301,MATCH($B343,Vinos!$A$2:$A$301,0)),""))</f>
        <v/>
      </c>
      <c r="R343" s="20">
        <f>IF(OR($A343="",$A343&lt;&gt;'Resumen del inventario'!$C$3,$N343="",$N343="OK"),"",IF(COUNTIFS($A$2:$A343,$A343,$B$2:$B343,$B343)=1,1,""))</f>
        <v/>
      </c>
      <c r="S343" s="20">
        <f>IF($R343=1,COUNTIF($R$2:$R343,1),"")</f>
        <v/>
      </c>
    </row>
    <row r="344">
      <c r="A344" s="19" t="n"/>
      <c r="B344" s="14" t="n"/>
      <c r="C344" s="20">
        <f>IF($B344="","",IFERROR(INDEX(Vinos!$B$2:$B$301,MATCH($B344,Vinos!$A$2:$A$301,0)),"Código no cargado"))</f>
        <v/>
      </c>
      <c r="D344" s="14" t="n"/>
      <c r="E344" s="14" t="n"/>
      <c r="F344" s="18" t="n"/>
      <c r="G344" s="18" t="n"/>
      <c r="H344" s="21">
        <f>IF(AND($F344="",$G344=""),"",N($F344)*IFERROR(N(INDEX(Vinos!$H$2:$H$301,MATCH($B344,Vinos!$A$2:$A$301,0))),0)+N($G344))</f>
        <v/>
      </c>
      <c r="I344" s="18" t="n"/>
      <c r="J344" s="21">
        <f>IF(OR($H344="",$I344=""),"",$H344-$I344)</f>
        <v/>
      </c>
      <c r="K344" s="16">
        <f>IF($H344="","",IFERROR(IF(INDEX(Vinos!$J$2:$J$301,MATCH($B344,Vinos!$A$2:$A$301,0))="","",$H344*INDEX(Vinos!$J$2:$J$301,MATCH($B344,Vinos!$A$2:$A$301,0))),""))</f>
        <v/>
      </c>
      <c r="L344" s="16">
        <f>IF($H344="","",IFERROR(IF(INDEX(Vinos!$K$2:$K$301,MATCH($B344,Vinos!$A$2:$A$301,0))="","",$H344*INDEX(Vinos!$K$2:$K$301,MATCH($B344,Vinos!$A$2:$A$301,0))),""))</f>
        <v/>
      </c>
      <c r="M344" s="21">
        <f>IF(OR($A344="",$B344=""),"",SUMIFS($H$2:$H$2001,$A$2:$A$2001,$A344,$B$2:$B$2001,$B344))</f>
        <v/>
      </c>
      <c r="N344" s="20">
        <f>IF($M344="","",IF($M344&lt;=0,"Sin stock: reponer ya",IF($M344&lt;IFERROR(N(INDEX(Vinos!$N$2:$N$301,MATCH($B344,Vinos!$A$2:$A$301,0))),0),"Bajo mínimo: reponer","OK")))</f>
        <v/>
      </c>
      <c r="O344" s="14" t="n"/>
      <c r="P344" s="14" t="n"/>
      <c r="Q344" s="20">
        <f>IF($B344="","",IFERROR(INDEX(Vinos!$C$2:$C$301,MATCH($B344,Vinos!$A$2:$A$301,0)),""))</f>
        <v/>
      </c>
      <c r="R344" s="20">
        <f>IF(OR($A344="",$A344&lt;&gt;'Resumen del inventario'!$C$3,$N344="",$N344="OK"),"",IF(COUNTIFS($A$2:$A344,$A344,$B$2:$B344,$B344)=1,1,""))</f>
        <v/>
      </c>
      <c r="S344" s="20">
        <f>IF($R344=1,COUNTIF($R$2:$R344,1),"")</f>
        <v/>
      </c>
    </row>
    <row r="345">
      <c r="A345" s="19" t="n"/>
      <c r="B345" s="14" t="n"/>
      <c r="C345" s="20">
        <f>IF($B345="","",IFERROR(INDEX(Vinos!$B$2:$B$301,MATCH($B345,Vinos!$A$2:$A$301,0)),"Código no cargado"))</f>
        <v/>
      </c>
      <c r="D345" s="14" t="n"/>
      <c r="E345" s="14" t="n"/>
      <c r="F345" s="18" t="n"/>
      <c r="G345" s="18" t="n"/>
      <c r="H345" s="21">
        <f>IF(AND($F345="",$G345=""),"",N($F345)*IFERROR(N(INDEX(Vinos!$H$2:$H$301,MATCH($B345,Vinos!$A$2:$A$301,0))),0)+N($G345))</f>
        <v/>
      </c>
      <c r="I345" s="18" t="n"/>
      <c r="J345" s="21">
        <f>IF(OR($H345="",$I345=""),"",$H345-$I345)</f>
        <v/>
      </c>
      <c r="K345" s="16">
        <f>IF($H345="","",IFERROR(IF(INDEX(Vinos!$J$2:$J$301,MATCH($B345,Vinos!$A$2:$A$301,0))="","",$H345*INDEX(Vinos!$J$2:$J$301,MATCH($B345,Vinos!$A$2:$A$301,0))),""))</f>
        <v/>
      </c>
      <c r="L345" s="16">
        <f>IF($H345="","",IFERROR(IF(INDEX(Vinos!$K$2:$K$301,MATCH($B345,Vinos!$A$2:$A$301,0))="","",$H345*INDEX(Vinos!$K$2:$K$301,MATCH($B345,Vinos!$A$2:$A$301,0))),""))</f>
        <v/>
      </c>
      <c r="M345" s="21">
        <f>IF(OR($A345="",$B345=""),"",SUMIFS($H$2:$H$2001,$A$2:$A$2001,$A345,$B$2:$B$2001,$B345))</f>
        <v/>
      </c>
      <c r="N345" s="20">
        <f>IF($M345="","",IF($M345&lt;=0,"Sin stock: reponer ya",IF($M345&lt;IFERROR(N(INDEX(Vinos!$N$2:$N$301,MATCH($B345,Vinos!$A$2:$A$301,0))),0),"Bajo mínimo: reponer","OK")))</f>
        <v/>
      </c>
      <c r="O345" s="14" t="n"/>
      <c r="P345" s="14" t="n"/>
      <c r="Q345" s="20">
        <f>IF($B345="","",IFERROR(INDEX(Vinos!$C$2:$C$301,MATCH($B345,Vinos!$A$2:$A$301,0)),""))</f>
        <v/>
      </c>
      <c r="R345" s="20">
        <f>IF(OR($A345="",$A345&lt;&gt;'Resumen del inventario'!$C$3,$N345="",$N345="OK"),"",IF(COUNTIFS($A$2:$A345,$A345,$B$2:$B345,$B345)=1,1,""))</f>
        <v/>
      </c>
      <c r="S345" s="20">
        <f>IF($R345=1,COUNTIF($R$2:$R345,1),"")</f>
        <v/>
      </c>
    </row>
    <row r="346">
      <c r="A346" s="19" t="n"/>
      <c r="B346" s="14" t="n"/>
      <c r="C346" s="20">
        <f>IF($B346="","",IFERROR(INDEX(Vinos!$B$2:$B$301,MATCH($B346,Vinos!$A$2:$A$301,0)),"Código no cargado"))</f>
        <v/>
      </c>
      <c r="D346" s="14" t="n"/>
      <c r="E346" s="14" t="n"/>
      <c r="F346" s="18" t="n"/>
      <c r="G346" s="18" t="n"/>
      <c r="H346" s="21">
        <f>IF(AND($F346="",$G346=""),"",N($F346)*IFERROR(N(INDEX(Vinos!$H$2:$H$301,MATCH($B346,Vinos!$A$2:$A$301,0))),0)+N($G346))</f>
        <v/>
      </c>
      <c r="I346" s="18" t="n"/>
      <c r="J346" s="21">
        <f>IF(OR($H346="",$I346=""),"",$H346-$I346)</f>
        <v/>
      </c>
      <c r="K346" s="16">
        <f>IF($H346="","",IFERROR(IF(INDEX(Vinos!$J$2:$J$301,MATCH($B346,Vinos!$A$2:$A$301,0))="","",$H346*INDEX(Vinos!$J$2:$J$301,MATCH($B346,Vinos!$A$2:$A$301,0))),""))</f>
        <v/>
      </c>
      <c r="L346" s="16">
        <f>IF($H346="","",IFERROR(IF(INDEX(Vinos!$K$2:$K$301,MATCH($B346,Vinos!$A$2:$A$301,0))="","",$H346*INDEX(Vinos!$K$2:$K$301,MATCH($B346,Vinos!$A$2:$A$301,0))),""))</f>
        <v/>
      </c>
      <c r="M346" s="21">
        <f>IF(OR($A346="",$B346=""),"",SUMIFS($H$2:$H$2001,$A$2:$A$2001,$A346,$B$2:$B$2001,$B346))</f>
        <v/>
      </c>
      <c r="N346" s="20">
        <f>IF($M346="","",IF($M346&lt;=0,"Sin stock: reponer ya",IF($M346&lt;IFERROR(N(INDEX(Vinos!$N$2:$N$301,MATCH($B346,Vinos!$A$2:$A$301,0))),0),"Bajo mínimo: reponer","OK")))</f>
        <v/>
      </c>
      <c r="O346" s="14" t="n"/>
      <c r="P346" s="14" t="n"/>
      <c r="Q346" s="20">
        <f>IF($B346="","",IFERROR(INDEX(Vinos!$C$2:$C$301,MATCH($B346,Vinos!$A$2:$A$301,0)),""))</f>
        <v/>
      </c>
      <c r="R346" s="20">
        <f>IF(OR($A346="",$A346&lt;&gt;'Resumen del inventario'!$C$3,$N346="",$N346="OK"),"",IF(COUNTIFS($A$2:$A346,$A346,$B$2:$B346,$B346)=1,1,""))</f>
        <v/>
      </c>
      <c r="S346" s="20">
        <f>IF($R346=1,COUNTIF($R$2:$R346,1),"")</f>
        <v/>
      </c>
    </row>
    <row r="347">
      <c r="A347" s="19" t="n"/>
      <c r="B347" s="14" t="n"/>
      <c r="C347" s="20">
        <f>IF($B347="","",IFERROR(INDEX(Vinos!$B$2:$B$301,MATCH($B347,Vinos!$A$2:$A$301,0)),"Código no cargado"))</f>
        <v/>
      </c>
      <c r="D347" s="14" t="n"/>
      <c r="E347" s="14" t="n"/>
      <c r="F347" s="18" t="n"/>
      <c r="G347" s="18" t="n"/>
      <c r="H347" s="21">
        <f>IF(AND($F347="",$G347=""),"",N($F347)*IFERROR(N(INDEX(Vinos!$H$2:$H$301,MATCH($B347,Vinos!$A$2:$A$301,0))),0)+N($G347))</f>
        <v/>
      </c>
      <c r="I347" s="18" t="n"/>
      <c r="J347" s="21">
        <f>IF(OR($H347="",$I347=""),"",$H347-$I347)</f>
        <v/>
      </c>
      <c r="K347" s="16">
        <f>IF($H347="","",IFERROR(IF(INDEX(Vinos!$J$2:$J$301,MATCH($B347,Vinos!$A$2:$A$301,0))="","",$H347*INDEX(Vinos!$J$2:$J$301,MATCH($B347,Vinos!$A$2:$A$301,0))),""))</f>
        <v/>
      </c>
      <c r="L347" s="16">
        <f>IF($H347="","",IFERROR(IF(INDEX(Vinos!$K$2:$K$301,MATCH($B347,Vinos!$A$2:$A$301,0))="","",$H347*INDEX(Vinos!$K$2:$K$301,MATCH($B347,Vinos!$A$2:$A$301,0))),""))</f>
        <v/>
      </c>
      <c r="M347" s="21">
        <f>IF(OR($A347="",$B347=""),"",SUMIFS($H$2:$H$2001,$A$2:$A$2001,$A347,$B$2:$B$2001,$B347))</f>
        <v/>
      </c>
      <c r="N347" s="20">
        <f>IF($M347="","",IF($M347&lt;=0,"Sin stock: reponer ya",IF($M347&lt;IFERROR(N(INDEX(Vinos!$N$2:$N$301,MATCH($B347,Vinos!$A$2:$A$301,0))),0),"Bajo mínimo: reponer","OK")))</f>
        <v/>
      </c>
      <c r="O347" s="14" t="n"/>
      <c r="P347" s="14" t="n"/>
      <c r="Q347" s="20">
        <f>IF($B347="","",IFERROR(INDEX(Vinos!$C$2:$C$301,MATCH($B347,Vinos!$A$2:$A$301,0)),""))</f>
        <v/>
      </c>
      <c r="R347" s="20">
        <f>IF(OR($A347="",$A347&lt;&gt;'Resumen del inventario'!$C$3,$N347="",$N347="OK"),"",IF(COUNTIFS($A$2:$A347,$A347,$B$2:$B347,$B347)=1,1,""))</f>
        <v/>
      </c>
      <c r="S347" s="20">
        <f>IF($R347=1,COUNTIF($R$2:$R347,1),"")</f>
        <v/>
      </c>
    </row>
    <row r="348">
      <c r="A348" s="19" t="n"/>
      <c r="B348" s="14" t="n"/>
      <c r="C348" s="20">
        <f>IF($B348="","",IFERROR(INDEX(Vinos!$B$2:$B$301,MATCH($B348,Vinos!$A$2:$A$301,0)),"Código no cargado"))</f>
        <v/>
      </c>
      <c r="D348" s="14" t="n"/>
      <c r="E348" s="14" t="n"/>
      <c r="F348" s="18" t="n"/>
      <c r="G348" s="18" t="n"/>
      <c r="H348" s="21">
        <f>IF(AND($F348="",$G348=""),"",N($F348)*IFERROR(N(INDEX(Vinos!$H$2:$H$301,MATCH($B348,Vinos!$A$2:$A$301,0))),0)+N($G348))</f>
        <v/>
      </c>
      <c r="I348" s="18" t="n"/>
      <c r="J348" s="21">
        <f>IF(OR($H348="",$I348=""),"",$H348-$I348)</f>
        <v/>
      </c>
      <c r="K348" s="16">
        <f>IF($H348="","",IFERROR(IF(INDEX(Vinos!$J$2:$J$301,MATCH($B348,Vinos!$A$2:$A$301,0))="","",$H348*INDEX(Vinos!$J$2:$J$301,MATCH($B348,Vinos!$A$2:$A$301,0))),""))</f>
        <v/>
      </c>
      <c r="L348" s="16">
        <f>IF($H348="","",IFERROR(IF(INDEX(Vinos!$K$2:$K$301,MATCH($B348,Vinos!$A$2:$A$301,0))="","",$H348*INDEX(Vinos!$K$2:$K$301,MATCH($B348,Vinos!$A$2:$A$301,0))),""))</f>
        <v/>
      </c>
      <c r="M348" s="21">
        <f>IF(OR($A348="",$B348=""),"",SUMIFS($H$2:$H$2001,$A$2:$A$2001,$A348,$B$2:$B$2001,$B348))</f>
        <v/>
      </c>
      <c r="N348" s="20">
        <f>IF($M348="","",IF($M348&lt;=0,"Sin stock: reponer ya",IF($M348&lt;IFERROR(N(INDEX(Vinos!$N$2:$N$301,MATCH($B348,Vinos!$A$2:$A$301,0))),0),"Bajo mínimo: reponer","OK")))</f>
        <v/>
      </c>
      <c r="O348" s="14" t="n"/>
      <c r="P348" s="14" t="n"/>
      <c r="Q348" s="20">
        <f>IF($B348="","",IFERROR(INDEX(Vinos!$C$2:$C$301,MATCH($B348,Vinos!$A$2:$A$301,0)),""))</f>
        <v/>
      </c>
      <c r="R348" s="20">
        <f>IF(OR($A348="",$A348&lt;&gt;'Resumen del inventario'!$C$3,$N348="",$N348="OK"),"",IF(COUNTIFS($A$2:$A348,$A348,$B$2:$B348,$B348)=1,1,""))</f>
        <v/>
      </c>
      <c r="S348" s="20">
        <f>IF($R348=1,COUNTIF($R$2:$R348,1),"")</f>
        <v/>
      </c>
    </row>
    <row r="349">
      <c r="A349" s="19" t="n"/>
      <c r="B349" s="14" t="n"/>
      <c r="C349" s="20">
        <f>IF($B349="","",IFERROR(INDEX(Vinos!$B$2:$B$301,MATCH($B349,Vinos!$A$2:$A$301,0)),"Código no cargado"))</f>
        <v/>
      </c>
      <c r="D349" s="14" t="n"/>
      <c r="E349" s="14" t="n"/>
      <c r="F349" s="18" t="n"/>
      <c r="G349" s="18" t="n"/>
      <c r="H349" s="21">
        <f>IF(AND($F349="",$G349=""),"",N($F349)*IFERROR(N(INDEX(Vinos!$H$2:$H$301,MATCH($B349,Vinos!$A$2:$A$301,0))),0)+N($G349))</f>
        <v/>
      </c>
      <c r="I349" s="18" t="n"/>
      <c r="J349" s="21">
        <f>IF(OR($H349="",$I349=""),"",$H349-$I349)</f>
        <v/>
      </c>
      <c r="K349" s="16">
        <f>IF($H349="","",IFERROR(IF(INDEX(Vinos!$J$2:$J$301,MATCH($B349,Vinos!$A$2:$A$301,0))="","",$H349*INDEX(Vinos!$J$2:$J$301,MATCH($B349,Vinos!$A$2:$A$301,0))),""))</f>
        <v/>
      </c>
      <c r="L349" s="16">
        <f>IF($H349="","",IFERROR(IF(INDEX(Vinos!$K$2:$K$301,MATCH($B349,Vinos!$A$2:$A$301,0))="","",$H349*INDEX(Vinos!$K$2:$K$301,MATCH($B349,Vinos!$A$2:$A$301,0))),""))</f>
        <v/>
      </c>
      <c r="M349" s="21">
        <f>IF(OR($A349="",$B349=""),"",SUMIFS($H$2:$H$2001,$A$2:$A$2001,$A349,$B$2:$B$2001,$B349))</f>
        <v/>
      </c>
      <c r="N349" s="20">
        <f>IF($M349="","",IF($M349&lt;=0,"Sin stock: reponer ya",IF($M349&lt;IFERROR(N(INDEX(Vinos!$N$2:$N$301,MATCH($B349,Vinos!$A$2:$A$301,0))),0),"Bajo mínimo: reponer","OK")))</f>
        <v/>
      </c>
      <c r="O349" s="14" t="n"/>
      <c r="P349" s="14" t="n"/>
      <c r="Q349" s="20">
        <f>IF($B349="","",IFERROR(INDEX(Vinos!$C$2:$C$301,MATCH($B349,Vinos!$A$2:$A$301,0)),""))</f>
        <v/>
      </c>
      <c r="R349" s="20">
        <f>IF(OR($A349="",$A349&lt;&gt;'Resumen del inventario'!$C$3,$N349="",$N349="OK"),"",IF(COUNTIFS($A$2:$A349,$A349,$B$2:$B349,$B349)=1,1,""))</f>
        <v/>
      </c>
      <c r="S349" s="20">
        <f>IF($R349=1,COUNTIF($R$2:$R349,1),"")</f>
        <v/>
      </c>
    </row>
    <row r="350">
      <c r="A350" s="19" t="n"/>
      <c r="B350" s="14" t="n"/>
      <c r="C350" s="20">
        <f>IF($B350="","",IFERROR(INDEX(Vinos!$B$2:$B$301,MATCH($B350,Vinos!$A$2:$A$301,0)),"Código no cargado"))</f>
        <v/>
      </c>
      <c r="D350" s="14" t="n"/>
      <c r="E350" s="14" t="n"/>
      <c r="F350" s="18" t="n"/>
      <c r="G350" s="18" t="n"/>
      <c r="H350" s="21">
        <f>IF(AND($F350="",$G350=""),"",N($F350)*IFERROR(N(INDEX(Vinos!$H$2:$H$301,MATCH($B350,Vinos!$A$2:$A$301,0))),0)+N($G350))</f>
        <v/>
      </c>
      <c r="I350" s="18" t="n"/>
      <c r="J350" s="21">
        <f>IF(OR($H350="",$I350=""),"",$H350-$I350)</f>
        <v/>
      </c>
      <c r="K350" s="16">
        <f>IF($H350="","",IFERROR(IF(INDEX(Vinos!$J$2:$J$301,MATCH($B350,Vinos!$A$2:$A$301,0))="","",$H350*INDEX(Vinos!$J$2:$J$301,MATCH($B350,Vinos!$A$2:$A$301,0))),""))</f>
        <v/>
      </c>
      <c r="L350" s="16">
        <f>IF($H350="","",IFERROR(IF(INDEX(Vinos!$K$2:$K$301,MATCH($B350,Vinos!$A$2:$A$301,0))="","",$H350*INDEX(Vinos!$K$2:$K$301,MATCH($B350,Vinos!$A$2:$A$301,0))),""))</f>
        <v/>
      </c>
      <c r="M350" s="21">
        <f>IF(OR($A350="",$B350=""),"",SUMIFS($H$2:$H$2001,$A$2:$A$2001,$A350,$B$2:$B$2001,$B350))</f>
        <v/>
      </c>
      <c r="N350" s="20">
        <f>IF($M350="","",IF($M350&lt;=0,"Sin stock: reponer ya",IF($M350&lt;IFERROR(N(INDEX(Vinos!$N$2:$N$301,MATCH($B350,Vinos!$A$2:$A$301,0))),0),"Bajo mínimo: reponer","OK")))</f>
        <v/>
      </c>
      <c r="O350" s="14" t="n"/>
      <c r="P350" s="14" t="n"/>
      <c r="Q350" s="20">
        <f>IF($B350="","",IFERROR(INDEX(Vinos!$C$2:$C$301,MATCH($B350,Vinos!$A$2:$A$301,0)),""))</f>
        <v/>
      </c>
      <c r="R350" s="20">
        <f>IF(OR($A350="",$A350&lt;&gt;'Resumen del inventario'!$C$3,$N350="",$N350="OK"),"",IF(COUNTIFS($A$2:$A350,$A350,$B$2:$B350,$B350)=1,1,""))</f>
        <v/>
      </c>
      <c r="S350" s="20">
        <f>IF($R350=1,COUNTIF($R$2:$R350,1),"")</f>
        <v/>
      </c>
    </row>
    <row r="351">
      <c r="A351" s="19" t="n"/>
      <c r="B351" s="14" t="n"/>
      <c r="C351" s="20">
        <f>IF($B351="","",IFERROR(INDEX(Vinos!$B$2:$B$301,MATCH($B351,Vinos!$A$2:$A$301,0)),"Código no cargado"))</f>
        <v/>
      </c>
      <c r="D351" s="14" t="n"/>
      <c r="E351" s="14" t="n"/>
      <c r="F351" s="18" t="n"/>
      <c r="G351" s="18" t="n"/>
      <c r="H351" s="21">
        <f>IF(AND($F351="",$G351=""),"",N($F351)*IFERROR(N(INDEX(Vinos!$H$2:$H$301,MATCH($B351,Vinos!$A$2:$A$301,0))),0)+N($G351))</f>
        <v/>
      </c>
      <c r="I351" s="18" t="n"/>
      <c r="J351" s="21">
        <f>IF(OR($H351="",$I351=""),"",$H351-$I351)</f>
        <v/>
      </c>
      <c r="K351" s="16">
        <f>IF($H351="","",IFERROR(IF(INDEX(Vinos!$J$2:$J$301,MATCH($B351,Vinos!$A$2:$A$301,0))="","",$H351*INDEX(Vinos!$J$2:$J$301,MATCH($B351,Vinos!$A$2:$A$301,0))),""))</f>
        <v/>
      </c>
      <c r="L351" s="16">
        <f>IF($H351="","",IFERROR(IF(INDEX(Vinos!$K$2:$K$301,MATCH($B351,Vinos!$A$2:$A$301,0))="","",$H351*INDEX(Vinos!$K$2:$K$301,MATCH($B351,Vinos!$A$2:$A$301,0))),""))</f>
        <v/>
      </c>
      <c r="M351" s="21">
        <f>IF(OR($A351="",$B351=""),"",SUMIFS($H$2:$H$2001,$A$2:$A$2001,$A351,$B$2:$B$2001,$B351))</f>
        <v/>
      </c>
      <c r="N351" s="20">
        <f>IF($M351="","",IF($M351&lt;=0,"Sin stock: reponer ya",IF($M351&lt;IFERROR(N(INDEX(Vinos!$N$2:$N$301,MATCH($B351,Vinos!$A$2:$A$301,0))),0),"Bajo mínimo: reponer","OK")))</f>
        <v/>
      </c>
      <c r="O351" s="14" t="n"/>
      <c r="P351" s="14" t="n"/>
      <c r="Q351" s="20">
        <f>IF($B351="","",IFERROR(INDEX(Vinos!$C$2:$C$301,MATCH($B351,Vinos!$A$2:$A$301,0)),""))</f>
        <v/>
      </c>
      <c r="R351" s="20">
        <f>IF(OR($A351="",$A351&lt;&gt;'Resumen del inventario'!$C$3,$N351="",$N351="OK"),"",IF(COUNTIFS($A$2:$A351,$A351,$B$2:$B351,$B351)=1,1,""))</f>
        <v/>
      </c>
      <c r="S351" s="20">
        <f>IF($R351=1,COUNTIF($R$2:$R351,1),"")</f>
        <v/>
      </c>
    </row>
    <row r="352">
      <c r="A352" s="19" t="n"/>
      <c r="B352" s="14" t="n"/>
      <c r="C352" s="20">
        <f>IF($B352="","",IFERROR(INDEX(Vinos!$B$2:$B$301,MATCH($B352,Vinos!$A$2:$A$301,0)),"Código no cargado"))</f>
        <v/>
      </c>
      <c r="D352" s="14" t="n"/>
      <c r="E352" s="14" t="n"/>
      <c r="F352" s="18" t="n"/>
      <c r="G352" s="18" t="n"/>
      <c r="H352" s="21">
        <f>IF(AND($F352="",$G352=""),"",N($F352)*IFERROR(N(INDEX(Vinos!$H$2:$H$301,MATCH($B352,Vinos!$A$2:$A$301,0))),0)+N($G352))</f>
        <v/>
      </c>
      <c r="I352" s="18" t="n"/>
      <c r="J352" s="21">
        <f>IF(OR($H352="",$I352=""),"",$H352-$I352)</f>
        <v/>
      </c>
      <c r="K352" s="16">
        <f>IF($H352="","",IFERROR(IF(INDEX(Vinos!$J$2:$J$301,MATCH($B352,Vinos!$A$2:$A$301,0))="","",$H352*INDEX(Vinos!$J$2:$J$301,MATCH($B352,Vinos!$A$2:$A$301,0))),""))</f>
        <v/>
      </c>
      <c r="L352" s="16">
        <f>IF($H352="","",IFERROR(IF(INDEX(Vinos!$K$2:$K$301,MATCH($B352,Vinos!$A$2:$A$301,0))="","",$H352*INDEX(Vinos!$K$2:$K$301,MATCH($B352,Vinos!$A$2:$A$301,0))),""))</f>
        <v/>
      </c>
      <c r="M352" s="21">
        <f>IF(OR($A352="",$B352=""),"",SUMIFS($H$2:$H$2001,$A$2:$A$2001,$A352,$B$2:$B$2001,$B352))</f>
        <v/>
      </c>
      <c r="N352" s="20">
        <f>IF($M352="","",IF($M352&lt;=0,"Sin stock: reponer ya",IF($M352&lt;IFERROR(N(INDEX(Vinos!$N$2:$N$301,MATCH($B352,Vinos!$A$2:$A$301,0))),0),"Bajo mínimo: reponer","OK")))</f>
        <v/>
      </c>
      <c r="O352" s="14" t="n"/>
      <c r="P352" s="14" t="n"/>
      <c r="Q352" s="20">
        <f>IF($B352="","",IFERROR(INDEX(Vinos!$C$2:$C$301,MATCH($B352,Vinos!$A$2:$A$301,0)),""))</f>
        <v/>
      </c>
      <c r="R352" s="20">
        <f>IF(OR($A352="",$A352&lt;&gt;'Resumen del inventario'!$C$3,$N352="",$N352="OK"),"",IF(COUNTIFS($A$2:$A352,$A352,$B$2:$B352,$B352)=1,1,""))</f>
        <v/>
      </c>
      <c r="S352" s="20">
        <f>IF($R352=1,COUNTIF($R$2:$R352,1),"")</f>
        <v/>
      </c>
    </row>
    <row r="353">
      <c r="A353" s="19" t="n"/>
      <c r="B353" s="14" t="n"/>
      <c r="C353" s="20">
        <f>IF($B353="","",IFERROR(INDEX(Vinos!$B$2:$B$301,MATCH($B353,Vinos!$A$2:$A$301,0)),"Código no cargado"))</f>
        <v/>
      </c>
      <c r="D353" s="14" t="n"/>
      <c r="E353" s="14" t="n"/>
      <c r="F353" s="18" t="n"/>
      <c r="G353" s="18" t="n"/>
      <c r="H353" s="21">
        <f>IF(AND($F353="",$G353=""),"",N($F353)*IFERROR(N(INDEX(Vinos!$H$2:$H$301,MATCH($B353,Vinos!$A$2:$A$301,0))),0)+N($G353))</f>
        <v/>
      </c>
      <c r="I353" s="18" t="n"/>
      <c r="J353" s="21">
        <f>IF(OR($H353="",$I353=""),"",$H353-$I353)</f>
        <v/>
      </c>
      <c r="K353" s="16">
        <f>IF($H353="","",IFERROR(IF(INDEX(Vinos!$J$2:$J$301,MATCH($B353,Vinos!$A$2:$A$301,0))="","",$H353*INDEX(Vinos!$J$2:$J$301,MATCH($B353,Vinos!$A$2:$A$301,0))),""))</f>
        <v/>
      </c>
      <c r="L353" s="16">
        <f>IF($H353="","",IFERROR(IF(INDEX(Vinos!$K$2:$K$301,MATCH($B353,Vinos!$A$2:$A$301,0))="","",$H353*INDEX(Vinos!$K$2:$K$301,MATCH($B353,Vinos!$A$2:$A$301,0))),""))</f>
        <v/>
      </c>
      <c r="M353" s="21">
        <f>IF(OR($A353="",$B353=""),"",SUMIFS($H$2:$H$2001,$A$2:$A$2001,$A353,$B$2:$B$2001,$B353))</f>
        <v/>
      </c>
      <c r="N353" s="20">
        <f>IF($M353="","",IF($M353&lt;=0,"Sin stock: reponer ya",IF($M353&lt;IFERROR(N(INDEX(Vinos!$N$2:$N$301,MATCH($B353,Vinos!$A$2:$A$301,0))),0),"Bajo mínimo: reponer","OK")))</f>
        <v/>
      </c>
      <c r="O353" s="14" t="n"/>
      <c r="P353" s="14" t="n"/>
      <c r="Q353" s="20">
        <f>IF($B353="","",IFERROR(INDEX(Vinos!$C$2:$C$301,MATCH($B353,Vinos!$A$2:$A$301,0)),""))</f>
        <v/>
      </c>
      <c r="R353" s="20">
        <f>IF(OR($A353="",$A353&lt;&gt;'Resumen del inventario'!$C$3,$N353="",$N353="OK"),"",IF(COUNTIFS($A$2:$A353,$A353,$B$2:$B353,$B353)=1,1,""))</f>
        <v/>
      </c>
      <c r="S353" s="20">
        <f>IF($R353=1,COUNTIF($R$2:$R353,1),"")</f>
        <v/>
      </c>
    </row>
    <row r="354">
      <c r="A354" s="19" t="n"/>
      <c r="B354" s="14" t="n"/>
      <c r="C354" s="20">
        <f>IF($B354="","",IFERROR(INDEX(Vinos!$B$2:$B$301,MATCH($B354,Vinos!$A$2:$A$301,0)),"Código no cargado"))</f>
        <v/>
      </c>
      <c r="D354" s="14" t="n"/>
      <c r="E354" s="14" t="n"/>
      <c r="F354" s="18" t="n"/>
      <c r="G354" s="18" t="n"/>
      <c r="H354" s="21">
        <f>IF(AND($F354="",$G354=""),"",N($F354)*IFERROR(N(INDEX(Vinos!$H$2:$H$301,MATCH($B354,Vinos!$A$2:$A$301,0))),0)+N($G354))</f>
        <v/>
      </c>
      <c r="I354" s="18" t="n"/>
      <c r="J354" s="21">
        <f>IF(OR($H354="",$I354=""),"",$H354-$I354)</f>
        <v/>
      </c>
      <c r="K354" s="16">
        <f>IF($H354="","",IFERROR(IF(INDEX(Vinos!$J$2:$J$301,MATCH($B354,Vinos!$A$2:$A$301,0))="","",$H354*INDEX(Vinos!$J$2:$J$301,MATCH($B354,Vinos!$A$2:$A$301,0))),""))</f>
        <v/>
      </c>
      <c r="L354" s="16">
        <f>IF($H354="","",IFERROR(IF(INDEX(Vinos!$K$2:$K$301,MATCH($B354,Vinos!$A$2:$A$301,0))="","",$H354*INDEX(Vinos!$K$2:$K$301,MATCH($B354,Vinos!$A$2:$A$301,0))),""))</f>
        <v/>
      </c>
      <c r="M354" s="21">
        <f>IF(OR($A354="",$B354=""),"",SUMIFS($H$2:$H$2001,$A$2:$A$2001,$A354,$B$2:$B$2001,$B354))</f>
        <v/>
      </c>
      <c r="N354" s="20">
        <f>IF($M354="","",IF($M354&lt;=0,"Sin stock: reponer ya",IF($M354&lt;IFERROR(N(INDEX(Vinos!$N$2:$N$301,MATCH($B354,Vinos!$A$2:$A$301,0))),0),"Bajo mínimo: reponer","OK")))</f>
        <v/>
      </c>
      <c r="O354" s="14" t="n"/>
      <c r="P354" s="14" t="n"/>
      <c r="Q354" s="20">
        <f>IF($B354="","",IFERROR(INDEX(Vinos!$C$2:$C$301,MATCH($B354,Vinos!$A$2:$A$301,0)),""))</f>
        <v/>
      </c>
      <c r="R354" s="20">
        <f>IF(OR($A354="",$A354&lt;&gt;'Resumen del inventario'!$C$3,$N354="",$N354="OK"),"",IF(COUNTIFS($A$2:$A354,$A354,$B$2:$B354,$B354)=1,1,""))</f>
        <v/>
      </c>
      <c r="S354" s="20">
        <f>IF($R354=1,COUNTIF($R$2:$R354,1),"")</f>
        <v/>
      </c>
    </row>
    <row r="355">
      <c r="A355" s="19" t="n"/>
      <c r="B355" s="14" t="n"/>
      <c r="C355" s="20">
        <f>IF($B355="","",IFERROR(INDEX(Vinos!$B$2:$B$301,MATCH($B355,Vinos!$A$2:$A$301,0)),"Código no cargado"))</f>
        <v/>
      </c>
      <c r="D355" s="14" t="n"/>
      <c r="E355" s="14" t="n"/>
      <c r="F355" s="18" t="n"/>
      <c r="G355" s="18" t="n"/>
      <c r="H355" s="21">
        <f>IF(AND($F355="",$G355=""),"",N($F355)*IFERROR(N(INDEX(Vinos!$H$2:$H$301,MATCH($B355,Vinos!$A$2:$A$301,0))),0)+N($G355))</f>
        <v/>
      </c>
      <c r="I355" s="18" t="n"/>
      <c r="J355" s="21">
        <f>IF(OR($H355="",$I355=""),"",$H355-$I355)</f>
        <v/>
      </c>
      <c r="K355" s="16">
        <f>IF($H355="","",IFERROR(IF(INDEX(Vinos!$J$2:$J$301,MATCH($B355,Vinos!$A$2:$A$301,0))="","",$H355*INDEX(Vinos!$J$2:$J$301,MATCH($B355,Vinos!$A$2:$A$301,0))),""))</f>
        <v/>
      </c>
      <c r="L355" s="16">
        <f>IF($H355="","",IFERROR(IF(INDEX(Vinos!$K$2:$K$301,MATCH($B355,Vinos!$A$2:$A$301,0))="","",$H355*INDEX(Vinos!$K$2:$K$301,MATCH($B355,Vinos!$A$2:$A$301,0))),""))</f>
        <v/>
      </c>
      <c r="M355" s="21">
        <f>IF(OR($A355="",$B355=""),"",SUMIFS($H$2:$H$2001,$A$2:$A$2001,$A355,$B$2:$B$2001,$B355))</f>
        <v/>
      </c>
      <c r="N355" s="20">
        <f>IF($M355="","",IF($M355&lt;=0,"Sin stock: reponer ya",IF($M355&lt;IFERROR(N(INDEX(Vinos!$N$2:$N$301,MATCH($B355,Vinos!$A$2:$A$301,0))),0),"Bajo mínimo: reponer","OK")))</f>
        <v/>
      </c>
      <c r="O355" s="14" t="n"/>
      <c r="P355" s="14" t="n"/>
      <c r="Q355" s="20">
        <f>IF($B355="","",IFERROR(INDEX(Vinos!$C$2:$C$301,MATCH($B355,Vinos!$A$2:$A$301,0)),""))</f>
        <v/>
      </c>
      <c r="R355" s="20">
        <f>IF(OR($A355="",$A355&lt;&gt;'Resumen del inventario'!$C$3,$N355="",$N355="OK"),"",IF(COUNTIFS($A$2:$A355,$A355,$B$2:$B355,$B355)=1,1,""))</f>
        <v/>
      </c>
      <c r="S355" s="20">
        <f>IF($R355=1,COUNTIF($R$2:$R355,1),"")</f>
        <v/>
      </c>
    </row>
    <row r="356">
      <c r="A356" s="19" t="n"/>
      <c r="B356" s="14" t="n"/>
      <c r="C356" s="20">
        <f>IF($B356="","",IFERROR(INDEX(Vinos!$B$2:$B$301,MATCH($B356,Vinos!$A$2:$A$301,0)),"Código no cargado"))</f>
        <v/>
      </c>
      <c r="D356" s="14" t="n"/>
      <c r="E356" s="14" t="n"/>
      <c r="F356" s="18" t="n"/>
      <c r="G356" s="18" t="n"/>
      <c r="H356" s="21">
        <f>IF(AND($F356="",$G356=""),"",N($F356)*IFERROR(N(INDEX(Vinos!$H$2:$H$301,MATCH($B356,Vinos!$A$2:$A$301,0))),0)+N($G356))</f>
        <v/>
      </c>
      <c r="I356" s="18" t="n"/>
      <c r="J356" s="21">
        <f>IF(OR($H356="",$I356=""),"",$H356-$I356)</f>
        <v/>
      </c>
      <c r="K356" s="16">
        <f>IF($H356="","",IFERROR(IF(INDEX(Vinos!$J$2:$J$301,MATCH($B356,Vinos!$A$2:$A$301,0))="","",$H356*INDEX(Vinos!$J$2:$J$301,MATCH($B356,Vinos!$A$2:$A$301,0))),""))</f>
        <v/>
      </c>
      <c r="L356" s="16">
        <f>IF($H356="","",IFERROR(IF(INDEX(Vinos!$K$2:$K$301,MATCH($B356,Vinos!$A$2:$A$301,0))="","",$H356*INDEX(Vinos!$K$2:$K$301,MATCH($B356,Vinos!$A$2:$A$301,0))),""))</f>
        <v/>
      </c>
      <c r="M356" s="21">
        <f>IF(OR($A356="",$B356=""),"",SUMIFS($H$2:$H$2001,$A$2:$A$2001,$A356,$B$2:$B$2001,$B356))</f>
        <v/>
      </c>
      <c r="N356" s="20">
        <f>IF($M356="","",IF($M356&lt;=0,"Sin stock: reponer ya",IF($M356&lt;IFERROR(N(INDEX(Vinos!$N$2:$N$301,MATCH($B356,Vinos!$A$2:$A$301,0))),0),"Bajo mínimo: reponer","OK")))</f>
        <v/>
      </c>
      <c r="O356" s="14" t="n"/>
      <c r="P356" s="14" t="n"/>
      <c r="Q356" s="20">
        <f>IF($B356="","",IFERROR(INDEX(Vinos!$C$2:$C$301,MATCH($B356,Vinos!$A$2:$A$301,0)),""))</f>
        <v/>
      </c>
      <c r="R356" s="20">
        <f>IF(OR($A356="",$A356&lt;&gt;'Resumen del inventario'!$C$3,$N356="",$N356="OK"),"",IF(COUNTIFS($A$2:$A356,$A356,$B$2:$B356,$B356)=1,1,""))</f>
        <v/>
      </c>
      <c r="S356" s="20">
        <f>IF($R356=1,COUNTIF($R$2:$R356,1),"")</f>
        <v/>
      </c>
    </row>
    <row r="357">
      <c r="A357" s="19" t="n"/>
      <c r="B357" s="14" t="n"/>
      <c r="C357" s="20">
        <f>IF($B357="","",IFERROR(INDEX(Vinos!$B$2:$B$301,MATCH($B357,Vinos!$A$2:$A$301,0)),"Código no cargado"))</f>
        <v/>
      </c>
      <c r="D357" s="14" t="n"/>
      <c r="E357" s="14" t="n"/>
      <c r="F357" s="18" t="n"/>
      <c r="G357" s="18" t="n"/>
      <c r="H357" s="21">
        <f>IF(AND($F357="",$G357=""),"",N($F357)*IFERROR(N(INDEX(Vinos!$H$2:$H$301,MATCH($B357,Vinos!$A$2:$A$301,0))),0)+N($G357))</f>
        <v/>
      </c>
      <c r="I357" s="18" t="n"/>
      <c r="J357" s="21">
        <f>IF(OR($H357="",$I357=""),"",$H357-$I357)</f>
        <v/>
      </c>
      <c r="K357" s="16">
        <f>IF($H357="","",IFERROR(IF(INDEX(Vinos!$J$2:$J$301,MATCH($B357,Vinos!$A$2:$A$301,0))="","",$H357*INDEX(Vinos!$J$2:$J$301,MATCH($B357,Vinos!$A$2:$A$301,0))),""))</f>
        <v/>
      </c>
      <c r="L357" s="16">
        <f>IF($H357="","",IFERROR(IF(INDEX(Vinos!$K$2:$K$301,MATCH($B357,Vinos!$A$2:$A$301,0))="","",$H357*INDEX(Vinos!$K$2:$K$301,MATCH($B357,Vinos!$A$2:$A$301,0))),""))</f>
        <v/>
      </c>
      <c r="M357" s="21">
        <f>IF(OR($A357="",$B357=""),"",SUMIFS($H$2:$H$2001,$A$2:$A$2001,$A357,$B$2:$B$2001,$B357))</f>
        <v/>
      </c>
      <c r="N357" s="20">
        <f>IF($M357="","",IF($M357&lt;=0,"Sin stock: reponer ya",IF($M357&lt;IFERROR(N(INDEX(Vinos!$N$2:$N$301,MATCH($B357,Vinos!$A$2:$A$301,0))),0),"Bajo mínimo: reponer","OK")))</f>
        <v/>
      </c>
      <c r="O357" s="14" t="n"/>
      <c r="P357" s="14" t="n"/>
      <c r="Q357" s="20">
        <f>IF($B357="","",IFERROR(INDEX(Vinos!$C$2:$C$301,MATCH($B357,Vinos!$A$2:$A$301,0)),""))</f>
        <v/>
      </c>
      <c r="R357" s="20">
        <f>IF(OR($A357="",$A357&lt;&gt;'Resumen del inventario'!$C$3,$N357="",$N357="OK"),"",IF(COUNTIFS($A$2:$A357,$A357,$B$2:$B357,$B357)=1,1,""))</f>
        <v/>
      </c>
      <c r="S357" s="20">
        <f>IF($R357=1,COUNTIF($R$2:$R357,1),"")</f>
        <v/>
      </c>
    </row>
    <row r="358">
      <c r="A358" s="19" t="n"/>
      <c r="B358" s="14" t="n"/>
      <c r="C358" s="20">
        <f>IF($B358="","",IFERROR(INDEX(Vinos!$B$2:$B$301,MATCH($B358,Vinos!$A$2:$A$301,0)),"Código no cargado"))</f>
        <v/>
      </c>
      <c r="D358" s="14" t="n"/>
      <c r="E358" s="14" t="n"/>
      <c r="F358" s="18" t="n"/>
      <c r="G358" s="18" t="n"/>
      <c r="H358" s="21">
        <f>IF(AND($F358="",$G358=""),"",N($F358)*IFERROR(N(INDEX(Vinos!$H$2:$H$301,MATCH($B358,Vinos!$A$2:$A$301,0))),0)+N($G358))</f>
        <v/>
      </c>
      <c r="I358" s="18" t="n"/>
      <c r="J358" s="21">
        <f>IF(OR($H358="",$I358=""),"",$H358-$I358)</f>
        <v/>
      </c>
      <c r="K358" s="16">
        <f>IF($H358="","",IFERROR(IF(INDEX(Vinos!$J$2:$J$301,MATCH($B358,Vinos!$A$2:$A$301,0))="","",$H358*INDEX(Vinos!$J$2:$J$301,MATCH($B358,Vinos!$A$2:$A$301,0))),""))</f>
        <v/>
      </c>
      <c r="L358" s="16">
        <f>IF($H358="","",IFERROR(IF(INDEX(Vinos!$K$2:$K$301,MATCH($B358,Vinos!$A$2:$A$301,0))="","",$H358*INDEX(Vinos!$K$2:$K$301,MATCH($B358,Vinos!$A$2:$A$301,0))),""))</f>
        <v/>
      </c>
      <c r="M358" s="21">
        <f>IF(OR($A358="",$B358=""),"",SUMIFS($H$2:$H$2001,$A$2:$A$2001,$A358,$B$2:$B$2001,$B358))</f>
        <v/>
      </c>
      <c r="N358" s="20">
        <f>IF($M358="","",IF($M358&lt;=0,"Sin stock: reponer ya",IF($M358&lt;IFERROR(N(INDEX(Vinos!$N$2:$N$301,MATCH($B358,Vinos!$A$2:$A$301,0))),0),"Bajo mínimo: reponer","OK")))</f>
        <v/>
      </c>
      <c r="O358" s="14" t="n"/>
      <c r="P358" s="14" t="n"/>
      <c r="Q358" s="20">
        <f>IF($B358="","",IFERROR(INDEX(Vinos!$C$2:$C$301,MATCH($B358,Vinos!$A$2:$A$301,0)),""))</f>
        <v/>
      </c>
      <c r="R358" s="20">
        <f>IF(OR($A358="",$A358&lt;&gt;'Resumen del inventario'!$C$3,$N358="",$N358="OK"),"",IF(COUNTIFS($A$2:$A358,$A358,$B$2:$B358,$B358)=1,1,""))</f>
        <v/>
      </c>
      <c r="S358" s="20">
        <f>IF($R358=1,COUNTIF($R$2:$R358,1),"")</f>
        <v/>
      </c>
    </row>
    <row r="359">
      <c r="A359" s="19" t="n"/>
      <c r="B359" s="14" t="n"/>
      <c r="C359" s="20">
        <f>IF($B359="","",IFERROR(INDEX(Vinos!$B$2:$B$301,MATCH($B359,Vinos!$A$2:$A$301,0)),"Código no cargado"))</f>
        <v/>
      </c>
      <c r="D359" s="14" t="n"/>
      <c r="E359" s="14" t="n"/>
      <c r="F359" s="18" t="n"/>
      <c r="G359" s="18" t="n"/>
      <c r="H359" s="21">
        <f>IF(AND($F359="",$G359=""),"",N($F359)*IFERROR(N(INDEX(Vinos!$H$2:$H$301,MATCH($B359,Vinos!$A$2:$A$301,0))),0)+N($G359))</f>
        <v/>
      </c>
      <c r="I359" s="18" t="n"/>
      <c r="J359" s="21">
        <f>IF(OR($H359="",$I359=""),"",$H359-$I359)</f>
        <v/>
      </c>
      <c r="K359" s="16">
        <f>IF($H359="","",IFERROR(IF(INDEX(Vinos!$J$2:$J$301,MATCH($B359,Vinos!$A$2:$A$301,0))="","",$H359*INDEX(Vinos!$J$2:$J$301,MATCH($B359,Vinos!$A$2:$A$301,0))),""))</f>
        <v/>
      </c>
      <c r="L359" s="16">
        <f>IF($H359="","",IFERROR(IF(INDEX(Vinos!$K$2:$K$301,MATCH($B359,Vinos!$A$2:$A$301,0))="","",$H359*INDEX(Vinos!$K$2:$K$301,MATCH($B359,Vinos!$A$2:$A$301,0))),""))</f>
        <v/>
      </c>
      <c r="M359" s="21">
        <f>IF(OR($A359="",$B359=""),"",SUMIFS($H$2:$H$2001,$A$2:$A$2001,$A359,$B$2:$B$2001,$B359))</f>
        <v/>
      </c>
      <c r="N359" s="20">
        <f>IF($M359="","",IF($M359&lt;=0,"Sin stock: reponer ya",IF($M359&lt;IFERROR(N(INDEX(Vinos!$N$2:$N$301,MATCH($B359,Vinos!$A$2:$A$301,0))),0),"Bajo mínimo: reponer","OK")))</f>
        <v/>
      </c>
      <c r="O359" s="14" t="n"/>
      <c r="P359" s="14" t="n"/>
      <c r="Q359" s="20">
        <f>IF($B359="","",IFERROR(INDEX(Vinos!$C$2:$C$301,MATCH($B359,Vinos!$A$2:$A$301,0)),""))</f>
        <v/>
      </c>
      <c r="R359" s="20">
        <f>IF(OR($A359="",$A359&lt;&gt;'Resumen del inventario'!$C$3,$N359="",$N359="OK"),"",IF(COUNTIFS($A$2:$A359,$A359,$B$2:$B359,$B359)=1,1,""))</f>
        <v/>
      </c>
      <c r="S359" s="20">
        <f>IF($R359=1,COUNTIF($R$2:$R359,1),"")</f>
        <v/>
      </c>
    </row>
    <row r="360">
      <c r="A360" s="19" t="n"/>
      <c r="B360" s="14" t="n"/>
      <c r="C360" s="20">
        <f>IF($B360="","",IFERROR(INDEX(Vinos!$B$2:$B$301,MATCH($B360,Vinos!$A$2:$A$301,0)),"Código no cargado"))</f>
        <v/>
      </c>
      <c r="D360" s="14" t="n"/>
      <c r="E360" s="14" t="n"/>
      <c r="F360" s="18" t="n"/>
      <c r="G360" s="18" t="n"/>
      <c r="H360" s="21">
        <f>IF(AND($F360="",$G360=""),"",N($F360)*IFERROR(N(INDEX(Vinos!$H$2:$H$301,MATCH($B360,Vinos!$A$2:$A$301,0))),0)+N($G360))</f>
        <v/>
      </c>
      <c r="I360" s="18" t="n"/>
      <c r="J360" s="21">
        <f>IF(OR($H360="",$I360=""),"",$H360-$I360)</f>
        <v/>
      </c>
      <c r="K360" s="16">
        <f>IF($H360="","",IFERROR(IF(INDEX(Vinos!$J$2:$J$301,MATCH($B360,Vinos!$A$2:$A$301,0))="","",$H360*INDEX(Vinos!$J$2:$J$301,MATCH($B360,Vinos!$A$2:$A$301,0))),""))</f>
        <v/>
      </c>
      <c r="L360" s="16">
        <f>IF($H360="","",IFERROR(IF(INDEX(Vinos!$K$2:$K$301,MATCH($B360,Vinos!$A$2:$A$301,0))="","",$H360*INDEX(Vinos!$K$2:$K$301,MATCH($B360,Vinos!$A$2:$A$301,0))),""))</f>
        <v/>
      </c>
      <c r="M360" s="21">
        <f>IF(OR($A360="",$B360=""),"",SUMIFS($H$2:$H$2001,$A$2:$A$2001,$A360,$B$2:$B$2001,$B360))</f>
        <v/>
      </c>
      <c r="N360" s="20">
        <f>IF($M360="","",IF($M360&lt;=0,"Sin stock: reponer ya",IF($M360&lt;IFERROR(N(INDEX(Vinos!$N$2:$N$301,MATCH($B360,Vinos!$A$2:$A$301,0))),0),"Bajo mínimo: reponer","OK")))</f>
        <v/>
      </c>
      <c r="O360" s="14" t="n"/>
      <c r="P360" s="14" t="n"/>
      <c r="Q360" s="20">
        <f>IF($B360="","",IFERROR(INDEX(Vinos!$C$2:$C$301,MATCH($B360,Vinos!$A$2:$A$301,0)),""))</f>
        <v/>
      </c>
      <c r="R360" s="20">
        <f>IF(OR($A360="",$A360&lt;&gt;'Resumen del inventario'!$C$3,$N360="",$N360="OK"),"",IF(COUNTIFS($A$2:$A360,$A360,$B$2:$B360,$B360)=1,1,""))</f>
        <v/>
      </c>
      <c r="S360" s="20">
        <f>IF($R360=1,COUNTIF($R$2:$R360,1),"")</f>
        <v/>
      </c>
    </row>
    <row r="361">
      <c r="A361" s="19" t="n"/>
      <c r="B361" s="14" t="n"/>
      <c r="C361" s="20">
        <f>IF($B361="","",IFERROR(INDEX(Vinos!$B$2:$B$301,MATCH($B361,Vinos!$A$2:$A$301,0)),"Código no cargado"))</f>
        <v/>
      </c>
      <c r="D361" s="14" t="n"/>
      <c r="E361" s="14" t="n"/>
      <c r="F361" s="18" t="n"/>
      <c r="G361" s="18" t="n"/>
      <c r="H361" s="21">
        <f>IF(AND($F361="",$G361=""),"",N($F361)*IFERROR(N(INDEX(Vinos!$H$2:$H$301,MATCH($B361,Vinos!$A$2:$A$301,0))),0)+N($G361))</f>
        <v/>
      </c>
      <c r="I361" s="18" t="n"/>
      <c r="J361" s="21">
        <f>IF(OR($H361="",$I361=""),"",$H361-$I361)</f>
        <v/>
      </c>
      <c r="K361" s="16">
        <f>IF($H361="","",IFERROR(IF(INDEX(Vinos!$J$2:$J$301,MATCH($B361,Vinos!$A$2:$A$301,0))="","",$H361*INDEX(Vinos!$J$2:$J$301,MATCH($B361,Vinos!$A$2:$A$301,0))),""))</f>
        <v/>
      </c>
      <c r="L361" s="16">
        <f>IF($H361="","",IFERROR(IF(INDEX(Vinos!$K$2:$K$301,MATCH($B361,Vinos!$A$2:$A$301,0))="","",$H361*INDEX(Vinos!$K$2:$K$301,MATCH($B361,Vinos!$A$2:$A$301,0))),""))</f>
        <v/>
      </c>
      <c r="M361" s="21">
        <f>IF(OR($A361="",$B361=""),"",SUMIFS($H$2:$H$2001,$A$2:$A$2001,$A361,$B$2:$B$2001,$B361))</f>
        <v/>
      </c>
      <c r="N361" s="20">
        <f>IF($M361="","",IF($M361&lt;=0,"Sin stock: reponer ya",IF($M361&lt;IFERROR(N(INDEX(Vinos!$N$2:$N$301,MATCH($B361,Vinos!$A$2:$A$301,0))),0),"Bajo mínimo: reponer","OK")))</f>
        <v/>
      </c>
      <c r="O361" s="14" t="n"/>
      <c r="P361" s="14" t="n"/>
      <c r="Q361" s="20">
        <f>IF($B361="","",IFERROR(INDEX(Vinos!$C$2:$C$301,MATCH($B361,Vinos!$A$2:$A$301,0)),""))</f>
        <v/>
      </c>
      <c r="R361" s="20">
        <f>IF(OR($A361="",$A361&lt;&gt;'Resumen del inventario'!$C$3,$N361="",$N361="OK"),"",IF(COUNTIFS($A$2:$A361,$A361,$B$2:$B361,$B361)=1,1,""))</f>
        <v/>
      </c>
      <c r="S361" s="20">
        <f>IF($R361=1,COUNTIF($R$2:$R361,1),"")</f>
        <v/>
      </c>
    </row>
    <row r="362">
      <c r="A362" s="19" t="n"/>
      <c r="B362" s="14" t="n"/>
      <c r="C362" s="20">
        <f>IF($B362="","",IFERROR(INDEX(Vinos!$B$2:$B$301,MATCH($B362,Vinos!$A$2:$A$301,0)),"Código no cargado"))</f>
        <v/>
      </c>
      <c r="D362" s="14" t="n"/>
      <c r="E362" s="14" t="n"/>
      <c r="F362" s="18" t="n"/>
      <c r="G362" s="18" t="n"/>
      <c r="H362" s="21">
        <f>IF(AND($F362="",$G362=""),"",N($F362)*IFERROR(N(INDEX(Vinos!$H$2:$H$301,MATCH($B362,Vinos!$A$2:$A$301,0))),0)+N($G362))</f>
        <v/>
      </c>
      <c r="I362" s="18" t="n"/>
      <c r="J362" s="21">
        <f>IF(OR($H362="",$I362=""),"",$H362-$I362)</f>
        <v/>
      </c>
      <c r="K362" s="16">
        <f>IF($H362="","",IFERROR(IF(INDEX(Vinos!$J$2:$J$301,MATCH($B362,Vinos!$A$2:$A$301,0))="","",$H362*INDEX(Vinos!$J$2:$J$301,MATCH($B362,Vinos!$A$2:$A$301,0))),""))</f>
        <v/>
      </c>
      <c r="L362" s="16">
        <f>IF($H362="","",IFERROR(IF(INDEX(Vinos!$K$2:$K$301,MATCH($B362,Vinos!$A$2:$A$301,0))="","",$H362*INDEX(Vinos!$K$2:$K$301,MATCH($B362,Vinos!$A$2:$A$301,0))),""))</f>
        <v/>
      </c>
      <c r="M362" s="21">
        <f>IF(OR($A362="",$B362=""),"",SUMIFS($H$2:$H$2001,$A$2:$A$2001,$A362,$B$2:$B$2001,$B362))</f>
        <v/>
      </c>
      <c r="N362" s="20">
        <f>IF($M362="","",IF($M362&lt;=0,"Sin stock: reponer ya",IF($M362&lt;IFERROR(N(INDEX(Vinos!$N$2:$N$301,MATCH($B362,Vinos!$A$2:$A$301,0))),0),"Bajo mínimo: reponer","OK")))</f>
        <v/>
      </c>
      <c r="O362" s="14" t="n"/>
      <c r="P362" s="14" t="n"/>
      <c r="Q362" s="20">
        <f>IF($B362="","",IFERROR(INDEX(Vinos!$C$2:$C$301,MATCH($B362,Vinos!$A$2:$A$301,0)),""))</f>
        <v/>
      </c>
      <c r="R362" s="20">
        <f>IF(OR($A362="",$A362&lt;&gt;'Resumen del inventario'!$C$3,$N362="",$N362="OK"),"",IF(COUNTIFS($A$2:$A362,$A362,$B$2:$B362,$B362)=1,1,""))</f>
        <v/>
      </c>
      <c r="S362" s="20">
        <f>IF($R362=1,COUNTIF($R$2:$R362,1),"")</f>
        <v/>
      </c>
    </row>
    <row r="363">
      <c r="A363" s="19" t="n"/>
      <c r="B363" s="14" t="n"/>
      <c r="C363" s="20">
        <f>IF($B363="","",IFERROR(INDEX(Vinos!$B$2:$B$301,MATCH($B363,Vinos!$A$2:$A$301,0)),"Código no cargado"))</f>
        <v/>
      </c>
      <c r="D363" s="14" t="n"/>
      <c r="E363" s="14" t="n"/>
      <c r="F363" s="18" t="n"/>
      <c r="G363" s="18" t="n"/>
      <c r="H363" s="21">
        <f>IF(AND($F363="",$G363=""),"",N($F363)*IFERROR(N(INDEX(Vinos!$H$2:$H$301,MATCH($B363,Vinos!$A$2:$A$301,0))),0)+N($G363))</f>
        <v/>
      </c>
      <c r="I363" s="18" t="n"/>
      <c r="J363" s="21">
        <f>IF(OR($H363="",$I363=""),"",$H363-$I363)</f>
        <v/>
      </c>
      <c r="K363" s="16">
        <f>IF($H363="","",IFERROR(IF(INDEX(Vinos!$J$2:$J$301,MATCH($B363,Vinos!$A$2:$A$301,0))="","",$H363*INDEX(Vinos!$J$2:$J$301,MATCH($B363,Vinos!$A$2:$A$301,0))),""))</f>
        <v/>
      </c>
      <c r="L363" s="16">
        <f>IF($H363="","",IFERROR(IF(INDEX(Vinos!$K$2:$K$301,MATCH($B363,Vinos!$A$2:$A$301,0))="","",$H363*INDEX(Vinos!$K$2:$K$301,MATCH($B363,Vinos!$A$2:$A$301,0))),""))</f>
        <v/>
      </c>
      <c r="M363" s="21">
        <f>IF(OR($A363="",$B363=""),"",SUMIFS($H$2:$H$2001,$A$2:$A$2001,$A363,$B$2:$B$2001,$B363))</f>
        <v/>
      </c>
      <c r="N363" s="20">
        <f>IF($M363="","",IF($M363&lt;=0,"Sin stock: reponer ya",IF($M363&lt;IFERROR(N(INDEX(Vinos!$N$2:$N$301,MATCH($B363,Vinos!$A$2:$A$301,0))),0),"Bajo mínimo: reponer","OK")))</f>
        <v/>
      </c>
      <c r="O363" s="14" t="n"/>
      <c r="P363" s="14" t="n"/>
      <c r="Q363" s="20">
        <f>IF($B363="","",IFERROR(INDEX(Vinos!$C$2:$C$301,MATCH($B363,Vinos!$A$2:$A$301,0)),""))</f>
        <v/>
      </c>
      <c r="R363" s="20">
        <f>IF(OR($A363="",$A363&lt;&gt;'Resumen del inventario'!$C$3,$N363="",$N363="OK"),"",IF(COUNTIFS($A$2:$A363,$A363,$B$2:$B363,$B363)=1,1,""))</f>
        <v/>
      </c>
      <c r="S363" s="20">
        <f>IF($R363=1,COUNTIF($R$2:$R363,1),"")</f>
        <v/>
      </c>
    </row>
    <row r="364">
      <c r="A364" s="19" t="n"/>
      <c r="B364" s="14" t="n"/>
      <c r="C364" s="20">
        <f>IF($B364="","",IFERROR(INDEX(Vinos!$B$2:$B$301,MATCH($B364,Vinos!$A$2:$A$301,0)),"Código no cargado"))</f>
        <v/>
      </c>
      <c r="D364" s="14" t="n"/>
      <c r="E364" s="14" t="n"/>
      <c r="F364" s="18" t="n"/>
      <c r="G364" s="18" t="n"/>
      <c r="H364" s="21">
        <f>IF(AND($F364="",$G364=""),"",N($F364)*IFERROR(N(INDEX(Vinos!$H$2:$H$301,MATCH($B364,Vinos!$A$2:$A$301,0))),0)+N($G364))</f>
        <v/>
      </c>
      <c r="I364" s="18" t="n"/>
      <c r="J364" s="21">
        <f>IF(OR($H364="",$I364=""),"",$H364-$I364)</f>
        <v/>
      </c>
      <c r="K364" s="16">
        <f>IF($H364="","",IFERROR(IF(INDEX(Vinos!$J$2:$J$301,MATCH($B364,Vinos!$A$2:$A$301,0))="","",$H364*INDEX(Vinos!$J$2:$J$301,MATCH($B364,Vinos!$A$2:$A$301,0))),""))</f>
        <v/>
      </c>
      <c r="L364" s="16">
        <f>IF($H364="","",IFERROR(IF(INDEX(Vinos!$K$2:$K$301,MATCH($B364,Vinos!$A$2:$A$301,0))="","",$H364*INDEX(Vinos!$K$2:$K$301,MATCH($B364,Vinos!$A$2:$A$301,0))),""))</f>
        <v/>
      </c>
      <c r="M364" s="21">
        <f>IF(OR($A364="",$B364=""),"",SUMIFS($H$2:$H$2001,$A$2:$A$2001,$A364,$B$2:$B$2001,$B364))</f>
        <v/>
      </c>
      <c r="N364" s="20">
        <f>IF($M364="","",IF($M364&lt;=0,"Sin stock: reponer ya",IF($M364&lt;IFERROR(N(INDEX(Vinos!$N$2:$N$301,MATCH($B364,Vinos!$A$2:$A$301,0))),0),"Bajo mínimo: reponer","OK")))</f>
        <v/>
      </c>
      <c r="O364" s="14" t="n"/>
      <c r="P364" s="14" t="n"/>
      <c r="Q364" s="20">
        <f>IF($B364="","",IFERROR(INDEX(Vinos!$C$2:$C$301,MATCH($B364,Vinos!$A$2:$A$301,0)),""))</f>
        <v/>
      </c>
      <c r="R364" s="20">
        <f>IF(OR($A364="",$A364&lt;&gt;'Resumen del inventario'!$C$3,$N364="",$N364="OK"),"",IF(COUNTIFS($A$2:$A364,$A364,$B$2:$B364,$B364)=1,1,""))</f>
        <v/>
      </c>
      <c r="S364" s="20">
        <f>IF($R364=1,COUNTIF($R$2:$R364,1),"")</f>
        <v/>
      </c>
    </row>
    <row r="365">
      <c r="A365" s="19" t="n"/>
      <c r="B365" s="14" t="n"/>
      <c r="C365" s="20">
        <f>IF($B365="","",IFERROR(INDEX(Vinos!$B$2:$B$301,MATCH($B365,Vinos!$A$2:$A$301,0)),"Código no cargado"))</f>
        <v/>
      </c>
      <c r="D365" s="14" t="n"/>
      <c r="E365" s="14" t="n"/>
      <c r="F365" s="18" t="n"/>
      <c r="G365" s="18" t="n"/>
      <c r="H365" s="21">
        <f>IF(AND($F365="",$G365=""),"",N($F365)*IFERROR(N(INDEX(Vinos!$H$2:$H$301,MATCH($B365,Vinos!$A$2:$A$301,0))),0)+N($G365))</f>
        <v/>
      </c>
      <c r="I365" s="18" t="n"/>
      <c r="J365" s="21">
        <f>IF(OR($H365="",$I365=""),"",$H365-$I365)</f>
        <v/>
      </c>
      <c r="K365" s="16">
        <f>IF($H365="","",IFERROR(IF(INDEX(Vinos!$J$2:$J$301,MATCH($B365,Vinos!$A$2:$A$301,0))="","",$H365*INDEX(Vinos!$J$2:$J$301,MATCH($B365,Vinos!$A$2:$A$301,0))),""))</f>
        <v/>
      </c>
      <c r="L365" s="16">
        <f>IF($H365="","",IFERROR(IF(INDEX(Vinos!$K$2:$K$301,MATCH($B365,Vinos!$A$2:$A$301,0))="","",$H365*INDEX(Vinos!$K$2:$K$301,MATCH($B365,Vinos!$A$2:$A$301,0))),""))</f>
        <v/>
      </c>
      <c r="M365" s="21">
        <f>IF(OR($A365="",$B365=""),"",SUMIFS($H$2:$H$2001,$A$2:$A$2001,$A365,$B$2:$B$2001,$B365))</f>
        <v/>
      </c>
      <c r="N365" s="20">
        <f>IF($M365="","",IF($M365&lt;=0,"Sin stock: reponer ya",IF($M365&lt;IFERROR(N(INDEX(Vinos!$N$2:$N$301,MATCH($B365,Vinos!$A$2:$A$301,0))),0),"Bajo mínimo: reponer","OK")))</f>
        <v/>
      </c>
      <c r="O365" s="14" t="n"/>
      <c r="P365" s="14" t="n"/>
      <c r="Q365" s="20">
        <f>IF($B365="","",IFERROR(INDEX(Vinos!$C$2:$C$301,MATCH($B365,Vinos!$A$2:$A$301,0)),""))</f>
        <v/>
      </c>
      <c r="R365" s="20">
        <f>IF(OR($A365="",$A365&lt;&gt;'Resumen del inventario'!$C$3,$N365="",$N365="OK"),"",IF(COUNTIFS($A$2:$A365,$A365,$B$2:$B365,$B365)=1,1,""))</f>
        <v/>
      </c>
      <c r="S365" s="20">
        <f>IF($R365=1,COUNTIF($R$2:$R365,1),"")</f>
        <v/>
      </c>
    </row>
    <row r="366">
      <c r="A366" s="19" t="n"/>
      <c r="B366" s="14" t="n"/>
      <c r="C366" s="20">
        <f>IF($B366="","",IFERROR(INDEX(Vinos!$B$2:$B$301,MATCH($B366,Vinos!$A$2:$A$301,0)),"Código no cargado"))</f>
        <v/>
      </c>
      <c r="D366" s="14" t="n"/>
      <c r="E366" s="14" t="n"/>
      <c r="F366" s="18" t="n"/>
      <c r="G366" s="18" t="n"/>
      <c r="H366" s="21">
        <f>IF(AND($F366="",$G366=""),"",N($F366)*IFERROR(N(INDEX(Vinos!$H$2:$H$301,MATCH($B366,Vinos!$A$2:$A$301,0))),0)+N($G366))</f>
        <v/>
      </c>
      <c r="I366" s="18" t="n"/>
      <c r="J366" s="21">
        <f>IF(OR($H366="",$I366=""),"",$H366-$I366)</f>
        <v/>
      </c>
      <c r="K366" s="16">
        <f>IF($H366="","",IFERROR(IF(INDEX(Vinos!$J$2:$J$301,MATCH($B366,Vinos!$A$2:$A$301,0))="","",$H366*INDEX(Vinos!$J$2:$J$301,MATCH($B366,Vinos!$A$2:$A$301,0))),""))</f>
        <v/>
      </c>
      <c r="L366" s="16">
        <f>IF($H366="","",IFERROR(IF(INDEX(Vinos!$K$2:$K$301,MATCH($B366,Vinos!$A$2:$A$301,0))="","",$H366*INDEX(Vinos!$K$2:$K$301,MATCH($B366,Vinos!$A$2:$A$301,0))),""))</f>
        <v/>
      </c>
      <c r="M366" s="21">
        <f>IF(OR($A366="",$B366=""),"",SUMIFS($H$2:$H$2001,$A$2:$A$2001,$A366,$B$2:$B$2001,$B366))</f>
        <v/>
      </c>
      <c r="N366" s="20">
        <f>IF($M366="","",IF($M366&lt;=0,"Sin stock: reponer ya",IF($M366&lt;IFERROR(N(INDEX(Vinos!$N$2:$N$301,MATCH($B366,Vinos!$A$2:$A$301,0))),0),"Bajo mínimo: reponer","OK")))</f>
        <v/>
      </c>
      <c r="O366" s="14" t="n"/>
      <c r="P366" s="14" t="n"/>
      <c r="Q366" s="20">
        <f>IF($B366="","",IFERROR(INDEX(Vinos!$C$2:$C$301,MATCH($B366,Vinos!$A$2:$A$301,0)),""))</f>
        <v/>
      </c>
      <c r="R366" s="20">
        <f>IF(OR($A366="",$A366&lt;&gt;'Resumen del inventario'!$C$3,$N366="",$N366="OK"),"",IF(COUNTIFS($A$2:$A366,$A366,$B$2:$B366,$B366)=1,1,""))</f>
        <v/>
      </c>
      <c r="S366" s="20">
        <f>IF($R366=1,COUNTIF($R$2:$R366,1),"")</f>
        <v/>
      </c>
    </row>
    <row r="367">
      <c r="A367" s="19" t="n"/>
      <c r="B367" s="14" t="n"/>
      <c r="C367" s="20">
        <f>IF($B367="","",IFERROR(INDEX(Vinos!$B$2:$B$301,MATCH($B367,Vinos!$A$2:$A$301,0)),"Código no cargado"))</f>
        <v/>
      </c>
      <c r="D367" s="14" t="n"/>
      <c r="E367" s="14" t="n"/>
      <c r="F367" s="18" t="n"/>
      <c r="G367" s="18" t="n"/>
      <c r="H367" s="21">
        <f>IF(AND($F367="",$G367=""),"",N($F367)*IFERROR(N(INDEX(Vinos!$H$2:$H$301,MATCH($B367,Vinos!$A$2:$A$301,0))),0)+N($G367))</f>
        <v/>
      </c>
      <c r="I367" s="18" t="n"/>
      <c r="J367" s="21">
        <f>IF(OR($H367="",$I367=""),"",$H367-$I367)</f>
        <v/>
      </c>
      <c r="K367" s="16">
        <f>IF($H367="","",IFERROR(IF(INDEX(Vinos!$J$2:$J$301,MATCH($B367,Vinos!$A$2:$A$301,0))="","",$H367*INDEX(Vinos!$J$2:$J$301,MATCH($B367,Vinos!$A$2:$A$301,0))),""))</f>
        <v/>
      </c>
      <c r="L367" s="16">
        <f>IF($H367="","",IFERROR(IF(INDEX(Vinos!$K$2:$K$301,MATCH($B367,Vinos!$A$2:$A$301,0))="","",$H367*INDEX(Vinos!$K$2:$K$301,MATCH($B367,Vinos!$A$2:$A$301,0))),""))</f>
        <v/>
      </c>
      <c r="M367" s="21">
        <f>IF(OR($A367="",$B367=""),"",SUMIFS($H$2:$H$2001,$A$2:$A$2001,$A367,$B$2:$B$2001,$B367))</f>
        <v/>
      </c>
      <c r="N367" s="20">
        <f>IF($M367="","",IF($M367&lt;=0,"Sin stock: reponer ya",IF($M367&lt;IFERROR(N(INDEX(Vinos!$N$2:$N$301,MATCH($B367,Vinos!$A$2:$A$301,0))),0),"Bajo mínimo: reponer","OK")))</f>
        <v/>
      </c>
      <c r="O367" s="14" t="n"/>
      <c r="P367" s="14" t="n"/>
      <c r="Q367" s="20">
        <f>IF($B367="","",IFERROR(INDEX(Vinos!$C$2:$C$301,MATCH($B367,Vinos!$A$2:$A$301,0)),""))</f>
        <v/>
      </c>
      <c r="R367" s="20">
        <f>IF(OR($A367="",$A367&lt;&gt;'Resumen del inventario'!$C$3,$N367="",$N367="OK"),"",IF(COUNTIFS($A$2:$A367,$A367,$B$2:$B367,$B367)=1,1,""))</f>
        <v/>
      </c>
      <c r="S367" s="20">
        <f>IF($R367=1,COUNTIF($R$2:$R367,1),"")</f>
        <v/>
      </c>
    </row>
    <row r="368">
      <c r="A368" s="19" t="n"/>
      <c r="B368" s="14" t="n"/>
      <c r="C368" s="20">
        <f>IF($B368="","",IFERROR(INDEX(Vinos!$B$2:$B$301,MATCH($B368,Vinos!$A$2:$A$301,0)),"Código no cargado"))</f>
        <v/>
      </c>
      <c r="D368" s="14" t="n"/>
      <c r="E368" s="14" t="n"/>
      <c r="F368" s="18" t="n"/>
      <c r="G368" s="18" t="n"/>
      <c r="H368" s="21">
        <f>IF(AND($F368="",$G368=""),"",N($F368)*IFERROR(N(INDEX(Vinos!$H$2:$H$301,MATCH($B368,Vinos!$A$2:$A$301,0))),0)+N($G368))</f>
        <v/>
      </c>
      <c r="I368" s="18" t="n"/>
      <c r="J368" s="21">
        <f>IF(OR($H368="",$I368=""),"",$H368-$I368)</f>
        <v/>
      </c>
      <c r="K368" s="16">
        <f>IF($H368="","",IFERROR(IF(INDEX(Vinos!$J$2:$J$301,MATCH($B368,Vinos!$A$2:$A$301,0))="","",$H368*INDEX(Vinos!$J$2:$J$301,MATCH($B368,Vinos!$A$2:$A$301,0))),""))</f>
        <v/>
      </c>
      <c r="L368" s="16">
        <f>IF($H368="","",IFERROR(IF(INDEX(Vinos!$K$2:$K$301,MATCH($B368,Vinos!$A$2:$A$301,0))="","",$H368*INDEX(Vinos!$K$2:$K$301,MATCH($B368,Vinos!$A$2:$A$301,0))),""))</f>
        <v/>
      </c>
      <c r="M368" s="21">
        <f>IF(OR($A368="",$B368=""),"",SUMIFS($H$2:$H$2001,$A$2:$A$2001,$A368,$B$2:$B$2001,$B368))</f>
        <v/>
      </c>
      <c r="N368" s="20">
        <f>IF($M368="","",IF($M368&lt;=0,"Sin stock: reponer ya",IF($M368&lt;IFERROR(N(INDEX(Vinos!$N$2:$N$301,MATCH($B368,Vinos!$A$2:$A$301,0))),0),"Bajo mínimo: reponer","OK")))</f>
        <v/>
      </c>
      <c r="O368" s="14" t="n"/>
      <c r="P368" s="14" t="n"/>
      <c r="Q368" s="20">
        <f>IF($B368="","",IFERROR(INDEX(Vinos!$C$2:$C$301,MATCH($B368,Vinos!$A$2:$A$301,0)),""))</f>
        <v/>
      </c>
      <c r="R368" s="20">
        <f>IF(OR($A368="",$A368&lt;&gt;'Resumen del inventario'!$C$3,$N368="",$N368="OK"),"",IF(COUNTIFS($A$2:$A368,$A368,$B$2:$B368,$B368)=1,1,""))</f>
        <v/>
      </c>
      <c r="S368" s="20">
        <f>IF($R368=1,COUNTIF($R$2:$R368,1),"")</f>
        <v/>
      </c>
    </row>
    <row r="369">
      <c r="A369" s="19" t="n"/>
      <c r="B369" s="14" t="n"/>
      <c r="C369" s="20">
        <f>IF($B369="","",IFERROR(INDEX(Vinos!$B$2:$B$301,MATCH($B369,Vinos!$A$2:$A$301,0)),"Código no cargado"))</f>
        <v/>
      </c>
      <c r="D369" s="14" t="n"/>
      <c r="E369" s="14" t="n"/>
      <c r="F369" s="18" t="n"/>
      <c r="G369" s="18" t="n"/>
      <c r="H369" s="21">
        <f>IF(AND($F369="",$G369=""),"",N($F369)*IFERROR(N(INDEX(Vinos!$H$2:$H$301,MATCH($B369,Vinos!$A$2:$A$301,0))),0)+N($G369))</f>
        <v/>
      </c>
      <c r="I369" s="18" t="n"/>
      <c r="J369" s="21">
        <f>IF(OR($H369="",$I369=""),"",$H369-$I369)</f>
        <v/>
      </c>
      <c r="K369" s="16">
        <f>IF($H369="","",IFERROR(IF(INDEX(Vinos!$J$2:$J$301,MATCH($B369,Vinos!$A$2:$A$301,0))="","",$H369*INDEX(Vinos!$J$2:$J$301,MATCH($B369,Vinos!$A$2:$A$301,0))),""))</f>
        <v/>
      </c>
      <c r="L369" s="16">
        <f>IF($H369="","",IFERROR(IF(INDEX(Vinos!$K$2:$K$301,MATCH($B369,Vinos!$A$2:$A$301,0))="","",$H369*INDEX(Vinos!$K$2:$K$301,MATCH($B369,Vinos!$A$2:$A$301,0))),""))</f>
        <v/>
      </c>
      <c r="M369" s="21">
        <f>IF(OR($A369="",$B369=""),"",SUMIFS($H$2:$H$2001,$A$2:$A$2001,$A369,$B$2:$B$2001,$B369))</f>
        <v/>
      </c>
      <c r="N369" s="20">
        <f>IF($M369="","",IF($M369&lt;=0,"Sin stock: reponer ya",IF($M369&lt;IFERROR(N(INDEX(Vinos!$N$2:$N$301,MATCH($B369,Vinos!$A$2:$A$301,0))),0),"Bajo mínimo: reponer","OK")))</f>
        <v/>
      </c>
      <c r="O369" s="14" t="n"/>
      <c r="P369" s="14" t="n"/>
      <c r="Q369" s="20">
        <f>IF($B369="","",IFERROR(INDEX(Vinos!$C$2:$C$301,MATCH($B369,Vinos!$A$2:$A$301,0)),""))</f>
        <v/>
      </c>
      <c r="R369" s="20">
        <f>IF(OR($A369="",$A369&lt;&gt;'Resumen del inventario'!$C$3,$N369="",$N369="OK"),"",IF(COUNTIFS($A$2:$A369,$A369,$B$2:$B369,$B369)=1,1,""))</f>
        <v/>
      </c>
      <c r="S369" s="20">
        <f>IF($R369=1,COUNTIF($R$2:$R369,1),"")</f>
        <v/>
      </c>
    </row>
    <row r="370">
      <c r="A370" s="19" t="n"/>
      <c r="B370" s="14" t="n"/>
      <c r="C370" s="20">
        <f>IF($B370="","",IFERROR(INDEX(Vinos!$B$2:$B$301,MATCH($B370,Vinos!$A$2:$A$301,0)),"Código no cargado"))</f>
        <v/>
      </c>
      <c r="D370" s="14" t="n"/>
      <c r="E370" s="14" t="n"/>
      <c r="F370" s="18" t="n"/>
      <c r="G370" s="18" t="n"/>
      <c r="H370" s="21">
        <f>IF(AND($F370="",$G370=""),"",N($F370)*IFERROR(N(INDEX(Vinos!$H$2:$H$301,MATCH($B370,Vinos!$A$2:$A$301,0))),0)+N($G370))</f>
        <v/>
      </c>
      <c r="I370" s="18" t="n"/>
      <c r="J370" s="21">
        <f>IF(OR($H370="",$I370=""),"",$H370-$I370)</f>
        <v/>
      </c>
      <c r="K370" s="16">
        <f>IF($H370="","",IFERROR(IF(INDEX(Vinos!$J$2:$J$301,MATCH($B370,Vinos!$A$2:$A$301,0))="","",$H370*INDEX(Vinos!$J$2:$J$301,MATCH($B370,Vinos!$A$2:$A$301,0))),""))</f>
        <v/>
      </c>
      <c r="L370" s="16">
        <f>IF($H370="","",IFERROR(IF(INDEX(Vinos!$K$2:$K$301,MATCH($B370,Vinos!$A$2:$A$301,0))="","",$H370*INDEX(Vinos!$K$2:$K$301,MATCH($B370,Vinos!$A$2:$A$301,0))),""))</f>
        <v/>
      </c>
      <c r="M370" s="21">
        <f>IF(OR($A370="",$B370=""),"",SUMIFS($H$2:$H$2001,$A$2:$A$2001,$A370,$B$2:$B$2001,$B370))</f>
        <v/>
      </c>
      <c r="N370" s="20">
        <f>IF($M370="","",IF($M370&lt;=0,"Sin stock: reponer ya",IF($M370&lt;IFERROR(N(INDEX(Vinos!$N$2:$N$301,MATCH($B370,Vinos!$A$2:$A$301,0))),0),"Bajo mínimo: reponer","OK")))</f>
        <v/>
      </c>
      <c r="O370" s="14" t="n"/>
      <c r="P370" s="14" t="n"/>
      <c r="Q370" s="20">
        <f>IF($B370="","",IFERROR(INDEX(Vinos!$C$2:$C$301,MATCH($B370,Vinos!$A$2:$A$301,0)),""))</f>
        <v/>
      </c>
      <c r="R370" s="20">
        <f>IF(OR($A370="",$A370&lt;&gt;'Resumen del inventario'!$C$3,$N370="",$N370="OK"),"",IF(COUNTIFS($A$2:$A370,$A370,$B$2:$B370,$B370)=1,1,""))</f>
        <v/>
      </c>
      <c r="S370" s="20">
        <f>IF($R370=1,COUNTIF($R$2:$R370,1),"")</f>
        <v/>
      </c>
    </row>
    <row r="371">
      <c r="A371" s="19" t="n"/>
      <c r="B371" s="14" t="n"/>
      <c r="C371" s="20">
        <f>IF($B371="","",IFERROR(INDEX(Vinos!$B$2:$B$301,MATCH($B371,Vinos!$A$2:$A$301,0)),"Código no cargado"))</f>
        <v/>
      </c>
      <c r="D371" s="14" t="n"/>
      <c r="E371" s="14" t="n"/>
      <c r="F371" s="18" t="n"/>
      <c r="G371" s="18" t="n"/>
      <c r="H371" s="21">
        <f>IF(AND($F371="",$G371=""),"",N($F371)*IFERROR(N(INDEX(Vinos!$H$2:$H$301,MATCH($B371,Vinos!$A$2:$A$301,0))),0)+N($G371))</f>
        <v/>
      </c>
      <c r="I371" s="18" t="n"/>
      <c r="J371" s="21">
        <f>IF(OR($H371="",$I371=""),"",$H371-$I371)</f>
        <v/>
      </c>
      <c r="K371" s="16">
        <f>IF($H371="","",IFERROR(IF(INDEX(Vinos!$J$2:$J$301,MATCH($B371,Vinos!$A$2:$A$301,0))="","",$H371*INDEX(Vinos!$J$2:$J$301,MATCH($B371,Vinos!$A$2:$A$301,0))),""))</f>
        <v/>
      </c>
      <c r="L371" s="16">
        <f>IF($H371="","",IFERROR(IF(INDEX(Vinos!$K$2:$K$301,MATCH($B371,Vinos!$A$2:$A$301,0))="","",$H371*INDEX(Vinos!$K$2:$K$301,MATCH($B371,Vinos!$A$2:$A$301,0))),""))</f>
        <v/>
      </c>
      <c r="M371" s="21">
        <f>IF(OR($A371="",$B371=""),"",SUMIFS($H$2:$H$2001,$A$2:$A$2001,$A371,$B$2:$B$2001,$B371))</f>
        <v/>
      </c>
      <c r="N371" s="20">
        <f>IF($M371="","",IF($M371&lt;=0,"Sin stock: reponer ya",IF($M371&lt;IFERROR(N(INDEX(Vinos!$N$2:$N$301,MATCH($B371,Vinos!$A$2:$A$301,0))),0),"Bajo mínimo: reponer","OK")))</f>
        <v/>
      </c>
      <c r="O371" s="14" t="n"/>
      <c r="P371" s="14" t="n"/>
      <c r="Q371" s="20">
        <f>IF($B371="","",IFERROR(INDEX(Vinos!$C$2:$C$301,MATCH($B371,Vinos!$A$2:$A$301,0)),""))</f>
        <v/>
      </c>
      <c r="R371" s="20">
        <f>IF(OR($A371="",$A371&lt;&gt;'Resumen del inventario'!$C$3,$N371="",$N371="OK"),"",IF(COUNTIFS($A$2:$A371,$A371,$B$2:$B371,$B371)=1,1,""))</f>
        <v/>
      </c>
      <c r="S371" s="20">
        <f>IF($R371=1,COUNTIF($R$2:$R371,1),"")</f>
        <v/>
      </c>
    </row>
    <row r="372">
      <c r="A372" s="19" t="n"/>
      <c r="B372" s="14" t="n"/>
      <c r="C372" s="20">
        <f>IF($B372="","",IFERROR(INDEX(Vinos!$B$2:$B$301,MATCH($B372,Vinos!$A$2:$A$301,0)),"Código no cargado"))</f>
        <v/>
      </c>
      <c r="D372" s="14" t="n"/>
      <c r="E372" s="14" t="n"/>
      <c r="F372" s="18" t="n"/>
      <c r="G372" s="18" t="n"/>
      <c r="H372" s="21">
        <f>IF(AND($F372="",$G372=""),"",N($F372)*IFERROR(N(INDEX(Vinos!$H$2:$H$301,MATCH($B372,Vinos!$A$2:$A$301,0))),0)+N($G372))</f>
        <v/>
      </c>
      <c r="I372" s="18" t="n"/>
      <c r="J372" s="21">
        <f>IF(OR($H372="",$I372=""),"",$H372-$I372)</f>
        <v/>
      </c>
      <c r="K372" s="16">
        <f>IF($H372="","",IFERROR(IF(INDEX(Vinos!$J$2:$J$301,MATCH($B372,Vinos!$A$2:$A$301,0))="","",$H372*INDEX(Vinos!$J$2:$J$301,MATCH($B372,Vinos!$A$2:$A$301,0))),""))</f>
        <v/>
      </c>
      <c r="L372" s="16">
        <f>IF($H372="","",IFERROR(IF(INDEX(Vinos!$K$2:$K$301,MATCH($B372,Vinos!$A$2:$A$301,0))="","",$H372*INDEX(Vinos!$K$2:$K$301,MATCH($B372,Vinos!$A$2:$A$301,0))),""))</f>
        <v/>
      </c>
      <c r="M372" s="21">
        <f>IF(OR($A372="",$B372=""),"",SUMIFS($H$2:$H$2001,$A$2:$A$2001,$A372,$B$2:$B$2001,$B372))</f>
        <v/>
      </c>
      <c r="N372" s="20">
        <f>IF($M372="","",IF($M372&lt;=0,"Sin stock: reponer ya",IF($M372&lt;IFERROR(N(INDEX(Vinos!$N$2:$N$301,MATCH($B372,Vinos!$A$2:$A$301,0))),0),"Bajo mínimo: reponer","OK")))</f>
        <v/>
      </c>
      <c r="O372" s="14" t="n"/>
      <c r="P372" s="14" t="n"/>
      <c r="Q372" s="20">
        <f>IF($B372="","",IFERROR(INDEX(Vinos!$C$2:$C$301,MATCH($B372,Vinos!$A$2:$A$301,0)),""))</f>
        <v/>
      </c>
      <c r="R372" s="20">
        <f>IF(OR($A372="",$A372&lt;&gt;'Resumen del inventario'!$C$3,$N372="",$N372="OK"),"",IF(COUNTIFS($A$2:$A372,$A372,$B$2:$B372,$B372)=1,1,""))</f>
        <v/>
      </c>
      <c r="S372" s="20">
        <f>IF($R372=1,COUNTIF($R$2:$R372,1),"")</f>
        <v/>
      </c>
    </row>
    <row r="373">
      <c r="A373" s="19" t="n"/>
      <c r="B373" s="14" t="n"/>
      <c r="C373" s="20">
        <f>IF($B373="","",IFERROR(INDEX(Vinos!$B$2:$B$301,MATCH($B373,Vinos!$A$2:$A$301,0)),"Código no cargado"))</f>
        <v/>
      </c>
      <c r="D373" s="14" t="n"/>
      <c r="E373" s="14" t="n"/>
      <c r="F373" s="18" t="n"/>
      <c r="G373" s="18" t="n"/>
      <c r="H373" s="21">
        <f>IF(AND($F373="",$G373=""),"",N($F373)*IFERROR(N(INDEX(Vinos!$H$2:$H$301,MATCH($B373,Vinos!$A$2:$A$301,0))),0)+N($G373))</f>
        <v/>
      </c>
      <c r="I373" s="18" t="n"/>
      <c r="J373" s="21">
        <f>IF(OR($H373="",$I373=""),"",$H373-$I373)</f>
        <v/>
      </c>
      <c r="K373" s="16">
        <f>IF($H373="","",IFERROR(IF(INDEX(Vinos!$J$2:$J$301,MATCH($B373,Vinos!$A$2:$A$301,0))="","",$H373*INDEX(Vinos!$J$2:$J$301,MATCH($B373,Vinos!$A$2:$A$301,0))),""))</f>
        <v/>
      </c>
      <c r="L373" s="16">
        <f>IF($H373="","",IFERROR(IF(INDEX(Vinos!$K$2:$K$301,MATCH($B373,Vinos!$A$2:$A$301,0))="","",$H373*INDEX(Vinos!$K$2:$K$301,MATCH($B373,Vinos!$A$2:$A$301,0))),""))</f>
        <v/>
      </c>
      <c r="M373" s="21">
        <f>IF(OR($A373="",$B373=""),"",SUMIFS($H$2:$H$2001,$A$2:$A$2001,$A373,$B$2:$B$2001,$B373))</f>
        <v/>
      </c>
      <c r="N373" s="20">
        <f>IF($M373="","",IF($M373&lt;=0,"Sin stock: reponer ya",IF($M373&lt;IFERROR(N(INDEX(Vinos!$N$2:$N$301,MATCH($B373,Vinos!$A$2:$A$301,0))),0),"Bajo mínimo: reponer","OK")))</f>
        <v/>
      </c>
      <c r="O373" s="14" t="n"/>
      <c r="P373" s="14" t="n"/>
      <c r="Q373" s="20">
        <f>IF($B373="","",IFERROR(INDEX(Vinos!$C$2:$C$301,MATCH($B373,Vinos!$A$2:$A$301,0)),""))</f>
        <v/>
      </c>
      <c r="R373" s="20">
        <f>IF(OR($A373="",$A373&lt;&gt;'Resumen del inventario'!$C$3,$N373="",$N373="OK"),"",IF(COUNTIFS($A$2:$A373,$A373,$B$2:$B373,$B373)=1,1,""))</f>
        <v/>
      </c>
      <c r="S373" s="20">
        <f>IF($R373=1,COUNTIF($R$2:$R373,1),"")</f>
        <v/>
      </c>
    </row>
    <row r="374">
      <c r="A374" s="19" t="n"/>
      <c r="B374" s="14" t="n"/>
      <c r="C374" s="20">
        <f>IF($B374="","",IFERROR(INDEX(Vinos!$B$2:$B$301,MATCH($B374,Vinos!$A$2:$A$301,0)),"Código no cargado"))</f>
        <v/>
      </c>
      <c r="D374" s="14" t="n"/>
      <c r="E374" s="14" t="n"/>
      <c r="F374" s="18" t="n"/>
      <c r="G374" s="18" t="n"/>
      <c r="H374" s="21">
        <f>IF(AND($F374="",$G374=""),"",N($F374)*IFERROR(N(INDEX(Vinos!$H$2:$H$301,MATCH($B374,Vinos!$A$2:$A$301,0))),0)+N($G374))</f>
        <v/>
      </c>
      <c r="I374" s="18" t="n"/>
      <c r="J374" s="21">
        <f>IF(OR($H374="",$I374=""),"",$H374-$I374)</f>
        <v/>
      </c>
      <c r="K374" s="16">
        <f>IF($H374="","",IFERROR(IF(INDEX(Vinos!$J$2:$J$301,MATCH($B374,Vinos!$A$2:$A$301,0))="","",$H374*INDEX(Vinos!$J$2:$J$301,MATCH($B374,Vinos!$A$2:$A$301,0))),""))</f>
        <v/>
      </c>
      <c r="L374" s="16">
        <f>IF($H374="","",IFERROR(IF(INDEX(Vinos!$K$2:$K$301,MATCH($B374,Vinos!$A$2:$A$301,0))="","",$H374*INDEX(Vinos!$K$2:$K$301,MATCH($B374,Vinos!$A$2:$A$301,0))),""))</f>
        <v/>
      </c>
      <c r="M374" s="21">
        <f>IF(OR($A374="",$B374=""),"",SUMIFS($H$2:$H$2001,$A$2:$A$2001,$A374,$B$2:$B$2001,$B374))</f>
        <v/>
      </c>
      <c r="N374" s="20">
        <f>IF($M374="","",IF($M374&lt;=0,"Sin stock: reponer ya",IF($M374&lt;IFERROR(N(INDEX(Vinos!$N$2:$N$301,MATCH($B374,Vinos!$A$2:$A$301,0))),0),"Bajo mínimo: reponer","OK")))</f>
        <v/>
      </c>
      <c r="O374" s="14" t="n"/>
      <c r="P374" s="14" t="n"/>
      <c r="Q374" s="20">
        <f>IF($B374="","",IFERROR(INDEX(Vinos!$C$2:$C$301,MATCH($B374,Vinos!$A$2:$A$301,0)),""))</f>
        <v/>
      </c>
      <c r="R374" s="20">
        <f>IF(OR($A374="",$A374&lt;&gt;'Resumen del inventario'!$C$3,$N374="",$N374="OK"),"",IF(COUNTIFS($A$2:$A374,$A374,$B$2:$B374,$B374)=1,1,""))</f>
        <v/>
      </c>
      <c r="S374" s="20">
        <f>IF($R374=1,COUNTIF($R$2:$R374,1),"")</f>
        <v/>
      </c>
    </row>
    <row r="375">
      <c r="A375" s="19" t="n"/>
      <c r="B375" s="14" t="n"/>
      <c r="C375" s="20">
        <f>IF($B375="","",IFERROR(INDEX(Vinos!$B$2:$B$301,MATCH($B375,Vinos!$A$2:$A$301,0)),"Código no cargado"))</f>
        <v/>
      </c>
      <c r="D375" s="14" t="n"/>
      <c r="E375" s="14" t="n"/>
      <c r="F375" s="18" t="n"/>
      <c r="G375" s="18" t="n"/>
      <c r="H375" s="21">
        <f>IF(AND($F375="",$G375=""),"",N($F375)*IFERROR(N(INDEX(Vinos!$H$2:$H$301,MATCH($B375,Vinos!$A$2:$A$301,0))),0)+N($G375))</f>
        <v/>
      </c>
      <c r="I375" s="18" t="n"/>
      <c r="J375" s="21">
        <f>IF(OR($H375="",$I375=""),"",$H375-$I375)</f>
        <v/>
      </c>
      <c r="K375" s="16">
        <f>IF($H375="","",IFERROR(IF(INDEX(Vinos!$J$2:$J$301,MATCH($B375,Vinos!$A$2:$A$301,0))="","",$H375*INDEX(Vinos!$J$2:$J$301,MATCH($B375,Vinos!$A$2:$A$301,0))),""))</f>
        <v/>
      </c>
      <c r="L375" s="16">
        <f>IF($H375="","",IFERROR(IF(INDEX(Vinos!$K$2:$K$301,MATCH($B375,Vinos!$A$2:$A$301,0))="","",$H375*INDEX(Vinos!$K$2:$K$301,MATCH($B375,Vinos!$A$2:$A$301,0))),""))</f>
        <v/>
      </c>
      <c r="M375" s="21">
        <f>IF(OR($A375="",$B375=""),"",SUMIFS($H$2:$H$2001,$A$2:$A$2001,$A375,$B$2:$B$2001,$B375))</f>
        <v/>
      </c>
      <c r="N375" s="20">
        <f>IF($M375="","",IF($M375&lt;=0,"Sin stock: reponer ya",IF($M375&lt;IFERROR(N(INDEX(Vinos!$N$2:$N$301,MATCH($B375,Vinos!$A$2:$A$301,0))),0),"Bajo mínimo: reponer","OK")))</f>
        <v/>
      </c>
      <c r="O375" s="14" t="n"/>
      <c r="P375" s="14" t="n"/>
      <c r="Q375" s="20">
        <f>IF($B375="","",IFERROR(INDEX(Vinos!$C$2:$C$301,MATCH($B375,Vinos!$A$2:$A$301,0)),""))</f>
        <v/>
      </c>
      <c r="R375" s="20">
        <f>IF(OR($A375="",$A375&lt;&gt;'Resumen del inventario'!$C$3,$N375="",$N375="OK"),"",IF(COUNTIFS($A$2:$A375,$A375,$B$2:$B375,$B375)=1,1,""))</f>
        <v/>
      </c>
      <c r="S375" s="20">
        <f>IF($R375=1,COUNTIF($R$2:$R375,1),"")</f>
        <v/>
      </c>
    </row>
    <row r="376">
      <c r="A376" s="19" t="n"/>
      <c r="B376" s="14" t="n"/>
      <c r="C376" s="20">
        <f>IF($B376="","",IFERROR(INDEX(Vinos!$B$2:$B$301,MATCH($B376,Vinos!$A$2:$A$301,0)),"Código no cargado"))</f>
        <v/>
      </c>
      <c r="D376" s="14" t="n"/>
      <c r="E376" s="14" t="n"/>
      <c r="F376" s="18" t="n"/>
      <c r="G376" s="18" t="n"/>
      <c r="H376" s="21">
        <f>IF(AND($F376="",$G376=""),"",N($F376)*IFERROR(N(INDEX(Vinos!$H$2:$H$301,MATCH($B376,Vinos!$A$2:$A$301,0))),0)+N($G376))</f>
        <v/>
      </c>
      <c r="I376" s="18" t="n"/>
      <c r="J376" s="21">
        <f>IF(OR($H376="",$I376=""),"",$H376-$I376)</f>
        <v/>
      </c>
      <c r="K376" s="16">
        <f>IF($H376="","",IFERROR(IF(INDEX(Vinos!$J$2:$J$301,MATCH($B376,Vinos!$A$2:$A$301,0))="","",$H376*INDEX(Vinos!$J$2:$J$301,MATCH($B376,Vinos!$A$2:$A$301,0))),""))</f>
        <v/>
      </c>
      <c r="L376" s="16">
        <f>IF($H376="","",IFERROR(IF(INDEX(Vinos!$K$2:$K$301,MATCH($B376,Vinos!$A$2:$A$301,0))="","",$H376*INDEX(Vinos!$K$2:$K$301,MATCH($B376,Vinos!$A$2:$A$301,0))),""))</f>
        <v/>
      </c>
      <c r="M376" s="21">
        <f>IF(OR($A376="",$B376=""),"",SUMIFS($H$2:$H$2001,$A$2:$A$2001,$A376,$B$2:$B$2001,$B376))</f>
        <v/>
      </c>
      <c r="N376" s="20">
        <f>IF($M376="","",IF($M376&lt;=0,"Sin stock: reponer ya",IF($M376&lt;IFERROR(N(INDEX(Vinos!$N$2:$N$301,MATCH($B376,Vinos!$A$2:$A$301,0))),0),"Bajo mínimo: reponer","OK")))</f>
        <v/>
      </c>
      <c r="O376" s="14" t="n"/>
      <c r="P376" s="14" t="n"/>
      <c r="Q376" s="20">
        <f>IF($B376="","",IFERROR(INDEX(Vinos!$C$2:$C$301,MATCH($B376,Vinos!$A$2:$A$301,0)),""))</f>
        <v/>
      </c>
      <c r="R376" s="20">
        <f>IF(OR($A376="",$A376&lt;&gt;'Resumen del inventario'!$C$3,$N376="",$N376="OK"),"",IF(COUNTIFS($A$2:$A376,$A376,$B$2:$B376,$B376)=1,1,""))</f>
        <v/>
      </c>
      <c r="S376" s="20">
        <f>IF($R376=1,COUNTIF($R$2:$R376,1),"")</f>
        <v/>
      </c>
    </row>
    <row r="377">
      <c r="A377" s="19" t="n"/>
      <c r="B377" s="14" t="n"/>
      <c r="C377" s="20">
        <f>IF($B377="","",IFERROR(INDEX(Vinos!$B$2:$B$301,MATCH($B377,Vinos!$A$2:$A$301,0)),"Código no cargado"))</f>
        <v/>
      </c>
      <c r="D377" s="14" t="n"/>
      <c r="E377" s="14" t="n"/>
      <c r="F377" s="18" t="n"/>
      <c r="G377" s="18" t="n"/>
      <c r="H377" s="21">
        <f>IF(AND($F377="",$G377=""),"",N($F377)*IFERROR(N(INDEX(Vinos!$H$2:$H$301,MATCH($B377,Vinos!$A$2:$A$301,0))),0)+N($G377))</f>
        <v/>
      </c>
      <c r="I377" s="18" t="n"/>
      <c r="J377" s="21">
        <f>IF(OR($H377="",$I377=""),"",$H377-$I377)</f>
        <v/>
      </c>
      <c r="K377" s="16">
        <f>IF($H377="","",IFERROR(IF(INDEX(Vinos!$J$2:$J$301,MATCH($B377,Vinos!$A$2:$A$301,0))="","",$H377*INDEX(Vinos!$J$2:$J$301,MATCH($B377,Vinos!$A$2:$A$301,0))),""))</f>
        <v/>
      </c>
      <c r="L377" s="16">
        <f>IF($H377="","",IFERROR(IF(INDEX(Vinos!$K$2:$K$301,MATCH($B377,Vinos!$A$2:$A$301,0))="","",$H377*INDEX(Vinos!$K$2:$K$301,MATCH($B377,Vinos!$A$2:$A$301,0))),""))</f>
        <v/>
      </c>
      <c r="M377" s="21">
        <f>IF(OR($A377="",$B377=""),"",SUMIFS($H$2:$H$2001,$A$2:$A$2001,$A377,$B$2:$B$2001,$B377))</f>
        <v/>
      </c>
      <c r="N377" s="20">
        <f>IF($M377="","",IF($M377&lt;=0,"Sin stock: reponer ya",IF($M377&lt;IFERROR(N(INDEX(Vinos!$N$2:$N$301,MATCH($B377,Vinos!$A$2:$A$301,0))),0),"Bajo mínimo: reponer","OK")))</f>
        <v/>
      </c>
      <c r="O377" s="14" t="n"/>
      <c r="P377" s="14" t="n"/>
      <c r="Q377" s="20">
        <f>IF($B377="","",IFERROR(INDEX(Vinos!$C$2:$C$301,MATCH($B377,Vinos!$A$2:$A$301,0)),""))</f>
        <v/>
      </c>
      <c r="R377" s="20">
        <f>IF(OR($A377="",$A377&lt;&gt;'Resumen del inventario'!$C$3,$N377="",$N377="OK"),"",IF(COUNTIFS($A$2:$A377,$A377,$B$2:$B377,$B377)=1,1,""))</f>
        <v/>
      </c>
      <c r="S377" s="20">
        <f>IF($R377=1,COUNTIF($R$2:$R377,1),"")</f>
        <v/>
      </c>
    </row>
    <row r="378">
      <c r="A378" s="19" t="n"/>
      <c r="B378" s="14" t="n"/>
      <c r="C378" s="20">
        <f>IF($B378="","",IFERROR(INDEX(Vinos!$B$2:$B$301,MATCH($B378,Vinos!$A$2:$A$301,0)),"Código no cargado"))</f>
        <v/>
      </c>
      <c r="D378" s="14" t="n"/>
      <c r="E378" s="14" t="n"/>
      <c r="F378" s="18" t="n"/>
      <c r="G378" s="18" t="n"/>
      <c r="H378" s="21">
        <f>IF(AND($F378="",$G378=""),"",N($F378)*IFERROR(N(INDEX(Vinos!$H$2:$H$301,MATCH($B378,Vinos!$A$2:$A$301,0))),0)+N($G378))</f>
        <v/>
      </c>
      <c r="I378" s="18" t="n"/>
      <c r="J378" s="21">
        <f>IF(OR($H378="",$I378=""),"",$H378-$I378)</f>
        <v/>
      </c>
      <c r="K378" s="16">
        <f>IF($H378="","",IFERROR(IF(INDEX(Vinos!$J$2:$J$301,MATCH($B378,Vinos!$A$2:$A$301,0))="","",$H378*INDEX(Vinos!$J$2:$J$301,MATCH($B378,Vinos!$A$2:$A$301,0))),""))</f>
        <v/>
      </c>
      <c r="L378" s="16">
        <f>IF($H378="","",IFERROR(IF(INDEX(Vinos!$K$2:$K$301,MATCH($B378,Vinos!$A$2:$A$301,0))="","",$H378*INDEX(Vinos!$K$2:$K$301,MATCH($B378,Vinos!$A$2:$A$301,0))),""))</f>
        <v/>
      </c>
      <c r="M378" s="21">
        <f>IF(OR($A378="",$B378=""),"",SUMIFS($H$2:$H$2001,$A$2:$A$2001,$A378,$B$2:$B$2001,$B378))</f>
        <v/>
      </c>
      <c r="N378" s="20">
        <f>IF($M378="","",IF($M378&lt;=0,"Sin stock: reponer ya",IF($M378&lt;IFERROR(N(INDEX(Vinos!$N$2:$N$301,MATCH($B378,Vinos!$A$2:$A$301,0))),0),"Bajo mínimo: reponer","OK")))</f>
        <v/>
      </c>
      <c r="O378" s="14" t="n"/>
      <c r="P378" s="14" t="n"/>
      <c r="Q378" s="20">
        <f>IF($B378="","",IFERROR(INDEX(Vinos!$C$2:$C$301,MATCH($B378,Vinos!$A$2:$A$301,0)),""))</f>
        <v/>
      </c>
      <c r="R378" s="20">
        <f>IF(OR($A378="",$A378&lt;&gt;'Resumen del inventario'!$C$3,$N378="",$N378="OK"),"",IF(COUNTIFS($A$2:$A378,$A378,$B$2:$B378,$B378)=1,1,""))</f>
        <v/>
      </c>
      <c r="S378" s="20">
        <f>IF($R378=1,COUNTIF($R$2:$R378,1),"")</f>
        <v/>
      </c>
    </row>
    <row r="379">
      <c r="A379" s="19" t="n"/>
      <c r="B379" s="14" t="n"/>
      <c r="C379" s="20">
        <f>IF($B379="","",IFERROR(INDEX(Vinos!$B$2:$B$301,MATCH($B379,Vinos!$A$2:$A$301,0)),"Código no cargado"))</f>
        <v/>
      </c>
      <c r="D379" s="14" t="n"/>
      <c r="E379" s="14" t="n"/>
      <c r="F379" s="18" t="n"/>
      <c r="G379" s="18" t="n"/>
      <c r="H379" s="21">
        <f>IF(AND($F379="",$G379=""),"",N($F379)*IFERROR(N(INDEX(Vinos!$H$2:$H$301,MATCH($B379,Vinos!$A$2:$A$301,0))),0)+N($G379))</f>
        <v/>
      </c>
      <c r="I379" s="18" t="n"/>
      <c r="J379" s="21">
        <f>IF(OR($H379="",$I379=""),"",$H379-$I379)</f>
        <v/>
      </c>
      <c r="K379" s="16">
        <f>IF($H379="","",IFERROR(IF(INDEX(Vinos!$J$2:$J$301,MATCH($B379,Vinos!$A$2:$A$301,0))="","",$H379*INDEX(Vinos!$J$2:$J$301,MATCH($B379,Vinos!$A$2:$A$301,0))),""))</f>
        <v/>
      </c>
      <c r="L379" s="16">
        <f>IF($H379="","",IFERROR(IF(INDEX(Vinos!$K$2:$K$301,MATCH($B379,Vinos!$A$2:$A$301,0))="","",$H379*INDEX(Vinos!$K$2:$K$301,MATCH($B379,Vinos!$A$2:$A$301,0))),""))</f>
        <v/>
      </c>
      <c r="M379" s="21">
        <f>IF(OR($A379="",$B379=""),"",SUMIFS($H$2:$H$2001,$A$2:$A$2001,$A379,$B$2:$B$2001,$B379))</f>
        <v/>
      </c>
      <c r="N379" s="20">
        <f>IF($M379="","",IF($M379&lt;=0,"Sin stock: reponer ya",IF($M379&lt;IFERROR(N(INDEX(Vinos!$N$2:$N$301,MATCH($B379,Vinos!$A$2:$A$301,0))),0),"Bajo mínimo: reponer","OK")))</f>
        <v/>
      </c>
      <c r="O379" s="14" t="n"/>
      <c r="P379" s="14" t="n"/>
      <c r="Q379" s="20">
        <f>IF($B379="","",IFERROR(INDEX(Vinos!$C$2:$C$301,MATCH($B379,Vinos!$A$2:$A$301,0)),""))</f>
        <v/>
      </c>
      <c r="R379" s="20">
        <f>IF(OR($A379="",$A379&lt;&gt;'Resumen del inventario'!$C$3,$N379="",$N379="OK"),"",IF(COUNTIFS($A$2:$A379,$A379,$B$2:$B379,$B379)=1,1,""))</f>
        <v/>
      </c>
      <c r="S379" s="20">
        <f>IF($R379=1,COUNTIF($R$2:$R379,1),"")</f>
        <v/>
      </c>
    </row>
    <row r="380">
      <c r="A380" s="19" t="n"/>
      <c r="B380" s="14" t="n"/>
      <c r="C380" s="20">
        <f>IF($B380="","",IFERROR(INDEX(Vinos!$B$2:$B$301,MATCH($B380,Vinos!$A$2:$A$301,0)),"Código no cargado"))</f>
        <v/>
      </c>
      <c r="D380" s="14" t="n"/>
      <c r="E380" s="14" t="n"/>
      <c r="F380" s="18" t="n"/>
      <c r="G380" s="18" t="n"/>
      <c r="H380" s="21">
        <f>IF(AND($F380="",$G380=""),"",N($F380)*IFERROR(N(INDEX(Vinos!$H$2:$H$301,MATCH($B380,Vinos!$A$2:$A$301,0))),0)+N($G380))</f>
        <v/>
      </c>
      <c r="I380" s="18" t="n"/>
      <c r="J380" s="21">
        <f>IF(OR($H380="",$I380=""),"",$H380-$I380)</f>
        <v/>
      </c>
      <c r="K380" s="16">
        <f>IF($H380="","",IFERROR(IF(INDEX(Vinos!$J$2:$J$301,MATCH($B380,Vinos!$A$2:$A$301,0))="","",$H380*INDEX(Vinos!$J$2:$J$301,MATCH($B380,Vinos!$A$2:$A$301,0))),""))</f>
        <v/>
      </c>
      <c r="L380" s="16">
        <f>IF($H380="","",IFERROR(IF(INDEX(Vinos!$K$2:$K$301,MATCH($B380,Vinos!$A$2:$A$301,0))="","",$H380*INDEX(Vinos!$K$2:$K$301,MATCH($B380,Vinos!$A$2:$A$301,0))),""))</f>
        <v/>
      </c>
      <c r="M380" s="21">
        <f>IF(OR($A380="",$B380=""),"",SUMIFS($H$2:$H$2001,$A$2:$A$2001,$A380,$B$2:$B$2001,$B380))</f>
        <v/>
      </c>
      <c r="N380" s="20">
        <f>IF($M380="","",IF($M380&lt;=0,"Sin stock: reponer ya",IF($M380&lt;IFERROR(N(INDEX(Vinos!$N$2:$N$301,MATCH($B380,Vinos!$A$2:$A$301,0))),0),"Bajo mínimo: reponer","OK")))</f>
        <v/>
      </c>
      <c r="O380" s="14" t="n"/>
      <c r="P380" s="14" t="n"/>
      <c r="Q380" s="20">
        <f>IF($B380="","",IFERROR(INDEX(Vinos!$C$2:$C$301,MATCH($B380,Vinos!$A$2:$A$301,0)),""))</f>
        <v/>
      </c>
      <c r="R380" s="20">
        <f>IF(OR($A380="",$A380&lt;&gt;'Resumen del inventario'!$C$3,$N380="",$N380="OK"),"",IF(COUNTIFS($A$2:$A380,$A380,$B$2:$B380,$B380)=1,1,""))</f>
        <v/>
      </c>
      <c r="S380" s="20">
        <f>IF($R380=1,COUNTIF($R$2:$R380,1),"")</f>
        <v/>
      </c>
    </row>
    <row r="381">
      <c r="A381" s="19" t="n"/>
      <c r="B381" s="14" t="n"/>
      <c r="C381" s="20">
        <f>IF($B381="","",IFERROR(INDEX(Vinos!$B$2:$B$301,MATCH($B381,Vinos!$A$2:$A$301,0)),"Código no cargado"))</f>
        <v/>
      </c>
      <c r="D381" s="14" t="n"/>
      <c r="E381" s="14" t="n"/>
      <c r="F381" s="18" t="n"/>
      <c r="G381" s="18" t="n"/>
      <c r="H381" s="21">
        <f>IF(AND($F381="",$G381=""),"",N($F381)*IFERROR(N(INDEX(Vinos!$H$2:$H$301,MATCH($B381,Vinos!$A$2:$A$301,0))),0)+N($G381))</f>
        <v/>
      </c>
      <c r="I381" s="18" t="n"/>
      <c r="J381" s="21">
        <f>IF(OR($H381="",$I381=""),"",$H381-$I381)</f>
        <v/>
      </c>
      <c r="K381" s="16">
        <f>IF($H381="","",IFERROR(IF(INDEX(Vinos!$J$2:$J$301,MATCH($B381,Vinos!$A$2:$A$301,0))="","",$H381*INDEX(Vinos!$J$2:$J$301,MATCH($B381,Vinos!$A$2:$A$301,0))),""))</f>
        <v/>
      </c>
      <c r="L381" s="16">
        <f>IF($H381="","",IFERROR(IF(INDEX(Vinos!$K$2:$K$301,MATCH($B381,Vinos!$A$2:$A$301,0))="","",$H381*INDEX(Vinos!$K$2:$K$301,MATCH($B381,Vinos!$A$2:$A$301,0))),""))</f>
        <v/>
      </c>
      <c r="M381" s="21">
        <f>IF(OR($A381="",$B381=""),"",SUMIFS($H$2:$H$2001,$A$2:$A$2001,$A381,$B$2:$B$2001,$B381))</f>
        <v/>
      </c>
      <c r="N381" s="20">
        <f>IF($M381="","",IF($M381&lt;=0,"Sin stock: reponer ya",IF($M381&lt;IFERROR(N(INDEX(Vinos!$N$2:$N$301,MATCH($B381,Vinos!$A$2:$A$301,0))),0),"Bajo mínimo: reponer","OK")))</f>
        <v/>
      </c>
      <c r="O381" s="14" t="n"/>
      <c r="P381" s="14" t="n"/>
      <c r="Q381" s="20">
        <f>IF($B381="","",IFERROR(INDEX(Vinos!$C$2:$C$301,MATCH($B381,Vinos!$A$2:$A$301,0)),""))</f>
        <v/>
      </c>
      <c r="R381" s="20">
        <f>IF(OR($A381="",$A381&lt;&gt;'Resumen del inventario'!$C$3,$N381="",$N381="OK"),"",IF(COUNTIFS($A$2:$A381,$A381,$B$2:$B381,$B381)=1,1,""))</f>
        <v/>
      </c>
      <c r="S381" s="20">
        <f>IF($R381=1,COUNTIF($R$2:$R381,1),"")</f>
        <v/>
      </c>
    </row>
    <row r="382">
      <c r="A382" s="19" t="n"/>
      <c r="B382" s="14" t="n"/>
      <c r="C382" s="20">
        <f>IF($B382="","",IFERROR(INDEX(Vinos!$B$2:$B$301,MATCH($B382,Vinos!$A$2:$A$301,0)),"Código no cargado"))</f>
        <v/>
      </c>
      <c r="D382" s="14" t="n"/>
      <c r="E382" s="14" t="n"/>
      <c r="F382" s="18" t="n"/>
      <c r="G382" s="18" t="n"/>
      <c r="H382" s="21">
        <f>IF(AND($F382="",$G382=""),"",N($F382)*IFERROR(N(INDEX(Vinos!$H$2:$H$301,MATCH($B382,Vinos!$A$2:$A$301,0))),0)+N($G382))</f>
        <v/>
      </c>
      <c r="I382" s="18" t="n"/>
      <c r="J382" s="21">
        <f>IF(OR($H382="",$I382=""),"",$H382-$I382)</f>
        <v/>
      </c>
      <c r="K382" s="16">
        <f>IF($H382="","",IFERROR(IF(INDEX(Vinos!$J$2:$J$301,MATCH($B382,Vinos!$A$2:$A$301,0))="","",$H382*INDEX(Vinos!$J$2:$J$301,MATCH($B382,Vinos!$A$2:$A$301,0))),""))</f>
        <v/>
      </c>
      <c r="L382" s="16">
        <f>IF($H382="","",IFERROR(IF(INDEX(Vinos!$K$2:$K$301,MATCH($B382,Vinos!$A$2:$A$301,0))="","",$H382*INDEX(Vinos!$K$2:$K$301,MATCH($B382,Vinos!$A$2:$A$301,0))),""))</f>
        <v/>
      </c>
      <c r="M382" s="21">
        <f>IF(OR($A382="",$B382=""),"",SUMIFS($H$2:$H$2001,$A$2:$A$2001,$A382,$B$2:$B$2001,$B382))</f>
        <v/>
      </c>
      <c r="N382" s="20">
        <f>IF($M382="","",IF($M382&lt;=0,"Sin stock: reponer ya",IF($M382&lt;IFERROR(N(INDEX(Vinos!$N$2:$N$301,MATCH($B382,Vinos!$A$2:$A$301,0))),0),"Bajo mínimo: reponer","OK")))</f>
        <v/>
      </c>
      <c r="O382" s="14" t="n"/>
      <c r="P382" s="14" t="n"/>
      <c r="Q382" s="20">
        <f>IF($B382="","",IFERROR(INDEX(Vinos!$C$2:$C$301,MATCH($B382,Vinos!$A$2:$A$301,0)),""))</f>
        <v/>
      </c>
      <c r="R382" s="20">
        <f>IF(OR($A382="",$A382&lt;&gt;'Resumen del inventario'!$C$3,$N382="",$N382="OK"),"",IF(COUNTIFS($A$2:$A382,$A382,$B$2:$B382,$B382)=1,1,""))</f>
        <v/>
      </c>
      <c r="S382" s="20">
        <f>IF($R382=1,COUNTIF($R$2:$R382,1),"")</f>
        <v/>
      </c>
    </row>
    <row r="383">
      <c r="A383" s="19" t="n"/>
      <c r="B383" s="14" t="n"/>
      <c r="C383" s="20">
        <f>IF($B383="","",IFERROR(INDEX(Vinos!$B$2:$B$301,MATCH($B383,Vinos!$A$2:$A$301,0)),"Código no cargado"))</f>
        <v/>
      </c>
      <c r="D383" s="14" t="n"/>
      <c r="E383" s="14" t="n"/>
      <c r="F383" s="18" t="n"/>
      <c r="G383" s="18" t="n"/>
      <c r="H383" s="21">
        <f>IF(AND($F383="",$G383=""),"",N($F383)*IFERROR(N(INDEX(Vinos!$H$2:$H$301,MATCH($B383,Vinos!$A$2:$A$301,0))),0)+N($G383))</f>
        <v/>
      </c>
      <c r="I383" s="18" t="n"/>
      <c r="J383" s="21">
        <f>IF(OR($H383="",$I383=""),"",$H383-$I383)</f>
        <v/>
      </c>
      <c r="K383" s="16">
        <f>IF($H383="","",IFERROR(IF(INDEX(Vinos!$J$2:$J$301,MATCH($B383,Vinos!$A$2:$A$301,0))="","",$H383*INDEX(Vinos!$J$2:$J$301,MATCH($B383,Vinos!$A$2:$A$301,0))),""))</f>
        <v/>
      </c>
      <c r="L383" s="16">
        <f>IF($H383="","",IFERROR(IF(INDEX(Vinos!$K$2:$K$301,MATCH($B383,Vinos!$A$2:$A$301,0))="","",$H383*INDEX(Vinos!$K$2:$K$301,MATCH($B383,Vinos!$A$2:$A$301,0))),""))</f>
        <v/>
      </c>
      <c r="M383" s="21">
        <f>IF(OR($A383="",$B383=""),"",SUMIFS($H$2:$H$2001,$A$2:$A$2001,$A383,$B$2:$B$2001,$B383))</f>
        <v/>
      </c>
      <c r="N383" s="20">
        <f>IF($M383="","",IF($M383&lt;=0,"Sin stock: reponer ya",IF($M383&lt;IFERROR(N(INDEX(Vinos!$N$2:$N$301,MATCH($B383,Vinos!$A$2:$A$301,0))),0),"Bajo mínimo: reponer","OK")))</f>
        <v/>
      </c>
      <c r="O383" s="14" t="n"/>
      <c r="P383" s="14" t="n"/>
      <c r="Q383" s="20">
        <f>IF($B383="","",IFERROR(INDEX(Vinos!$C$2:$C$301,MATCH($B383,Vinos!$A$2:$A$301,0)),""))</f>
        <v/>
      </c>
      <c r="R383" s="20">
        <f>IF(OR($A383="",$A383&lt;&gt;'Resumen del inventario'!$C$3,$N383="",$N383="OK"),"",IF(COUNTIFS($A$2:$A383,$A383,$B$2:$B383,$B383)=1,1,""))</f>
        <v/>
      </c>
      <c r="S383" s="20">
        <f>IF($R383=1,COUNTIF($R$2:$R383,1),"")</f>
        <v/>
      </c>
    </row>
    <row r="384">
      <c r="A384" s="19" t="n"/>
      <c r="B384" s="14" t="n"/>
      <c r="C384" s="20">
        <f>IF($B384="","",IFERROR(INDEX(Vinos!$B$2:$B$301,MATCH($B384,Vinos!$A$2:$A$301,0)),"Código no cargado"))</f>
        <v/>
      </c>
      <c r="D384" s="14" t="n"/>
      <c r="E384" s="14" t="n"/>
      <c r="F384" s="18" t="n"/>
      <c r="G384" s="18" t="n"/>
      <c r="H384" s="21">
        <f>IF(AND($F384="",$G384=""),"",N($F384)*IFERROR(N(INDEX(Vinos!$H$2:$H$301,MATCH($B384,Vinos!$A$2:$A$301,0))),0)+N($G384))</f>
        <v/>
      </c>
      <c r="I384" s="18" t="n"/>
      <c r="J384" s="21">
        <f>IF(OR($H384="",$I384=""),"",$H384-$I384)</f>
        <v/>
      </c>
      <c r="K384" s="16">
        <f>IF($H384="","",IFERROR(IF(INDEX(Vinos!$J$2:$J$301,MATCH($B384,Vinos!$A$2:$A$301,0))="","",$H384*INDEX(Vinos!$J$2:$J$301,MATCH($B384,Vinos!$A$2:$A$301,0))),""))</f>
        <v/>
      </c>
      <c r="L384" s="16">
        <f>IF($H384="","",IFERROR(IF(INDEX(Vinos!$K$2:$K$301,MATCH($B384,Vinos!$A$2:$A$301,0))="","",$H384*INDEX(Vinos!$K$2:$K$301,MATCH($B384,Vinos!$A$2:$A$301,0))),""))</f>
        <v/>
      </c>
      <c r="M384" s="21">
        <f>IF(OR($A384="",$B384=""),"",SUMIFS($H$2:$H$2001,$A$2:$A$2001,$A384,$B$2:$B$2001,$B384))</f>
        <v/>
      </c>
      <c r="N384" s="20">
        <f>IF($M384="","",IF($M384&lt;=0,"Sin stock: reponer ya",IF($M384&lt;IFERROR(N(INDEX(Vinos!$N$2:$N$301,MATCH($B384,Vinos!$A$2:$A$301,0))),0),"Bajo mínimo: reponer","OK")))</f>
        <v/>
      </c>
      <c r="O384" s="14" t="n"/>
      <c r="P384" s="14" t="n"/>
      <c r="Q384" s="20">
        <f>IF($B384="","",IFERROR(INDEX(Vinos!$C$2:$C$301,MATCH($B384,Vinos!$A$2:$A$301,0)),""))</f>
        <v/>
      </c>
      <c r="R384" s="20">
        <f>IF(OR($A384="",$A384&lt;&gt;'Resumen del inventario'!$C$3,$N384="",$N384="OK"),"",IF(COUNTIFS($A$2:$A384,$A384,$B$2:$B384,$B384)=1,1,""))</f>
        <v/>
      </c>
      <c r="S384" s="20">
        <f>IF($R384=1,COUNTIF($R$2:$R384,1),"")</f>
        <v/>
      </c>
    </row>
    <row r="385">
      <c r="A385" s="19" t="n"/>
      <c r="B385" s="14" t="n"/>
      <c r="C385" s="20">
        <f>IF($B385="","",IFERROR(INDEX(Vinos!$B$2:$B$301,MATCH($B385,Vinos!$A$2:$A$301,0)),"Código no cargado"))</f>
        <v/>
      </c>
      <c r="D385" s="14" t="n"/>
      <c r="E385" s="14" t="n"/>
      <c r="F385" s="18" t="n"/>
      <c r="G385" s="18" t="n"/>
      <c r="H385" s="21">
        <f>IF(AND($F385="",$G385=""),"",N($F385)*IFERROR(N(INDEX(Vinos!$H$2:$H$301,MATCH($B385,Vinos!$A$2:$A$301,0))),0)+N($G385))</f>
        <v/>
      </c>
      <c r="I385" s="18" t="n"/>
      <c r="J385" s="21">
        <f>IF(OR($H385="",$I385=""),"",$H385-$I385)</f>
        <v/>
      </c>
      <c r="K385" s="16">
        <f>IF($H385="","",IFERROR(IF(INDEX(Vinos!$J$2:$J$301,MATCH($B385,Vinos!$A$2:$A$301,0))="","",$H385*INDEX(Vinos!$J$2:$J$301,MATCH($B385,Vinos!$A$2:$A$301,0))),""))</f>
        <v/>
      </c>
      <c r="L385" s="16">
        <f>IF($H385="","",IFERROR(IF(INDEX(Vinos!$K$2:$K$301,MATCH($B385,Vinos!$A$2:$A$301,0))="","",$H385*INDEX(Vinos!$K$2:$K$301,MATCH($B385,Vinos!$A$2:$A$301,0))),""))</f>
        <v/>
      </c>
      <c r="M385" s="21">
        <f>IF(OR($A385="",$B385=""),"",SUMIFS($H$2:$H$2001,$A$2:$A$2001,$A385,$B$2:$B$2001,$B385))</f>
        <v/>
      </c>
      <c r="N385" s="20">
        <f>IF($M385="","",IF($M385&lt;=0,"Sin stock: reponer ya",IF($M385&lt;IFERROR(N(INDEX(Vinos!$N$2:$N$301,MATCH($B385,Vinos!$A$2:$A$301,0))),0),"Bajo mínimo: reponer","OK")))</f>
        <v/>
      </c>
      <c r="O385" s="14" t="n"/>
      <c r="P385" s="14" t="n"/>
      <c r="Q385" s="20">
        <f>IF($B385="","",IFERROR(INDEX(Vinos!$C$2:$C$301,MATCH($B385,Vinos!$A$2:$A$301,0)),""))</f>
        <v/>
      </c>
      <c r="R385" s="20">
        <f>IF(OR($A385="",$A385&lt;&gt;'Resumen del inventario'!$C$3,$N385="",$N385="OK"),"",IF(COUNTIFS($A$2:$A385,$A385,$B$2:$B385,$B385)=1,1,""))</f>
        <v/>
      </c>
      <c r="S385" s="20">
        <f>IF($R385=1,COUNTIF($R$2:$R385,1),"")</f>
        <v/>
      </c>
    </row>
    <row r="386">
      <c r="A386" s="19" t="n"/>
      <c r="B386" s="14" t="n"/>
      <c r="C386" s="20">
        <f>IF($B386="","",IFERROR(INDEX(Vinos!$B$2:$B$301,MATCH($B386,Vinos!$A$2:$A$301,0)),"Código no cargado"))</f>
        <v/>
      </c>
      <c r="D386" s="14" t="n"/>
      <c r="E386" s="14" t="n"/>
      <c r="F386" s="18" t="n"/>
      <c r="G386" s="18" t="n"/>
      <c r="H386" s="21">
        <f>IF(AND($F386="",$G386=""),"",N($F386)*IFERROR(N(INDEX(Vinos!$H$2:$H$301,MATCH($B386,Vinos!$A$2:$A$301,0))),0)+N($G386))</f>
        <v/>
      </c>
      <c r="I386" s="18" t="n"/>
      <c r="J386" s="21">
        <f>IF(OR($H386="",$I386=""),"",$H386-$I386)</f>
        <v/>
      </c>
      <c r="K386" s="16">
        <f>IF($H386="","",IFERROR(IF(INDEX(Vinos!$J$2:$J$301,MATCH($B386,Vinos!$A$2:$A$301,0))="","",$H386*INDEX(Vinos!$J$2:$J$301,MATCH($B386,Vinos!$A$2:$A$301,0))),""))</f>
        <v/>
      </c>
      <c r="L386" s="16">
        <f>IF($H386="","",IFERROR(IF(INDEX(Vinos!$K$2:$K$301,MATCH($B386,Vinos!$A$2:$A$301,0))="","",$H386*INDEX(Vinos!$K$2:$K$301,MATCH($B386,Vinos!$A$2:$A$301,0))),""))</f>
        <v/>
      </c>
      <c r="M386" s="21">
        <f>IF(OR($A386="",$B386=""),"",SUMIFS($H$2:$H$2001,$A$2:$A$2001,$A386,$B$2:$B$2001,$B386))</f>
        <v/>
      </c>
      <c r="N386" s="20">
        <f>IF($M386="","",IF($M386&lt;=0,"Sin stock: reponer ya",IF($M386&lt;IFERROR(N(INDEX(Vinos!$N$2:$N$301,MATCH($B386,Vinos!$A$2:$A$301,0))),0),"Bajo mínimo: reponer","OK")))</f>
        <v/>
      </c>
      <c r="O386" s="14" t="n"/>
      <c r="P386" s="14" t="n"/>
      <c r="Q386" s="20">
        <f>IF($B386="","",IFERROR(INDEX(Vinos!$C$2:$C$301,MATCH($B386,Vinos!$A$2:$A$301,0)),""))</f>
        <v/>
      </c>
      <c r="R386" s="20">
        <f>IF(OR($A386="",$A386&lt;&gt;'Resumen del inventario'!$C$3,$N386="",$N386="OK"),"",IF(COUNTIFS($A$2:$A386,$A386,$B$2:$B386,$B386)=1,1,""))</f>
        <v/>
      </c>
      <c r="S386" s="20">
        <f>IF($R386=1,COUNTIF($R$2:$R386,1),"")</f>
        <v/>
      </c>
    </row>
    <row r="387">
      <c r="A387" s="19" t="n"/>
      <c r="B387" s="14" t="n"/>
      <c r="C387" s="20">
        <f>IF($B387="","",IFERROR(INDEX(Vinos!$B$2:$B$301,MATCH($B387,Vinos!$A$2:$A$301,0)),"Código no cargado"))</f>
        <v/>
      </c>
      <c r="D387" s="14" t="n"/>
      <c r="E387" s="14" t="n"/>
      <c r="F387" s="18" t="n"/>
      <c r="G387" s="18" t="n"/>
      <c r="H387" s="21">
        <f>IF(AND($F387="",$G387=""),"",N($F387)*IFERROR(N(INDEX(Vinos!$H$2:$H$301,MATCH($B387,Vinos!$A$2:$A$301,0))),0)+N($G387))</f>
        <v/>
      </c>
      <c r="I387" s="18" t="n"/>
      <c r="J387" s="21">
        <f>IF(OR($H387="",$I387=""),"",$H387-$I387)</f>
        <v/>
      </c>
      <c r="K387" s="16">
        <f>IF($H387="","",IFERROR(IF(INDEX(Vinos!$J$2:$J$301,MATCH($B387,Vinos!$A$2:$A$301,0))="","",$H387*INDEX(Vinos!$J$2:$J$301,MATCH($B387,Vinos!$A$2:$A$301,0))),""))</f>
        <v/>
      </c>
      <c r="L387" s="16">
        <f>IF($H387="","",IFERROR(IF(INDEX(Vinos!$K$2:$K$301,MATCH($B387,Vinos!$A$2:$A$301,0))="","",$H387*INDEX(Vinos!$K$2:$K$301,MATCH($B387,Vinos!$A$2:$A$301,0))),""))</f>
        <v/>
      </c>
      <c r="M387" s="21">
        <f>IF(OR($A387="",$B387=""),"",SUMIFS($H$2:$H$2001,$A$2:$A$2001,$A387,$B$2:$B$2001,$B387))</f>
        <v/>
      </c>
      <c r="N387" s="20">
        <f>IF($M387="","",IF($M387&lt;=0,"Sin stock: reponer ya",IF($M387&lt;IFERROR(N(INDEX(Vinos!$N$2:$N$301,MATCH($B387,Vinos!$A$2:$A$301,0))),0),"Bajo mínimo: reponer","OK")))</f>
        <v/>
      </c>
      <c r="O387" s="14" t="n"/>
      <c r="P387" s="14" t="n"/>
      <c r="Q387" s="20">
        <f>IF($B387="","",IFERROR(INDEX(Vinos!$C$2:$C$301,MATCH($B387,Vinos!$A$2:$A$301,0)),""))</f>
        <v/>
      </c>
      <c r="R387" s="20">
        <f>IF(OR($A387="",$A387&lt;&gt;'Resumen del inventario'!$C$3,$N387="",$N387="OK"),"",IF(COUNTIFS($A$2:$A387,$A387,$B$2:$B387,$B387)=1,1,""))</f>
        <v/>
      </c>
      <c r="S387" s="20">
        <f>IF($R387=1,COUNTIF($R$2:$R387,1),"")</f>
        <v/>
      </c>
    </row>
    <row r="388">
      <c r="A388" s="19" t="n"/>
      <c r="B388" s="14" t="n"/>
      <c r="C388" s="20">
        <f>IF($B388="","",IFERROR(INDEX(Vinos!$B$2:$B$301,MATCH($B388,Vinos!$A$2:$A$301,0)),"Código no cargado"))</f>
        <v/>
      </c>
      <c r="D388" s="14" t="n"/>
      <c r="E388" s="14" t="n"/>
      <c r="F388" s="18" t="n"/>
      <c r="G388" s="18" t="n"/>
      <c r="H388" s="21">
        <f>IF(AND($F388="",$G388=""),"",N($F388)*IFERROR(N(INDEX(Vinos!$H$2:$H$301,MATCH($B388,Vinos!$A$2:$A$301,0))),0)+N($G388))</f>
        <v/>
      </c>
      <c r="I388" s="18" t="n"/>
      <c r="J388" s="21">
        <f>IF(OR($H388="",$I388=""),"",$H388-$I388)</f>
        <v/>
      </c>
      <c r="K388" s="16">
        <f>IF($H388="","",IFERROR(IF(INDEX(Vinos!$J$2:$J$301,MATCH($B388,Vinos!$A$2:$A$301,0))="","",$H388*INDEX(Vinos!$J$2:$J$301,MATCH($B388,Vinos!$A$2:$A$301,0))),""))</f>
        <v/>
      </c>
      <c r="L388" s="16">
        <f>IF($H388="","",IFERROR(IF(INDEX(Vinos!$K$2:$K$301,MATCH($B388,Vinos!$A$2:$A$301,0))="","",$H388*INDEX(Vinos!$K$2:$K$301,MATCH($B388,Vinos!$A$2:$A$301,0))),""))</f>
        <v/>
      </c>
      <c r="M388" s="21">
        <f>IF(OR($A388="",$B388=""),"",SUMIFS($H$2:$H$2001,$A$2:$A$2001,$A388,$B$2:$B$2001,$B388))</f>
        <v/>
      </c>
      <c r="N388" s="20">
        <f>IF($M388="","",IF($M388&lt;=0,"Sin stock: reponer ya",IF($M388&lt;IFERROR(N(INDEX(Vinos!$N$2:$N$301,MATCH($B388,Vinos!$A$2:$A$301,0))),0),"Bajo mínimo: reponer","OK")))</f>
        <v/>
      </c>
      <c r="O388" s="14" t="n"/>
      <c r="P388" s="14" t="n"/>
      <c r="Q388" s="20">
        <f>IF($B388="","",IFERROR(INDEX(Vinos!$C$2:$C$301,MATCH($B388,Vinos!$A$2:$A$301,0)),""))</f>
        <v/>
      </c>
      <c r="R388" s="20">
        <f>IF(OR($A388="",$A388&lt;&gt;'Resumen del inventario'!$C$3,$N388="",$N388="OK"),"",IF(COUNTIFS($A$2:$A388,$A388,$B$2:$B388,$B388)=1,1,""))</f>
        <v/>
      </c>
      <c r="S388" s="20">
        <f>IF($R388=1,COUNTIF($R$2:$R388,1),"")</f>
        <v/>
      </c>
    </row>
    <row r="389">
      <c r="A389" s="19" t="n"/>
      <c r="B389" s="14" t="n"/>
      <c r="C389" s="20">
        <f>IF($B389="","",IFERROR(INDEX(Vinos!$B$2:$B$301,MATCH($B389,Vinos!$A$2:$A$301,0)),"Código no cargado"))</f>
        <v/>
      </c>
      <c r="D389" s="14" t="n"/>
      <c r="E389" s="14" t="n"/>
      <c r="F389" s="18" t="n"/>
      <c r="G389" s="18" t="n"/>
      <c r="H389" s="21">
        <f>IF(AND($F389="",$G389=""),"",N($F389)*IFERROR(N(INDEX(Vinos!$H$2:$H$301,MATCH($B389,Vinos!$A$2:$A$301,0))),0)+N($G389))</f>
        <v/>
      </c>
      <c r="I389" s="18" t="n"/>
      <c r="J389" s="21">
        <f>IF(OR($H389="",$I389=""),"",$H389-$I389)</f>
        <v/>
      </c>
      <c r="K389" s="16">
        <f>IF($H389="","",IFERROR(IF(INDEX(Vinos!$J$2:$J$301,MATCH($B389,Vinos!$A$2:$A$301,0))="","",$H389*INDEX(Vinos!$J$2:$J$301,MATCH($B389,Vinos!$A$2:$A$301,0))),""))</f>
        <v/>
      </c>
      <c r="L389" s="16">
        <f>IF($H389="","",IFERROR(IF(INDEX(Vinos!$K$2:$K$301,MATCH($B389,Vinos!$A$2:$A$301,0))="","",$H389*INDEX(Vinos!$K$2:$K$301,MATCH($B389,Vinos!$A$2:$A$301,0))),""))</f>
        <v/>
      </c>
      <c r="M389" s="21">
        <f>IF(OR($A389="",$B389=""),"",SUMIFS($H$2:$H$2001,$A$2:$A$2001,$A389,$B$2:$B$2001,$B389))</f>
        <v/>
      </c>
      <c r="N389" s="20">
        <f>IF($M389="","",IF($M389&lt;=0,"Sin stock: reponer ya",IF($M389&lt;IFERROR(N(INDEX(Vinos!$N$2:$N$301,MATCH($B389,Vinos!$A$2:$A$301,0))),0),"Bajo mínimo: reponer","OK")))</f>
        <v/>
      </c>
      <c r="O389" s="14" t="n"/>
      <c r="P389" s="14" t="n"/>
      <c r="Q389" s="20">
        <f>IF($B389="","",IFERROR(INDEX(Vinos!$C$2:$C$301,MATCH($B389,Vinos!$A$2:$A$301,0)),""))</f>
        <v/>
      </c>
      <c r="R389" s="20">
        <f>IF(OR($A389="",$A389&lt;&gt;'Resumen del inventario'!$C$3,$N389="",$N389="OK"),"",IF(COUNTIFS($A$2:$A389,$A389,$B$2:$B389,$B389)=1,1,""))</f>
        <v/>
      </c>
      <c r="S389" s="20">
        <f>IF($R389=1,COUNTIF($R$2:$R389,1),"")</f>
        <v/>
      </c>
    </row>
    <row r="390">
      <c r="A390" s="19" t="n"/>
      <c r="B390" s="14" t="n"/>
      <c r="C390" s="20">
        <f>IF($B390="","",IFERROR(INDEX(Vinos!$B$2:$B$301,MATCH($B390,Vinos!$A$2:$A$301,0)),"Código no cargado"))</f>
        <v/>
      </c>
      <c r="D390" s="14" t="n"/>
      <c r="E390" s="14" t="n"/>
      <c r="F390" s="18" t="n"/>
      <c r="G390" s="18" t="n"/>
      <c r="H390" s="21">
        <f>IF(AND($F390="",$G390=""),"",N($F390)*IFERROR(N(INDEX(Vinos!$H$2:$H$301,MATCH($B390,Vinos!$A$2:$A$301,0))),0)+N($G390))</f>
        <v/>
      </c>
      <c r="I390" s="18" t="n"/>
      <c r="J390" s="21">
        <f>IF(OR($H390="",$I390=""),"",$H390-$I390)</f>
        <v/>
      </c>
      <c r="K390" s="16">
        <f>IF($H390="","",IFERROR(IF(INDEX(Vinos!$J$2:$J$301,MATCH($B390,Vinos!$A$2:$A$301,0))="","",$H390*INDEX(Vinos!$J$2:$J$301,MATCH($B390,Vinos!$A$2:$A$301,0))),""))</f>
        <v/>
      </c>
      <c r="L390" s="16">
        <f>IF($H390="","",IFERROR(IF(INDEX(Vinos!$K$2:$K$301,MATCH($B390,Vinos!$A$2:$A$301,0))="","",$H390*INDEX(Vinos!$K$2:$K$301,MATCH($B390,Vinos!$A$2:$A$301,0))),""))</f>
        <v/>
      </c>
      <c r="M390" s="21">
        <f>IF(OR($A390="",$B390=""),"",SUMIFS($H$2:$H$2001,$A$2:$A$2001,$A390,$B$2:$B$2001,$B390))</f>
        <v/>
      </c>
      <c r="N390" s="20">
        <f>IF($M390="","",IF($M390&lt;=0,"Sin stock: reponer ya",IF($M390&lt;IFERROR(N(INDEX(Vinos!$N$2:$N$301,MATCH($B390,Vinos!$A$2:$A$301,0))),0),"Bajo mínimo: reponer","OK")))</f>
        <v/>
      </c>
      <c r="O390" s="14" t="n"/>
      <c r="P390" s="14" t="n"/>
      <c r="Q390" s="20">
        <f>IF($B390="","",IFERROR(INDEX(Vinos!$C$2:$C$301,MATCH($B390,Vinos!$A$2:$A$301,0)),""))</f>
        <v/>
      </c>
      <c r="R390" s="20">
        <f>IF(OR($A390="",$A390&lt;&gt;'Resumen del inventario'!$C$3,$N390="",$N390="OK"),"",IF(COUNTIFS($A$2:$A390,$A390,$B$2:$B390,$B390)=1,1,""))</f>
        <v/>
      </c>
      <c r="S390" s="20">
        <f>IF($R390=1,COUNTIF($R$2:$R390,1),"")</f>
        <v/>
      </c>
    </row>
    <row r="391">
      <c r="A391" s="19" t="n"/>
      <c r="B391" s="14" t="n"/>
      <c r="C391" s="20">
        <f>IF($B391="","",IFERROR(INDEX(Vinos!$B$2:$B$301,MATCH($B391,Vinos!$A$2:$A$301,0)),"Código no cargado"))</f>
        <v/>
      </c>
      <c r="D391" s="14" t="n"/>
      <c r="E391" s="14" t="n"/>
      <c r="F391" s="18" t="n"/>
      <c r="G391" s="18" t="n"/>
      <c r="H391" s="21">
        <f>IF(AND($F391="",$G391=""),"",N($F391)*IFERROR(N(INDEX(Vinos!$H$2:$H$301,MATCH($B391,Vinos!$A$2:$A$301,0))),0)+N($G391))</f>
        <v/>
      </c>
      <c r="I391" s="18" t="n"/>
      <c r="J391" s="21">
        <f>IF(OR($H391="",$I391=""),"",$H391-$I391)</f>
        <v/>
      </c>
      <c r="K391" s="16">
        <f>IF($H391="","",IFERROR(IF(INDEX(Vinos!$J$2:$J$301,MATCH($B391,Vinos!$A$2:$A$301,0))="","",$H391*INDEX(Vinos!$J$2:$J$301,MATCH($B391,Vinos!$A$2:$A$301,0))),""))</f>
        <v/>
      </c>
      <c r="L391" s="16">
        <f>IF($H391="","",IFERROR(IF(INDEX(Vinos!$K$2:$K$301,MATCH($B391,Vinos!$A$2:$A$301,0))="","",$H391*INDEX(Vinos!$K$2:$K$301,MATCH($B391,Vinos!$A$2:$A$301,0))),""))</f>
        <v/>
      </c>
      <c r="M391" s="21">
        <f>IF(OR($A391="",$B391=""),"",SUMIFS($H$2:$H$2001,$A$2:$A$2001,$A391,$B$2:$B$2001,$B391))</f>
        <v/>
      </c>
      <c r="N391" s="20">
        <f>IF($M391="","",IF($M391&lt;=0,"Sin stock: reponer ya",IF($M391&lt;IFERROR(N(INDEX(Vinos!$N$2:$N$301,MATCH($B391,Vinos!$A$2:$A$301,0))),0),"Bajo mínimo: reponer","OK")))</f>
        <v/>
      </c>
      <c r="O391" s="14" t="n"/>
      <c r="P391" s="14" t="n"/>
      <c r="Q391" s="20">
        <f>IF($B391="","",IFERROR(INDEX(Vinos!$C$2:$C$301,MATCH($B391,Vinos!$A$2:$A$301,0)),""))</f>
        <v/>
      </c>
      <c r="R391" s="20">
        <f>IF(OR($A391="",$A391&lt;&gt;'Resumen del inventario'!$C$3,$N391="",$N391="OK"),"",IF(COUNTIFS($A$2:$A391,$A391,$B$2:$B391,$B391)=1,1,""))</f>
        <v/>
      </c>
      <c r="S391" s="20">
        <f>IF($R391=1,COUNTIF($R$2:$R391,1),"")</f>
        <v/>
      </c>
    </row>
    <row r="392">
      <c r="A392" s="19" t="n"/>
      <c r="B392" s="14" t="n"/>
      <c r="C392" s="20">
        <f>IF($B392="","",IFERROR(INDEX(Vinos!$B$2:$B$301,MATCH($B392,Vinos!$A$2:$A$301,0)),"Código no cargado"))</f>
        <v/>
      </c>
      <c r="D392" s="14" t="n"/>
      <c r="E392" s="14" t="n"/>
      <c r="F392" s="18" t="n"/>
      <c r="G392" s="18" t="n"/>
      <c r="H392" s="21">
        <f>IF(AND($F392="",$G392=""),"",N($F392)*IFERROR(N(INDEX(Vinos!$H$2:$H$301,MATCH($B392,Vinos!$A$2:$A$301,0))),0)+N($G392))</f>
        <v/>
      </c>
      <c r="I392" s="18" t="n"/>
      <c r="J392" s="21">
        <f>IF(OR($H392="",$I392=""),"",$H392-$I392)</f>
        <v/>
      </c>
      <c r="K392" s="16">
        <f>IF($H392="","",IFERROR(IF(INDEX(Vinos!$J$2:$J$301,MATCH($B392,Vinos!$A$2:$A$301,0))="","",$H392*INDEX(Vinos!$J$2:$J$301,MATCH($B392,Vinos!$A$2:$A$301,0))),""))</f>
        <v/>
      </c>
      <c r="L392" s="16">
        <f>IF($H392="","",IFERROR(IF(INDEX(Vinos!$K$2:$K$301,MATCH($B392,Vinos!$A$2:$A$301,0))="","",$H392*INDEX(Vinos!$K$2:$K$301,MATCH($B392,Vinos!$A$2:$A$301,0))),""))</f>
        <v/>
      </c>
      <c r="M392" s="21">
        <f>IF(OR($A392="",$B392=""),"",SUMIFS($H$2:$H$2001,$A$2:$A$2001,$A392,$B$2:$B$2001,$B392))</f>
        <v/>
      </c>
      <c r="N392" s="20">
        <f>IF($M392="","",IF($M392&lt;=0,"Sin stock: reponer ya",IF($M392&lt;IFERROR(N(INDEX(Vinos!$N$2:$N$301,MATCH($B392,Vinos!$A$2:$A$301,0))),0),"Bajo mínimo: reponer","OK")))</f>
        <v/>
      </c>
      <c r="O392" s="14" t="n"/>
      <c r="P392" s="14" t="n"/>
      <c r="Q392" s="20">
        <f>IF($B392="","",IFERROR(INDEX(Vinos!$C$2:$C$301,MATCH($B392,Vinos!$A$2:$A$301,0)),""))</f>
        <v/>
      </c>
      <c r="R392" s="20">
        <f>IF(OR($A392="",$A392&lt;&gt;'Resumen del inventario'!$C$3,$N392="",$N392="OK"),"",IF(COUNTIFS($A$2:$A392,$A392,$B$2:$B392,$B392)=1,1,""))</f>
        <v/>
      </c>
      <c r="S392" s="20">
        <f>IF($R392=1,COUNTIF($R$2:$R392,1),"")</f>
        <v/>
      </c>
    </row>
    <row r="393">
      <c r="A393" s="19" t="n"/>
      <c r="B393" s="14" t="n"/>
      <c r="C393" s="20">
        <f>IF($B393="","",IFERROR(INDEX(Vinos!$B$2:$B$301,MATCH($B393,Vinos!$A$2:$A$301,0)),"Código no cargado"))</f>
        <v/>
      </c>
      <c r="D393" s="14" t="n"/>
      <c r="E393" s="14" t="n"/>
      <c r="F393" s="18" t="n"/>
      <c r="G393" s="18" t="n"/>
      <c r="H393" s="21">
        <f>IF(AND($F393="",$G393=""),"",N($F393)*IFERROR(N(INDEX(Vinos!$H$2:$H$301,MATCH($B393,Vinos!$A$2:$A$301,0))),0)+N($G393))</f>
        <v/>
      </c>
      <c r="I393" s="18" t="n"/>
      <c r="J393" s="21">
        <f>IF(OR($H393="",$I393=""),"",$H393-$I393)</f>
        <v/>
      </c>
      <c r="K393" s="16">
        <f>IF($H393="","",IFERROR(IF(INDEX(Vinos!$J$2:$J$301,MATCH($B393,Vinos!$A$2:$A$301,0))="","",$H393*INDEX(Vinos!$J$2:$J$301,MATCH($B393,Vinos!$A$2:$A$301,0))),""))</f>
        <v/>
      </c>
      <c r="L393" s="16">
        <f>IF($H393="","",IFERROR(IF(INDEX(Vinos!$K$2:$K$301,MATCH($B393,Vinos!$A$2:$A$301,0))="","",$H393*INDEX(Vinos!$K$2:$K$301,MATCH($B393,Vinos!$A$2:$A$301,0))),""))</f>
        <v/>
      </c>
      <c r="M393" s="21">
        <f>IF(OR($A393="",$B393=""),"",SUMIFS($H$2:$H$2001,$A$2:$A$2001,$A393,$B$2:$B$2001,$B393))</f>
        <v/>
      </c>
      <c r="N393" s="20">
        <f>IF($M393="","",IF($M393&lt;=0,"Sin stock: reponer ya",IF($M393&lt;IFERROR(N(INDEX(Vinos!$N$2:$N$301,MATCH($B393,Vinos!$A$2:$A$301,0))),0),"Bajo mínimo: reponer","OK")))</f>
        <v/>
      </c>
      <c r="O393" s="14" t="n"/>
      <c r="P393" s="14" t="n"/>
      <c r="Q393" s="20">
        <f>IF($B393="","",IFERROR(INDEX(Vinos!$C$2:$C$301,MATCH($B393,Vinos!$A$2:$A$301,0)),""))</f>
        <v/>
      </c>
      <c r="R393" s="20">
        <f>IF(OR($A393="",$A393&lt;&gt;'Resumen del inventario'!$C$3,$N393="",$N393="OK"),"",IF(COUNTIFS($A$2:$A393,$A393,$B$2:$B393,$B393)=1,1,""))</f>
        <v/>
      </c>
      <c r="S393" s="20">
        <f>IF($R393=1,COUNTIF($R$2:$R393,1),"")</f>
        <v/>
      </c>
    </row>
    <row r="394">
      <c r="A394" s="19" t="n"/>
      <c r="B394" s="14" t="n"/>
      <c r="C394" s="20">
        <f>IF($B394="","",IFERROR(INDEX(Vinos!$B$2:$B$301,MATCH($B394,Vinos!$A$2:$A$301,0)),"Código no cargado"))</f>
        <v/>
      </c>
      <c r="D394" s="14" t="n"/>
      <c r="E394" s="14" t="n"/>
      <c r="F394" s="18" t="n"/>
      <c r="G394" s="18" t="n"/>
      <c r="H394" s="21">
        <f>IF(AND($F394="",$G394=""),"",N($F394)*IFERROR(N(INDEX(Vinos!$H$2:$H$301,MATCH($B394,Vinos!$A$2:$A$301,0))),0)+N($G394))</f>
        <v/>
      </c>
      <c r="I394" s="18" t="n"/>
      <c r="J394" s="21">
        <f>IF(OR($H394="",$I394=""),"",$H394-$I394)</f>
        <v/>
      </c>
      <c r="K394" s="16">
        <f>IF($H394="","",IFERROR(IF(INDEX(Vinos!$J$2:$J$301,MATCH($B394,Vinos!$A$2:$A$301,0))="","",$H394*INDEX(Vinos!$J$2:$J$301,MATCH($B394,Vinos!$A$2:$A$301,0))),""))</f>
        <v/>
      </c>
      <c r="L394" s="16">
        <f>IF($H394="","",IFERROR(IF(INDEX(Vinos!$K$2:$K$301,MATCH($B394,Vinos!$A$2:$A$301,0))="","",$H394*INDEX(Vinos!$K$2:$K$301,MATCH($B394,Vinos!$A$2:$A$301,0))),""))</f>
        <v/>
      </c>
      <c r="M394" s="21">
        <f>IF(OR($A394="",$B394=""),"",SUMIFS($H$2:$H$2001,$A$2:$A$2001,$A394,$B$2:$B$2001,$B394))</f>
        <v/>
      </c>
      <c r="N394" s="20">
        <f>IF($M394="","",IF($M394&lt;=0,"Sin stock: reponer ya",IF($M394&lt;IFERROR(N(INDEX(Vinos!$N$2:$N$301,MATCH($B394,Vinos!$A$2:$A$301,0))),0),"Bajo mínimo: reponer","OK")))</f>
        <v/>
      </c>
      <c r="O394" s="14" t="n"/>
      <c r="P394" s="14" t="n"/>
      <c r="Q394" s="20">
        <f>IF($B394="","",IFERROR(INDEX(Vinos!$C$2:$C$301,MATCH($B394,Vinos!$A$2:$A$301,0)),""))</f>
        <v/>
      </c>
      <c r="R394" s="20">
        <f>IF(OR($A394="",$A394&lt;&gt;'Resumen del inventario'!$C$3,$N394="",$N394="OK"),"",IF(COUNTIFS($A$2:$A394,$A394,$B$2:$B394,$B394)=1,1,""))</f>
        <v/>
      </c>
      <c r="S394" s="20">
        <f>IF($R394=1,COUNTIF($R$2:$R394,1),"")</f>
        <v/>
      </c>
    </row>
    <row r="395">
      <c r="A395" s="19" t="n"/>
      <c r="B395" s="14" t="n"/>
      <c r="C395" s="20">
        <f>IF($B395="","",IFERROR(INDEX(Vinos!$B$2:$B$301,MATCH($B395,Vinos!$A$2:$A$301,0)),"Código no cargado"))</f>
        <v/>
      </c>
      <c r="D395" s="14" t="n"/>
      <c r="E395" s="14" t="n"/>
      <c r="F395" s="18" t="n"/>
      <c r="G395" s="18" t="n"/>
      <c r="H395" s="21">
        <f>IF(AND($F395="",$G395=""),"",N($F395)*IFERROR(N(INDEX(Vinos!$H$2:$H$301,MATCH($B395,Vinos!$A$2:$A$301,0))),0)+N($G395))</f>
        <v/>
      </c>
      <c r="I395" s="18" t="n"/>
      <c r="J395" s="21">
        <f>IF(OR($H395="",$I395=""),"",$H395-$I395)</f>
        <v/>
      </c>
      <c r="K395" s="16">
        <f>IF($H395="","",IFERROR(IF(INDEX(Vinos!$J$2:$J$301,MATCH($B395,Vinos!$A$2:$A$301,0))="","",$H395*INDEX(Vinos!$J$2:$J$301,MATCH($B395,Vinos!$A$2:$A$301,0))),""))</f>
        <v/>
      </c>
      <c r="L395" s="16">
        <f>IF($H395="","",IFERROR(IF(INDEX(Vinos!$K$2:$K$301,MATCH($B395,Vinos!$A$2:$A$301,0))="","",$H395*INDEX(Vinos!$K$2:$K$301,MATCH($B395,Vinos!$A$2:$A$301,0))),""))</f>
        <v/>
      </c>
      <c r="M395" s="21">
        <f>IF(OR($A395="",$B395=""),"",SUMIFS($H$2:$H$2001,$A$2:$A$2001,$A395,$B$2:$B$2001,$B395))</f>
        <v/>
      </c>
      <c r="N395" s="20">
        <f>IF($M395="","",IF($M395&lt;=0,"Sin stock: reponer ya",IF($M395&lt;IFERROR(N(INDEX(Vinos!$N$2:$N$301,MATCH($B395,Vinos!$A$2:$A$301,0))),0),"Bajo mínimo: reponer","OK")))</f>
        <v/>
      </c>
      <c r="O395" s="14" t="n"/>
      <c r="P395" s="14" t="n"/>
      <c r="Q395" s="20">
        <f>IF($B395="","",IFERROR(INDEX(Vinos!$C$2:$C$301,MATCH($B395,Vinos!$A$2:$A$301,0)),""))</f>
        <v/>
      </c>
      <c r="R395" s="20">
        <f>IF(OR($A395="",$A395&lt;&gt;'Resumen del inventario'!$C$3,$N395="",$N395="OK"),"",IF(COUNTIFS($A$2:$A395,$A395,$B$2:$B395,$B395)=1,1,""))</f>
        <v/>
      </c>
      <c r="S395" s="20">
        <f>IF($R395=1,COUNTIF($R$2:$R395,1),"")</f>
        <v/>
      </c>
    </row>
    <row r="396">
      <c r="A396" s="19" t="n"/>
      <c r="B396" s="14" t="n"/>
      <c r="C396" s="20">
        <f>IF($B396="","",IFERROR(INDEX(Vinos!$B$2:$B$301,MATCH($B396,Vinos!$A$2:$A$301,0)),"Código no cargado"))</f>
        <v/>
      </c>
      <c r="D396" s="14" t="n"/>
      <c r="E396" s="14" t="n"/>
      <c r="F396" s="18" t="n"/>
      <c r="G396" s="18" t="n"/>
      <c r="H396" s="21">
        <f>IF(AND($F396="",$G396=""),"",N($F396)*IFERROR(N(INDEX(Vinos!$H$2:$H$301,MATCH($B396,Vinos!$A$2:$A$301,0))),0)+N($G396))</f>
        <v/>
      </c>
      <c r="I396" s="18" t="n"/>
      <c r="J396" s="21">
        <f>IF(OR($H396="",$I396=""),"",$H396-$I396)</f>
        <v/>
      </c>
      <c r="K396" s="16">
        <f>IF($H396="","",IFERROR(IF(INDEX(Vinos!$J$2:$J$301,MATCH($B396,Vinos!$A$2:$A$301,0))="","",$H396*INDEX(Vinos!$J$2:$J$301,MATCH($B396,Vinos!$A$2:$A$301,0))),""))</f>
        <v/>
      </c>
      <c r="L396" s="16">
        <f>IF($H396="","",IFERROR(IF(INDEX(Vinos!$K$2:$K$301,MATCH($B396,Vinos!$A$2:$A$301,0))="","",$H396*INDEX(Vinos!$K$2:$K$301,MATCH($B396,Vinos!$A$2:$A$301,0))),""))</f>
        <v/>
      </c>
      <c r="M396" s="21">
        <f>IF(OR($A396="",$B396=""),"",SUMIFS($H$2:$H$2001,$A$2:$A$2001,$A396,$B$2:$B$2001,$B396))</f>
        <v/>
      </c>
      <c r="N396" s="20">
        <f>IF($M396="","",IF($M396&lt;=0,"Sin stock: reponer ya",IF($M396&lt;IFERROR(N(INDEX(Vinos!$N$2:$N$301,MATCH($B396,Vinos!$A$2:$A$301,0))),0),"Bajo mínimo: reponer","OK")))</f>
        <v/>
      </c>
      <c r="O396" s="14" t="n"/>
      <c r="P396" s="14" t="n"/>
      <c r="Q396" s="20">
        <f>IF($B396="","",IFERROR(INDEX(Vinos!$C$2:$C$301,MATCH($B396,Vinos!$A$2:$A$301,0)),""))</f>
        <v/>
      </c>
      <c r="R396" s="20">
        <f>IF(OR($A396="",$A396&lt;&gt;'Resumen del inventario'!$C$3,$N396="",$N396="OK"),"",IF(COUNTIFS($A$2:$A396,$A396,$B$2:$B396,$B396)=1,1,""))</f>
        <v/>
      </c>
      <c r="S396" s="20">
        <f>IF($R396=1,COUNTIF($R$2:$R396,1),"")</f>
        <v/>
      </c>
    </row>
    <row r="397">
      <c r="A397" s="19" t="n"/>
      <c r="B397" s="14" t="n"/>
      <c r="C397" s="20">
        <f>IF($B397="","",IFERROR(INDEX(Vinos!$B$2:$B$301,MATCH($B397,Vinos!$A$2:$A$301,0)),"Código no cargado"))</f>
        <v/>
      </c>
      <c r="D397" s="14" t="n"/>
      <c r="E397" s="14" t="n"/>
      <c r="F397" s="18" t="n"/>
      <c r="G397" s="18" t="n"/>
      <c r="H397" s="21">
        <f>IF(AND($F397="",$G397=""),"",N($F397)*IFERROR(N(INDEX(Vinos!$H$2:$H$301,MATCH($B397,Vinos!$A$2:$A$301,0))),0)+N($G397))</f>
        <v/>
      </c>
      <c r="I397" s="18" t="n"/>
      <c r="J397" s="21">
        <f>IF(OR($H397="",$I397=""),"",$H397-$I397)</f>
        <v/>
      </c>
      <c r="K397" s="16">
        <f>IF($H397="","",IFERROR(IF(INDEX(Vinos!$J$2:$J$301,MATCH($B397,Vinos!$A$2:$A$301,0))="","",$H397*INDEX(Vinos!$J$2:$J$301,MATCH($B397,Vinos!$A$2:$A$301,0))),""))</f>
        <v/>
      </c>
      <c r="L397" s="16">
        <f>IF($H397="","",IFERROR(IF(INDEX(Vinos!$K$2:$K$301,MATCH($B397,Vinos!$A$2:$A$301,0))="","",$H397*INDEX(Vinos!$K$2:$K$301,MATCH($B397,Vinos!$A$2:$A$301,0))),""))</f>
        <v/>
      </c>
      <c r="M397" s="21">
        <f>IF(OR($A397="",$B397=""),"",SUMIFS($H$2:$H$2001,$A$2:$A$2001,$A397,$B$2:$B$2001,$B397))</f>
        <v/>
      </c>
      <c r="N397" s="20">
        <f>IF($M397="","",IF($M397&lt;=0,"Sin stock: reponer ya",IF($M397&lt;IFERROR(N(INDEX(Vinos!$N$2:$N$301,MATCH($B397,Vinos!$A$2:$A$301,0))),0),"Bajo mínimo: reponer","OK")))</f>
        <v/>
      </c>
      <c r="O397" s="14" t="n"/>
      <c r="P397" s="14" t="n"/>
      <c r="Q397" s="20">
        <f>IF($B397="","",IFERROR(INDEX(Vinos!$C$2:$C$301,MATCH($B397,Vinos!$A$2:$A$301,0)),""))</f>
        <v/>
      </c>
      <c r="R397" s="20">
        <f>IF(OR($A397="",$A397&lt;&gt;'Resumen del inventario'!$C$3,$N397="",$N397="OK"),"",IF(COUNTIFS($A$2:$A397,$A397,$B$2:$B397,$B397)=1,1,""))</f>
        <v/>
      </c>
      <c r="S397" s="20">
        <f>IF($R397=1,COUNTIF($R$2:$R397,1),"")</f>
        <v/>
      </c>
    </row>
    <row r="398">
      <c r="A398" s="19" t="n"/>
      <c r="B398" s="14" t="n"/>
      <c r="C398" s="20">
        <f>IF($B398="","",IFERROR(INDEX(Vinos!$B$2:$B$301,MATCH($B398,Vinos!$A$2:$A$301,0)),"Código no cargado"))</f>
        <v/>
      </c>
      <c r="D398" s="14" t="n"/>
      <c r="E398" s="14" t="n"/>
      <c r="F398" s="18" t="n"/>
      <c r="G398" s="18" t="n"/>
      <c r="H398" s="21">
        <f>IF(AND($F398="",$G398=""),"",N($F398)*IFERROR(N(INDEX(Vinos!$H$2:$H$301,MATCH($B398,Vinos!$A$2:$A$301,0))),0)+N($G398))</f>
        <v/>
      </c>
      <c r="I398" s="18" t="n"/>
      <c r="J398" s="21">
        <f>IF(OR($H398="",$I398=""),"",$H398-$I398)</f>
        <v/>
      </c>
      <c r="K398" s="16">
        <f>IF($H398="","",IFERROR(IF(INDEX(Vinos!$J$2:$J$301,MATCH($B398,Vinos!$A$2:$A$301,0))="","",$H398*INDEX(Vinos!$J$2:$J$301,MATCH($B398,Vinos!$A$2:$A$301,0))),""))</f>
        <v/>
      </c>
      <c r="L398" s="16">
        <f>IF($H398="","",IFERROR(IF(INDEX(Vinos!$K$2:$K$301,MATCH($B398,Vinos!$A$2:$A$301,0))="","",$H398*INDEX(Vinos!$K$2:$K$301,MATCH($B398,Vinos!$A$2:$A$301,0))),""))</f>
        <v/>
      </c>
      <c r="M398" s="21">
        <f>IF(OR($A398="",$B398=""),"",SUMIFS($H$2:$H$2001,$A$2:$A$2001,$A398,$B$2:$B$2001,$B398))</f>
        <v/>
      </c>
      <c r="N398" s="20">
        <f>IF($M398="","",IF($M398&lt;=0,"Sin stock: reponer ya",IF($M398&lt;IFERROR(N(INDEX(Vinos!$N$2:$N$301,MATCH($B398,Vinos!$A$2:$A$301,0))),0),"Bajo mínimo: reponer","OK")))</f>
        <v/>
      </c>
      <c r="O398" s="14" t="n"/>
      <c r="P398" s="14" t="n"/>
      <c r="Q398" s="20">
        <f>IF($B398="","",IFERROR(INDEX(Vinos!$C$2:$C$301,MATCH($B398,Vinos!$A$2:$A$301,0)),""))</f>
        <v/>
      </c>
      <c r="R398" s="20">
        <f>IF(OR($A398="",$A398&lt;&gt;'Resumen del inventario'!$C$3,$N398="",$N398="OK"),"",IF(COUNTIFS($A$2:$A398,$A398,$B$2:$B398,$B398)=1,1,""))</f>
        <v/>
      </c>
      <c r="S398" s="20">
        <f>IF($R398=1,COUNTIF($R$2:$R398,1),"")</f>
        <v/>
      </c>
    </row>
    <row r="399">
      <c r="A399" s="19" t="n"/>
      <c r="B399" s="14" t="n"/>
      <c r="C399" s="20">
        <f>IF($B399="","",IFERROR(INDEX(Vinos!$B$2:$B$301,MATCH($B399,Vinos!$A$2:$A$301,0)),"Código no cargado"))</f>
        <v/>
      </c>
      <c r="D399" s="14" t="n"/>
      <c r="E399" s="14" t="n"/>
      <c r="F399" s="18" t="n"/>
      <c r="G399" s="18" t="n"/>
      <c r="H399" s="21">
        <f>IF(AND($F399="",$G399=""),"",N($F399)*IFERROR(N(INDEX(Vinos!$H$2:$H$301,MATCH($B399,Vinos!$A$2:$A$301,0))),0)+N($G399))</f>
        <v/>
      </c>
      <c r="I399" s="18" t="n"/>
      <c r="J399" s="21">
        <f>IF(OR($H399="",$I399=""),"",$H399-$I399)</f>
        <v/>
      </c>
      <c r="K399" s="16">
        <f>IF($H399="","",IFERROR(IF(INDEX(Vinos!$J$2:$J$301,MATCH($B399,Vinos!$A$2:$A$301,0))="","",$H399*INDEX(Vinos!$J$2:$J$301,MATCH($B399,Vinos!$A$2:$A$301,0))),""))</f>
        <v/>
      </c>
      <c r="L399" s="16">
        <f>IF($H399="","",IFERROR(IF(INDEX(Vinos!$K$2:$K$301,MATCH($B399,Vinos!$A$2:$A$301,0))="","",$H399*INDEX(Vinos!$K$2:$K$301,MATCH($B399,Vinos!$A$2:$A$301,0))),""))</f>
        <v/>
      </c>
      <c r="M399" s="21">
        <f>IF(OR($A399="",$B399=""),"",SUMIFS($H$2:$H$2001,$A$2:$A$2001,$A399,$B$2:$B$2001,$B399))</f>
        <v/>
      </c>
      <c r="N399" s="20">
        <f>IF($M399="","",IF($M399&lt;=0,"Sin stock: reponer ya",IF($M399&lt;IFERROR(N(INDEX(Vinos!$N$2:$N$301,MATCH($B399,Vinos!$A$2:$A$301,0))),0),"Bajo mínimo: reponer","OK")))</f>
        <v/>
      </c>
      <c r="O399" s="14" t="n"/>
      <c r="P399" s="14" t="n"/>
      <c r="Q399" s="20">
        <f>IF($B399="","",IFERROR(INDEX(Vinos!$C$2:$C$301,MATCH($B399,Vinos!$A$2:$A$301,0)),""))</f>
        <v/>
      </c>
      <c r="R399" s="20">
        <f>IF(OR($A399="",$A399&lt;&gt;'Resumen del inventario'!$C$3,$N399="",$N399="OK"),"",IF(COUNTIFS($A$2:$A399,$A399,$B$2:$B399,$B399)=1,1,""))</f>
        <v/>
      </c>
      <c r="S399" s="20">
        <f>IF($R399=1,COUNTIF($R$2:$R399,1),"")</f>
        <v/>
      </c>
    </row>
    <row r="400">
      <c r="A400" s="19" t="n"/>
      <c r="B400" s="14" t="n"/>
      <c r="C400" s="20">
        <f>IF($B400="","",IFERROR(INDEX(Vinos!$B$2:$B$301,MATCH($B400,Vinos!$A$2:$A$301,0)),"Código no cargado"))</f>
        <v/>
      </c>
      <c r="D400" s="14" t="n"/>
      <c r="E400" s="14" t="n"/>
      <c r="F400" s="18" t="n"/>
      <c r="G400" s="18" t="n"/>
      <c r="H400" s="21">
        <f>IF(AND($F400="",$G400=""),"",N($F400)*IFERROR(N(INDEX(Vinos!$H$2:$H$301,MATCH($B400,Vinos!$A$2:$A$301,0))),0)+N($G400))</f>
        <v/>
      </c>
      <c r="I400" s="18" t="n"/>
      <c r="J400" s="21">
        <f>IF(OR($H400="",$I400=""),"",$H400-$I400)</f>
        <v/>
      </c>
      <c r="K400" s="16">
        <f>IF($H400="","",IFERROR(IF(INDEX(Vinos!$J$2:$J$301,MATCH($B400,Vinos!$A$2:$A$301,0))="","",$H400*INDEX(Vinos!$J$2:$J$301,MATCH($B400,Vinos!$A$2:$A$301,0))),""))</f>
        <v/>
      </c>
      <c r="L400" s="16">
        <f>IF($H400="","",IFERROR(IF(INDEX(Vinos!$K$2:$K$301,MATCH($B400,Vinos!$A$2:$A$301,0))="","",$H400*INDEX(Vinos!$K$2:$K$301,MATCH($B400,Vinos!$A$2:$A$301,0))),""))</f>
        <v/>
      </c>
      <c r="M400" s="21">
        <f>IF(OR($A400="",$B400=""),"",SUMIFS($H$2:$H$2001,$A$2:$A$2001,$A400,$B$2:$B$2001,$B400))</f>
        <v/>
      </c>
      <c r="N400" s="20">
        <f>IF($M400="","",IF($M400&lt;=0,"Sin stock: reponer ya",IF($M400&lt;IFERROR(N(INDEX(Vinos!$N$2:$N$301,MATCH($B400,Vinos!$A$2:$A$301,0))),0),"Bajo mínimo: reponer","OK")))</f>
        <v/>
      </c>
      <c r="O400" s="14" t="n"/>
      <c r="P400" s="14" t="n"/>
      <c r="Q400" s="20">
        <f>IF($B400="","",IFERROR(INDEX(Vinos!$C$2:$C$301,MATCH($B400,Vinos!$A$2:$A$301,0)),""))</f>
        <v/>
      </c>
      <c r="R400" s="20">
        <f>IF(OR($A400="",$A400&lt;&gt;'Resumen del inventario'!$C$3,$N400="",$N400="OK"),"",IF(COUNTIFS($A$2:$A400,$A400,$B$2:$B400,$B400)=1,1,""))</f>
        <v/>
      </c>
      <c r="S400" s="20">
        <f>IF($R400=1,COUNTIF($R$2:$R400,1),"")</f>
        <v/>
      </c>
    </row>
    <row r="401">
      <c r="A401" s="19" t="n"/>
      <c r="B401" s="14" t="n"/>
      <c r="C401" s="20">
        <f>IF($B401="","",IFERROR(INDEX(Vinos!$B$2:$B$301,MATCH($B401,Vinos!$A$2:$A$301,0)),"Código no cargado"))</f>
        <v/>
      </c>
      <c r="D401" s="14" t="n"/>
      <c r="E401" s="14" t="n"/>
      <c r="F401" s="18" t="n"/>
      <c r="G401" s="18" t="n"/>
      <c r="H401" s="21">
        <f>IF(AND($F401="",$G401=""),"",N($F401)*IFERROR(N(INDEX(Vinos!$H$2:$H$301,MATCH($B401,Vinos!$A$2:$A$301,0))),0)+N($G401))</f>
        <v/>
      </c>
      <c r="I401" s="18" t="n"/>
      <c r="J401" s="21">
        <f>IF(OR($H401="",$I401=""),"",$H401-$I401)</f>
        <v/>
      </c>
      <c r="K401" s="16">
        <f>IF($H401="","",IFERROR(IF(INDEX(Vinos!$J$2:$J$301,MATCH($B401,Vinos!$A$2:$A$301,0))="","",$H401*INDEX(Vinos!$J$2:$J$301,MATCH($B401,Vinos!$A$2:$A$301,0))),""))</f>
        <v/>
      </c>
      <c r="L401" s="16">
        <f>IF($H401="","",IFERROR(IF(INDEX(Vinos!$K$2:$K$301,MATCH($B401,Vinos!$A$2:$A$301,0))="","",$H401*INDEX(Vinos!$K$2:$K$301,MATCH($B401,Vinos!$A$2:$A$301,0))),""))</f>
        <v/>
      </c>
      <c r="M401" s="21">
        <f>IF(OR($A401="",$B401=""),"",SUMIFS($H$2:$H$2001,$A$2:$A$2001,$A401,$B$2:$B$2001,$B401))</f>
        <v/>
      </c>
      <c r="N401" s="20">
        <f>IF($M401="","",IF($M401&lt;=0,"Sin stock: reponer ya",IF($M401&lt;IFERROR(N(INDEX(Vinos!$N$2:$N$301,MATCH($B401,Vinos!$A$2:$A$301,0))),0),"Bajo mínimo: reponer","OK")))</f>
        <v/>
      </c>
      <c r="O401" s="14" t="n"/>
      <c r="P401" s="14" t="n"/>
      <c r="Q401" s="20">
        <f>IF($B401="","",IFERROR(INDEX(Vinos!$C$2:$C$301,MATCH($B401,Vinos!$A$2:$A$301,0)),""))</f>
        <v/>
      </c>
      <c r="R401" s="20">
        <f>IF(OR($A401="",$A401&lt;&gt;'Resumen del inventario'!$C$3,$N401="",$N401="OK"),"",IF(COUNTIFS($A$2:$A401,$A401,$B$2:$B401,$B401)=1,1,""))</f>
        <v/>
      </c>
      <c r="S401" s="20">
        <f>IF($R401=1,COUNTIF($R$2:$R401,1),"")</f>
        <v/>
      </c>
    </row>
    <row r="402">
      <c r="A402" s="19" t="n"/>
      <c r="B402" s="14" t="n"/>
      <c r="C402" s="20">
        <f>IF($B402="","",IFERROR(INDEX(Vinos!$B$2:$B$301,MATCH($B402,Vinos!$A$2:$A$301,0)),"Código no cargado"))</f>
        <v/>
      </c>
      <c r="D402" s="14" t="n"/>
      <c r="E402" s="14" t="n"/>
      <c r="F402" s="18" t="n"/>
      <c r="G402" s="18" t="n"/>
      <c r="H402" s="21">
        <f>IF(AND($F402="",$G402=""),"",N($F402)*IFERROR(N(INDEX(Vinos!$H$2:$H$301,MATCH($B402,Vinos!$A$2:$A$301,0))),0)+N($G402))</f>
        <v/>
      </c>
      <c r="I402" s="18" t="n"/>
      <c r="J402" s="21">
        <f>IF(OR($H402="",$I402=""),"",$H402-$I402)</f>
        <v/>
      </c>
      <c r="K402" s="16">
        <f>IF($H402="","",IFERROR(IF(INDEX(Vinos!$J$2:$J$301,MATCH($B402,Vinos!$A$2:$A$301,0))="","",$H402*INDEX(Vinos!$J$2:$J$301,MATCH($B402,Vinos!$A$2:$A$301,0))),""))</f>
        <v/>
      </c>
      <c r="L402" s="16">
        <f>IF($H402="","",IFERROR(IF(INDEX(Vinos!$K$2:$K$301,MATCH($B402,Vinos!$A$2:$A$301,0))="","",$H402*INDEX(Vinos!$K$2:$K$301,MATCH($B402,Vinos!$A$2:$A$301,0))),""))</f>
        <v/>
      </c>
      <c r="M402" s="21">
        <f>IF(OR($A402="",$B402=""),"",SUMIFS($H$2:$H$2001,$A$2:$A$2001,$A402,$B$2:$B$2001,$B402))</f>
        <v/>
      </c>
      <c r="N402" s="20">
        <f>IF($M402="","",IF($M402&lt;=0,"Sin stock: reponer ya",IF($M402&lt;IFERROR(N(INDEX(Vinos!$N$2:$N$301,MATCH($B402,Vinos!$A$2:$A$301,0))),0),"Bajo mínimo: reponer","OK")))</f>
        <v/>
      </c>
      <c r="O402" s="14" t="n"/>
      <c r="P402" s="14" t="n"/>
      <c r="Q402" s="20">
        <f>IF($B402="","",IFERROR(INDEX(Vinos!$C$2:$C$301,MATCH($B402,Vinos!$A$2:$A$301,0)),""))</f>
        <v/>
      </c>
      <c r="R402" s="20">
        <f>IF(OR($A402="",$A402&lt;&gt;'Resumen del inventario'!$C$3,$N402="",$N402="OK"),"",IF(COUNTIFS($A$2:$A402,$A402,$B$2:$B402,$B402)=1,1,""))</f>
        <v/>
      </c>
      <c r="S402" s="20">
        <f>IF($R402=1,COUNTIF($R$2:$R402,1),"")</f>
        <v/>
      </c>
    </row>
    <row r="403">
      <c r="A403" s="19" t="n"/>
      <c r="B403" s="14" t="n"/>
      <c r="C403" s="20">
        <f>IF($B403="","",IFERROR(INDEX(Vinos!$B$2:$B$301,MATCH($B403,Vinos!$A$2:$A$301,0)),"Código no cargado"))</f>
        <v/>
      </c>
      <c r="D403" s="14" t="n"/>
      <c r="E403" s="14" t="n"/>
      <c r="F403" s="18" t="n"/>
      <c r="G403" s="18" t="n"/>
      <c r="H403" s="21">
        <f>IF(AND($F403="",$G403=""),"",N($F403)*IFERROR(N(INDEX(Vinos!$H$2:$H$301,MATCH($B403,Vinos!$A$2:$A$301,0))),0)+N($G403))</f>
        <v/>
      </c>
      <c r="I403" s="18" t="n"/>
      <c r="J403" s="21">
        <f>IF(OR($H403="",$I403=""),"",$H403-$I403)</f>
        <v/>
      </c>
      <c r="K403" s="16">
        <f>IF($H403="","",IFERROR(IF(INDEX(Vinos!$J$2:$J$301,MATCH($B403,Vinos!$A$2:$A$301,0))="","",$H403*INDEX(Vinos!$J$2:$J$301,MATCH($B403,Vinos!$A$2:$A$301,0))),""))</f>
        <v/>
      </c>
      <c r="L403" s="16">
        <f>IF($H403="","",IFERROR(IF(INDEX(Vinos!$K$2:$K$301,MATCH($B403,Vinos!$A$2:$A$301,0))="","",$H403*INDEX(Vinos!$K$2:$K$301,MATCH($B403,Vinos!$A$2:$A$301,0))),""))</f>
        <v/>
      </c>
      <c r="M403" s="21">
        <f>IF(OR($A403="",$B403=""),"",SUMIFS($H$2:$H$2001,$A$2:$A$2001,$A403,$B$2:$B$2001,$B403))</f>
        <v/>
      </c>
      <c r="N403" s="20">
        <f>IF($M403="","",IF($M403&lt;=0,"Sin stock: reponer ya",IF($M403&lt;IFERROR(N(INDEX(Vinos!$N$2:$N$301,MATCH($B403,Vinos!$A$2:$A$301,0))),0),"Bajo mínimo: reponer","OK")))</f>
        <v/>
      </c>
      <c r="O403" s="14" t="n"/>
      <c r="P403" s="14" t="n"/>
      <c r="Q403" s="20">
        <f>IF($B403="","",IFERROR(INDEX(Vinos!$C$2:$C$301,MATCH($B403,Vinos!$A$2:$A$301,0)),""))</f>
        <v/>
      </c>
      <c r="R403" s="20">
        <f>IF(OR($A403="",$A403&lt;&gt;'Resumen del inventario'!$C$3,$N403="",$N403="OK"),"",IF(COUNTIFS($A$2:$A403,$A403,$B$2:$B403,$B403)=1,1,""))</f>
        <v/>
      </c>
      <c r="S403" s="20">
        <f>IF($R403=1,COUNTIF($R$2:$R403,1),"")</f>
        <v/>
      </c>
    </row>
    <row r="404">
      <c r="A404" s="19" t="n"/>
      <c r="B404" s="14" t="n"/>
      <c r="C404" s="20">
        <f>IF($B404="","",IFERROR(INDEX(Vinos!$B$2:$B$301,MATCH($B404,Vinos!$A$2:$A$301,0)),"Código no cargado"))</f>
        <v/>
      </c>
      <c r="D404" s="14" t="n"/>
      <c r="E404" s="14" t="n"/>
      <c r="F404" s="18" t="n"/>
      <c r="G404" s="18" t="n"/>
      <c r="H404" s="21">
        <f>IF(AND($F404="",$G404=""),"",N($F404)*IFERROR(N(INDEX(Vinos!$H$2:$H$301,MATCH($B404,Vinos!$A$2:$A$301,0))),0)+N($G404))</f>
        <v/>
      </c>
      <c r="I404" s="18" t="n"/>
      <c r="J404" s="21">
        <f>IF(OR($H404="",$I404=""),"",$H404-$I404)</f>
        <v/>
      </c>
      <c r="K404" s="16">
        <f>IF($H404="","",IFERROR(IF(INDEX(Vinos!$J$2:$J$301,MATCH($B404,Vinos!$A$2:$A$301,0))="","",$H404*INDEX(Vinos!$J$2:$J$301,MATCH($B404,Vinos!$A$2:$A$301,0))),""))</f>
        <v/>
      </c>
      <c r="L404" s="16">
        <f>IF($H404="","",IFERROR(IF(INDEX(Vinos!$K$2:$K$301,MATCH($B404,Vinos!$A$2:$A$301,0))="","",$H404*INDEX(Vinos!$K$2:$K$301,MATCH($B404,Vinos!$A$2:$A$301,0))),""))</f>
        <v/>
      </c>
      <c r="M404" s="21">
        <f>IF(OR($A404="",$B404=""),"",SUMIFS($H$2:$H$2001,$A$2:$A$2001,$A404,$B$2:$B$2001,$B404))</f>
        <v/>
      </c>
      <c r="N404" s="20">
        <f>IF($M404="","",IF($M404&lt;=0,"Sin stock: reponer ya",IF($M404&lt;IFERROR(N(INDEX(Vinos!$N$2:$N$301,MATCH($B404,Vinos!$A$2:$A$301,0))),0),"Bajo mínimo: reponer","OK")))</f>
        <v/>
      </c>
      <c r="O404" s="14" t="n"/>
      <c r="P404" s="14" t="n"/>
      <c r="Q404" s="20">
        <f>IF($B404="","",IFERROR(INDEX(Vinos!$C$2:$C$301,MATCH($B404,Vinos!$A$2:$A$301,0)),""))</f>
        <v/>
      </c>
      <c r="R404" s="20">
        <f>IF(OR($A404="",$A404&lt;&gt;'Resumen del inventario'!$C$3,$N404="",$N404="OK"),"",IF(COUNTIFS($A$2:$A404,$A404,$B$2:$B404,$B404)=1,1,""))</f>
        <v/>
      </c>
      <c r="S404" s="20">
        <f>IF($R404=1,COUNTIF($R$2:$R404,1),"")</f>
        <v/>
      </c>
    </row>
    <row r="405">
      <c r="A405" s="19" t="n"/>
      <c r="B405" s="14" t="n"/>
      <c r="C405" s="20">
        <f>IF($B405="","",IFERROR(INDEX(Vinos!$B$2:$B$301,MATCH($B405,Vinos!$A$2:$A$301,0)),"Código no cargado"))</f>
        <v/>
      </c>
      <c r="D405" s="14" t="n"/>
      <c r="E405" s="14" t="n"/>
      <c r="F405" s="18" t="n"/>
      <c r="G405" s="18" t="n"/>
      <c r="H405" s="21">
        <f>IF(AND($F405="",$G405=""),"",N($F405)*IFERROR(N(INDEX(Vinos!$H$2:$H$301,MATCH($B405,Vinos!$A$2:$A$301,0))),0)+N($G405))</f>
        <v/>
      </c>
      <c r="I405" s="18" t="n"/>
      <c r="J405" s="21">
        <f>IF(OR($H405="",$I405=""),"",$H405-$I405)</f>
        <v/>
      </c>
      <c r="K405" s="16">
        <f>IF($H405="","",IFERROR(IF(INDEX(Vinos!$J$2:$J$301,MATCH($B405,Vinos!$A$2:$A$301,0))="","",$H405*INDEX(Vinos!$J$2:$J$301,MATCH($B405,Vinos!$A$2:$A$301,0))),""))</f>
        <v/>
      </c>
      <c r="L405" s="16">
        <f>IF($H405="","",IFERROR(IF(INDEX(Vinos!$K$2:$K$301,MATCH($B405,Vinos!$A$2:$A$301,0))="","",$H405*INDEX(Vinos!$K$2:$K$301,MATCH($B405,Vinos!$A$2:$A$301,0))),""))</f>
        <v/>
      </c>
      <c r="M405" s="21">
        <f>IF(OR($A405="",$B405=""),"",SUMIFS($H$2:$H$2001,$A$2:$A$2001,$A405,$B$2:$B$2001,$B405))</f>
        <v/>
      </c>
      <c r="N405" s="20">
        <f>IF($M405="","",IF($M405&lt;=0,"Sin stock: reponer ya",IF($M405&lt;IFERROR(N(INDEX(Vinos!$N$2:$N$301,MATCH($B405,Vinos!$A$2:$A$301,0))),0),"Bajo mínimo: reponer","OK")))</f>
        <v/>
      </c>
      <c r="O405" s="14" t="n"/>
      <c r="P405" s="14" t="n"/>
      <c r="Q405" s="20">
        <f>IF($B405="","",IFERROR(INDEX(Vinos!$C$2:$C$301,MATCH($B405,Vinos!$A$2:$A$301,0)),""))</f>
        <v/>
      </c>
      <c r="R405" s="20">
        <f>IF(OR($A405="",$A405&lt;&gt;'Resumen del inventario'!$C$3,$N405="",$N405="OK"),"",IF(COUNTIFS($A$2:$A405,$A405,$B$2:$B405,$B405)=1,1,""))</f>
        <v/>
      </c>
      <c r="S405" s="20">
        <f>IF($R405=1,COUNTIF($R$2:$R405,1),"")</f>
        <v/>
      </c>
    </row>
    <row r="406">
      <c r="A406" s="19" t="n"/>
      <c r="B406" s="14" t="n"/>
      <c r="C406" s="20">
        <f>IF($B406="","",IFERROR(INDEX(Vinos!$B$2:$B$301,MATCH($B406,Vinos!$A$2:$A$301,0)),"Código no cargado"))</f>
        <v/>
      </c>
      <c r="D406" s="14" t="n"/>
      <c r="E406" s="14" t="n"/>
      <c r="F406" s="18" t="n"/>
      <c r="G406" s="18" t="n"/>
      <c r="H406" s="21">
        <f>IF(AND($F406="",$G406=""),"",N($F406)*IFERROR(N(INDEX(Vinos!$H$2:$H$301,MATCH($B406,Vinos!$A$2:$A$301,0))),0)+N($G406))</f>
        <v/>
      </c>
      <c r="I406" s="18" t="n"/>
      <c r="J406" s="21">
        <f>IF(OR($H406="",$I406=""),"",$H406-$I406)</f>
        <v/>
      </c>
      <c r="K406" s="16">
        <f>IF($H406="","",IFERROR(IF(INDEX(Vinos!$J$2:$J$301,MATCH($B406,Vinos!$A$2:$A$301,0))="","",$H406*INDEX(Vinos!$J$2:$J$301,MATCH($B406,Vinos!$A$2:$A$301,0))),""))</f>
        <v/>
      </c>
      <c r="L406" s="16">
        <f>IF($H406="","",IFERROR(IF(INDEX(Vinos!$K$2:$K$301,MATCH($B406,Vinos!$A$2:$A$301,0))="","",$H406*INDEX(Vinos!$K$2:$K$301,MATCH($B406,Vinos!$A$2:$A$301,0))),""))</f>
        <v/>
      </c>
      <c r="M406" s="21">
        <f>IF(OR($A406="",$B406=""),"",SUMIFS($H$2:$H$2001,$A$2:$A$2001,$A406,$B$2:$B$2001,$B406))</f>
        <v/>
      </c>
      <c r="N406" s="20">
        <f>IF($M406="","",IF($M406&lt;=0,"Sin stock: reponer ya",IF($M406&lt;IFERROR(N(INDEX(Vinos!$N$2:$N$301,MATCH($B406,Vinos!$A$2:$A$301,0))),0),"Bajo mínimo: reponer","OK")))</f>
        <v/>
      </c>
      <c r="O406" s="14" t="n"/>
      <c r="P406" s="14" t="n"/>
      <c r="Q406" s="20">
        <f>IF($B406="","",IFERROR(INDEX(Vinos!$C$2:$C$301,MATCH($B406,Vinos!$A$2:$A$301,0)),""))</f>
        <v/>
      </c>
      <c r="R406" s="20">
        <f>IF(OR($A406="",$A406&lt;&gt;'Resumen del inventario'!$C$3,$N406="",$N406="OK"),"",IF(COUNTIFS($A$2:$A406,$A406,$B$2:$B406,$B406)=1,1,""))</f>
        <v/>
      </c>
      <c r="S406" s="20">
        <f>IF($R406=1,COUNTIF($R$2:$R406,1),"")</f>
        <v/>
      </c>
    </row>
    <row r="407">
      <c r="A407" s="19" t="n"/>
      <c r="B407" s="14" t="n"/>
      <c r="C407" s="20">
        <f>IF($B407="","",IFERROR(INDEX(Vinos!$B$2:$B$301,MATCH($B407,Vinos!$A$2:$A$301,0)),"Código no cargado"))</f>
        <v/>
      </c>
      <c r="D407" s="14" t="n"/>
      <c r="E407" s="14" t="n"/>
      <c r="F407" s="18" t="n"/>
      <c r="G407" s="18" t="n"/>
      <c r="H407" s="21">
        <f>IF(AND($F407="",$G407=""),"",N($F407)*IFERROR(N(INDEX(Vinos!$H$2:$H$301,MATCH($B407,Vinos!$A$2:$A$301,0))),0)+N($G407))</f>
        <v/>
      </c>
      <c r="I407" s="18" t="n"/>
      <c r="J407" s="21">
        <f>IF(OR($H407="",$I407=""),"",$H407-$I407)</f>
        <v/>
      </c>
      <c r="K407" s="16">
        <f>IF($H407="","",IFERROR(IF(INDEX(Vinos!$J$2:$J$301,MATCH($B407,Vinos!$A$2:$A$301,0))="","",$H407*INDEX(Vinos!$J$2:$J$301,MATCH($B407,Vinos!$A$2:$A$301,0))),""))</f>
        <v/>
      </c>
      <c r="L407" s="16">
        <f>IF($H407="","",IFERROR(IF(INDEX(Vinos!$K$2:$K$301,MATCH($B407,Vinos!$A$2:$A$301,0))="","",$H407*INDEX(Vinos!$K$2:$K$301,MATCH($B407,Vinos!$A$2:$A$301,0))),""))</f>
        <v/>
      </c>
      <c r="M407" s="21">
        <f>IF(OR($A407="",$B407=""),"",SUMIFS($H$2:$H$2001,$A$2:$A$2001,$A407,$B$2:$B$2001,$B407))</f>
        <v/>
      </c>
      <c r="N407" s="20">
        <f>IF($M407="","",IF($M407&lt;=0,"Sin stock: reponer ya",IF($M407&lt;IFERROR(N(INDEX(Vinos!$N$2:$N$301,MATCH($B407,Vinos!$A$2:$A$301,0))),0),"Bajo mínimo: reponer","OK")))</f>
        <v/>
      </c>
      <c r="O407" s="14" t="n"/>
      <c r="P407" s="14" t="n"/>
      <c r="Q407" s="20">
        <f>IF($B407="","",IFERROR(INDEX(Vinos!$C$2:$C$301,MATCH($B407,Vinos!$A$2:$A$301,0)),""))</f>
        <v/>
      </c>
      <c r="R407" s="20">
        <f>IF(OR($A407="",$A407&lt;&gt;'Resumen del inventario'!$C$3,$N407="",$N407="OK"),"",IF(COUNTIFS($A$2:$A407,$A407,$B$2:$B407,$B407)=1,1,""))</f>
        <v/>
      </c>
      <c r="S407" s="20">
        <f>IF($R407=1,COUNTIF($R$2:$R407,1),"")</f>
        <v/>
      </c>
    </row>
    <row r="408">
      <c r="A408" s="19" t="n"/>
      <c r="B408" s="14" t="n"/>
      <c r="C408" s="20">
        <f>IF($B408="","",IFERROR(INDEX(Vinos!$B$2:$B$301,MATCH($B408,Vinos!$A$2:$A$301,0)),"Código no cargado"))</f>
        <v/>
      </c>
      <c r="D408" s="14" t="n"/>
      <c r="E408" s="14" t="n"/>
      <c r="F408" s="18" t="n"/>
      <c r="G408" s="18" t="n"/>
      <c r="H408" s="21">
        <f>IF(AND($F408="",$G408=""),"",N($F408)*IFERROR(N(INDEX(Vinos!$H$2:$H$301,MATCH($B408,Vinos!$A$2:$A$301,0))),0)+N($G408))</f>
        <v/>
      </c>
      <c r="I408" s="18" t="n"/>
      <c r="J408" s="21">
        <f>IF(OR($H408="",$I408=""),"",$H408-$I408)</f>
        <v/>
      </c>
      <c r="K408" s="16">
        <f>IF($H408="","",IFERROR(IF(INDEX(Vinos!$J$2:$J$301,MATCH($B408,Vinos!$A$2:$A$301,0))="","",$H408*INDEX(Vinos!$J$2:$J$301,MATCH($B408,Vinos!$A$2:$A$301,0))),""))</f>
        <v/>
      </c>
      <c r="L408" s="16">
        <f>IF($H408="","",IFERROR(IF(INDEX(Vinos!$K$2:$K$301,MATCH($B408,Vinos!$A$2:$A$301,0))="","",$H408*INDEX(Vinos!$K$2:$K$301,MATCH($B408,Vinos!$A$2:$A$301,0))),""))</f>
        <v/>
      </c>
      <c r="M408" s="21">
        <f>IF(OR($A408="",$B408=""),"",SUMIFS($H$2:$H$2001,$A$2:$A$2001,$A408,$B$2:$B$2001,$B408))</f>
        <v/>
      </c>
      <c r="N408" s="20">
        <f>IF($M408="","",IF($M408&lt;=0,"Sin stock: reponer ya",IF($M408&lt;IFERROR(N(INDEX(Vinos!$N$2:$N$301,MATCH($B408,Vinos!$A$2:$A$301,0))),0),"Bajo mínimo: reponer","OK")))</f>
        <v/>
      </c>
      <c r="O408" s="14" t="n"/>
      <c r="P408" s="14" t="n"/>
      <c r="Q408" s="20">
        <f>IF($B408="","",IFERROR(INDEX(Vinos!$C$2:$C$301,MATCH($B408,Vinos!$A$2:$A$301,0)),""))</f>
        <v/>
      </c>
      <c r="R408" s="20">
        <f>IF(OR($A408="",$A408&lt;&gt;'Resumen del inventario'!$C$3,$N408="",$N408="OK"),"",IF(COUNTIFS($A$2:$A408,$A408,$B$2:$B408,$B408)=1,1,""))</f>
        <v/>
      </c>
      <c r="S408" s="20">
        <f>IF($R408=1,COUNTIF($R$2:$R408,1),"")</f>
        <v/>
      </c>
    </row>
    <row r="409">
      <c r="A409" s="19" t="n"/>
      <c r="B409" s="14" t="n"/>
      <c r="C409" s="20">
        <f>IF($B409="","",IFERROR(INDEX(Vinos!$B$2:$B$301,MATCH($B409,Vinos!$A$2:$A$301,0)),"Código no cargado"))</f>
        <v/>
      </c>
      <c r="D409" s="14" t="n"/>
      <c r="E409" s="14" t="n"/>
      <c r="F409" s="18" t="n"/>
      <c r="G409" s="18" t="n"/>
      <c r="H409" s="21">
        <f>IF(AND($F409="",$G409=""),"",N($F409)*IFERROR(N(INDEX(Vinos!$H$2:$H$301,MATCH($B409,Vinos!$A$2:$A$301,0))),0)+N($G409))</f>
        <v/>
      </c>
      <c r="I409" s="18" t="n"/>
      <c r="J409" s="21">
        <f>IF(OR($H409="",$I409=""),"",$H409-$I409)</f>
        <v/>
      </c>
      <c r="K409" s="16">
        <f>IF($H409="","",IFERROR(IF(INDEX(Vinos!$J$2:$J$301,MATCH($B409,Vinos!$A$2:$A$301,0))="","",$H409*INDEX(Vinos!$J$2:$J$301,MATCH($B409,Vinos!$A$2:$A$301,0))),""))</f>
        <v/>
      </c>
      <c r="L409" s="16">
        <f>IF($H409="","",IFERROR(IF(INDEX(Vinos!$K$2:$K$301,MATCH($B409,Vinos!$A$2:$A$301,0))="","",$H409*INDEX(Vinos!$K$2:$K$301,MATCH($B409,Vinos!$A$2:$A$301,0))),""))</f>
        <v/>
      </c>
      <c r="M409" s="21">
        <f>IF(OR($A409="",$B409=""),"",SUMIFS($H$2:$H$2001,$A$2:$A$2001,$A409,$B$2:$B$2001,$B409))</f>
        <v/>
      </c>
      <c r="N409" s="20">
        <f>IF($M409="","",IF($M409&lt;=0,"Sin stock: reponer ya",IF($M409&lt;IFERROR(N(INDEX(Vinos!$N$2:$N$301,MATCH($B409,Vinos!$A$2:$A$301,0))),0),"Bajo mínimo: reponer","OK")))</f>
        <v/>
      </c>
      <c r="O409" s="14" t="n"/>
      <c r="P409" s="14" t="n"/>
      <c r="Q409" s="20">
        <f>IF($B409="","",IFERROR(INDEX(Vinos!$C$2:$C$301,MATCH($B409,Vinos!$A$2:$A$301,0)),""))</f>
        <v/>
      </c>
      <c r="R409" s="20">
        <f>IF(OR($A409="",$A409&lt;&gt;'Resumen del inventario'!$C$3,$N409="",$N409="OK"),"",IF(COUNTIFS($A$2:$A409,$A409,$B$2:$B409,$B409)=1,1,""))</f>
        <v/>
      </c>
      <c r="S409" s="20">
        <f>IF($R409=1,COUNTIF($R$2:$R409,1),"")</f>
        <v/>
      </c>
    </row>
    <row r="410">
      <c r="A410" s="19" t="n"/>
      <c r="B410" s="14" t="n"/>
      <c r="C410" s="20">
        <f>IF($B410="","",IFERROR(INDEX(Vinos!$B$2:$B$301,MATCH($B410,Vinos!$A$2:$A$301,0)),"Código no cargado"))</f>
        <v/>
      </c>
      <c r="D410" s="14" t="n"/>
      <c r="E410" s="14" t="n"/>
      <c r="F410" s="18" t="n"/>
      <c r="G410" s="18" t="n"/>
      <c r="H410" s="21">
        <f>IF(AND($F410="",$G410=""),"",N($F410)*IFERROR(N(INDEX(Vinos!$H$2:$H$301,MATCH($B410,Vinos!$A$2:$A$301,0))),0)+N($G410))</f>
        <v/>
      </c>
      <c r="I410" s="18" t="n"/>
      <c r="J410" s="21">
        <f>IF(OR($H410="",$I410=""),"",$H410-$I410)</f>
        <v/>
      </c>
      <c r="K410" s="16">
        <f>IF($H410="","",IFERROR(IF(INDEX(Vinos!$J$2:$J$301,MATCH($B410,Vinos!$A$2:$A$301,0))="","",$H410*INDEX(Vinos!$J$2:$J$301,MATCH($B410,Vinos!$A$2:$A$301,0))),""))</f>
        <v/>
      </c>
      <c r="L410" s="16">
        <f>IF($H410="","",IFERROR(IF(INDEX(Vinos!$K$2:$K$301,MATCH($B410,Vinos!$A$2:$A$301,0))="","",$H410*INDEX(Vinos!$K$2:$K$301,MATCH($B410,Vinos!$A$2:$A$301,0))),""))</f>
        <v/>
      </c>
      <c r="M410" s="21">
        <f>IF(OR($A410="",$B410=""),"",SUMIFS($H$2:$H$2001,$A$2:$A$2001,$A410,$B$2:$B$2001,$B410))</f>
        <v/>
      </c>
      <c r="N410" s="20">
        <f>IF($M410="","",IF($M410&lt;=0,"Sin stock: reponer ya",IF($M410&lt;IFERROR(N(INDEX(Vinos!$N$2:$N$301,MATCH($B410,Vinos!$A$2:$A$301,0))),0),"Bajo mínimo: reponer","OK")))</f>
        <v/>
      </c>
      <c r="O410" s="14" t="n"/>
      <c r="P410" s="14" t="n"/>
      <c r="Q410" s="20">
        <f>IF($B410="","",IFERROR(INDEX(Vinos!$C$2:$C$301,MATCH($B410,Vinos!$A$2:$A$301,0)),""))</f>
        <v/>
      </c>
      <c r="R410" s="20">
        <f>IF(OR($A410="",$A410&lt;&gt;'Resumen del inventario'!$C$3,$N410="",$N410="OK"),"",IF(COUNTIFS($A$2:$A410,$A410,$B$2:$B410,$B410)=1,1,""))</f>
        <v/>
      </c>
      <c r="S410" s="20">
        <f>IF($R410=1,COUNTIF($R$2:$R410,1),"")</f>
        <v/>
      </c>
    </row>
    <row r="411">
      <c r="A411" s="19" t="n"/>
      <c r="B411" s="14" t="n"/>
      <c r="C411" s="20">
        <f>IF($B411="","",IFERROR(INDEX(Vinos!$B$2:$B$301,MATCH($B411,Vinos!$A$2:$A$301,0)),"Código no cargado"))</f>
        <v/>
      </c>
      <c r="D411" s="14" t="n"/>
      <c r="E411" s="14" t="n"/>
      <c r="F411" s="18" t="n"/>
      <c r="G411" s="18" t="n"/>
      <c r="H411" s="21">
        <f>IF(AND($F411="",$G411=""),"",N($F411)*IFERROR(N(INDEX(Vinos!$H$2:$H$301,MATCH($B411,Vinos!$A$2:$A$301,0))),0)+N($G411))</f>
        <v/>
      </c>
      <c r="I411" s="18" t="n"/>
      <c r="J411" s="21">
        <f>IF(OR($H411="",$I411=""),"",$H411-$I411)</f>
        <v/>
      </c>
      <c r="K411" s="16">
        <f>IF($H411="","",IFERROR(IF(INDEX(Vinos!$J$2:$J$301,MATCH($B411,Vinos!$A$2:$A$301,0))="","",$H411*INDEX(Vinos!$J$2:$J$301,MATCH($B411,Vinos!$A$2:$A$301,0))),""))</f>
        <v/>
      </c>
      <c r="L411" s="16">
        <f>IF($H411="","",IFERROR(IF(INDEX(Vinos!$K$2:$K$301,MATCH($B411,Vinos!$A$2:$A$301,0))="","",$H411*INDEX(Vinos!$K$2:$K$301,MATCH($B411,Vinos!$A$2:$A$301,0))),""))</f>
        <v/>
      </c>
      <c r="M411" s="21">
        <f>IF(OR($A411="",$B411=""),"",SUMIFS($H$2:$H$2001,$A$2:$A$2001,$A411,$B$2:$B$2001,$B411))</f>
        <v/>
      </c>
      <c r="N411" s="20">
        <f>IF($M411="","",IF($M411&lt;=0,"Sin stock: reponer ya",IF($M411&lt;IFERROR(N(INDEX(Vinos!$N$2:$N$301,MATCH($B411,Vinos!$A$2:$A$301,0))),0),"Bajo mínimo: reponer","OK")))</f>
        <v/>
      </c>
      <c r="O411" s="14" t="n"/>
      <c r="P411" s="14" t="n"/>
      <c r="Q411" s="20">
        <f>IF($B411="","",IFERROR(INDEX(Vinos!$C$2:$C$301,MATCH($B411,Vinos!$A$2:$A$301,0)),""))</f>
        <v/>
      </c>
      <c r="R411" s="20">
        <f>IF(OR($A411="",$A411&lt;&gt;'Resumen del inventario'!$C$3,$N411="",$N411="OK"),"",IF(COUNTIFS($A$2:$A411,$A411,$B$2:$B411,$B411)=1,1,""))</f>
        <v/>
      </c>
      <c r="S411" s="20">
        <f>IF($R411=1,COUNTIF($R$2:$R411,1),"")</f>
        <v/>
      </c>
    </row>
    <row r="412">
      <c r="A412" s="19" t="n"/>
      <c r="B412" s="14" t="n"/>
      <c r="C412" s="20">
        <f>IF($B412="","",IFERROR(INDEX(Vinos!$B$2:$B$301,MATCH($B412,Vinos!$A$2:$A$301,0)),"Código no cargado"))</f>
        <v/>
      </c>
      <c r="D412" s="14" t="n"/>
      <c r="E412" s="14" t="n"/>
      <c r="F412" s="18" t="n"/>
      <c r="G412" s="18" t="n"/>
      <c r="H412" s="21">
        <f>IF(AND($F412="",$G412=""),"",N($F412)*IFERROR(N(INDEX(Vinos!$H$2:$H$301,MATCH($B412,Vinos!$A$2:$A$301,0))),0)+N($G412))</f>
        <v/>
      </c>
      <c r="I412" s="18" t="n"/>
      <c r="J412" s="21">
        <f>IF(OR($H412="",$I412=""),"",$H412-$I412)</f>
        <v/>
      </c>
      <c r="K412" s="16">
        <f>IF($H412="","",IFERROR(IF(INDEX(Vinos!$J$2:$J$301,MATCH($B412,Vinos!$A$2:$A$301,0))="","",$H412*INDEX(Vinos!$J$2:$J$301,MATCH($B412,Vinos!$A$2:$A$301,0))),""))</f>
        <v/>
      </c>
      <c r="L412" s="16">
        <f>IF($H412="","",IFERROR(IF(INDEX(Vinos!$K$2:$K$301,MATCH($B412,Vinos!$A$2:$A$301,0))="","",$H412*INDEX(Vinos!$K$2:$K$301,MATCH($B412,Vinos!$A$2:$A$301,0))),""))</f>
        <v/>
      </c>
      <c r="M412" s="21">
        <f>IF(OR($A412="",$B412=""),"",SUMIFS($H$2:$H$2001,$A$2:$A$2001,$A412,$B$2:$B$2001,$B412))</f>
        <v/>
      </c>
      <c r="N412" s="20">
        <f>IF($M412="","",IF($M412&lt;=0,"Sin stock: reponer ya",IF($M412&lt;IFERROR(N(INDEX(Vinos!$N$2:$N$301,MATCH($B412,Vinos!$A$2:$A$301,0))),0),"Bajo mínimo: reponer","OK")))</f>
        <v/>
      </c>
      <c r="O412" s="14" t="n"/>
      <c r="P412" s="14" t="n"/>
      <c r="Q412" s="20">
        <f>IF($B412="","",IFERROR(INDEX(Vinos!$C$2:$C$301,MATCH($B412,Vinos!$A$2:$A$301,0)),""))</f>
        <v/>
      </c>
      <c r="R412" s="20">
        <f>IF(OR($A412="",$A412&lt;&gt;'Resumen del inventario'!$C$3,$N412="",$N412="OK"),"",IF(COUNTIFS($A$2:$A412,$A412,$B$2:$B412,$B412)=1,1,""))</f>
        <v/>
      </c>
      <c r="S412" s="20">
        <f>IF($R412=1,COUNTIF($R$2:$R412,1),"")</f>
        <v/>
      </c>
    </row>
    <row r="413">
      <c r="A413" s="19" t="n"/>
      <c r="B413" s="14" t="n"/>
      <c r="C413" s="20">
        <f>IF($B413="","",IFERROR(INDEX(Vinos!$B$2:$B$301,MATCH($B413,Vinos!$A$2:$A$301,0)),"Código no cargado"))</f>
        <v/>
      </c>
      <c r="D413" s="14" t="n"/>
      <c r="E413" s="14" t="n"/>
      <c r="F413" s="18" t="n"/>
      <c r="G413" s="18" t="n"/>
      <c r="H413" s="21">
        <f>IF(AND($F413="",$G413=""),"",N($F413)*IFERROR(N(INDEX(Vinos!$H$2:$H$301,MATCH($B413,Vinos!$A$2:$A$301,0))),0)+N($G413))</f>
        <v/>
      </c>
      <c r="I413" s="18" t="n"/>
      <c r="J413" s="21">
        <f>IF(OR($H413="",$I413=""),"",$H413-$I413)</f>
        <v/>
      </c>
      <c r="K413" s="16">
        <f>IF($H413="","",IFERROR(IF(INDEX(Vinos!$J$2:$J$301,MATCH($B413,Vinos!$A$2:$A$301,0))="","",$H413*INDEX(Vinos!$J$2:$J$301,MATCH($B413,Vinos!$A$2:$A$301,0))),""))</f>
        <v/>
      </c>
      <c r="L413" s="16">
        <f>IF($H413="","",IFERROR(IF(INDEX(Vinos!$K$2:$K$301,MATCH($B413,Vinos!$A$2:$A$301,0))="","",$H413*INDEX(Vinos!$K$2:$K$301,MATCH($B413,Vinos!$A$2:$A$301,0))),""))</f>
        <v/>
      </c>
      <c r="M413" s="21">
        <f>IF(OR($A413="",$B413=""),"",SUMIFS($H$2:$H$2001,$A$2:$A$2001,$A413,$B$2:$B$2001,$B413))</f>
        <v/>
      </c>
      <c r="N413" s="20">
        <f>IF($M413="","",IF($M413&lt;=0,"Sin stock: reponer ya",IF($M413&lt;IFERROR(N(INDEX(Vinos!$N$2:$N$301,MATCH($B413,Vinos!$A$2:$A$301,0))),0),"Bajo mínimo: reponer","OK")))</f>
        <v/>
      </c>
      <c r="O413" s="14" t="n"/>
      <c r="P413" s="14" t="n"/>
      <c r="Q413" s="20">
        <f>IF($B413="","",IFERROR(INDEX(Vinos!$C$2:$C$301,MATCH($B413,Vinos!$A$2:$A$301,0)),""))</f>
        <v/>
      </c>
      <c r="R413" s="20">
        <f>IF(OR($A413="",$A413&lt;&gt;'Resumen del inventario'!$C$3,$N413="",$N413="OK"),"",IF(COUNTIFS($A$2:$A413,$A413,$B$2:$B413,$B413)=1,1,""))</f>
        <v/>
      </c>
      <c r="S413" s="20">
        <f>IF($R413=1,COUNTIF($R$2:$R413,1),"")</f>
        <v/>
      </c>
    </row>
    <row r="414">
      <c r="A414" s="19" t="n"/>
      <c r="B414" s="14" t="n"/>
      <c r="C414" s="20">
        <f>IF($B414="","",IFERROR(INDEX(Vinos!$B$2:$B$301,MATCH($B414,Vinos!$A$2:$A$301,0)),"Código no cargado"))</f>
        <v/>
      </c>
      <c r="D414" s="14" t="n"/>
      <c r="E414" s="14" t="n"/>
      <c r="F414" s="18" t="n"/>
      <c r="G414" s="18" t="n"/>
      <c r="H414" s="21">
        <f>IF(AND($F414="",$G414=""),"",N($F414)*IFERROR(N(INDEX(Vinos!$H$2:$H$301,MATCH($B414,Vinos!$A$2:$A$301,0))),0)+N($G414))</f>
        <v/>
      </c>
      <c r="I414" s="18" t="n"/>
      <c r="J414" s="21">
        <f>IF(OR($H414="",$I414=""),"",$H414-$I414)</f>
        <v/>
      </c>
      <c r="K414" s="16">
        <f>IF($H414="","",IFERROR(IF(INDEX(Vinos!$J$2:$J$301,MATCH($B414,Vinos!$A$2:$A$301,0))="","",$H414*INDEX(Vinos!$J$2:$J$301,MATCH($B414,Vinos!$A$2:$A$301,0))),""))</f>
        <v/>
      </c>
      <c r="L414" s="16">
        <f>IF($H414="","",IFERROR(IF(INDEX(Vinos!$K$2:$K$301,MATCH($B414,Vinos!$A$2:$A$301,0))="","",$H414*INDEX(Vinos!$K$2:$K$301,MATCH($B414,Vinos!$A$2:$A$301,0))),""))</f>
        <v/>
      </c>
      <c r="M414" s="21">
        <f>IF(OR($A414="",$B414=""),"",SUMIFS($H$2:$H$2001,$A$2:$A$2001,$A414,$B$2:$B$2001,$B414))</f>
        <v/>
      </c>
      <c r="N414" s="20">
        <f>IF($M414="","",IF($M414&lt;=0,"Sin stock: reponer ya",IF($M414&lt;IFERROR(N(INDEX(Vinos!$N$2:$N$301,MATCH($B414,Vinos!$A$2:$A$301,0))),0),"Bajo mínimo: reponer","OK")))</f>
        <v/>
      </c>
      <c r="O414" s="14" t="n"/>
      <c r="P414" s="14" t="n"/>
      <c r="Q414" s="20">
        <f>IF($B414="","",IFERROR(INDEX(Vinos!$C$2:$C$301,MATCH($B414,Vinos!$A$2:$A$301,0)),""))</f>
        <v/>
      </c>
      <c r="R414" s="20">
        <f>IF(OR($A414="",$A414&lt;&gt;'Resumen del inventario'!$C$3,$N414="",$N414="OK"),"",IF(COUNTIFS($A$2:$A414,$A414,$B$2:$B414,$B414)=1,1,""))</f>
        <v/>
      </c>
      <c r="S414" s="20">
        <f>IF($R414=1,COUNTIF($R$2:$R414,1),"")</f>
        <v/>
      </c>
    </row>
    <row r="415">
      <c r="A415" s="19" t="n"/>
      <c r="B415" s="14" t="n"/>
      <c r="C415" s="20">
        <f>IF($B415="","",IFERROR(INDEX(Vinos!$B$2:$B$301,MATCH($B415,Vinos!$A$2:$A$301,0)),"Código no cargado"))</f>
        <v/>
      </c>
      <c r="D415" s="14" t="n"/>
      <c r="E415" s="14" t="n"/>
      <c r="F415" s="18" t="n"/>
      <c r="G415" s="18" t="n"/>
      <c r="H415" s="21">
        <f>IF(AND($F415="",$G415=""),"",N($F415)*IFERROR(N(INDEX(Vinos!$H$2:$H$301,MATCH($B415,Vinos!$A$2:$A$301,0))),0)+N($G415))</f>
        <v/>
      </c>
      <c r="I415" s="18" t="n"/>
      <c r="J415" s="21">
        <f>IF(OR($H415="",$I415=""),"",$H415-$I415)</f>
        <v/>
      </c>
      <c r="K415" s="16">
        <f>IF($H415="","",IFERROR(IF(INDEX(Vinos!$J$2:$J$301,MATCH($B415,Vinos!$A$2:$A$301,0))="","",$H415*INDEX(Vinos!$J$2:$J$301,MATCH($B415,Vinos!$A$2:$A$301,0))),""))</f>
        <v/>
      </c>
      <c r="L415" s="16">
        <f>IF($H415="","",IFERROR(IF(INDEX(Vinos!$K$2:$K$301,MATCH($B415,Vinos!$A$2:$A$301,0))="","",$H415*INDEX(Vinos!$K$2:$K$301,MATCH($B415,Vinos!$A$2:$A$301,0))),""))</f>
        <v/>
      </c>
      <c r="M415" s="21">
        <f>IF(OR($A415="",$B415=""),"",SUMIFS($H$2:$H$2001,$A$2:$A$2001,$A415,$B$2:$B$2001,$B415))</f>
        <v/>
      </c>
      <c r="N415" s="20">
        <f>IF($M415="","",IF($M415&lt;=0,"Sin stock: reponer ya",IF($M415&lt;IFERROR(N(INDEX(Vinos!$N$2:$N$301,MATCH($B415,Vinos!$A$2:$A$301,0))),0),"Bajo mínimo: reponer","OK")))</f>
        <v/>
      </c>
      <c r="O415" s="14" t="n"/>
      <c r="P415" s="14" t="n"/>
      <c r="Q415" s="20">
        <f>IF($B415="","",IFERROR(INDEX(Vinos!$C$2:$C$301,MATCH($B415,Vinos!$A$2:$A$301,0)),""))</f>
        <v/>
      </c>
      <c r="R415" s="20">
        <f>IF(OR($A415="",$A415&lt;&gt;'Resumen del inventario'!$C$3,$N415="",$N415="OK"),"",IF(COUNTIFS($A$2:$A415,$A415,$B$2:$B415,$B415)=1,1,""))</f>
        <v/>
      </c>
      <c r="S415" s="20">
        <f>IF($R415=1,COUNTIF($R$2:$R415,1),"")</f>
        <v/>
      </c>
    </row>
    <row r="416">
      <c r="A416" s="19" t="n"/>
      <c r="B416" s="14" t="n"/>
      <c r="C416" s="20">
        <f>IF($B416="","",IFERROR(INDEX(Vinos!$B$2:$B$301,MATCH($B416,Vinos!$A$2:$A$301,0)),"Código no cargado"))</f>
        <v/>
      </c>
      <c r="D416" s="14" t="n"/>
      <c r="E416" s="14" t="n"/>
      <c r="F416" s="18" t="n"/>
      <c r="G416" s="18" t="n"/>
      <c r="H416" s="21">
        <f>IF(AND($F416="",$G416=""),"",N($F416)*IFERROR(N(INDEX(Vinos!$H$2:$H$301,MATCH($B416,Vinos!$A$2:$A$301,0))),0)+N($G416))</f>
        <v/>
      </c>
      <c r="I416" s="18" t="n"/>
      <c r="J416" s="21">
        <f>IF(OR($H416="",$I416=""),"",$H416-$I416)</f>
        <v/>
      </c>
      <c r="K416" s="16">
        <f>IF($H416="","",IFERROR(IF(INDEX(Vinos!$J$2:$J$301,MATCH($B416,Vinos!$A$2:$A$301,0))="","",$H416*INDEX(Vinos!$J$2:$J$301,MATCH($B416,Vinos!$A$2:$A$301,0))),""))</f>
        <v/>
      </c>
      <c r="L416" s="16">
        <f>IF($H416="","",IFERROR(IF(INDEX(Vinos!$K$2:$K$301,MATCH($B416,Vinos!$A$2:$A$301,0))="","",$H416*INDEX(Vinos!$K$2:$K$301,MATCH($B416,Vinos!$A$2:$A$301,0))),""))</f>
        <v/>
      </c>
      <c r="M416" s="21">
        <f>IF(OR($A416="",$B416=""),"",SUMIFS($H$2:$H$2001,$A$2:$A$2001,$A416,$B$2:$B$2001,$B416))</f>
        <v/>
      </c>
      <c r="N416" s="20">
        <f>IF($M416="","",IF($M416&lt;=0,"Sin stock: reponer ya",IF($M416&lt;IFERROR(N(INDEX(Vinos!$N$2:$N$301,MATCH($B416,Vinos!$A$2:$A$301,0))),0),"Bajo mínimo: reponer","OK")))</f>
        <v/>
      </c>
      <c r="O416" s="14" t="n"/>
      <c r="P416" s="14" t="n"/>
      <c r="Q416" s="20">
        <f>IF($B416="","",IFERROR(INDEX(Vinos!$C$2:$C$301,MATCH($B416,Vinos!$A$2:$A$301,0)),""))</f>
        <v/>
      </c>
      <c r="R416" s="20">
        <f>IF(OR($A416="",$A416&lt;&gt;'Resumen del inventario'!$C$3,$N416="",$N416="OK"),"",IF(COUNTIFS($A$2:$A416,$A416,$B$2:$B416,$B416)=1,1,""))</f>
        <v/>
      </c>
      <c r="S416" s="20">
        <f>IF($R416=1,COUNTIF($R$2:$R416,1),"")</f>
        <v/>
      </c>
    </row>
    <row r="417">
      <c r="A417" s="19" t="n"/>
      <c r="B417" s="14" t="n"/>
      <c r="C417" s="20">
        <f>IF($B417="","",IFERROR(INDEX(Vinos!$B$2:$B$301,MATCH($B417,Vinos!$A$2:$A$301,0)),"Código no cargado"))</f>
        <v/>
      </c>
      <c r="D417" s="14" t="n"/>
      <c r="E417" s="14" t="n"/>
      <c r="F417" s="18" t="n"/>
      <c r="G417" s="18" t="n"/>
      <c r="H417" s="21">
        <f>IF(AND($F417="",$G417=""),"",N($F417)*IFERROR(N(INDEX(Vinos!$H$2:$H$301,MATCH($B417,Vinos!$A$2:$A$301,0))),0)+N($G417))</f>
        <v/>
      </c>
      <c r="I417" s="18" t="n"/>
      <c r="J417" s="21">
        <f>IF(OR($H417="",$I417=""),"",$H417-$I417)</f>
        <v/>
      </c>
      <c r="K417" s="16">
        <f>IF($H417="","",IFERROR(IF(INDEX(Vinos!$J$2:$J$301,MATCH($B417,Vinos!$A$2:$A$301,0))="","",$H417*INDEX(Vinos!$J$2:$J$301,MATCH($B417,Vinos!$A$2:$A$301,0))),""))</f>
        <v/>
      </c>
      <c r="L417" s="16">
        <f>IF($H417="","",IFERROR(IF(INDEX(Vinos!$K$2:$K$301,MATCH($B417,Vinos!$A$2:$A$301,0))="","",$H417*INDEX(Vinos!$K$2:$K$301,MATCH($B417,Vinos!$A$2:$A$301,0))),""))</f>
        <v/>
      </c>
      <c r="M417" s="21">
        <f>IF(OR($A417="",$B417=""),"",SUMIFS($H$2:$H$2001,$A$2:$A$2001,$A417,$B$2:$B$2001,$B417))</f>
        <v/>
      </c>
      <c r="N417" s="20">
        <f>IF($M417="","",IF($M417&lt;=0,"Sin stock: reponer ya",IF($M417&lt;IFERROR(N(INDEX(Vinos!$N$2:$N$301,MATCH($B417,Vinos!$A$2:$A$301,0))),0),"Bajo mínimo: reponer","OK")))</f>
        <v/>
      </c>
      <c r="O417" s="14" t="n"/>
      <c r="P417" s="14" t="n"/>
      <c r="Q417" s="20">
        <f>IF($B417="","",IFERROR(INDEX(Vinos!$C$2:$C$301,MATCH($B417,Vinos!$A$2:$A$301,0)),""))</f>
        <v/>
      </c>
      <c r="R417" s="20">
        <f>IF(OR($A417="",$A417&lt;&gt;'Resumen del inventario'!$C$3,$N417="",$N417="OK"),"",IF(COUNTIFS($A$2:$A417,$A417,$B$2:$B417,$B417)=1,1,""))</f>
        <v/>
      </c>
      <c r="S417" s="20">
        <f>IF($R417=1,COUNTIF($R$2:$R417,1),"")</f>
        <v/>
      </c>
    </row>
    <row r="418">
      <c r="A418" s="19" t="n"/>
      <c r="B418" s="14" t="n"/>
      <c r="C418" s="20">
        <f>IF($B418="","",IFERROR(INDEX(Vinos!$B$2:$B$301,MATCH($B418,Vinos!$A$2:$A$301,0)),"Código no cargado"))</f>
        <v/>
      </c>
      <c r="D418" s="14" t="n"/>
      <c r="E418" s="14" t="n"/>
      <c r="F418" s="18" t="n"/>
      <c r="G418" s="18" t="n"/>
      <c r="H418" s="21">
        <f>IF(AND($F418="",$G418=""),"",N($F418)*IFERROR(N(INDEX(Vinos!$H$2:$H$301,MATCH($B418,Vinos!$A$2:$A$301,0))),0)+N($G418))</f>
        <v/>
      </c>
      <c r="I418" s="18" t="n"/>
      <c r="J418" s="21">
        <f>IF(OR($H418="",$I418=""),"",$H418-$I418)</f>
        <v/>
      </c>
      <c r="K418" s="16">
        <f>IF($H418="","",IFERROR(IF(INDEX(Vinos!$J$2:$J$301,MATCH($B418,Vinos!$A$2:$A$301,0))="","",$H418*INDEX(Vinos!$J$2:$J$301,MATCH($B418,Vinos!$A$2:$A$301,0))),""))</f>
        <v/>
      </c>
      <c r="L418" s="16">
        <f>IF($H418="","",IFERROR(IF(INDEX(Vinos!$K$2:$K$301,MATCH($B418,Vinos!$A$2:$A$301,0))="","",$H418*INDEX(Vinos!$K$2:$K$301,MATCH($B418,Vinos!$A$2:$A$301,0))),""))</f>
        <v/>
      </c>
      <c r="M418" s="21">
        <f>IF(OR($A418="",$B418=""),"",SUMIFS($H$2:$H$2001,$A$2:$A$2001,$A418,$B$2:$B$2001,$B418))</f>
        <v/>
      </c>
      <c r="N418" s="20">
        <f>IF($M418="","",IF($M418&lt;=0,"Sin stock: reponer ya",IF($M418&lt;IFERROR(N(INDEX(Vinos!$N$2:$N$301,MATCH($B418,Vinos!$A$2:$A$301,0))),0),"Bajo mínimo: reponer","OK")))</f>
        <v/>
      </c>
      <c r="O418" s="14" t="n"/>
      <c r="P418" s="14" t="n"/>
      <c r="Q418" s="20">
        <f>IF($B418="","",IFERROR(INDEX(Vinos!$C$2:$C$301,MATCH($B418,Vinos!$A$2:$A$301,0)),""))</f>
        <v/>
      </c>
      <c r="R418" s="20">
        <f>IF(OR($A418="",$A418&lt;&gt;'Resumen del inventario'!$C$3,$N418="",$N418="OK"),"",IF(COUNTIFS($A$2:$A418,$A418,$B$2:$B418,$B418)=1,1,""))</f>
        <v/>
      </c>
      <c r="S418" s="20">
        <f>IF($R418=1,COUNTIF($R$2:$R418,1),"")</f>
        <v/>
      </c>
    </row>
    <row r="419">
      <c r="A419" s="19" t="n"/>
      <c r="B419" s="14" t="n"/>
      <c r="C419" s="20">
        <f>IF($B419="","",IFERROR(INDEX(Vinos!$B$2:$B$301,MATCH($B419,Vinos!$A$2:$A$301,0)),"Código no cargado"))</f>
        <v/>
      </c>
      <c r="D419" s="14" t="n"/>
      <c r="E419" s="14" t="n"/>
      <c r="F419" s="18" t="n"/>
      <c r="G419" s="18" t="n"/>
      <c r="H419" s="21">
        <f>IF(AND($F419="",$G419=""),"",N($F419)*IFERROR(N(INDEX(Vinos!$H$2:$H$301,MATCH($B419,Vinos!$A$2:$A$301,0))),0)+N($G419))</f>
        <v/>
      </c>
      <c r="I419" s="18" t="n"/>
      <c r="J419" s="21">
        <f>IF(OR($H419="",$I419=""),"",$H419-$I419)</f>
        <v/>
      </c>
      <c r="K419" s="16">
        <f>IF($H419="","",IFERROR(IF(INDEX(Vinos!$J$2:$J$301,MATCH($B419,Vinos!$A$2:$A$301,0))="","",$H419*INDEX(Vinos!$J$2:$J$301,MATCH($B419,Vinos!$A$2:$A$301,0))),""))</f>
        <v/>
      </c>
      <c r="L419" s="16">
        <f>IF($H419="","",IFERROR(IF(INDEX(Vinos!$K$2:$K$301,MATCH($B419,Vinos!$A$2:$A$301,0))="","",$H419*INDEX(Vinos!$K$2:$K$301,MATCH($B419,Vinos!$A$2:$A$301,0))),""))</f>
        <v/>
      </c>
      <c r="M419" s="21">
        <f>IF(OR($A419="",$B419=""),"",SUMIFS($H$2:$H$2001,$A$2:$A$2001,$A419,$B$2:$B$2001,$B419))</f>
        <v/>
      </c>
      <c r="N419" s="20">
        <f>IF($M419="","",IF($M419&lt;=0,"Sin stock: reponer ya",IF($M419&lt;IFERROR(N(INDEX(Vinos!$N$2:$N$301,MATCH($B419,Vinos!$A$2:$A$301,0))),0),"Bajo mínimo: reponer","OK")))</f>
        <v/>
      </c>
      <c r="O419" s="14" t="n"/>
      <c r="P419" s="14" t="n"/>
      <c r="Q419" s="20">
        <f>IF($B419="","",IFERROR(INDEX(Vinos!$C$2:$C$301,MATCH($B419,Vinos!$A$2:$A$301,0)),""))</f>
        <v/>
      </c>
      <c r="R419" s="20">
        <f>IF(OR($A419="",$A419&lt;&gt;'Resumen del inventario'!$C$3,$N419="",$N419="OK"),"",IF(COUNTIFS($A$2:$A419,$A419,$B$2:$B419,$B419)=1,1,""))</f>
        <v/>
      </c>
      <c r="S419" s="20">
        <f>IF($R419=1,COUNTIF($R$2:$R419,1),"")</f>
        <v/>
      </c>
    </row>
    <row r="420">
      <c r="A420" s="19" t="n"/>
      <c r="B420" s="14" t="n"/>
      <c r="C420" s="20">
        <f>IF($B420="","",IFERROR(INDEX(Vinos!$B$2:$B$301,MATCH($B420,Vinos!$A$2:$A$301,0)),"Código no cargado"))</f>
        <v/>
      </c>
      <c r="D420" s="14" t="n"/>
      <c r="E420" s="14" t="n"/>
      <c r="F420" s="18" t="n"/>
      <c r="G420" s="18" t="n"/>
      <c r="H420" s="21">
        <f>IF(AND($F420="",$G420=""),"",N($F420)*IFERROR(N(INDEX(Vinos!$H$2:$H$301,MATCH($B420,Vinos!$A$2:$A$301,0))),0)+N($G420))</f>
        <v/>
      </c>
      <c r="I420" s="18" t="n"/>
      <c r="J420" s="21">
        <f>IF(OR($H420="",$I420=""),"",$H420-$I420)</f>
        <v/>
      </c>
      <c r="K420" s="16">
        <f>IF($H420="","",IFERROR(IF(INDEX(Vinos!$J$2:$J$301,MATCH($B420,Vinos!$A$2:$A$301,0))="","",$H420*INDEX(Vinos!$J$2:$J$301,MATCH($B420,Vinos!$A$2:$A$301,0))),""))</f>
        <v/>
      </c>
      <c r="L420" s="16">
        <f>IF($H420="","",IFERROR(IF(INDEX(Vinos!$K$2:$K$301,MATCH($B420,Vinos!$A$2:$A$301,0))="","",$H420*INDEX(Vinos!$K$2:$K$301,MATCH($B420,Vinos!$A$2:$A$301,0))),""))</f>
        <v/>
      </c>
      <c r="M420" s="21">
        <f>IF(OR($A420="",$B420=""),"",SUMIFS($H$2:$H$2001,$A$2:$A$2001,$A420,$B$2:$B$2001,$B420))</f>
        <v/>
      </c>
      <c r="N420" s="20">
        <f>IF($M420="","",IF($M420&lt;=0,"Sin stock: reponer ya",IF($M420&lt;IFERROR(N(INDEX(Vinos!$N$2:$N$301,MATCH($B420,Vinos!$A$2:$A$301,0))),0),"Bajo mínimo: reponer","OK")))</f>
        <v/>
      </c>
      <c r="O420" s="14" t="n"/>
      <c r="P420" s="14" t="n"/>
      <c r="Q420" s="20">
        <f>IF($B420="","",IFERROR(INDEX(Vinos!$C$2:$C$301,MATCH($B420,Vinos!$A$2:$A$301,0)),""))</f>
        <v/>
      </c>
      <c r="R420" s="20">
        <f>IF(OR($A420="",$A420&lt;&gt;'Resumen del inventario'!$C$3,$N420="",$N420="OK"),"",IF(COUNTIFS($A$2:$A420,$A420,$B$2:$B420,$B420)=1,1,""))</f>
        <v/>
      </c>
      <c r="S420" s="20">
        <f>IF($R420=1,COUNTIF($R$2:$R420,1),"")</f>
        <v/>
      </c>
    </row>
    <row r="421">
      <c r="A421" s="19" t="n"/>
      <c r="B421" s="14" t="n"/>
      <c r="C421" s="20">
        <f>IF($B421="","",IFERROR(INDEX(Vinos!$B$2:$B$301,MATCH($B421,Vinos!$A$2:$A$301,0)),"Código no cargado"))</f>
        <v/>
      </c>
      <c r="D421" s="14" t="n"/>
      <c r="E421" s="14" t="n"/>
      <c r="F421" s="18" t="n"/>
      <c r="G421" s="18" t="n"/>
      <c r="H421" s="21">
        <f>IF(AND($F421="",$G421=""),"",N($F421)*IFERROR(N(INDEX(Vinos!$H$2:$H$301,MATCH($B421,Vinos!$A$2:$A$301,0))),0)+N($G421))</f>
        <v/>
      </c>
      <c r="I421" s="18" t="n"/>
      <c r="J421" s="21">
        <f>IF(OR($H421="",$I421=""),"",$H421-$I421)</f>
        <v/>
      </c>
      <c r="K421" s="16">
        <f>IF($H421="","",IFERROR(IF(INDEX(Vinos!$J$2:$J$301,MATCH($B421,Vinos!$A$2:$A$301,0))="","",$H421*INDEX(Vinos!$J$2:$J$301,MATCH($B421,Vinos!$A$2:$A$301,0))),""))</f>
        <v/>
      </c>
      <c r="L421" s="16">
        <f>IF($H421="","",IFERROR(IF(INDEX(Vinos!$K$2:$K$301,MATCH($B421,Vinos!$A$2:$A$301,0))="","",$H421*INDEX(Vinos!$K$2:$K$301,MATCH($B421,Vinos!$A$2:$A$301,0))),""))</f>
        <v/>
      </c>
      <c r="M421" s="21">
        <f>IF(OR($A421="",$B421=""),"",SUMIFS($H$2:$H$2001,$A$2:$A$2001,$A421,$B$2:$B$2001,$B421))</f>
        <v/>
      </c>
      <c r="N421" s="20">
        <f>IF($M421="","",IF($M421&lt;=0,"Sin stock: reponer ya",IF($M421&lt;IFERROR(N(INDEX(Vinos!$N$2:$N$301,MATCH($B421,Vinos!$A$2:$A$301,0))),0),"Bajo mínimo: reponer","OK")))</f>
        <v/>
      </c>
      <c r="O421" s="14" t="n"/>
      <c r="P421" s="14" t="n"/>
      <c r="Q421" s="20">
        <f>IF($B421="","",IFERROR(INDEX(Vinos!$C$2:$C$301,MATCH($B421,Vinos!$A$2:$A$301,0)),""))</f>
        <v/>
      </c>
      <c r="R421" s="20">
        <f>IF(OR($A421="",$A421&lt;&gt;'Resumen del inventario'!$C$3,$N421="",$N421="OK"),"",IF(COUNTIFS($A$2:$A421,$A421,$B$2:$B421,$B421)=1,1,""))</f>
        <v/>
      </c>
      <c r="S421" s="20">
        <f>IF($R421=1,COUNTIF($R$2:$R421,1),"")</f>
        <v/>
      </c>
    </row>
    <row r="422">
      <c r="A422" s="19" t="n"/>
      <c r="B422" s="14" t="n"/>
      <c r="C422" s="20">
        <f>IF($B422="","",IFERROR(INDEX(Vinos!$B$2:$B$301,MATCH($B422,Vinos!$A$2:$A$301,0)),"Código no cargado"))</f>
        <v/>
      </c>
      <c r="D422" s="14" t="n"/>
      <c r="E422" s="14" t="n"/>
      <c r="F422" s="18" t="n"/>
      <c r="G422" s="18" t="n"/>
      <c r="H422" s="21">
        <f>IF(AND($F422="",$G422=""),"",N($F422)*IFERROR(N(INDEX(Vinos!$H$2:$H$301,MATCH($B422,Vinos!$A$2:$A$301,0))),0)+N($G422))</f>
        <v/>
      </c>
      <c r="I422" s="18" t="n"/>
      <c r="J422" s="21">
        <f>IF(OR($H422="",$I422=""),"",$H422-$I422)</f>
        <v/>
      </c>
      <c r="K422" s="16">
        <f>IF($H422="","",IFERROR(IF(INDEX(Vinos!$J$2:$J$301,MATCH($B422,Vinos!$A$2:$A$301,0))="","",$H422*INDEX(Vinos!$J$2:$J$301,MATCH($B422,Vinos!$A$2:$A$301,0))),""))</f>
        <v/>
      </c>
      <c r="L422" s="16">
        <f>IF($H422="","",IFERROR(IF(INDEX(Vinos!$K$2:$K$301,MATCH($B422,Vinos!$A$2:$A$301,0))="","",$H422*INDEX(Vinos!$K$2:$K$301,MATCH($B422,Vinos!$A$2:$A$301,0))),""))</f>
        <v/>
      </c>
      <c r="M422" s="21">
        <f>IF(OR($A422="",$B422=""),"",SUMIFS($H$2:$H$2001,$A$2:$A$2001,$A422,$B$2:$B$2001,$B422))</f>
        <v/>
      </c>
      <c r="N422" s="20">
        <f>IF($M422="","",IF($M422&lt;=0,"Sin stock: reponer ya",IF($M422&lt;IFERROR(N(INDEX(Vinos!$N$2:$N$301,MATCH($B422,Vinos!$A$2:$A$301,0))),0),"Bajo mínimo: reponer","OK")))</f>
        <v/>
      </c>
      <c r="O422" s="14" t="n"/>
      <c r="P422" s="14" t="n"/>
      <c r="Q422" s="20">
        <f>IF($B422="","",IFERROR(INDEX(Vinos!$C$2:$C$301,MATCH($B422,Vinos!$A$2:$A$301,0)),""))</f>
        <v/>
      </c>
      <c r="R422" s="20">
        <f>IF(OR($A422="",$A422&lt;&gt;'Resumen del inventario'!$C$3,$N422="",$N422="OK"),"",IF(COUNTIFS($A$2:$A422,$A422,$B$2:$B422,$B422)=1,1,""))</f>
        <v/>
      </c>
      <c r="S422" s="20">
        <f>IF($R422=1,COUNTIF($R$2:$R422,1),"")</f>
        <v/>
      </c>
    </row>
    <row r="423">
      <c r="A423" s="19" t="n"/>
      <c r="B423" s="14" t="n"/>
      <c r="C423" s="20">
        <f>IF($B423="","",IFERROR(INDEX(Vinos!$B$2:$B$301,MATCH($B423,Vinos!$A$2:$A$301,0)),"Código no cargado"))</f>
        <v/>
      </c>
      <c r="D423" s="14" t="n"/>
      <c r="E423" s="14" t="n"/>
      <c r="F423" s="18" t="n"/>
      <c r="G423" s="18" t="n"/>
      <c r="H423" s="21">
        <f>IF(AND($F423="",$G423=""),"",N($F423)*IFERROR(N(INDEX(Vinos!$H$2:$H$301,MATCH($B423,Vinos!$A$2:$A$301,0))),0)+N($G423))</f>
        <v/>
      </c>
      <c r="I423" s="18" t="n"/>
      <c r="J423" s="21">
        <f>IF(OR($H423="",$I423=""),"",$H423-$I423)</f>
        <v/>
      </c>
      <c r="K423" s="16">
        <f>IF($H423="","",IFERROR(IF(INDEX(Vinos!$J$2:$J$301,MATCH($B423,Vinos!$A$2:$A$301,0))="","",$H423*INDEX(Vinos!$J$2:$J$301,MATCH($B423,Vinos!$A$2:$A$301,0))),""))</f>
        <v/>
      </c>
      <c r="L423" s="16">
        <f>IF($H423="","",IFERROR(IF(INDEX(Vinos!$K$2:$K$301,MATCH($B423,Vinos!$A$2:$A$301,0))="","",$H423*INDEX(Vinos!$K$2:$K$301,MATCH($B423,Vinos!$A$2:$A$301,0))),""))</f>
        <v/>
      </c>
      <c r="M423" s="21">
        <f>IF(OR($A423="",$B423=""),"",SUMIFS($H$2:$H$2001,$A$2:$A$2001,$A423,$B$2:$B$2001,$B423))</f>
        <v/>
      </c>
      <c r="N423" s="20">
        <f>IF($M423="","",IF($M423&lt;=0,"Sin stock: reponer ya",IF($M423&lt;IFERROR(N(INDEX(Vinos!$N$2:$N$301,MATCH($B423,Vinos!$A$2:$A$301,0))),0),"Bajo mínimo: reponer","OK")))</f>
        <v/>
      </c>
      <c r="O423" s="14" t="n"/>
      <c r="P423" s="14" t="n"/>
      <c r="Q423" s="20">
        <f>IF($B423="","",IFERROR(INDEX(Vinos!$C$2:$C$301,MATCH($B423,Vinos!$A$2:$A$301,0)),""))</f>
        <v/>
      </c>
      <c r="R423" s="20">
        <f>IF(OR($A423="",$A423&lt;&gt;'Resumen del inventario'!$C$3,$N423="",$N423="OK"),"",IF(COUNTIFS($A$2:$A423,$A423,$B$2:$B423,$B423)=1,1,""))</f>
        <v/>
      </c>
      <c r="S423" s="20">
        <f>IF($R423=1,COUNTIF($R$2:$R423,1),"")</f>
        <v/>
      </c>
    </row>
    <row r="424">
      <c r="A424" s="19" t="n"/>
      <c r="B424" s="14" t="n"/>
      <c r="C424" s="20">
        <f>IF($B424="","",IFERROR(INDEX(Vinos!$B$2:$B$301,MATCH($B424,Vinos!$A$2:$A$301,0)),"Código no cargado"))</f>
        <v/>
      </c>
      <c r="D424" s="14" t="n"/>
      <c r="E424" s="14" t="n"/>
      <c r="F424" s="18" t="n"/>
      <c r="G424" s="18" t="n"/>
      <c r="H424" s="21">
        <f>IF(AND($F424="",$G424=""),"",N($F424)*IFERROR(N(INDEX(Vinos!$H$2:$H$301,MATCH($B424,Vinos!$A$2:$A$301,0))),0)+N($G424))</f>
        <v/>
      </c>
      <c r="I424" s="18" t="n"/>
      <c r="J424" s="21">
        <f>IF(OR($H424="",$I424=""),"",$H424-$I424)</f>
        <v/>
      </c>
      <c r="K424" s="16">
        <f>IF($H424="","",IFERROR(IF(INDEX(Vinos!$J$2:$J$301,MATCH($B424,Vinos!$A$2:$A$301,0))="","",$H424*INDEX(Vinos!$J$2:$J$301,MATCH($B424,Vinos!$A$2:$A$301,0))),""))</f>
        <v/>
      </c>
      <c r="L424" s="16">
        <f>IF($H424="","",IFERROR(IF(INDEX(Vinos!$K$2:$K$301,MATCH($B424,Vinos!$A$2:$A$301,0))="","",$H424*INDEX(Vinos!$K$2:$K$301,MATCH($B424,Vinos!$A$2:$A$301,0))),""))</f>
        <v/>
      </c>
      <c r="M424" s="21">
        <f>IF(OR($A424="",$B424=""),"",SUMIFS($H$2:$H$2001,$A$2:$A$2001,$A424,$B$2:$B$2001,$B424))</f>
        <v/>
      </c>
      <c r="N424" s="20">
        <f>IF($M424="","",IF($M424&lt;=0,"Sin stock: reponer ya",IF($M424&lt;IFERROR(N(INDEX(Vinos!$N$2:$N$301,MATCH($B424,Vinos!$A$2:$A$301,0))),0),"Bajo mínimo: reponer","OK")))</f>
        <v/>
      </c>
      <c r="O424" s="14" t="n"/>
      <c r="P424" s="14" t="n"/>
      <c r="Q424" s="20">
        <f>IF($B424="","",IFERROR(INDEX(Vinos!$C$2:$C$301,MATCH($B424,Vinos!$A$2:$A$301,0)),""))</f>
        <v/>
      </c>
      <c r="R424" s="20">
        <f>IF(OR($A424="",$A424&lt;&gt;'Resumen del inventario'!$C$3,$N424="",$N424="OK"),"",IF(COUNTIFS($A$2:$A424,$A424,$B$2:$B424,$B424)=1,1,""))</f>
        <v/>
      </c>
      <c r="S424" s="20">
        <f>IF($R424=1,COUNTIF($R$2:$R424,1),"")</f>
        <v/>
      </c>
    </row>
    <row r="425">
      <c r="A425" s="19" t="n"/>
      <c r="B425" s="14" t="n"/>
      <c r="C425" s="20">
        <f>IF($B425="","",IFERROR(INDEX(Vinos!$B$2:$B$301,MATCH($B425,Vinos!$A$2:$A$301,0)),"Código no cargado"))</f>
        <v/>
      </c>
      <c r="D425" s="14" t="n"/>
      <c r="E425" s="14" t="n"/>
      <c r="F425" s="18" t="n"/>
      <c r="G425" s="18" t="n"/>
      <c r="H425" s="21">
        <f>IF(AND($F425="",$G425=""),"",N($F425)*IFERROR(N(INDEX(Vinos!$H$2:$H$301,MATCH($B425,Vinos!$A$2:$A$301,0))),0)+N($G425))</f>
        <v/>
      </c>
      <c r="I425" s="18" t="n"/>
      <c r="J425" s="21">
        <f>IF(OR($H425="",$I425=""),"",$H425-$I425)</f>
        <v/>
      </c>
      <c r="K425" s="16">
        <f>IF($H425="","",IFERROR(IF(INDEX(Vinos!$J$2:$J$301,MATCH($B425,Vinos!$A$2:$A$301,0))="","",$H425*INDEX(Vinos!$J$2:$J$301,MATCH($B425,Vinos!$A$2:$A$301,0))),""))</f>
        <v/>
      </c>
      <c r="L425" s="16">
        <f>IF($H425="","",IFERROR(IF(INDEX(Vinos!$K$2:$K$301,MATCH($B425,Vinos!$A$2:$A$301,0))="","",$H425*INDEX(Vinos!$K$2:$K$301,MATCH($B425,Vinos!$A$2:$A$301,0))),""))</f>
        <v/>
      </c>
      <c r="M425" s="21">
        <f>IF(OR($A425="",$B425=""),"",SUMIFS($H$2:$H$2001,$A$2:$A$2001,$A425,$B$2:$B$2001,$B425))</f>
        <v/>
      </c>
      <c r="N425" s="20">
        <f>IF($M425="","",IF($M425&lt;=0,"Sin stock: reponer ya",IF($M425&lt;IFERROR(N(INDEX(Vinos!$N$2:$N$301,MATCH($B425,Vinos!$A$2:$A$301,0))),0),"Bajo mínimo: reponer","OK")))</f>
        <v/>
      </c>
      <c r="O425" s="14" t="n"/>
      <c r="P425" s="14" t="n"/>
      <c r="Q425" s="20">
        <f>IF($B425="","",IFERROR(INDEX(Vinos!$C$2:$C$301,MATCH($B425,Vinos!$A$2:$A$301,0)),""))</f>
        <v/>
      </c>
      <c r="R425" s="20">
        <f>IF(OR($A425="",$A425&lt;&gt;'Resumen del inventario'!$C$3,$N425="",$N425="OK"),"",IF(COUNTIFS($A$2:$A425,$A425,$B$2:$B425,$B425)=1,1,""))</f>
        <v/>
      </c>
      <c r="S425" s="20">
        <f>IF($R425=1,COUNTIF($R$2:$R425,1),"")</f>
        <v/>
      </c>
    </row>
    <row r="426">
      <c r="A426" s="19" t="n"/>
      <c r="B426" s="14" t="n"/>
      <c r="C426" s="20">
        <f>IF($B426="","",IFERROR(INDEX(Vinos!$B$2:$B$301,MATCH($B426,Vinos!$A$2:$A$301,0)),"Código no cargado"))</f>
        <v/>
      </c>
      <c r="D426" s="14" t="n"/>
      <c r="E426" s="14" t="n"/>
      <c r="F426" s="18" t="n"/>
      <c r="G426" s="18" t="n"/>
      <c r="H426" s="21">
        <f>IF(AND($F426="",$G426=""),"",N($F426)*IFERROR(N(INDEX(Vinos!$H$2:$H$301,MATCH($B426,Vinos!$A$2:$A$301,0))),0)+N($G426))</f>
        <v/>
      </c>
      <c r="I426" s="18" t="n"/>
      <c r="J426" s="21">
        <f>IF(OR($H426="",$I426=""),"",$H426-$I426)</f>
        <v/>
      </c>
      <c r="K426" s="16">
        <f>IF($H426="","",IFERROR(IF(INDEX(Vinos!$J$2:$J$301,MATCH($B426,Vinos!$A$2:$A$301,0))="","",$H426*INDEX(Vinos!$J$2:$J$301,MATCH($B426,Vinos!$A$2:$A$301,0))),""))</f>
        <v/>
      </c>
      <c r="L426" s="16">
        <f>IF($H426="","",IFERROR(IF(INDEX(Vinos!$K$2:$K$301,MATCH($B426,Vinos!$A$2:$A$301,0))="","",$H426*INDEX(Vinos!$K$2:$K$301,MATCH($B426,Vinos!$A$2:$A$301,0))),""))</f>
        <v/>
      </c>
      <c r="M426" s="21">
        <f>IF(OR($A426="",$B426=""),"",SUMIFS($H$2:$H$2001,$A$2:$A$2001,$A426,$B$2:$B$2001,$B426))</f>
        <v/>
      </c>
      <c r="N426" s="20">
        <f>IF($M426="","",IF($M426&lt;=0,"Sin stock: reponer ya",IF($M426&lt;IFERROR(N(INDEX(Vinos!$N$2:$N$301,MATCH($B426,Vinos!$A$2:$A$301,0))),0),"Bajo mínimo: reponer","OK")))</f>
        <v/>
      </c>
      <c r="O426" s="14" t="n"/>
      <c r="P426" s="14" t="n"/>
      <c r="Q426" s="20">
        <f>IF($B426="","",IFERROR(INDEX(Vinos!$C$2:$C$301,MATCH($B426,Vinos!$A$2:$A$301,0)),""))</f>
        <v/>
      </c>
      <c r="R426" s="20">
        <f>IF(OR($A426="",$A426&lt;&gt;'Resumen del inventario'!$C$3,$N426="",$N426="OK"),"",IF(COUNTIFS($A$2:$A426,$A426,$B$2:$B426,$B426)=1,1,""))</f>
        <v/>
      </c>
      <c r="S426" s="20">
        <f>IF($R426=1,COUNTIF($R$2:$R426,1),"")</f>
        <v/>
      </c>
    </row>
    <row r="427">
      <c r="A427" s="19" t="n"/>
      <c r="B427" s="14" t="n"/>
      <c r="C427" s="20">
        <f>IF($B427="","",IFERROR(INDEX(Vinos!$B$2:$B$301,MATCH($B427,Vinos!$A$2:$A$301,0)),"Código no cargado"))</f>
        <v/>
      </c>
      <c r="D427" s="14" t="n"/>
      <c r="E427" s="14" t="n"/>
      <c r="F427" s="18" t="n"/>
      <c r="G427" s="18" t="n"/>
      <c r="H427" s="21">
        <f>IF(AND($F427="",$G427=""),"",N($F427)*IFERROR(N(INDEX(Vinos!$H$2:$H$301,MATCH($B427,Vinos!$A$2:$A$301,0))),0)+N($G427))</f>
        <v/>
      </c>
      <c r="I427" s="18" t="n"/>
      <c r="J427" s="21">
        <f>IF(OR($H427="",$I427=""),"",$H427-$I427)</f>
        <v/>
      </c>
      <c r="K427" s="16">
        <f>IF($H427="","",IFERROR(IF(INDEX(Vinos!$J$2:$J$301,MATCH($B427,Vinos!$A$2:$A$301,0))="","",$H427*INDEX(Vinos!$J$2:$J$301,MATCH($B427,Vinos!$A$2:$A$301,0))),""))</f>
        <v/>
      </c>
      <c r="L427" s="16">
        <f>IF($H427="","",IFERROR(IF(INDEX(Vinos!$K$2:$K$301,MATCH($B427,Vinos!$A$2:$A$301,0))="","",$H427*INDEX(Vinos!$K$2:$K$301,MATCH($B427,Vinos!$A$2:$A$301,0))),""))</f>
        <v/>
      </c>
      <c r="M427" s="21">
        <f>IF(OR($A427="",$B427=""),"",SUMIFS($H$2:$H$2001,$A$2:$A$2001,$A427,$B$2:$B$2001,$B427))</f>
        <v/>
      </c>
      <c r="N427" s="20">
        <f>IF($M427="","",IF($M427&lt;=0,"Sin stock: reponer ya",IF($M427&lt;IFERROR(N(INDEX(Vinos!$N$2:$N$301,MATCH($B427,Vinos!$A$2:$A$301,0))),0),"Bajo mínimo: reponer","OK")))</f>
        <v/>
      </c>
      <c r="O427" s="14" t="n"/>
      <c r="P427" s="14" t="n"/>
      <c r="Q427" s="20">
        <f>IF($B427="","",IFERROR(INDEX(Vinos!$C$2:$C$301,MATCH($B427,Vinos!$A$2:$A$301,0)),""))</f>
        <v/>
      </c>
      <c r="R427" s="20">
        <f>IF(OR($A427="",$A427&lt;&gt;'Resumen del inventario'!$C$3,$N427="",$N427="OK"),"",IF(COUNTIFS($A$2:$A427,$A427,$B$2:$B427,$B427)=1,1,""))</f>
        <v/>
      </c>
      <c r="S427" s="20">
        <f>IF($R427=1,COUNTIF($R$2:$R427,1),"")</f>
        <v/>
      </c>
    </row>
    <row r="428">
      <c r="A428" s="19" t="n"/>
      <c r="B428" s="14" t="n"/>
      <c r="C428" s="20">
        <f>IF($B428="","",IFERROR(INDEX(Vinos!$B$2:$B$301,MATCH($B428,Vinos!$A$2:$A$301,0)),"Código no cargado"))</f>
        <v/>
      </c>
      <c r="D428" s="14" t="n"/>
      <c r="E428" s="14" t="n"/>
      <c r="F428" s="18" t="n"/>
      <c r="G428" s="18" t="n"/>
      <c r="H428" s="21">
        <f>IF(AND($F428="",$G428=""),"",N($F428)*IFERROR(N(INDEX(Vinos!$H$2:$H$301,MATCH($B428,Vinos!$A$2:$A$301,0))),0)+N($G428))</f>
        <v/>
      </c>
      <c r="I428" s="18" t="n"/>
      <c r="J428" s="21">
        <f>IF(OR($H428="",$I428=""),"",$H428-$I428)</f>
        <v/>
      </c>
      <c r="K428" s="16">
        <f>IF($H428="","",IFERROR(IF(INDEX(Vinos!$J$2:$J$301,MATCH($B428,Vinos!$A$2:$A$301,0))="","",$H428*INDEX(Vinos!$J$2:$J$301,MATCH($B428,Vinos!$A$2:$A$301,0))),""))</f>
        <v/>
      </c>
      <c r="L428" s="16">
        <f>IF($H428="","",IFERROR(IF(INDEX(Vinos!$K$2:$K$301,MATCH($B428,Vinos!$A$2:$A$301,0))="","",$H428*INDEX(Vinos!$K$2:$K$301,MATCH($B428,Vinos!$A$2:$A$301,0))),""))</f>
        <v/>
      </c>
      <c r="M428" s="21">
        <f>IF(OR($A428="",$B428=""),"",SUMIFS($H$2:$H$2001,$A$2:$A$2001,$A428,$B$2:$B$2001,$B428))</f>
        <v/>
      </c>
      <c r="N428" s="20">
        <f>IF($M428="","",IF($M428&lt;=0,"Sin stock: reponer ya",IF($M428&lt;IFERROR(N(INDEX(Vinos!$N$2:$N$301,MATCH($B428,Vinos!$A$2:$A$301,0))),0),"Bajo mínimo: reponer","OK")))</f>
        <v/>
      </c>
      <c r="O428" s="14" t="n"/>
      <c r="P428" s="14" t="n"/>
      <c r="Q428" s="20">
        <f>IF($B428="","",IFERROR(INDEX(Vinos!$C$2:$C$301,MATCH($B428,Vinos!$A$2:$A$301,0)),""))</f>
        <v/>
      </c>
      <c r="R428" s="20">
        <f>IF(OR($A428="",$A428&lt;&gt;'Resumen del inventario'!$C$3,$N428="",$N428="OK"),"",IF(COUNTIFS($A$2:$A428,$A428,$B$2:$B428,$B428)=1,1,""))</f>
        <v/>
      </c>
      <c r="S428" s="20">
        <f>IF($R428=1,COUNTIF($R$2:$R428,1),"")</f>
        <v/>
      </c>
    </row>
    <row r="429">
      <c r="A429" s="19" t="n"/>
      <c r="B429" s="14" t="n"/>
      <c r="C429" s="20">
        <f>IF($B429="","",IFERROR(INDEX(Vinos!$B$2:$B$301,MATCH($B429,Vinos!$A$2:$A$301,0)),"Código no cargado"))</f>
        <v/>
      </c>
      <c r="D429" s="14" t="n"/>
      <c r="E429" s="14" t="n"/>
      <c r="F429" s="18" t="n"/>
      <c r="G429" s="18" t="n"/>
      <c r="H429" s="21">
        <f>IF(AND($F429="",$G429=""),"",N($F429)*IFERROR(N(INDEX(Vinos!$H$2:$H$301,MATCH($B429,Vinos!$A$2:$A$301,0))),0)+N($G429))</f>
        <v/>
      </c>
      <c r="I429" s="18" t="n"/>
      <c r="J429" s="21">
        <f>IF(OR($H429="",$I429=""),"",$H429-$I429)</f>
        <v/>
      </c>
      <c r="K429" s="16">
        <f>IF($H429="","",IFERROR(IF(INDEX(Vinos!$J$2:$J$301,MATCH($B429,Vinos!$A$2:$A$301,0))="","",$H429*INDEX(Vinos!$J$2:$J$301,MATCH($B429,Vinos!$A$2:$A$301,0))),""))</f>
        <v/>
      </c>
      <c r="L429" s="16">
        <f>IF($H429="","",IFERROR(IF(INDEX(Vinos!$K$2:$K$301,MATCH($B429,Vinos!$A$2:$A$301,0))="","",$H429*INDEX(Vinos!$K$2:$K$301,MATCH($B429,Vinos!$A$2:$A$301,0))),""))</f>
        <v/>
      </c>
      <c r="M429" s="21">
        <f>IF(OR($A429="",$B429=""),"",SUMIFS($H$2:$H$2001,$A$2:$A$2001,$A429,$B$2:$B$2001,$B429))</f>
        <v/>
      </c>
      <c r="N429" s="20">
        <f>IF($M429="","",IF($M429&lt;=0,"Sin stock: reponer ya",IF($M429&lt;IFERROR(N(INDEX(Vinos!$N$2:$N$301,MATCH($B429,Vinos!$A$2:$A$301,0))),0),"Bajo mínimo: reponer","OK")))</f>
        <v/>
      </c>
      <c r="O429" s="14" t="n"/>
      <c r="P429" s="14" t="n"/>
      <c r="Q429" s="20">
        <f>IF($B429="","",IFERROR(INDEX(Vinos!$C$2:$C$301,MATCH($B429,Vinos!$A$2:$A$301,0)),""))</f>
        <v/>
      </c>
      <c r="R429" s="20">
        <f>IF(OR($A429="",$A429&lt;&gt;'Resumen del inventario'!$C$3,$N429="",$N429="OK"),"",IF(COUNTIFS($A$2:$A429,$A429,$B$2:$B429,$B429)=1,1,""))</f>
        <v/>
      </c>
      <c r="S429" s="20">
        <f>IF($R429=1,COUNTIF($R$2:$R429,1),"")</f>
        <v/>
      </c>
    </row>
    <row r="430">
      <c r="A430" s="19" t="n"/>
      <c r="B430" s="14" t="n"/>
      <c r="C430" s="20">
        <f>IF($B430="","",IFERROR(INDEX(Vinos!$B$2:$B$301,MATCH($B430,Vinos!$A$2:$A$301,0)),"Código no cargado"))</f>
        <v/>
      </c>
      <c r="D430" s="14" t="n"/>
      <c r="E430" s="14" t="n"/>
      <c r="F430" s="18" t="n"/>
      <c r="G430" s="18" t="n"/>
      <c r="H430" s="21">
        <f>IF(AND($F430="",$G430=""),"",N($F430)*IFERROR(N(INDEX(Vinos!$H$2:$H$301,MATCH($B430,Vinos!$A$2:$A$301,0))),0)+N($G430))</f>
        <v/>
      </c>
      <c r="I430" s="18" t="n"/>
      <c r="J430" s="21">
        <f>IF(OR($H430="",$I430=""),"",$H430-$I430)</f>
        <v/>
      </c>
      <c r="K430" s="16">
        <f>IF($H430="","",IFERROR(IF(INDEX(Vinos!$J$2:$J$301,MATCH($B430,Vinos!$A$2:$A$301,0))="","",$H430*INDEX(Vinos!$J$2:$J$301,MATCH($B430,Vinos!$A$2:$A$301,0))),""))</f>
        <v/>
      </c>
      <c r="L430" s="16">
        <f>IF($H430="","",IFERROR(IF(INDEX(Vinos!$K$2:$K$301,MATCH($B430,Vinos!$A$2:$A$301,0))="","",$H430*INDEX(Vinos!$K$2:$K$301,MATCH($B430,Vinos!$A$2:$A$301,0))),""))</f>
        <v/>
      </c>
      <c r="M430" s="21">
        <f>IF(OR($A430="",$B430=""),"",SUMIFS($H$2:$H$2001,$A$2:$A$2001,$A430,$B$2:$B$2001,$B430))</f>
        <v/>
      </c>
      <c r="N430" s="20">
        <f>IF($M430="","",IF($M430&lt;=0,"Sin stock: reponer ya",IF($M430&lt;IFERROR(N(INDEX(Vinos!$N$2:$N$301,MATCH($B430,Vinos!$A$2:$A$301,0))),0),"Bajo mínimo: reponer","OK")))</f>
        <v/>
      </c>
      <c r="O430" s="14" t="n"/>
      <c r="P430" s="14" t="n"/>
      <c r="Q430" s="20">
        <f>IF($B430="","",IFERROR(INDEX(Vinos!$C$2:$C$301,MATCH($B430,Vinos!$A$2:$A$301,0)),""))</f>
        <v/>
      </c>
      <c r="R430" s="20">
        <f>IF(OR($A430="",$A430&lt;&gt;'Resumen del inventario'!$C$3,$N430="",$N430="OK"),"",IF(COUNTIFS($A$2:$A430,$A430,$B$2:$B430,$B430)=1,1,""))</f>
        <v/>
      </c>
      <c r="S430" s="20">
        <f>IF($R430=1,COUNTIF($R$2:$R430,1),"")</f>
        <v/>
      </c>
    </row>
    <row r="431">
      <c r="A431" s="19" t="n"/>
      <c r="B431" s="14" t="n"/>
      <c r="C431" s="20">
        <f>IF($B431="","",IFERROR(INDEX(Vinos!$B$2:$B$301,MATCH($B431,Vinos!$A$2:$A$301,0)),"Código no cargado"))</f>
        <v/>
      </c>
      <c r="D431" s="14" t="n"/>
      <c r="E431" s="14" t="n"/>
      <c r="F431" s="18" t="n"/>
      <c r="G431" s="18" t="n"/>
      <c r="H431" s="21">
        <f>IF(AND($F431="",$G431=""),"",N($F431)*IFERROR(N(INDEX(Vinos!$H$2:$H$301,MATCH($B431,Vinos!$A$2:$A$301,0))),0)+N($G431))</f>
        <v/>
      </c>
      <c r="I431" s="18" t="n"/>
      <c r="J431" s="21">
        <f>IF(OR($H431="",$I431=""),"",$H431-$I431)</f>
        <v/>
      </c>
      <c r="K431" s="16">
        <f>IF($H431="","",IFERROR(IF(INDEX(Vinos!$J$2:$J$301,MATCH($B431,Vinos!$A$2:$A$301,0))="","",$H431*INDEX(Vinos!$J$2:$J$301,MATCH($B431,Vinos!$A$2:$A$301,0))),""))</f>
        <v/>
      </c>
      <c r="L431" s="16">
        <f>IF($H431="","",IFERROR(IF(INDEX(Vinos!$K$2:$K$301,MATCH($B431,Vinos!$A$2:$A$301,0))="","",$H431*INDEX(Vinos!$K$2:$K$301,MATCH($B431,Vinos!$A$2:$A$301,0))),""))</f>
        <v/>
      </c>
      <c r="M431" s="21">
        <f>IF(OR($A431="",$B431=""),"",SUMIFS($H$2:$H$2001,$A$2:$A$2001,$A431,$B$2:$B$2001,$B431))</f>
        <v/>
      </c>
      <c r="N431" s="20">
        <f>IF($M431="","",IF($M431&lt;=0,"Sin stock: reponer ya",IF($M431&lt;IFERROR(N(INDEX(Vinos!$N$2:$N$301,MATCH($B431,Vinos!$A$2:$A$301,0))),0),"Bajo mínimo: reponer","OK")))</f>
        <v/>
      </c>
      <c r="O431" s="14" t="n"/>
      <c r="P431" s="14" t="n"/>
      <c r="Q431" s="20">
        <f>IF($B431="","",IFERROR(INDEX(Vinos!$C$2:$C$301,MATCH($B431,Vinos!$A$2:$A$301,0)),""))</f>
        <v/>
      </c>
      <c r="R431" s="20">
        <f>IF(OR($A431="",$A431&lt;&gt;'Resumen del inventario'!$C$3,$N431="",$N431="OK"),"",IF(COUNTIFS($A$2:$A431,$A431,$B$2:$B431,$B431)=1,1,""))</f>
        <v/>
      </c>
      <c r="S431" s="20">
        <f>IF($R431=1,COUNTIF($R$2:$R431,1),"")</f>
        <v/>
      </c>
    </row>
    <row r="432">
      <c r="A432" s="19" t="n"/>
      <c r="B432" s="14" t="n"/>
      <c r="C432" s="20">
        <f>IF($B432="","",IFERROR(INDEX(Vinos!$B$2:$B$301,MATCH($B432,Vinos!$A$2:$A$301,0)),"Código no cargado"))</f>
        <v/>
      </c>
      <c r="D432" s="14" t="n"/>
      <c r="E432" s="14" t="n"/>
      <c r="F432" s="18" t="n"/>
      <c r="G432" s="18" t="n"/>
      <c r="H432" s="21">
        <f>IF(AND($F432="",$G432=""),"",N($F432)*IFERROR(N(INDEX(Vinos!$H$2:$H$301,MATCH($B432,Vinos!$A$2:$A$301,0))),0)+N($G432))</f>
        <v/>
      </c>
      <c r="I432" s="18" t="n"/>
      <c r="J432" s="21">
        <f>IF(OR($H432="",$I432=""),"",$H432-$I432)</f>
        <v/>
      </c>
      <c r="K432" s="16">
        <f>IF($H432="","",IFERROR(IF(INDEX(Vinos!$J$2:$J$301,MATCH($B432,Vinos!$A$2:$A$301,0))="","",$H432*INDEX(Vinos!$J$2:$J$301,MATCH($B432,Vinos!$A$2:$A$301,0))),""))</f>
        <v/>
      </c>
      <c r="L432" s="16">
        <f>IF($H432="","",IFERROR(IF(INDEX(Vinos!$K$2:$K$301,MATCH($B432,Vinos!$A$2:$A$301,0))="","",$H432*INDEX(Vinos!$K$2:$K$301,MATCH($B432,Vinos!$A$2:$A$301,0))),""))</f>
        <v/>
      </c>
      <c r="M432" s="21">
        <f>IF(OR($A432="",$B432=""),"",SUMIFS($H$2:$H$2001,$A$2:$A$2001,$A432,$B$2:$B$2001,$B432))</f>
        <v/>
      </c>
      <c r="N432" s="20">
        <f>IF($M432="","",IF($M432&lt;=0,"Sin stock: reponer ya",IF($M432&lt;IFERROR(N(INDEX(Vinos!$N$2:$N$301,MATCH($B432,Vinos!$A$2:$A$301,0))),0),"Bajo mínimo: reponer","OK")))</f>
        <v/>
      </c>
      <c r="O432" s="14" t="n"/>
      <c r="P432" s="14" t="n"/>
      <c r="Q432" s="20">
        <f>IF($B432="","",IFERROR(INDEX(Vinos!$C$2:$C$301,MATCH($B432,Vinos!$A$2:$A$301,0)),""))</f>
        <v/>
      </c>
      <c r="R432" s="20">
        <f>IF(OR($A432="",$A432&lt;&gt;'Resumen del inventario'!$C$3,$N432="",$N432="OK"),"",IF(COUNTIFS($A$2:$A432,$A432,$B$2:$B432,$B432)=1,1,""))</f>
        <v/>
      </c>
      <c r="S432" s="20">
        <f>IF($R432=1,COUNTIF($R$2:$R432,1),"")</f>
        <v/>
      </c>
    </row>
    <row r="433">
      <c r="A433" s="19" t="n"/>
      <c r="B433" s="14" t="n"/>
      <c r="C433" s="20">
        <f>IF($B433="","",IFERROR(INDEX(Vinos!$B$2:$B$301,MATCH($B433,Vinos!$A$2:$A$301,0)),"Código no cargado"))</f>
        <v/>
      </c>
      <c r="D433" s="14" t="n"/>
      <c r="E433" s="14" t="n"/>
      <c r="F433" s="18" t="n"/>
      <c r="G433" s="18" t="n"/>
      <c r="H433" s="21">
        <f>IF(AND($F433="",$G433=""),"",N($F433)*IFERROR(N(INDEX(Vinos!$H$2:$H$301,MATCH($B433,Vinos!$A$2:$A$301,0))),0)+N($G433))</f>
        <v/>
      </c>
      <c r="I433" s="18" t="n"/>
      <c r="J433" s="21">
        <f>IF(OR($H433="",$I433=""),"",$H433-$I433)</f>
        <v/>
      </c>
      <c r="K433" s="16">
        <f>IF($H433="","",IFERROR(IF(INDEX(Vinos!$J$2:$J$301,MATCH($B433,Vinos!$A$2:$A$301,0))="","",$H433*INDEX(Vinos!$J$2:$J$301,MATCH($B433,Vinos!$A$2:$A$301,0))),""))</f>
        <v/>
      </c>
      <c r="L433" s="16">
        <f>IF($H433="","",IFERROR(IF(INDEX(Vinos!$K$2:$K$301,MATCH($B433,Vinos!$A$2:$A$301,0))="","",$H433*INDEX(Vinos!$K$2:$K$301,MATCH($B433,Vinos!$A$2:$A$301,0))),""))</f>
        <v/>
      </c>
      <c r="M433" s="21">
        <f>IF(OR($A433="",$B433=""),"",SUMIFS($H$2:$H$2001,$A$2:$A$2001,$A433,$B$2:$B$2001,$B433))</f>
        <v/>
      </c>
      <c r="N433" s="20">
        <f>IF($M433="","",IF($M433&lt;=0,"Sin stock: reponer ya",IF($M433&lt;IFERROR(N(INDEX(Vinos!$N$2:$N$301,MATCH($B433,Vinos!$A$2:$A$301,0))),0),"Bajo mínimo: reponer","OK")))</f>
        <v/>
      </c>
      <c r="O433" s="14" t="n"/>
      <c r="P433" s="14" t="n"/>
      <c r="Q433" s="20">
        <f>IF($B433="","",IFERROR(INDEX(Vinos!$C$2:$C$301,MATCH($B433,Vinos!$A$2:$A$301,0)),""))</f>
        <v/>
      </c>
      <c r="R433" s="20">
        <f>IF(OR($A433="",$A433&lt;&gt;'Resumen del inventario'!$C$3,$N433="",$N433="OK"),"",IF(COUNTIFS($A$2:$A433,$A433,$B$2:$B433,$B433)=1,1,""))</f>
        <v/>
      </c>
      <c r="S433" s="20">
        <f>IF($R433=1,COUNTIF($R$2:$R433,1),"")</f>
        <v/>
      </c>
    </row>
    <row r="434">
      <c r="A434" s="19" t="n"/>
      <c r="B434" s="14" t="n"/>
      <c r="C434" s="20">
        <f>IF($B434="","",IFERROR(INDEX(Vinos!$B$2:$B$301,MATCH($B434,Vinos!$A$2:$A$301,0)),"Código no cargado"))</f>
        <v/>
      </c>
      <c r="D434" s="14" t="n"/>
      <c r="E434" s="14" t="n"/>
      <c r="F434" s="18" t="n"/>
      <c r="G434" s="18" t="n"/>
      <c r="H434" s="21">
        <f>IF(AND($F434="",$G434=""),"",N($F434)*IFERROR(N(INDEX(Vinos!$H$2:$H$301,MATCH($B434,Vinos!$A$2:$A$301,0))),0)+N($G434))</f>
        <v/>
      </c>
      <c r="I434" s="18" t="n"/>
      <c r="J434" s="21">
        <f>IF(OR($H434="",$I434=""),"",$H434-$I434)</f>
        <v/>
      </c>
      <c r="K434" s="16">
        <f>IF($H434="","",IFERROR(IF(INDEX(Vinos!$J$2:$J$301,MATCH($B434,Vinos!$A$2:$A$301,0))="","",$H434*INDEX(Vinos!$J$2:$J$301,MATCH($B434,Vinos!$A$2:$A$301,0))),""))</f>
        <v/>
      </c>
      <c r="L434" s="16">
        <f>IF($H434="","",IFERROR(IF(INDEX(Vinos!$K$2:$K$301,MATCH($B434,Vinos!$A$2:$A$301,0))="","",$H434*INDEX(Vinos!$K$2:$K$301,MATCH($B434,Vinos!$A$2:$A$301,0))),""))</f>
        <v/>
      </c>
      <c r="M434" s="21">
        <f>IF(OR($A434="",$B434=""),"",SUMIFS($H$2:$H$2001,$A$2:$A$2001,$A434,$B$2:$B$2001,$B434))</f>
        <v/>
      </c>
      <c r="N434" s="20">
        <f>IF($M434="","",IF($M434&lt;=0,"Sin stock: reponer ya",IF($M434&lt;IFERROR(N(INDEX(Vinos!$N$2:$N$301,MATCH($B434,Vinos!$A$2:$A$301,0))),0),"Bajo mínimo: reponer","OK")))</f>
        <v/>
      </c>
      <c r="O434" s="14" t="n"/>
      <c r="P434" s="14" t="n"/>
      <c r="Q434" s="20">
        <f>IF($B434="","",IFERROR(INDEX(Vinos!$C$2:$C$301,MATCH($B434,Vinos!$A$2:$A$301,0)),""))</f>
        <v/>
      </c>
      <c r="R434" s="20">
        <f>IF(OR($A434="",$A434&lt;&gt;'Resumen del inventario'!$C$3,$N434="",$N434="OK"),"",IF(COUNTIFS($A$2:$A434,$A434,$B$2:$B434,$B434)=1,1,""))</f>
        <v/>
      </c>
      <c r="S434" s="20">
        <f>IF($R434=1,COUNTIF($R$2:$R434,1),"")</f>
        <v/>
      </c>
    </row>
    <row r="435">
      <c r="A435" s="19" t="n"/>
      <c r="B435" s="14" t="n"/>
      <c r="C435" s="20">
        <f>IF($B435="","",IFERROR(INDEX(Vinos!$B$2:$B$301,MATCH($B435,Vinos!$A$2:$A$301,0)),"Código no cargado"))</f>
        <v/>
      </c>
      <c r="D435" s="14" t="n"/>
      <c r="E435" s="14" t="n"/>
      <c r="F435" s="18" t="n"/>
      <c r="G435" s="18" t="n"/>
      <c r="H435" s="21">
        <f>IF(AND($F435="",$G435=""),"",N($F435)*IFERROR(N(INDEX(Vinos!$H$2:$H$301,MATCH($B435,Vinos!$A$2:$A$301,0))),0)+N($G435))</f>
        <v/>
      </c>
      <c r="I435" s="18" t="n"/>
      <c r="J435" s="21">
        <f>IF(OR($H435="",$I435=""),"",$H435-$I435)</f>
        <v/>
      </c>
      <c r="K435" s="16">
        <f>IF($H435="","",IFERROR(IF(INDEX(Vinos!$J$2:$J$301,MATCH($B435,Vinos!$A$2:$A$301,0))="","",$H435*INDEX(Vinos!$J$2:$J$301,MATCH($B435,Vinos!$A$2:$A$301,0))),""))</f>
        <v/>
      </c>
      <c r="L435" s="16">
        <f>IF($H435="","",IFERROR(IF(INDEX(Vinos!$K$2:$K$301,MATCH($B435,Vinos!$A$2:$A$301,0))="","",$H435*INDEX(Vinos!$K$2:$K$301,MATCH($B435,Vinos!$A$2:$A$301,0))),""))</f>
        <v/>
      </c>
      <c r="M435" s="21">
        <f>IF(OR($A435="",$B435=""),"",SUMIFS($H$2:$H$2001,$A$2:$A$2001,$A435,$B$2:$B$2001,$B435))</f>
        <v/>
      </c>
      <c r="N435" s="20">
        <f>IF($M435="","",IF($M435&lt;=0,"Sin stock: reponer ya",IF($M435&lt;IFERROR(N(INDEX(Vinos!$N$2:$N$301,MATCH($B435,Vinos!$A$2:$A$301,0))),0),"Bajo mínimo: reponer","OK")))</f>
        <v/>
      </c>
      <c r="O435" s="14" t="n"/>
      <c r="P435" s="14" t="n"/>
      <c r="Q435" s="20">
        <f>IF($B435="","",IFERROR(INDEX(Vinos!$C$2:$C$301,MATCH($B435,Vinos!$A$2:$A$301,0)),""))</f>
        <v/>
      </c>
      <c r="R435" s="20">
        <f>IF(OR($A435="",$A435&lt;&gt;'Resumen del inventario'!$C$3,$N435="",$N435="OK"),"",IF(COUNTIFS($A$2:$A435,$A435,$B$2:$B435,$B435)=1,1,""))</f>
        <v/>
      </c>
      <c r="S435" s="20">
        <f>IF($R435=1,COUNTIF($R$2:$R435,1),"")</f>
        <v/>
      </c>
    </row>
    <row r="436">
      <c r="A436" s="19" t="n"/>
      <c r="B436" s="14" t="n"/>
      <c r="C436" s="20">
        <f>IF($B436="","",IFERROR(INDEX(Vinos!$B$2:$B$301,MATCH($B436,Vinos!$A$2:$A$301,0)),"Código no cargado"))</f>
        <v/>
      </c>
      <c r="D436" s="14" t="n"/>
      <c r="E436" s="14" t="n"/>
      <c r="F436" s="18" t="n"/>
      <c r="G436" s="18" t="n"/>
      <c r="H436" s="21">
        <f>IF(AND($F436="",$G436=""),"",N($F436)*IFERROR(N(INDEX(Vinos!$H$2:$H$301,MATCH($B436,Vinos!$A$2:$A$301,0))),0)+N($G436))</f>
        <v/>
      </c>
      <c r="I436" s="18" t="n"/>
      <c r="J436" s="21">
        <f>IF(OR($H436="",$I436=""),"",$H436-$I436)</f>
        <v/>
      </c>
      <c r="K436" s="16">
        <f>IF($H436="","",IFERROR(IF(INDEX(Vinos!$J$2:$J$301,MATCH($B436,Vinos!$A$2:$A$301,0))="","",$H436*INDEX(Vinos!$J$2:$J$301,MATCH($B436,Vinos!$A$2:$A$301,0))),""))</f>
        <v/>
      </c>
      <c r="L436" s="16">
        <f>IF($H436="","",IFERROR(IF(INDEX(Vinos!$K$2:$K$301,MATCH($B436,Vinos!$A$2:$A$301,0))="","",$H436*INDEX(Vinos!$K$2:$K$301,MATCH($B436,Vinos!$A$2:$A$301,0))),""))</f>
        <v/>
      </c>
      <c r="M436" s="21">
        <f>IF(OR($A436="",$B436=""),"",SUMIFS($H$2:$H$2001,$A$2:$A$2001,$A436,$B$2:$B$2001,$B436))</f>
        <v/>
      </c>
      <c r="N436" s="20">
        <f>IF($M436="","",IF($M436&lt;=0,"Sin stock: reponer ya",IF($M436&lt;IFERROR(N(INDEX(Vinos!$N$2:$N$301,MATCH($B436,Vinos!$A$2:$A$301,0))),0),"Bajo mínimo: reponer","OK")))</f>
        <v/>
      </c>
      <c r="O436" s="14" t="n"/>
      <c r="P436" s="14" t="n"/>
      <c r="Q436" s="20">
        <f>IF($B436="","",IFERROR(INDEX(Vinos!$C$2:$C$301,MATCH($B436,Vinos!$A$2:$A$301,0)),""))</f>
        <v/>
      </c>
      <c r="R436" s="20">
        <f>IF(OR($A436="",$A436&lt;&gt;'Resumen del inventario'!$C$3,$N436="",$N436="OK"),"",IF(COUNTIFS($A$2:$A436,$A436,$B$2:$B436,$B436)=1,1,""))</f>
        <v/>
      </c>
      <c r="S436" s="20">
        <f>IF($R436=1,COUNTIF($R$2:$R436,1),"")</f>
        <v/>
      </c>
    </row>
    <row r="437">
      <c r="A437" s="19" t="n"/>
      <c r="B437" s="14" t="n"/>
      <c r="C437" s="20">
        <f>IF($B437="","",IFERROR(INDEX(Vinos!$B$2:$B$301,MATCH($B437,Vinos!$A$2:$A$301,0)),"Código no cargado"))</f>
        <v/>
      </c>
      <c r="D437" s="14" t="n"/>
      <c r="E437" s="14" t="n"/>
      <c r="F437" s="18" t="n"/>
      <c r="G437" s="18" t="n"/>
      <c r="H437" s="21">
        <f>IF(AND($F437="",$G437=""),"",N($F437)*IFERROR(N(INDEX(Vinos!$H$2:$H$301,MATCH($B437,Vinos!$A$2:$A$301,0))),0)+N($G437))</f>
        <v/>
      </c>
      <c r="I437" s="18" t="n"/>
      <c r="J437" s="21">
        <f>IF(OR($H437="",$I437=""),"",$H437-$I437)</f>
        <v/>
      </c>
      <c r="K437" s="16">
        <f>IF($H437="","",IFERROR(IF(INDEX(Vinos!$J$2:$J$301,MATCH($B437,Vinos!$A$2:$A$301,0))="","",$H437*INDEX(Vinos!$J$2:$J$301,MATCH($B437,Vinos!$A$2:$A$301,0))),""))</f>
        <v/>
      </c>
      <c r="L437" s="16">
        <f>IF($H437="","",IFERROR(IF(INDEX(Vinos!$K$2:$K$301,MATCH($B437,Vinos!$A$2:$A$301,0))="","",$H437*INDEX(Vinos!$K$2:$K$301,MATCH($B437,Vinos!$A$2:$A$301,0))),""))</f>
        <v/>
      </c>
      <c r="M437" s="21">
        <f>IF(OR($A437="",$B437=""),"",SUMIFS($H$2:$H$2001,$A$2:$A$2001,$A437,$B$2:$B$2001,$B437))</f>
        <v/>
      </c>
      <c r="N437" s="20">
        <f>IF($M437="","",IF($M437&lt;=0,"Sin stock: reponer ya",IF($M437&lt;IFERROR(N(INDEX(Vinos!$N$2:$N$301,MATCH($B437,Vinos!$A$2:$A$301,0))),0),"Bajo mínimo: reponer","OK")))</f>
        <v/>
      </c>
      <c r="O437" s="14" t="n"/>
      <c r="P437" s="14" t="n"/>
      <c r="Q437" s="20">
        <f>IF($B437="","",IFERROR(INDEX(Vinos!$C$2:$C$301,MATCH($B437,Vinos!$A$2:$A$301,0)),""))</f>
        <v/>
      </c>
      <c r="R437" s="20">
        <f>IF(OR($A437="",$A437&lt;&gt;'Resumen del inventario'!$C$3,$N437="",$N437="OK"),"",IF(COUNTIFS($A$2:$A437,$A437,$B$2:$B437,$B437)=1,1,""))</f>
        <v/>
      </c>
      <c r="S437" s="20">
        <f>IF($R437=1,COUNTIF($R$2:$R437,1),"")</f>
        <v/>
      </c>
    </row>
    <row r="438">
      <c r="A438" s="19" t="n"/>
      <c r="B438" s="14" t="n"/>
      <c r="C438" s="20">
        <f>IF($B438="","",IFERROR(INDEX(Vinos!$B$2:$B$301,MATCH($B438,Vinos!$A$2:$A$301,0)),"Código no cargado"))</f>
        <v/>
      </c>
      <c r="D438" s="14" t="n"/>
      <c r="E438" s="14" t="n"/>
      <c r="F438" s="18" t="n"/>
      <c r="G438" s="18" t="n"/>
      <c r="H438" s="21">
        <f>IF(AND($F438="",$G438=""),"",N($F438)*IFERROR(N(INDEX(Vinos!$H$2:$H$301,MATCH($B438,Vinos!$A$2:$A$301,0))),0)+N($G438))</f>
        <v/>
      </c>
      <c r="I438" s="18" t="n"/>
      <c r="J438" s="21">
        <f>IF(OR($H438="",$I438=""),"",$H438-$I438)</f>
        <v/>
      </c>
      <c r="K438" s="16">
        <f>IF($H438="","",IFERROR(IF(INDEX(Vinos!$J$2:$J$301,MATCH($B438,Vinos!$A$2:$A$301,0))="","",$H438*INDEX(Vinos!$J$2:$J$301,MATCH($B438,Vinos!$A$2:$A$301,0))),""))</f>
        <v/>
      </c>
      <c r="L438" s="16">
        <f>IF($H438="","",IFERROR(IF(INDEX(Vinos!$K$2:$K$301,MATCH($B438,Vinos!$A$2:$A$301,0))="","",$H438*INDEX(Vinos!$K$2:$K$301,MATCH($B438,Vinos!$A$2:$A$301,0))),""))</f>
        <v/>
      </c>
      <c r="M438" s="21">
        <f>IF(OR($A438="",$B438=""),"",SUMIFS($H$2:$H$2001,$A$2:$A$2001,$A438,$B$2:$B$2001,$B438))</f>
        <v/>
      </c>
      <c r="N438" s="20">
        <f>IF($M438="","",IF($M438&lt;=0,"Sin stock: reponer ya",IF($M438&lt;IFERROR(N(INDEX(Vinos!$N$2:$N$301,MATCH($B438,Vinos!$A$2:$A$301,0))),0),"Bajo mínimo: reponer","OK")))</f>
        <v/>
      </c>
      <c r="O438" s="14" t="n"/>
      <c r="P438" s="14" t="n"/>
      <c r="Q438" s="20">
        <f>IF($B438="","",IFERROR(INDEX(Vinos!$C$2:$C$301,MATCH($B438,Vinos!$A$2:$A$301,0)),""))</f>
        <v/>
      </c>
      <c r="R438" s="20">
        <f>IF(OR($A438="",$A438&lt;&gt;'Resumen del inventario'!$C$3,$N438="",$N438="OK"),"",IF(COUNTIFS($A$2:$A438,$A438,$B$2:$B438,$B438)=1,1,""))</f>
        <v/>
      </c>
      <c r="S438" s="20">
        <f>IF($R438=1,COUNTIF($R$2:$R438,1),"")</f>
        <v/>
      </c>
    </row>
    <row r="439">
      <c r="A439" s="19" t="n"/>
      <c r="B439" s="14" t="n"/>
      <c r="C439" s="20">
        <f>IF($B439="","",IFERROR(INDEX(Vinos!$B$2:$B$301,MATCH($B439,Vinos!$A$2:$A$301,0)),"Código no cargado"))</f>
        <v/>
      </c>
      <c r="D439" s="14" t="n"/>
      <c r="E439" s="14" t="n"/>
      <c r="F439" s="18" t="n"/>
      <c r="G439" s="18" t="n"/>
      <c r="H439" s="21">
        <f>IF(AND($F439="",$G439=""),"",N($F439)*IFERROR(N(INDEX(Vinos!$H$2:$H$301,MATCH($B439,Vinos!$A$2:$A$301,0))),0)+N($G439))</f>
        <v/>
      </c>
      <c r="I439" s="18" t="n"/>
      <c r="J439" s="21">
        <f>IF(OR($H439="",$I439=""),"",$H439-$I439)</f>
        <v/>
      </c>
      <c r="K439" s="16">
        <f>IF($H439="","",IFERROR(IF(INDEX(Vinos!$J$2:$J$301,MATCH($B439,Vinos!$A$2:$A$301,0))="","",$H439*INDEX(Vinos!$J$2:$J$301,MATCH($B439,Vinos!$A$2:$A$301,0))),""))</f>
        <v/>
      </c>
      <c r="L439" s="16">
        <f>IF($H439="","",IFERROR(IF(INDEX(Vinos!$K$2:$K$301,MATCH($B439,Vinos!$A$2:$A$301,0))="","",$H439*INDEX(Vinos!$K$2:$K$301,MATCH($B439,Vinos!$A$2:$A$301,0))),""))</f>
        <v/>
      </c>
      <c r="M439" s="21">
        <f>IF(OR($A439="",$B439=""),"",SUMIFS($H$2:$H$2001,$A$2:$A$2001,$A439,$B$2:$B$2001,$B439))</f>
        <v/>
      </c>
      <c r="N439" s="20">
        <f>IF($M439="","",IF($M439&lt;=0,"Sin stock: reponer ya",IF($M439&lt;IFERROR(N(INDEX(Vinos!$N$2:$N$301,MATCH($B439,Vinos!$A$2:$A$301,0))),0),"Bajo mínimo: reponer","OK")))</f>
        <v/>
      </c>
      <c r="O439" s="14" t="n"/>
      <c r="P439" s="14" t="n"/>
      <c r="Q439" s="20">
        <f>IF($B439="","",IFERROR(INDEX(Vinos!$C$2:$C$301,MATCH($B439,Vinos!$A$2:$A$301,0)),""))</f>
        <v/>
      </c>
      <c r="R439" s="20">
        <f>IF(OR($A439="",$A439&lt;&gt;'Resumen del inventario'!$C$3,$N439="",$N439="OK"),"",IF(COUNTIFS($A$2:$A439,$A439,$B$2:$B439,$B439)=1,1,""))</f>
        <v/>
      </c>
      <c r="S439" s="20">
        <f>IF($R439=1,COUNTIF($R$2:$R439,1),"")</f>
        <v/>
      </c>
    </row>
    <row r="440">
      <c r="A440" s="19" t="n"/>
      <c r="B440" s="14" t="n"/>
      <c r="C440" s="20">
        <f>IF($B440="","",IFERROR(INDEX(Vinos!$B$2:$B$301,MATCH($B440,Vinos!$A$2:$A$301,0)),"Código no cargado"))</f>
        <v/>
      </c>
      <c r="D440" s="14" t="n"/>
      <c r="E440" s="14" t="n"/>
      <c r="F440" s="18" t="n"/>
      <c r="G440" s="18" t="n"/>
      <c r="H440" s="21">
        <f>IF(AND($F440="",$G440=""),"",N($F440)*IFERROR(N(INDEX(Vinos!$H$2:$H$301,MATCH($B440,Vinos!$A$2:$A$301,0))),0)+N($G440))</f>
        <v/>
      </c>
      <c r="I440" s="18" t="n"/>
      <c r="J440" s="21">
        <f>IF(OR($H440="",$I440=""),"",$H440-$I440)</f>
        <v/>
      </c>
      <c r="K440" s="16">
        <f>IF($H440="","",IFERROR(IF(INDEX(Vinos!$J$2:$J$301,MATCH($B440,Vinos!$A$2:$A$301,0))="","",$H440*INDEX(Vinos!$J$2:$J$301,MATCH($B440,Vinos!$A$2:$A$301,0))),""))</f>
        <v/>
      </c>
      <c r="L440" s="16">
        <f>IF($H440="","",IFERROR(IF(INDEX(Vinos!$K$2:$K$301,MATCH($B440,Vinos!$A$2:$A$301,0))="","",$H440*INDEX(Vinos!$K$2:$K$301,MATCH($B440,Vinos!$A$2:$A$301,0))),""))</f>
        <v/>
      </c>
      <c r="M440" s="21">
        <f>IF(OR($A440="",$B440=""),"",SUMIFS($H$2:$H$2001,$A$2:$A$2001,$A440,$B$2:$B$2001,$B440))</f>
        <v/>
      </c>
      <c r="N440" s="20">
        <f>IF($M440="","",IF($M440&lt;=0,"Sin stock: reponer ya",IF($M440&lt;IFERROR(N(INDEX(Vinos!$N$2:$N$301,MATCH($B440,Vinos!$A$2:$A$301,0))),0),"Bajo mínimo: reponer","OK")))</f>
        <v/>
      </c>
      <c r="O440" s="14" t="n"/>
      <c r="P440" s="14" t="n"/>
      <c r="Q440" s="20">
        <f>IF($B440="","",IFERROR(INDEX(Vinos!$C$2:$C$301,MATCH($B440,Vinos!$A$2:$A$301,0)),""))</f>
        <v/>
      </c>
      <c r="R440" s="20">
        <f>IF(OR($A440="",$A440&lt;&gt;'Resumen del inventario'!$C$3,$N440="",$N440="OK"),"",IF(COUNTIFS($A$2:$A440,$A440,$B$2:$B440,$B440)=1,1,""))</f>
        <v/>
      </c>
      <c r="S440" s="20">
        <f>IF($R440=1,COUNTIF($R$2:$R440,1),"")</f>
        <v/>
      </c>
    </row>
    <row r="441">
      <c r="A441" s="19" t="n"/>
      <c r="B441" s="14" t="n"/>
      <c r="C441" s="20">
        <f>IF($B441="","",IFERROR(INDEX(Vinos!$B$2:$B$301,MATCH($B441,Vinos!$A$2:$A$301,0)),"Código no cargado"))</f>
        <v/>
      </c>
      <c r="D441" s="14" t="n"/>
      <c r="E441" s="14" t="n"/>
      <c r="F441" s="18" t="n"/>
      <c r="G441" s="18" t="n"/>
      <c r="H441" s="21">
        <f>IF(AND($F441="",$G441=""),"",N($F441)*IFERROR(N(INDEX(Vinos!$H$2:$H$301,MATCH($B441,Vinos!$A$2:$A$301,0))),0)+N($G441))</f>
        <v/>
      </c>
      <c r="I441" s="18" t="n"/>
      <c r="J441" s="21">
        <f>IF(OR($H441="",$I441=""),"",$H441-$I441)</f>
        <v/>
      </c>
      <c r="K441" s="16">
        <f>IF($H441="","",IFERROR(IF(INDEX(Vinos!$J$2:$J$301,MATCH($B441,Vinos!$A$2:$A$301,0))="","",$H441*INDEX(Vinos!$J$2:$J$301,MATCH($B441,Vinos!$A$2:$A$301,0))),""))</f>
        <v/>
      </c>
      <c r="L441" s="16">
        <f>IF($H441="","",IFERROR(IF(INDEX(Vinos!$K$2:$K$301,MATCH($B441,Vinos!$A$2:$A$301,0))="","",$H441*INDEX(Vinos!$K$2:$K$301,MATCH($B441,Vinos!$A$2:$A$301,0))),""))</f>
        <v/>
      </c>
      <c r="M441" s="21">
        <f>IF(OR($A441="",$B441=""),"",SUMIFS($H$2:$H$2001,$A$2:$A$2001,$A441,$B$2:$B$2001,$B441))</f>
        <v/>
      </c>
      <c r="N441" s="20">
        <f>IF($M441="","",IF($M441&lt;=0,"Sin stock: reponer ya",IF($M441&lt;IFERROR(N(INDEX(Vinos!$N$2:$N$301,MATCH($B441,Vinos!$A$2:$A$301,0))),0),"Bajo mínimo: reponer","OK")))</f>
        <v/>
      </c>
      <c r="O441" s="14" t="n"/>
      <c r="P441" s="14" t="n"/>
      <c r="Q441" s="20">
        <f>IF($B441="","",IFERROR(INDEX(Vinos!$C$2:$C$301,MATCH($B441,Vinos!$A$2:$A$301,0)),""))</f>
        <v/>
      </c>
      <c r="R441" s="20">
        <f>IF(OR($A441="",$A441&lt;&gt;'Resumen del inventario'!$C$3,$N441="",$N441="OK"),"",IF(COUNTIFS($A$2:$A441,$A441,$B$2:$B441,$B441)=1,1,""))</f>
        <v/>
      </c>
      <c r="S441" s="20">
        <f>IF($R441=1,COUNTIF($R$2:$R441,1),"")</f>
        <v/>
      </c>
    </row>
    <row r="442">
      <c r="A442" s="19" t="n"/>
      <c r="B442" s="14" t="n"/>
      <c r="C442" s="20">
        <f>IF($B442="","",IFERROR(INDEX(Vinos!$B$2:$B$301,MATCH($B442,Vinos!$A$2:$A$301,0)),"Código no cargado"))</f>
        <v/>
      </c>
      <c r="D442" s="14" t="n"/>
      <c r="E442" s="14" t="n"/>
      <c r="F442" s="18" t="n"/>
      <c r="G442" s="18" t="n"/>
      <c r="H442" s="21">
        <f>IF(AND($F442="",$G442=""),"",N($F442)*IFERROR(N(INDEX(Vinos!$H$2:$H$301,MATCH($B442,Vinos!$A$2:$A$301,0))),0)+N($G442))</f>
        <v/>
      </c>
      <c r="I442" s="18" t="n"/>
      <c r="J442" s="21">
        <f>IF(OR($H442="",$I442=""),"",$H442-$I442)</f>
        <v/>
      </c>
      <c r="K442" s="16">
        <f>IF($H442="","",IFERROR(IF(INDEX(Vinos!$J$2:$J$301,MATCH($B442,Vinos!$A$2:$A$301,0))="","",$H442*INDEX(Vinos!$J$2:$J$301,MATCH($B442,Vinos!$A$2:$A$301,0))),""))</f>
        <v/>
      </c>
      <c r="L442" s="16">
        <f>IF($H442="","",IFERROR(IF(INDEX(Vinos!$K$2:$K$301,MATCH($B442,Vinos!$A$2:$A$301,0))="","",$H442*INDEX(Vinos!$K$2:$K$301,MATCH($B442,Vinos!$A$2:$A$301,0))),""))</f>
        <v/>
      </c>
      <c r="M442" s="21">
        <f>IF(OR($A442="",$B442=""),"",SUMIFS($H$2:$H$2001,$A$2:$A$2001,$A442,$B$2:$B$2001,$B442))</f>
        <v/>
      </c>
      <c r="N442" s="20">
        <f>IF($M442="","",IF($M442&lt;=0,"Sin stock: reponer ya",IF($M442&lt;IFERROR(N(INDEX(Vinos!$N$2:$N$301,MATCH($B442,Vinos!$A$2:$A$301,0))),0),"Bajo mínimo: reponer","OK")))</f>
        <v/>
      </c>
      <c r="O442" s="14" t="n"/>
      <c r="P442" s="14" t="n"/>
      <c r="Q442" s="20">
        <f>IF($B442="","",IFERROR(INDEX(Vinos!$C$2:$C$301,MATCH($B442,Vinos!$A$2:$A$301,0)),""))</f>
        <v/>
      </c>
      <c r="R442" s="20">
        <f>IF(OR($A442="",$A442&lt;&gt;'Resumen del inventario'!$C$3,$N442="",$N442="OK"),"",IF(COUNTIFS($A$2:$A442,$A442,$B$2:$B442,$B442)=1,1,""))</f>
        <v/>
      </c>
      <c r="S442" s="20">
        <f>IF($R442=1,COUNTIF($R$2:$R442,1),"")</f>
        <v/>
      </c>
    </row>
    <row r="443">
      <c r="A443" s="19" t="n"/>
      <c r="B443" s="14" t="n"/>
      <c r="C443" s="20">
        <f>IF($B443="","",IFERROR(INDEX(Vinos!$B$2:$B$301,MATCH($B443,Vinos!$A$2:$A$301,0)),"Código no cargado"))</f>
        <v/>
      </c>
      <c r="D443" s="14" t="n"/>
      <c r="E443" s="14" t="n"/>
      <c r="F443" s="18" t="n"/>
      <c r="G443" s="18" t="n"/>
      <c r="H443" s="21">
        <f>IF(AND($F443="",$G443=""),"",N($F443)*IFERROR(N(INDEX(Vinos!$H$2:$H$301,MATCH($B443,Vinos!$A$2:$A$301,0))),0)+N($G443))</f>
        <v/>
      </c>
      <c r="I443" s="18" t="n"/>
      <c r="J443" s="21">
        <f>IF(OR($H443="",$I443=""),"",$H443-$I443)</f>
        <v/>
      </c>
      <c r="K443" s="16">
        <f>IF($H443="","",IFERROR(IF(INDEX(Vinos!$J$2:$J$301,MATCH($B443,Vinos!$A$2:$A$301,0))="","",$H443*INDEX(Vinos!$J$2:$J$301,MATCH($B443,Vinos!$A$2:$A$301,0))),""))</f>
        <v/>
      </c>
      <c r="L443" s="16">
        <f>IF($H443="","",IFERROR(IF(INDEX(Vinos!$K$2:$K$301,MATCH($B443,Vinos!$A$2:$A$301,0))="","",$H443*INDEX(Vinos!$K$2:$K$301,MATCH($B443,Vinos!$A$2:$A$301,0))),""))</f>
        <v/>
      </c>
      <c r="M443" s="21">
        <f>IF(OR($A443="",$B443=""),"",SUMIFS($H$2:$H$2001,$A$2:$A$2001,$A443,$B$2:$B$2001,$B443))</f>
        <v/>
      </c>
      <c r="N443" s="20">
        <f>IF($M443="","",IF($M443&lt;=0,"Sin stock: reponer ya",IF($M443&lt;IFERROR(N(INDEX(Vinos!$N$2:$N$301,MATCH($B443,Vinos!$A$2:$A$301,0))),0),"Bajo mínimo: reponer","OK")))</f>
        <v/>
      </c>
      <c r="O443" s="14" t="n"/>
      <c r="P443" s="14" t="n"/>
      <c r="Q443" s="20">
        <f>IF($B443="","",IFERROR(INDEX(Vinos!$C$2:$C$301,MATCH($B443,Vinos!$A$2:$A$301,0)),""))</f>
        <v/>
      </c>
      <c r="R443" s="20">
        <f>IF(OR($A443="",$A443&lt;&gt;'Resumen del inventario'!$C$3,$N443="",$N443="OK"),"",IF(COUNTIFS($A$2:$A443,$A443,$B$2:$B443,$B443)=1,1,""))</f>
        <v/>
      </c>
      <c r="S443" s="20">
        <f>IF($R443=1,COUNTIF($R$2:$R443,1),"")</f>
        <v/>
      </c>
    </row>
    <row r="444">
      <c r="A444" s="19" t="n"/>
      <c r="B444" s="14" t="n"/>
      <c r="C444" s="20">
        <f>IF($B444="","",IFERROR(INDEX(Vinos!$B$2:$B$301,MATCH($B444,Vinos!$A$2:$A$301,0)),"Código no cargado"))</f>
        <v/>
      </c>
      <c r="D444" s="14" t="n"/>
      <c r="E444" s="14" t="n"/>
      <c r="F444" s="18" t="n"/>
      <c r="G444" s="18" t="n"/>
      <c r="H444" s="21">
        <f>IF(AND($F444="",$G444=""),"",N($F444)*IFERROR(N(INDEX(Vinos!$H$2:$H$301,MATCH($B444,Vinos!$A$2:$A$301,0))),0)+N($G444))</f>
        <v/>
      </c>
      <c r="I444" s="18" t="n"/>
      <c r="J444" s="21">
        <f>IF(OR($H444="",$I444=""),"",$H444-$I444)</f>
        <v/>
      </c>
      <c r="K444" s="16">
        <f>IF($H444="","",IFERROR(IF(INDEX(Vinos!$J$2:$J$301,MATCH($B444,Vinos!$A$2:$A$301,0))="","",$H444*INDEX(Vinos!$J$2:$J$301,MATCH($B444,Vinos!$A$2:$A$301,0))),""))</f>
        <v/>
      </c>
      <c r="L444" s="16">
        <f>IF($H444="","",IFERROR(IF(INDEX(Vinos!$K$2:$K$301,MATCH($B444,Vinos!$A$2:$A$301,0))="","",$H444*INDEX(Vinos!$K$2:$K$301,MATCH($B444,Vinos!$A$2:$A$301,0))),""))</f>
        <v/>
      </c>
      <c r="M444" s="21">
        <f>IF(OR($A444="",$B444=""),"",SUMIFS($H$2:$H$2001,$A$2:$A$2001,$A444,$B$2:$B$2001,$B444))</f>
        <v/>
      </c>
      <c r="N444" s="20">
        <f>IF($M444="","",IF($M444&lt;=0,"Sin stock: reponer ya",IF($M444&lt;IFERROR(N(INDEX(Vinos!$N$2:$N$301,MATCH($B444,Vinos!$A$2:$A$301,0))),0),"Bajo mínimo: reponer","OK")))</f>
        <v/>
      </c>
      <c r="O444" s="14" t="n"/>
      <c r="P444" s="14" t="n"/>
      <c r="Q444" s="20">
        <f>IF($B444="","",IFERROR(INDEX(Vinos!$C$2:$C$301,MATCH($B444,Vinos!$A$2:$A$301,0)),""))</f>
        <v/>
      </c>
      <c r="R444" s="20">
        <f>IF(OR($A444="",$A444&lt;&gt;'Resumen del inventario'!$C$3,$N444="",$N444="OK"),"",IF(COUNTIFS($A$2:$A444,$A444,$B$2:$B444,$B444)=1,1,""))</f>
        <v/>
      </c>
      <c r="S444" s="20">
        <f>IF($R444=1,COUNTIF($R$2:$R444,1),"")</f>
        <v/>
      </c>
    </row>
    <row r="445">
      <c r="A445" s="19" t="n"/>
      <c r="B445" s="14" t="n"/>
      <c r="C445" s="20">
        <f>IF($B445="","",IFERROR(INDEX(Vinos!$B$2:$B$301,MATCH($B445,Vinos!$A$2:$A$301,0)),"Código no cargado"))</f>
        <v/>
      </c>
      <c r="D445" s="14" t="n"/>
      <c r="E445" s="14" t="n"/>
      <c r="F445" s="18" t="n"/>
      <c r="G445" s="18" t="n"/>
      <c r="H445" s="21">
        <f>IF(AND($F445="",$G445=""),"",N($F445)*IFERROR(N(INDEX(Vinos!$H$2:$H$301,MATCH($B445,Vinos!$A$2:$A$301,0))),0)+N($G445))</f>
        <v/>
      </c>
      <c r="I445" s="18" t="n"/>
      <c r="J445" s="21">
        <f>IF(OR($H445="",$I445=""),"",$H445-$I445)</f>
        <v/>
      </c>
      <c r="K445" s="16">
        <f>IF($H445="","",IFERROR(IF(INDEX(Vinos!$J$2:$J$301,MATCH($B445,Vinos!$A$2:$A$301,0))="","",$H445*INDEX(Vinos!$J$2:$J$301,MATCH($B445,Vinos!$A$2:$A$301,0))),""))</f>
        <v/>
      </c>
      <c r="L445" s="16">
        <f>IF($H445="","",IFERROR(IF(INDEX(Vinos!$K$2:$K$301,MATCH($B445,Vinos!$A$2:$A$301,0))="","",$H445*INDEX(Vinos!$K$2:$K$301,MATCH($B445,Vinos!$A$2:$A$301,0))),""))</f>
        <v/>
      </c>
      <c r="M445" s="21">
        <f>IF(OR($A445="",$B445=""),"",SUMIFS($H$2:$H$2001,$A$2:$A$2001,$A445,$B$2:$B$2001,$B445))</f>
        <v/>
      </c>
      <c r="N445" s="20">
        <f>IF($M445="","",IF($M445&lt;=0,"Sin stock: reponer ya",IF($M445&lt;IFERROR(N(INDEX(Vinos!$N$2:$N$301,MATCH($B445,Vinos!$A$2:$A$301,0))),0),"Bajo mínimo: reponer","OK")))</f>
        <v/>
      </c>
      <c r="O445" s="14" t="n"/>
      <c r="P445" s="14" t="n"/>
      <c r="Q445" s="20">
        <f>IF($B445="","",IFERROR(INDEX(Vinos!$C$2:$C$301,MATCH($B445,Vinos!$A$2:$A$301,0)),""))</f>
        <v/>
      </c>
      <c r="R445" s="20">
        <f>IF(OR($A445="",$A445&lt;&gt;'Resumen del inventario'!$C$3,$N445="",$N445="OK"),"",IF(COUNTIFS($A$2:$A445,$A445,$B$2:$B445,$B445)=1,1,""))</f>
        <v/>
      </c>
      <c r="S445" s="20">
        <f>IF($R445=1,COUNTIF($R$2:$R445,1),"")</f>
        <v/>
      </c>
    </row>
    <row r="446">
      <c r="A446" s="19" t="n"/>
      <c r="B446" s="14" t="n"/>
      <c r="C446" s="20">
        <f>IF($B446="","",IFERROR(INDEX(Vinos!$B$2:$B$301,MATCH($B446,Vinos!$A$2:$A$301,0)),"Código no cargado"))</f>
        <v/>
      </c>
      <c r="D446" s="14" t="n"/>
      <c r="E446" s="14" t="n"/>
      <c r="F446" s="18" t="n"/>
      <c r="G446" s="18" t="n"/>
      <c r="H446" s="21">
        <f>IF(AND($F446="",$G446=""),"",N($F446)*IFERROR(N(INDEX(Vinos!$H$2:$H$301,MATCH($B446,Vinos!$A$2:$A$301,0))),0)+N($G446))</f>
        <v/>
      </c>
      <c r="I446" s="18" t="n"/>
      <c r="J446" s="21">
        <f>IF(OR($H446="",$I446=""),"",$H446-$I446)</f>
        <v/>
      </c>
      <c r="K446" s="16">
        <f>IF($H446="","",IFERROR(IF(INDEX(Vinos!$J$2:$J$301,MATCH($B446,Vinos!$A$2:$A$301,0))="","",$H446*INDEX(Vinos!$J$2:$J$301,MATCH($B446,Vinos!$A$2:$A$301,0))),""))</f>
        <v/>
      </c>
      <c r="L446" s="16">
        <f>IF($H446="","",IFERROR(IF(INDEX(Vinos!$K$2:$K$301,MATCH($B446,Vinos!$A$2:$A$301,0))="","",$H446*INDEX(Vinos!$K$2:$K$301,MATCH($B446,Vinos!$A$2:$A$301,0))),""))</f>
        <v/>
      </c>
      <c r="M446" s="21">
        <f>IF(OR($A446="",$B446=""),"",SUMIFS($H$2:$H$2001,$A$2:$A$2001,$A446,$B$2:$B$2001,$B446))</f>
        <v/>
      </c>
      <c r="N446" s="20">
        <f>IF($M446="","",IF($M446&lt;=0,"Sin stock: reponer ya",IF($M446&lt;IFERROR(N(INDEX(Vinos!$N$2:$N$301,MATCH($B446,Vinos!$A$2:$A$301,0))),0),"Bajo mínimo: reponer","OK")))</f>
        <v/>
      </c>
      <c r="O446" s="14" t="n"/>
      <c r="P446" s="14" t="n"/>
      <c r="Q446" s="20">
        <f>IF($B446="","",IFERROR(INDEX(Vinos!$C$2:$C$301,MATCH($B446,Vinos!$A$2:$A$301,0)),""))</f>
        <v/>
      </c>
      <c r="R446" s="20">
        <f>IF(OR($A446="",$A446&lt;&gt;'Resumen del inventario'!$C$3,$N446="",$N446="OK"),"",IF(COUNTIFS($A$2:$A446,$A446,$B$2:$B446,$B446)=1,1,""))</f>
        <v/>
      </c>
      <c r="S446" s="20">
        <f>IF($R446=1,COUNTIF($R$2:$R446,1),"")</f>
        <v/>
      </c>
    </row>
    <row r="447">
      <c r="A447" s="19" t="n"/>
      <c r="B447" s="14" t="n"/>
      <c r="C447" s="20">
        <f>IF($B447="","",IFERROR(INDEX(Vinos!$B$2:$B$301,MATCH($B447,Vinos!$A$2:$A$301,0)),"Código no cargado"))</f>
        <v/>
      </c>
      <c r="D447" s="14" t="n"/>
      <c r="E447" s="14" t="n"/>
      <c r="F447" s="18" t="n"/>
      <c r="G447" s="18" t="n"/>
      <c r="H447" s="21">
        <f>IF(AND($F447="",$G447=""),"",N($F447)*IFERROR(N(INDEX(Vinos!$H$2:$H$301,MATCH($B447,Vinos!$A$2:$A$301,0))),0)+N($G447))</f>
        <v/>
      </c>
      <c r="I447" s="18" t="n"/>
      <c r="J447" s="21">
        <f>IF(OR($H447="",$I447=""),"",$H447-$I447)</f>
        <v/>
      </c>
      <c r="K447" s="16">
        <f>IF($H447="","",IFERROR(IF(INDEX(Vinos!$J$2:$J$301,MATCH($B447,Vinos!$A$2:$A$301,0))="","",$H447*INDEX(Vinos!$J$2:$J$301,MATCH($B447,Vinos!$A$2:$A$301,0))),""))</f>
        <v/>
      </c>
      <c r="L447" s="16">
        <f>IF($H447="","",IFERROR(IF(INDEX(Vinos!$K$2:$K$301,MATCH($B447,Vinos!$A$2:$A$301,0))="","",$H447*INDEX(Vinos!$K$2:$K$301,MATCH($B447,Vinos!$A$2:$A$301,0))),""))</f>
        <v/>
      </c>
      <c r="M447" s="21">
        <f>IF(OR($A447="",$B447=""),"",SUMIFS($H$2:$H$2001,$A$2:$A$2001,$A447,$B$2:$B$2001,$B447))</f>
        <v/>
      </c>
      <c r="N447" s="20">
        <f>IF($M447="","",IF($M447&lt;=0,"Sin stock: reponer ya",IF($M447&lt;IFERROR(N(INDEX(Vinos!$N$2:$N$301,MATCH($B447,Vinos!$A$2:$A$301,0))),0),"Bajo mínimo: reponer","OK")))</f>
        <v/>
      </c>
      <c r="O447" s="14" t="n"/>
      <c r="P447" s="14" t="n"/>
      <c r="Q447" s="20">
        <f>IF($B447="","",IFERROR(INDEX(Vinos!$C$2:$C$301,MATCH($B447,Vinos!$A$2:$A$301,0)),""))</f>
        <v/>
      </c>
      <c r="R447" s="20">
        <f>IF(OR($A447="",$A447&lt;&gt;'Resumen del inventario'!$C$3,$N447="",$N447="OK"),"",IF(COUNTIFS($A$2:$A447,$A447,$B$2:$B447,$B447)=1,1,""))</f>
        <v/>
      </c>
      <c r="S447" s="20">
        <f>IF($R447=1,COUNTIF($R$2:$R447,1),"")</f>
        <v/>
      </c>
    </row>
    <row r="448">
      <c r="A448" s="19" t="n"/>
      <c r="B448" s="14" t="n"/>
      <c r="C448" s="20">
        <f>IF($B448="","",IFERROR(INDEX(Vinos!$B$2:$B$301,MATCH($B448,Vinos!$A$2:$A$301,0)),"Código no cargado"))</f>
        <v/>
      </c>
      <c r="D448" s="14" t="n"/>
      <c r="E448" s="14" t="n"/>
      <c r="F448" s="18" t="n"/>
      <c r="G448" s="18" t="n"/>
      <c r="H448" s="21">
        <f>IF(AND($F448="",$G448=""),"",N($F448)*IFERROR(N(INDEX(Vinos!$H$2:$H$301,MATCH($B448,Vinos!$A$2:$A$301,0))),0)+N($G448))</f>
        <v/>
      </c>
      <c r="I448" s="18" t="n"/>
      <c r="J448" s="21">
        <f>IF(OR($H448="",$I448=""),"",$H448-$I448)</f>
        <v/>
      </c>
      <c r="K448" s="16">
        <f>IF($H448="","",IFERROR(IF(INDEX(Vinos!$J$2:$J$301,MATCH($B448,Vinos!$A$2:$A$301,0))="","",$H448*INDEX(Vinos!$J$2:$J$301,MATCH($B448,Vinos!$A$2:$A$301,0))),""))</f>
        <v/>
      </c>
      <c r="L448" s="16">
        <f>IF($H448="","",IFERROR(IF(INDEX(Vinos!$K$2:$K$301,MATCH($B448,Vinos!$A$2:$A$301,0))="","",$H448*INDEX(Vinos!$K$2:$K$301,MATCH($B448,Vinos!$A$2:$A$301,0))),""))</f>
        <v/>
      </c>
      <c r="M448" s="21">
        <f>IF(OR($A448="",$B448=""),"",SUMIFS($H$2:$H$2001,$A$2:$A$2001,$A448,$B$2:$B$2001,$B448))</f>
        <v/>
      </c>
      <c r="N448" s="20">
        <f>IF($M448="","",IF($M448&lt;=0,"Sin stock: reponer ya",IF($M448&lt;IFERROR(N(INDEX(Vinos!$N$2:$N$301,MATCH($B448,Vinos!$A$2:$A$301,0))),0),"Bajo mínimo: reponer","OK")))</f>
        <v/>
      </c>
      <c r="O448" s="14" t="n"/>
      <c r="P448" s="14" t="n"/>
      <c r="Q448" s="20">
        <f>IF($B448="","",IFERROR(INDEX(Vinos!$C$2:$C$301,MATCH($B448,Vinos!$A$2:$A$301,0)),""))</f>
        <v/>
      </c>
      <c r="R448" s="20">
        <f>IF(OR($A448="",$A448&lt;&gt;'Resumen del inventario'!$C$3,$N448="",$N448="OK"),"",IF(COUNTIFS($A$2:$A448,$A448,$B$2:$B448,$B448)=1,1,""))</f>
        <v/>
      </c>
      <c r="S448" s="20">
        <f>IF($R448=1,COUNTIF($R$2:$R448,1),"")</f>
        <v/>
      </c>
    </row>
    <row r="449">
      <c r="A449" s="19" t="n"/>
      <c r="B449" s="14" t="n"/>
      <c r="C449" s="20">
        <f>IF($B449="","",IFERROR(INDEX(Vinos!$B$2:$B$301,MATCH($B449,Vinos!$A$2:$A$301,0)),"Código no cargado"))</f>
        <v/>
      </c>
      <c r="D449" s="14" t="n"/>
      <c r="E449" s="14" t="n"/>
      <c r="F449" s="18" t="n"/>
      <c r="G449" s="18" t="n"/>
      <c r="H449" s="21">
        <f>IF(AND($F449="",$G449=""),"",N($F449)*IFERROR(N(INDEX(Vinos!$H$2:$H$301,MATCH($B449,Vinos!$A$2:$A$301,0))),0)+N($G449))</f>
        <v/>
      </c>
      <c r="I449" s="18" t="n"/>
      <c r="J449" s="21">
        <f>IF(OR($H449="",$I449=""),"",$H449-$I449)</f>
        <v/>
      </c>
      <c r="K449" s="16">
        <f>IF($H449="","",IFERROR(IF(INDEX(Vinos!$J$2:$J$301,MATCH($B449,Vinos!$A$2:$A$301,0))="","",$H449*INDEX(Vinos!$J$2:$J$301,MATCH($B449,Vinos!$A$2:$A$301,0))),""))</f>
        <v/>
      </c>
      <c r="L449" s="16">
        <f>IF($H449="","",IFERROR(IF(INDEX(Vinos!$K$2:$K$301,MATCH($B449,Vinos!$A$2:$A$301,0))="","",$H449*INDEX(Vinos!$K$2:$K$301,MATCH($B449,Vinos!$A$2:$A$301,0))),""))</f>
        <v/>
      </c>
      <c r="M449" s="21">
        <f>IF(OR($A449="",$B449=""),"",SUMIFS($H$2:$H$2001,$A$2:$A$2001,$A449,$B$2:$B$2001,$B449))</f>
        <v/>
      </c>
      <c r="N449" s="20">
        <f>IF($M449="","",IF($M449&lt;=0,"Sin stock: reponer ya",IF($M449&lt;IFERROR(N(INDEX(Vinos!$N$2:$N$301,MATCH($B449,Vinos!$A$2:$A$301,0))),0),"Bajo mínimo: reponer","OK")))</f>
        <v/>
      </c>
      <c r="O449" s="14" t="n"/>
      <c r="P449" s="14" t="n"/>
      <c r="Q449" s="20">
        <f>IF($B449="","",IFERROR(INDEX(Vinos!$C$2:$C$301,MATCH($B449,Vinos!$A$2:$A$301,0)),""))</f>
        <v/>
      </c>
      <c r="R449" s="20">
        <f>IF(OR($A449="",$A449&lt;&gt;'Resumen del inventario'!$C$3,$N449="",$N449="OK"),"",IF(COUNTIFS($A$2:$A449,$A449,$B$2:$B449,$B449)=1,1,""))</f>
        <v/>
      </c>
      <c r="S449" s="20">
        <f>IF($R449=1,COUNTIF($R$2:$R449,1),"")</f>
        <v/>
      </c>
    </row>
    <row r="450">
      <c r="A450" s="19" t="n"/>
      <c r="B450" s="14" t="n"/>
      <c r="C450" s="20">
        <f>IF($B450="","",IFERROR(INDEX(Vinos!$B$2:$B$301,MATCH($B450,Vinos!$A$2:$A$301,0)),"Código no cargado"))</f>
        <v/>
      </c>
      <c r="D450" s="14" t="n"/>
      <c r="E450" s="14" t="n"/>
      <c r="F450" s="18" t="n"/>
      <c r="G450" s="18" t="n"/>
      <c r="H450" s="21">
        <f>IF(AND($F450="",$G450=""),"",N($F450)*IFERROR(N(INDEX(Vinos!$H$2:$H$301,MATCH($B450,Vinos!$A$2:$A$301,0))),0)+N($G450))</f>
        <v/>
      </c>
      <c r="I450" s="18" t="n"/>
      <c r="J450" s="21">
        <f>IF(OR($H450="",$I450=""),"",$H450-$I450)</f>
        <v/>
      </c>
      <c r="K450" s="16">
        <f>IF($H450="","",IFERROR(IF(INDEX(Vinos!$J$2:$J$301,MATCH($B450,Vinos!$A$2:$A$301,0))="","",$H450*INDEX(Vinos!$J$2:$J$301,MATCH($B450,Vinos!$A$2:$A$301,0))),""))</f>
        <v/>
      </c>
      <c r="L450" s="16">
        <f>IF($H450="","",IFERROR(IF(INDEX(Vinos!$K$2:$K$301,MATCH($B450,Vinos!$A$2:$A$301,0))="","",$H450*INDEX(Vinos!$K$2:$K$301,MATCH($B450,Vinos!$A$2:$A$301,0))),""))</f>
        <v/>
      </c>
      <c r="M450" s="21">
        <f>IF(OR($A450="",$B450=""),"",SUMIFS($H$2:$H$2001,$A$2:$A$2001,$A450,$B$2:$B$2001,$B450))</f>
        <v/>
      </c>
      <c r="N450" s="20">
        <f>IF($M450="","",IF($M450&lt;=0,"Sin stock: reponer ya",IF($M450&lt;IFERROR(N(INDEX(Vinos!$N$2:$N$301,MATCH($B450,Vinos!$A$2:$A$301,0))),0),"Bajo mínimo: reponer","OK")))</f>
        <v/>
      </c>
      <c r="O450" s="14" t="n"/>
      <c r="P450" s="14" t="n"/>
      <c r="Q450" s="20">
        <f>IF($B450="","",IFERROR(INDEX(Vinos!$C$2:$C$301,MATCH($B450,Vinos!$A$2:$A$301,0)),""))</f>
        <v/>
      </c>
      <c r="R450" s="20">
        <f>IF(OR($A450="",$A450&lt;&gt;'Resumen del inventario'!$C$3,$N450="",$N450="OK"),"",IF(COUNTIFS($A$2:$A450,$A450,$B$2:$B450,$B450)=1,1,""))</f>
        <v/>
      </c>
      <c r="S450" s="20">
        <f>IF($R450=1,COUNTIF($R$2:$R450,1),"")</f>
        <v/>
      </c>
    </row>
    <row r="451">
      <c r="A451" s="19" t="n"/>
      <c r="B451" s="14" t="n"/>
      <c r="C451" s="20">
        <f>IF($B451="","",IFERROR(INDEX(Vinos!$B$2:$B$301,MATCH($B451,Vinos!$A$2:$A$301,0)),"Código no cargado"))</f>
        <v/>
      </c>
      <c r="D451" s="14" t="n"/>
      <c r="E451" s="14" t="n"/>
      <c r="F451" s="18" t="n"/>
      <c r="G451" s="18" t="n"/>
      <c r="H451" s="21">
        <f>IF(AND($F451="",$G451=""),"",N($F451)*IFERROR(N(INDEX(Vinos!$H$2:$H$301,MATCH($B451,Vinos!$A$2:$A$301,0))),0)+N($G451))</f>
        <v/>
      </c>
      <c r="I451" s="18" t="n"/>
      <c r="J451" s="21">
        <f>IF(OR($H451="",$I451=""),"",$H451-$I451)</f>
        <v/>
      </c>
      <c r="K451" s="16">
        <f>IF($H451="","",IFERROR(IF(INDEX(Vinos!$J$2:$J$301,MATCH($B451,Vinos!$A$2:$A$301,0))="","",$H451*INDEX(Vinos!$J$2:$J$301,MATCH($B451,Vinos!$A$2:$A$301,0))),""))</f>
        <v/>
      </c>
      <c r="L451" s="16">
        <f>IF($H451="","",IFERROR(IF(INDEX(Vinos!$K$2:$K$301,MATCH($B451,Vinos!$A$2:$A$301,0))="","",$H451*INDEX(Vinos!$K$2:$K$301,MATCH($B451,Vinos!$A$2:$A$301,0))),""))</f>
        <v/>
      </c>
      <c r="M451" s="21">
        <f>IF(OR($A451="",$B451=""),"",SUMIFS($H$2:$H$2001,$A$2:$A$2001,$A451,$B$2:$B$2001,$B451))</f>
        <v/>
      </c>
      <c r="N451" s="20">
        <f>IF($M451="","",IF($M451&lt;=0,"Sin stock: reponer ya",IF($M451&lt;IFERROR(N(INDEX(Vinos!$N$2:$N$301,MATCH($B451,Vinos!$A$2:$A$301,0))),0),"Bajo mínimo: reponer","OK")))</f>
        <v/>
      </c>
      <c r="O451" s="14" t="n"/>
      <c r="P451" s="14" t="n"/>
      <c r="Q451" s="20">
        <f>IF($B451="","",IFERROR(INDEX(Vinos!$C$2:$C$301,MATCH($B451,Vinos!$A$2:$A$301,0)),""))</f>
        <v/>
      </c>
      <c r="R451" s="20">
        <f>IF(OR($A451="",$A451&lt;&gt;'Resumen del inventario'!$C$3,$N451="",$N451="OK"),"",IF(COUNTIFS($A$2:$A451,$A451,$B$2:$B451,$B451)=1,1,""))</f>
        <v/>
      </c>
      <c r="S451" s="20">
        <f>IF($R451=1,COUNTIF($R$2:$R451,1),"")</f>
        <v/>
      </c>
    </row>
    <row r="452">
      <c r="A452" s="19" t="n"/>
      <c r="B452" s="14" t="n"/>
      <c r="C452" s="20">
        <f>IF($B452="","",IFERROR(INDEX(Vinos!$B$2:$B$301,MATCH($B452,Vinos!$A$2:$A$301,0)),"Código no cargado"))</f>
        <v/>
      </c>
      <c r="D452" s="14" t="n"/>
      <c r="E452" s="14" t="n"/>
      <c r="F452" s="18" t="n"/>
      <c r="G452" s="18" t="n"/>
      <c r="H452" s="21">
        <f>IF(AND($F452="",$G452=""),"",N($F452)*IFERROR(N(INDEX(Vinos!$H$2:$H$301,MATCH($B452,Vinos!$A$2:$A$301,0))),0)+N($G452))</f>
        <v/>
      </c>
      <c r="I452" s="18" t="n"/>
      <c r="J452" s="21">
        <f>IF(OR($H452="",$I452=""),"",$H452-$I452)</f>
        <v/>
      </c>
      <c r="K452" s="16">
        <f>IF($H452="","",IFERROR(IF(INDEX(Vinos!$J$2:$J$301,MATCH($B452,Vinos!$A$2:$A$301,0))="","",$H452*INDEX(Vinos!$J$2:$J$301,MATCH($B452,Vinos!$A$2:$A$301,0))),""))</f>
        <v/>
      </c>
      <c r="L452" s="16">
        <f>IF($H452="","",IFERROR(IF(INDEX(Vinos!$K$2:$K$301,MATCH($B452,Vinos!$A$2:$A$301,0))="","",$H452*INDEX(Vinos!$K$2:$K$301,MATCH($B452,Vinos!$A$2:$A$301,0))),""))</f>
        <v/>
      </c>
      <c r="M452" s="21">
        <f>IF(OR($A452="",$B452=""),"",SUMIFS($H$2:$H$2001,$A$2:$A$2001,$A452,$B$2:$B$2001,$B452))</f>
        <v/>
      </c>
      <c r="N452" s="20">
        <f>IF($M452="","",IF($M452&lt;=0,"Sin stock: reponer ya",IF($M452&lt;IFERROR(N(INDEX(Vinos!$N$2:$N$301,MATCH($B452,Vinos!$A$2:$A$301,0))),0),"Bajo mínimo: reponer","OK")))</f>
        <v/>
      </c>
      <c r="O452" s="14" t="n"/>
      <c r="P452" s="14" t="n"/>
      <c r="Q452" s="20">
        <f>IF($B452="","",IFERROR(INDEX(Vinos!$C$2:$C$301,MATCH($B452,Vinos!$A$2:$A$301,0)),""))</f>
        <v/>
      </c>
      <c r="R452" s="20">
        <f>IF(OR($A452="",$A452&lt;&gt;'Resumen del inventario'!$C$3,$N452="",$N452="OK"),"",IF(COUNTIFS($A$2:$A452,$A452,$B$2:$B452,$B452)=1,1,""))</f>
        <v/>
      </c>
      <c r="S452" s="20">
        <f>IF($R452=1,COUNTIF($R$2:$R452,1),"")</f>
        <v/>
      </c>
    </row>
    <row r="453">
      <c r="A453" s="19" t="n"/>
      <c r="B453" s="14" t="n"/>
      <c r="C453" s="20">
        <f>IF($B453="","",IFERROR(INDEX(Vinos!$B$2:$B$301,MATCH($B453,Vinos!$A$2:$A$301,0)),"Código no cargado"))</f>
        <v/>
      </c>
      <c r="D453" s="14" t="n"/>
      <c r="E453" s="14" t="n"/>
      <c r="F453" s="18" t="n"/>
      <c r="G453" s="18" t="n"/>
      <c r="H453" s="21">
        <f>IF(AND($F453="",$G453=""),"",N($F453)*IFERROR(N(INDEX(Vinos!$H$2:$H$301,MATCH($B453,Vinos!$A$2:$A$301,0))),0)+N($G453))</f>
        <v/>
      </c>
      <c r="I453" s="18" t="n"/>
      <c r="J453" s="21">
        <f>IF(OR($H453="",$I453=""),"",$H453-$I453)</f>
        <v/>
      </c>
      <c r="K453" s="16">
        <f>IF($H453="","",IFERROR(IF(INDEX(Vinos!$J$2:$J$301,MATCH($B453,Vinos!$A$2:$A$301,0))="","",$H453*INDEX(Vinos!$J$2:$J$301,MATCH($B453,Vinos!$A$2:$A$301,0))),""))</f>
        <v/>
      </c>
      <c r="L453" s="16">
        <f>IF($H453="","",IFERROR(IF(INDEX(Vinos!$K$2:$K$301,MATCH($B453,Vinos!$A$2:$A$301,0))="","",$H453*INDEX(Vinos!$K$2:$K$301,MATCH($B453,Vinos!$A$2:$A$301,0))),""))</f>
        <v/>
      </c>
      <c r="M453" s="21">
        <f>IF(OR($A453="",$B453=""),"",SUMIFS($H$2:$H$2001,$A$2:$A$2001,$A453,$B$2:$B$2001,$B453))</f>
        <v/>
      </c>
      <c r="N453" s="20">
        <f>IF($M453="","",IF($M453&lt;=0,"Sin stock: reponer ya",IF($M453&lt;IFERROR(N(INDEX(Vinos!$N$2:$N$301,MATCH($B453,Vinos!$A$2:$A$301,0))),0),"Bajo mínimo: reponer","OK")))</f>
        <v/>
      </c>
      <c r="O453" s="14" t="n"/>
      <c r="P453" s="14" t="n"/>
      <c r="Q453" s="20">
        <f>IF($B453="","",IFERROR(INDEX(Vinos!$C$2:$C$301,MATCH($B453,Vinos!$A$2:$A$301,0)),""))</f>
        <v/>
      </c>
      <c r="R453" s="20">
        <f>IF(OR($A453="",$A453&lt;&gt;'Resumen del inventario'!$C$3,$N453="",$N453="OK"),"",IF(COUNTIFS($A$2:$A453,$A453,$B$2:$B453,$B453)=1,1,""))</f>
        <v/>
      </c>
      <c r="S453" s="20">
        <f>IF($R453=1,COUNTIF($R$2:$R453,1),"")</f>
        <v/>
      </c>
    </row>
    <row r="454">
      <c r="A454" s="19" t="n"/>
      <c r="B454" s="14" t="n"/>
      <c r="C454" s="20">
        <f>IF($B454="","",IFERROR(INDEX(Vinos!$B$2:$B$301,MATCH($B454,Vinos!$A$2:$A$301,0)),"Código no cargado"))</f>
        <v/>
      </c>
      <c r="D454" s="14" t="n"/>
      <c r="E454" s="14" t="n"/>
      <c r="F454" s="18" t="n"/>
      <c r="G454" s="18" t="n"/>
      <c r="H454" s="21">
        <f>IF(AND($F454="",$G454=""),"",N($F454)*IFERROR(N(INDEX(Vinos!$H$2:$H$301,MATCH($B454,Vinos!$A$2:$A$301,0))),0)+N($G454))</f>
        <v/>
      </c>
      <c r="I454" s="18" t="n"/>
      <c r="J454" s="21">
        <f>IF(OR($H454="",$I454=""),"",$H454-$I454)</f>
        <v/>
      </c>
      <c r="K454" s="16">
        <f>IF($H454="","",IFERROR(IF(INDEX(Vinos!$J$2:$J$301,MATCH($B454,Vinos!$A$2:$A$301,0))="","",$H454*INDEX(Vinos!$J$2:$J$301,MATCH($B454,Vinos!$A$2:$A$301,0))),""))</f>
        <v/>
      </c>
      <c r="L454" s="16">
        <f>IF($H454="","",IFERROR(IF(INDEX(Vinos!$K$2:$K$301,MATCH($B454,Vinos!$A$2:$A$301,0))="","",$H454*INDEX(Vinos!$K$2:$K$301,MATCH($B454,Vinos!$A$2:$A$301,0))),""))</f>
        <v/>
      </c>
      <c r="M454" s="21">
        <f>IF(OR($A454="",$B454=""),"",SUMIFS($H$2:$H$2001,$A$2:$A$2001,$A454,$B$2:$B$2001,$B454))</f>
        <v/>
      </c>
      <c r="N454" s="20">
        <f>IF($M454="","",IF($M454&lt;=0,"Sin stock: reponer ya",IF($M454&lt;IFERROR(N(INDEX(Vinos!$N$2:$N$301,MATCH($B454,Vinos!$A$2:$A$301,0))),0),"Bajo mínimo: reponer","OK")))</f>
        <v/>
      </c>
      <c r="O454" s="14" t="n"/>
      <c r="P454" s="14" t="n"/>
      <c r="Q454" s="20">
        <f>IF($B454="","",IFERROR(INDEX(Vinos!$C$2:$C$301,MATCH($B454,Vinos!$A$2:$A$301,0)),""))</f>
        <v/>
      </c>
      <c r="R454" s="20">
        <f>IF(OR($A454="",$A454&lt;&gt;'Resumen del inventario'!$C$3,$N454="",$N454="OK"),"",IF(COUNTIFS($A$2:$A454,$A454,$B$2:$B454,$B454)=1,1,""))</f>
        <v/>
      </c>
      <c r="S454" s="20">
        <f>IF($R454=1,COUNTIF($R$2:$R454,1),"")</f>
        <v/>
      </c>
    </row>
    <row r="455">
      <c r="A455" s="19" t="n"/>
      <c r="B455" s="14" t="n"/>
      <c r="C455" s="20">
        <f>IF($B455="","",IFERROR(INDEX(Vinos!$B$2:$B$301,MATCH($B455,Vinos!$A$2:$A$301,0)),"Código no cargado"))</f>
        <v/>
      </c>
      <c r="D455" s="14" t="n"/>
      <c r="E455" s="14" t="n"/>
      <c r="F455" s="18" t="n"/>
      <c r="G455" s="18" t="n"/>
      <c r="H455" s="21">
        <f>IF(AND($F455="",$G455=""),"",N($F455)*IFERROR(N(INDEX(Vinos!$H$2:$H$301,MATCH($B455,Vinos!$A$2:$A$301,0))),0)+N($G455))</f>
        <v/>
      </c>
      <c r="I455" s="18" t="n"/>
      <c r="J455" s="21">
        <f>IF(OR($H455="",$I455=""),"",$H455-$I455)</f>
        <v/>
      </c>
      <c r="K455" s="16">
        <f>IF($H455="","",IFERROR(IF(INDEX(Vinos!$J$2:$J$301,MATCH($B455,Vinos!$A$2:$A$301,0))="","",$H455*INDEX(Vinos!$J$2:$J$301,MATCH($B455,Vinos!$A$2:$A$301,0))),""))</f>
        <v/>
      </c>
      <c r="L455" s="16">
        <f>IF($H455="","",IFERROR(IF(INDEX(Vinos!$K$2:$K$301,MATCH($B455,Vinos!$A$2:$A$301,0))="","",$H455*INDEX(Vinos!$K$2:$K$301,MATCH($B455,Vinos!$A$2:$A$301,0))),""))</f>
        <v/>
      </c>
      <c r="M455" s="21">
        <f>IF(OR($A455="",$B455=""),"",SUMIFS($H$2:$H$2001,$A$2:$A$2001,$A455,$B$2:$B$2001,$B455))</f>
        <v/>
      </c>
      <c r="N455" s="20">
        <f>IF($M455="","",IF($M455&lt;=0,"Sin stock: reponer ya",IF($M455&lt;IFERROR(N(INDEX(Vinos!$N$2:$N$301,MATCH($B455,Vinos!$A$2:$A$301,0))),0),"Bajo mínimo: reponer","OK")))</f>
        <v/>
      </c>
      <c r="O455" s="14" t="n"/>
      <c r="P455" s="14" t="n"/>
      <c r="Q455" s="20">
        <f>IF($B455="","",IFERROR(INDEX(Vinos!$C$2:$C$301,MATCH($B455,Vinos!$A$2:$A$301,0)),""))</f>
        <v/>
      </c>
      <c r="R455" s="20">
        <f>IF(OR($A455="",$A455&lt;&gt;'Resumen del inventario'!$C$3,$N455="",$N455="OK"),"",IF(COUNTIFS($A$2:$A455,$A455,$B$2:$B455,$B455)=1,1,""))</f>
        <v/>
      </c>
      <c r="S455" s="20">
        <f>IF($R455=1,COUNTIF($R$2:$R455,1),"")</f>
        <v/>
      </c>
    </row>
    <row r="456">
      <c r="A456" s="19" t="n"/>
      <c r="B456" s="14" t="n"/>
      <c r="C456" s="20">
        <f>IF($B456="","",IFERROR(INDEX(Vinos!$B$2:$B$301,MATCH($B456,Vinos!$A$2:$A$301,0)),"Código no cargado"))</f>
        <v/>
      </c>
      <c r="D456" s="14" t="n"/>
      <c r="E456" s="14" t="n"/>
      <c r="F456" s="18" t="n"/>
      <c r="G456" s="18" t="n"/>
      <c r="H456" s="21">
        <f>IF(AND($F456="",$G456=""),"",N($F456)*IFERROR(N(INDEX(Vinos!$H$2:$H$301,MATCH($B456,Vinos!$A$2:$A$301,0))),0)+N($G456))</f>
        <v/>
      </c>
      <c r="I456" s="18" t="n"/>
      <c r="J456" s="21">
        <f>IF(OR($H456="",$I456=""),"",$H456-$I456)</f>
        <v/>
      </c>
      <c r="K456" s="16">
        <f>IF($H456="","",IFERROR(IF(INDEX(Vinos!$J$2:$J$301,MATCH($B456,Vinos!$A$2:$A$301,0))="","",$H456*INDEX(Vinos!$J$2:$J$301,MATCH($B456,Vinos!$A$2:$A$301,0))),""))</f>
        <v/>
      </c>
      <c r="L456" s="16">
        <f>IF($H456="","",IFERROR(IF(INDEX(Vinos!$K$2:$K$301,MATCH($B456,Vinos!$A$2:$A$301,0))="","",$H456*INDEX(Vinos!$K$2:$K$301,MATCH($B456,Vinos!$A$2:$A$301,0))),""))</f>
        <v/>
      </c>
      <c r="M456" s="21">
        <f>IF(OR($A456="",$B456=""),"",SUMIFS($H$2:$H$2001,$A$2:$A$2001,$A456,$B$2:$B$2001,$B456))</f>
        <v/>
      </c>
      <c r="N456" s="20">
        <f>IF($M456="","",IF($M456&lt;=0,"Sin stock: reponer ya",IF($M456&lt;IFERROR(N(INDEX(Vinos!$N$2:$N$301,MATCH($B456,Vinos!$A$2:$A$301,0))),0),"Bajo mínimo: reponer","OK")))</f>
        <v/>
      </c>
      <c r="O456" s="14" t="n"/>
      <c r="P456" s="14" t="n"/>
      <c r="Q456" s="20">
        <f>IF($B456="","",IFERROR(INDEX(Vinos!$C$2:$C$301,MATCH($B456,Vinos!$A$2:$A$301,0)),""))</f>
        <v/>
      </c>
      <c r="R456" s="20">
        <f>IF(OR($A456="",$A456&lt;&gt;'Resumen del inventario'!$C$3,$N456="",$N456="OK"),"",IF(COUNTIFS($A$2:$A456,$A456,$B$2:$B456,$B456)=1,1,""))</f>
        <v/>
      </c>
      <c r="S456" s="20">
        <f>IF($R456=1,COUNTIF($R$2:$R456,1),"")</f>
        <v/>
      </c>
    </row>
    <row r="457">
      <c r="A457" s="19" t="n"/>
      <c r="B457" s="14" t="n"/>
      <c r="C457" s="20">
        <f>IF($B457="","",IFERROR(INDEX(Vinos!$B$2:$B$301,MATCH($B457,Vinos!$A$2:$A$301,0)),"Código no cargado"))</f>
        <v/>
      </c>
      <c r="D457" s="14" t="n"/>
      <c r="E457" s="14" t="n"/>
      <c r="F457" s="18" t="n"/>
      <c r="G457" s="18" t="n"/>
      <c r="H457" s="21">
        <f>IF(AND($F457="",$G457=""),"",N($F457)*IFERROR(N(INDEX(Vinos!$H$2:$H$301,MATCH($B457,Vinos!$A$2:$A$301,0))),0)+N($G457))</f>
        <v/>
      </c>
      <c r="I457" s="18" t="n"/>
      <c r="J457" s="21">
        <f>IF(OR($H457="",$I457=""),"",$H457-$I457)</f>
        <v/>
      </c>
      <c r="K457" s="16">
        <f>IF($H457="","",IFERROR(IF(INDEX(Vinos!$J$2:$J$301,MATCH($B457,Vinos!$A$2:$A$301,0))="","",$H457*INDEX(Vinos!$J$2:$J$301,MATCH($B457,Vinos!$A$2:$A$301,0))),""))</f>
        <v/>
      </c>
      <c r="L457" s="16">
        <f>IF($H457="","",IFERROR(IF(INDEX(Vinos!$K$2:$K$301,MATCH($B457,Vinos!$A$2:$A$301,0))="","",$H457*INDEX(Vinos!$K$2:$K$301,MATCH($B457,Vinos!$A$2:$A$301,0))),""))</f>
        <v/>
      </c>
      <c r="M457" s="21">
        <f>IF(OR($A457="",$B457=""),"",SUMIFS($H$2:$H$2001,$A$2:$A$2001,$A457,$B$2:$B$2001,$B457))</f>
        <v/>
      </c>
      <c r="N457" s="20">
        <f>IF($M457="","",IF($M457&lt;=0,"Sin stock: reponer ya",IF($M457&lt;IFERROR(N(INDEX(Vinos!$N$2:$N$301,MATCH($B457,Vinos!$A$2:$A$301,0))),0),"Bajo mínimo: reponer","OK")))</f>
        <v/>
      </c>
      <c r="O457" s="14" t="n"/>
      <c r="P457" s="14" t="n"/>
      <c r="Q457" s="20">
        <f>IF($B457="","",IFERROR(INDEX(Vinos!$C$2:$C$301,MATCH($B457,Vinos!$A$2:$A$301,0)),""))</f>
        <v/>
      </c>
      <c r="R457" s="20">
        <f>IF(OR($A457="",$A457&lt;&gt;'Resumen del inventario'!$C$3,$N457="",$N457="OK"),"",IF(COUNTIFS($A$2:$A457,$A457,$B$2:$B457,$B457)=1,1,""))</f>
        <v/>
      </c>
      <c r="S457" s="20">
        <f>IF($R457=1,COUNTIF($R$2:$R457,1),"")</f>
        <v/>
      </c>
    </row>
    <row r="458">
      <c r="A458" s="19" t="n"/>
      <c r="B458" s="14" t="n"/>
      <c r="C458" s="20">
        <f>IF($B458="","",IFERROR(INDEX(Vinos!$B$2:$B$301,MATCH($B458,Vinos!$A$2:$A$301,0)),"Código no cargado"))</f>
        <v/>
      </c>
      <c r="D458" s="14" t="n"/>
      <c r="E458" s="14" t="n"/>
      <c r="F458" s="18" t="n"/>
      <c r="G458" s="18" t="n"/>
      <c r="H458" s="21">
        <f>IF(AND($F458="",$G458=""),"",N($F458)*IFERROR(N(INDEX(Vinos!$H$2:$H$301,MATCH($B458,Vinos!$A$2:$A$301,0))),0)+N($G458))</f>
        <v/>
      </c>
      <c r="I458" s="18" t="n"/>
      <c r="J458" s="21">
        <f>IF(OR($H458="",$I458=""),"",$H458-$I458)</f>
        <v/>
      </c>
      <c r="K458" s="16">
        <f>IF($H458="","",IFERROR(IF(INDEX(Vinos!$J$2:$J$301,MATCH($B458,Vinos!$A$2:$A$301,0))="","",$H458*INDEX(Vinos!$J$2:$J$301,MATCH($B458,Vinos!$A$2:$A$301,0))),""))</f>
        <v/>
      </c>
      <c r="L458" s="16">
        <f>IF($H458="","",IFERROR(IF(INDEX(Vinos!$K$2:$K$301,MATCH($B458,Vinos!$A$2:$A$301,0))="","",$H458*INDEX(Vinos!$K$2:$K$301,MATCH($B458,Vinos!$A$2:$A$301,0))),""))</f>
        <v/>
      </c>
      <c r="M458" s="21">
        <f>IF(OR($A458="",$B458=""),"",SUMIFS($H$2:$H$2001,$A$2:$A$2001,$A458,$B$2:$B$2001,$B458))</f>
        <v/>
      </c>
      <c r="N458" s="20">
        <f>IF($M458="","",IF($M458&lt;=0,"Sin stock: reponer ya",IF($M458&lt;IFERROR(N(INDEX(Vinos!$N$2:$N$301,MATCH($B458,Vinos!$A$2:$A$301,0))),0),"Bajo mínimo: reponer","OK")))</f>
        <v/>
      </c>
      <c r="O458" s="14" t="n"/>
      <c r="P458" s="14" t="n"/>
      <c r="Q458" s="20">
        <f>IF($B458="","",IFERROR(INDEX(Vinos!$C$2:$C$301,MATCH($B458,Vinos!$A$2:$A$301,0)),""))</f>
        <v/>
      </c>
      <c r="R458" s="20">
        <f>IF(OR($A458="",$A458&lt;&gt;'Resumen del inventario'!$C$3,$N458="",$N458="OK"),"",IF(COUNTIFS($A$2:$A458,$A458,$B$2:$B458,$B458)=1,1,""))</f>
        <v/>
      </c>
      <c r="S458" s="20">
        <f>IF($R458=1,COUNTIF($R$2:$R458,1),"")</f>
        <v/>
      </c>
    </row>
    <row r="459">
      <c r="A459" s="19" t="n"/>
      <c r="B459" s="14" t="n"/>
      <c r="C459" s="20">
        <f>IF($B459="","",IFERROR(INDEX(Vinos!$B$2:$B$301,MATCH($B459,Vinos!$A$2:$A$301,0)),"Código no cargado"))</f>
        <v/>
      </c>
      <c r="D459" s="14" t="n"/>
      <c r="E459" s="14" t="n"/>
      <c r="F459" s="18" t="n"/>
      <c r="G459" s="18" t="n"/>
      <c r="H459" s="21">
        <f>IF(AND($F459="",$G459=""),"",N($F459)*IFERROR(N(INDEX(Vinos!$H$2:$H$301,MATCH($B459,Vinos!$A$2:$A$301,0))),0)+N($G459))</f>
        <v/>
      </c>
      <c r="I459" s="18" t="n"/>
      <c r="J459" s="21">
        <f>IF(OR($H459="",$I459=""),"",$H459-$I459)</f>
        <v/>
      </c>
      <c r="K459" s="16">
        <f>IF($H459="","",IFERROR(IF(INDEX(Vinos!$J$2:$J$301,MATCH($B459,Vinos!$A$2:$A$301,0))="","",$H459*INDEX(Vinos!$J$2:$J$301,MATCH($B459,Vinos!$A$2:$A$301,0))),""))</f>
        <v/>
      </c>
      <c r="L459" s="16">
        <f>IF($H459="","",IFERROR(IF(INDEX(Vinos!$K$2:$K$301,MATCH($B459,Vinos!$A$2:$A$301,0))="","",$H459*INDEX(Vinos!$K$2:$K$301,MATCH($B459,Vinos!$A$2:$A$301,0))),""))</f>
        <v/>
      </c>
      <c r="M459" s="21">
        <f>IF(OR($A459="",$B459=""),"",SUMIFS($H$2:$H$2001,$A$2:$A$2001,$A459,$B$2:$B$2001,$B459))</f>
        <v/>
      </c>
      <c r="N459" s="20">
        <f>IF($M459="","",IF($M459&lt;=0,"Sin stock: reponer ya",IF($M459&lt;IFERROR(N(INDEX(Vinos!$N$2:$N$301,MATCH($B459,Vinos!$A$2:$A$301,0))),0),"Bajo mínimo: reponer","OK")))</f>
        <v/>
      </c>
      <c r="O459" s="14" t="n"/>
      <c r="P459" s="14" t="n"/>
      <c r="Q459" s="20">
        <f>IF($B459="","",IFERROR(INDEX(Vinos!$C$2:$C$301,MATCH($B459,Vinos!$A$2:$A$301,0)),""))</f>
        <v/>
      </c>
      <c r="R459" s="20">
        <f>IF(OR($A459="",$A459&lt;&gt;'Resumen del inventario'!$C$3,$N459="",$N459="OK"),"",IF(COUNTIFS($A$2:$A459,$A459,$B$2:$B459,$B459)=1,1,""))</f>
        <v/>
      </c>
      <c r="S459" s="20">
        <f>IF($R459=1,COUNTIF($R$2:$R459,1),"")</f>
        <v/>
      </c>
    </row>
    <row r="460">
      <c r="A460" s="19" t="n"/>
      <c r="B460" s="14" t="n"/>
      <c r="C460" s="20">
        <f>IF($B460="","",IFERROR(INDEX(Vinos!$B$2:$B$301,MATCH($B460,Vinos!$A$2:$A$301,0)),"Código no cargado"))</f>
        <v/>
      </c>
      <c r="D460" s="14" t="n"/>
      <c r="E460" s="14" t="n"/>
      <c r="F460" s="18" t="n"/>
      <c r="G460" s="18" t="n"/>
      <c r="H460" s="21">
        <f>IF(AND($F460="",$G460=""),"",N($F460)*IFERROR(N(INDEX(Vinos!$H$2:$H$301,MATCH($B460,Vinos!$A$2:$A$301,0))),0)+N($G460))</f>
        <v/>
      </c>
      <c r="I460" s="18" t="n"/>
      <c r="J460" s="21">
        <f>IF(OR($H460="",$I460=""),"",$H460-$I460)</f>
        <v/>
      </c>
      <c r="K460" s="16">
        <f>IF($H460="","",IFERROR(IF(INDEX(Vinos!$J$2:$J$301,MATCH($B460,Vinos!$A$2:$A$301,0))="","",$H460*INDEX(Vinos!$J$2:$J$301,MATCH($B460,Vinos!$A$2:$A$301,0))),""))</f>
        <v/>
      </c>
      <c r="L460" s="16">
        <f>IF($H460="","",IFERROR(IF(INDEX(Vinos!$K$2:$K$301,MATCH($B460,Vinos!$A$2:$A$301,0))="","",$H460*INDEX(Vinos!$K$2:$K$301,MATCH($B460,Vinos!$A$2:$A$301,0))),""))</f>
        <v/>
      </c>
      <c r="M460" s="21">
        <f>IF(OR($A460="",$B460=""),"",SUMIFS($H$2:$H$2001,$A$2:$A$2001,$A460,$B$2:$B$2001,$B460))</f>
        <v/>
      </c>
      <c r="N460" s="20">
        <f>IF($M460="","",IF($M460&lt;=0,"Sin stock: reponer ya",IF($M460&lt;IFERROR(N(INDEX(Vinos!$N$2:$N$301,MATCH($B460,Vinos!$A$2:$A$301,0))),0),"Bajo mínimo: reponer","OK")))</f>
        <v/>
      </c>
      <c r="O460" s="14" t="n"/>
      <c r="P460" s="14" t="n"/>
      <c r="Q460" s="20">
        <f>IF($B460="","",IFERROR(INDEX(Vinos!$C$2:$C$301,MATCH($B460,Vinos!$A$2:$A$301,0)),""))</f>
        <v/>
      </c>
      <c r="R460" s="20">
        <f>IF(OR($A460="",$A460&lt;&gt;'Resumen del inventario'!$C$3,$N460="",$N460="OK"),"",IF(COUNTIFS($A$2:$A460,$A460,$B$2:$B460,$B460)=1,1,""))</f>
        <v/>
      </c>
      <c r="S460" s="20">
        <f>IF($R460=1,COUNTIF($R$2:$R460,1),"")</f>
        <v/>
      </c>
    </row>
    <row r="461">
      <c r="A461" s="19" t="n"/>
      <c r="B461" s="14" t="n"/>
      <c r="C461" s="20">
        <f>IF($B461="","",IFERROR(INDEX(Vinos!$B$2:$B$301,MATCH($B461,Vinos!$A$2:$A$301,0)),"Código no cargado"))</f>
        <v/>
      </c>
      <c r="D461" s="14" t="n"/>
      <c r="E461" s="14" t="n"/>
      <c r="F461" s="18" t="n"/>
      <c r="G461" s="18" t="n"/>
      <c r="H461" s="21">
        <f>IF(AND($F461="",$G461=""),"",N($F461)*IFERROR(N(INDEX(Vinos!$H$2:$H$301,MATCH($B461,Vinos!$A$2:$A$301,0))),0)+N($G461))</f>
        <v/>
      </c>
      <c r="I461" s="18" t="n"/>
      <c r="J461" s="21">
        <f>IF(OR($H461="",$I461=""),"",$H461-$I461)</f>
        <v/>
      </c>
      <c r="K461" s="16">
        <f>IF($H461="","",IFERROR(IF(INDEX(Vinos!$J$2:$J$301,MATCH($B461,Vinos!$A$2:$A$301,0))="","",$H461*INDEX(Vinos!$J$2:$J$301,MATCH($B461,Vinos!$A$2:$A$301,0))),""))</f>
        <v/>
      </c>
      <c r="L461" s="16">
        <f>IF($H461="","",IFERROR(IF(INDEX(Vinos!$K$2:$K$301,MATCH($B461,Vinos!$A$2:$A$301,0))="","",$H461*INDEX(Vinos!$K$2:$K$301,MATCH($B461,Vinos!$A$2:$A$301,0))),""))</f>
        <v/>
      </c>
      <c r="M461" s="21">
        <f>IF(OR($A461="",$B461=""),"",SUMIFS($H$2:$H$2001,$A$2:$A$2001,$A461,$B$2:$B$2001,$B461))</f>
        <v/>
      </c>
      <c r="N461" s="20">
        <f>IF($M461="","",IF($M461&lt;=0,"Sin stock: reponer ya",IF($M461&lt;IFERROR(N(INDEX(Vinos!$N$2:$N$301,MATCH($B461,Vinos!$A$2:$A$301,0))),0),"Bajo mínimo: reponer","OK")))</f>
        <v/>
      </c>
      <c r="O461" s="14" t="n"/>
      <c r="P461" s="14" t="n"/>
      <c r="Q461" s="20">
        <f>IF($B461="","",IFERROR(INDEX(Vinos!$C$2:$C$301,MATCH($B461,Vinos!$A$2:$A$301,0)),""))</f>
        <v/>
      </c>
      <c r="R461" s="20">
        <f>IF(OR($A461="",$A461&lt;&gt;'Resumen del inventario'!$C$3,$N461="",$N461="OK"),"",IF(COUNTIFS($A$2:$A461,$A461,$B$2:$B461,$B461)=1,1,""))</f>
        <v/>
      </c>
      <c r="S461" s="20">
        <f>IF($R461=1,COUNTIF($R$2:$R461,1),"")</f>
        <v/>
      </c>
    </row>
    <row r="462">
      <c r="A462" s="19" t="n"/>
      <c r="B462" s="14" t="n"/>
      <c r="C462" s="20">
        <f>IF($B462="","",IFERROR(INDEX(Vinos!$B$2:$B$301,MATCH($B462,Vinos!$A$2:$A$301,0)),"Código no cargado"))</f>
        <v/>
      </c>
      <c r="D462" s="14" t="n"/>
      <c r="E462" s="14" t="n"/>
      <c r="F462" s="18" t="n"/>
      <c r="G462" s="18" t="n"/>
      <c r="H462" s="21">
        <f>IF(AND($F462="",$G462=""),"",N($F462)*IFERROR(N(INDEX(Vinos!$H$2:$H$301,MATCH($B462,Vinos!$A$2:$A$301,0))),0)+N($G462))</f>
        <v/>
      </c>
      <c r="I462" s="18" t="n"/>
      <c r="J462" s="21">
        <f>IF(OR($H462="",$I462=""),"",$H462-$I462)</f>
        <v/>
      </c>
      <c r="K462" s="16">
        <f>IF($H462="","",IFERROR(IF(INDEX(Vinos!$J$2:$J$301,MATCH($B462,Vinos!$A$2:$A$301,0))="","",$H462*INDEX(Vinos!$J$2:$J$301,MATCH($B462,Vinos!$A$2:$A$301,0))),""))</f>
        <v/>
      </c>
      <c r="L462" s="16">
        <f>IF($H462="","",IFERROR(IF(INDEX(Vinos!$K$2:$K$301,MATCH($B462,Vinos!$A$2:$A$301,0))="","",$H462*INDEX(Vinos!$K$2:$K$301,MATCH($B462,Vinos!$A$2:$A$301,0))),""))</f>
        <v/>
      </c>
      <c r="M462" s="21">
        <f>IF(OR($A462="",$B462=""),"",SUMIFS($H$2:$H$2001,$A$2:$A$2001,$A462,$B$2:$B$2001,$B462))</f>
        <v/>
      </c>
      <c r="N462" s="20">
        <f>IF($M462="","",IF($M462&lt;=0,"Sin stock: reponer ya",IF($M462&lt;IFERROR(N(INDEX(Vinos!$N$2:$N$301,MATCH($B462,Vinos!$A$2:$A$301,0))),0),"Bajo mínimo: reponer","OK")))</f>
        <v/>
      </c>
      <c r="O462" s="14" t="n"/>
      <c r="P462" s="14" t="n"/>
      <c r="Q462" s="20">
        <f>IF($B462="","",IFERROR(INDEX(Vinos!$C$2:$C$301,MATCH($B462,Vinos!$A$2:$A$301,0)),""))</f>
        <v/>
      </c>
      <c r="R462" s="20">
        <f>IF(OR($A462="",$A462&lt;&gt;'Resumen del inventario'!$C$3,$N462="",$N462="OK"),"",IF(COUNTIFS($A$2:$A462,$A462,$B$2:$B462,$B462)=1,1,""))</f>
        <v/>
      </c>
      <c r="S462" s="20">
        <f>IF($R462=1,COUNTIF($R$2:$R462,1),"")</f>
        <v/>
      </c>
    </row>
    <row r="463">
      <c r="A463" s="19" t="n"/>
      <c r="B463" s="14" t="n"/>
      <c r="C463" s="20">
        <f>IF($B463="","",IFERROR(INDEX(Vinos!$B$2:$B$301,MATCH($B463,Vinos!$A$2:$A$301,0)),"Código no cargado"))</f>
        <v/>
      </c>
      <c r="D463" s="14" t="n"/>
      <c r="E463" s="14" t="n"/>
      <c r="F463" s="18" t="n"/>
      <c r="G463" s="18" t="n"/>
      <c r="H463" s="21">
        <f>IF(AND($F463="",$G463=""),"",N($F463)*IFERROR(N(INDEX(Vinos!$H$2:$H$301,MATCH($B463,Vinos!$A$2:$A$301,0))),0)+N($G463))</f>
        <v/>
      </c>
      <c r="I463" s="18" t="n"/>
      <c r="J463" s="21">
        <f>IF(OR($H463="",$I463=""),"",$H463-$I463)</f>
        <v/>
      </c>
      <c r="K463" s="16">
        <f>IF($H463="","",IFERROR(IF(INDEX(Vinos!$J$2:$J$301,MATCH($B463,Vinos!$A$2:$A$301,0))="","",$H463*INDEX(Vinos!$J$2:$J$301,MATCH($B463,Vinos!$A$2:$A$301,0))),""))</f>
        <v/>
      </c>
      <c r="L463" s="16">
        <f>IF($H463="","",IFERROR(IF(INDEX(Vinos!$K$2:$K$301,MATCH($B463,Vinos!$A$2:$A$301,0))="","",$H463*INDEX(Vinos!$K$2:$K$301,MATCH($B463,Vinos!$A$2:$A$301,0))),""))</f>
        <v/>
      </c>
      <c r="M463" s="21">
        <f>IF(OR($A463="",$B463=""),"",SUMIFS($H$2:$H$2001,$A$2:$A$2001,$A463,$B$2:$B$2001,$B463))</f>
        <v/>
      </c>
      <c r="N463" s="20">
        <f>IF($M463="","",IF($M463&lt;=0,"Sin stock: reponer ya",IF($M463&lt;IFERROR(N(INDEX(Vinos!$N$2:$N$301,MATCH($B463,Vinos!$A$2:$A$301,0))),0),"Bajo mínimo: reponer","OK")))</f>
        <v/>
      </c>
      <c r="O463" s="14" t="n"/>
      <c r="P463" s="14" t="n"/>
      <c r="Q463" s="20">
        <f>IF($B463="","",IFERROR(INDEX(Vinos!$C$2:$C$301,MATCH($B463,Vinos!$A$2:$A$301,0)),""))</f>
        <v/>
      </c>
      <c r="R463" s="20">
        <f>IF(OR($A463="",$A463&lt;&gt;'Resumen del inventario'!$C$3,$N463="",$N463="OK"),"",IF(COUNTIFS($A$2:$A463,$A463,$B$2:$B463,$B463)=1,1,""))</f>
        <v/>
      </c>
      <c r="S463" s="20">
        <f>IF($R463=1,COUNTIF($R$2:$R463,1),"")</f>
        <v/>
      </c>
    </row>
    <row r="464">
      <c r="A464" s="19" t="n"/>
      <c r="B464" s="14" t="n"/>
      <c r="C464" s="20">
        <f>IF($B464="","",IFERROR(INDEX(Vinos!$B$2:$B$301,MATCH($B464,Vinos!$A$2:$A$301,0)),"Código no cargado"))</f>
        <v/>
      </c>
      <c r="D464" s="14" t="n"/>
      <c r="E464" s="14" t="n"/>
      <c r="F464" s="18" t="n"/>
      <c r="G464" s="18" t="n"/>
      <c r="H464" s="21">
        <f>IF(AND($F464="",$G464=""),"",N($F464)*IFERROR(N(INDEX(Vinos!$H$2:$H$301,MATCH($B464,Vinos!$A$2:$A$301,0))),0)+N($G464))</f>
        <v/>
      </c>
      <c r="I464" s="18" t="n"/>
      <c r="J464" s="21">
        <f>IF(OR($H464="",$I464=""),"",$H464-$I464)</f>
        <v/>
      </c>
      <c r="K464" s="16">
        <f>IF($H464="","",IFERROR(IF(INDEX(Vinos!$J$2:$J$301,MATCH($B464,Vinos!$A$2:$A$301,0))="","",$H464*INDEX(Vinos!$J$2:$J$301,MATCH($B464,Vinos!$A$2:$A$301,0))),""))</f>
        <v/>
      </c>
      <c r="L464" s="16">
        <f>IF($H464="","",IFERROR(IF(INDEX(Vinos!$K$2:$K$301,MATCH($B464,Vinos!$A$2:$A$301,0))="","",$H464*INDEX(Vinos!$K$2:$K$301,MATCH($B464,Vinos!$A$2:$A$301,0))),""))</f>
        <v/>
      </c>
      <c r="M464" s="21">
        <f>IF(OR($A464="",$B464=""),"",SUMIFS($H$2:$H$2001,$A$2:$A$2001,$A464,$B$2:$B$2001,$B464))</f>
        <v/>
      </c>
      <c r="N464" s="20">
        <f>IF($M464="","",IF($M464&lt;=0,"Sin stock: reponer ya",IF($M464&lt;IFERROR(N(INDEX(Vinos!$N$2:$N$301,MATCH($B464,Vinos!$A$2:$A$301,0))),0),"Bajo mínimo: reponer","OK")))</f>
        <v/>
      </c>
      <c r="O464" s="14" t="n"/>
      <c r="P464" s="14" t="n"/>
      <c r="Q464" s="20">
        <f>IF($B464="","",IFERROR(INDEX(Vinos!$C$2:$C$301,MATCH($B464,Vinos!$A$2:$A$301,0)),""))</f>
        <v/>
      </c>
      <c r="R464" s="20">
        <f>IF(OR($A464="",$A464&lt;&gt;'Resumen del inventario'!$C$3,$N464="",$N464="OK"),"",IF(COUNTIFS($A$2:$A464,$A464,$B$2:$B464,$B464)=1,1,""))</f>
        <v/>
      </c>
      <c r="S464" s="20">
        <f>IF($R464=1,COUNTIF($R$2:$R464,1),"")</f>
        <v/>
      </c>
    </row>
    <row r="465">
      <c r="A465" s="19" t="n"/>
      <c r="B465" s="14" t="n"/>
      <c r="C465" s="20">
        <f>IF($B465="","",IFERROR(INDEX(Vinos!$B$2:$B$301,MATCH($B465,Vinos!$A$2:$A$301,0)),"Código no cargado"))</f>
        <v/>
      </c>
      <c r="D465" s="14" t="n"/>
      <c r="E465" s="14" t="n"/>
      <c r="F465" s="18" t="n"/>
      <c r="G465" s="18" t="n"/>
      <c r="H465" s="21">
        <f>IF(AND($F465="",$G465=""),"",N($F465)*IFERROR(N(INDEX(Vinos!$H$2:$H$301,MATCH($B465,Vinos!$A$2:$A$301,0))),0)+N($G465))</f>
        <v/>
      </c>
      <c r="I465" s="18" t="n"/>
      <c r="J465" s="21">
        <f>IF(OR($H465="",$I465=""),"",$H465-$I465)</f>
        <v/>
      </c>
      <c r="K465" s="16">
        <f>IF($H465="","",IFERROR(IF(INDEX(Vinos!$J$2:$J$301,MATCH($B465,Vinos!$A$2:$A$301,0))="","",$H465*INDEX(Vinos!$J$2:$J$301,MATCH($B465,Vinos!$A$2:$A$301,0))),""))</f>
        <v/>
      </c>
      <c r="L465" s="16">
        <f>IF($H465="","",IFERROR(IF(INDEX(Vinos!$K$2:$K$301,MATCH($B465,Vinos!$A$2:$A$301,0))="","",$H465*INDEX(Vinos!$K$2:$K$301,MATCH($B465,Vinos!$A$2:$A$301,0))),""))</f>
        <v/>
      </c>
      <c r="M465" s="21">
        <f>IF(OR($A465="",$B465=""),"",SUMIFS($H$2:$H$2001,$A$2:$A$2001,$A465,$B$2:$B$2001,$B465))</f>
        <v/>
      </c>
      <c r="N465" s="20">
        <f>IF($M465="","",IF($M465&lt;=0,"Sin stock: reponer ya",IF($M465&lt;IFERROR(N(INDEX(Vinos!$N$2:$N$301,MATCH($B465,Vinos!$A$2:$A$301,0))),0),"Bajo mínimo: reponer","OK")))</f>
        <v/>
      </c>
      <c r="O465" s="14" t="n"/>
      <c r="P465" s="14" t="n"/>
      <c r="Q465" s="20">
        <f>IF($B465="","",IFERROR(INDEX(Vinos!$C$2:$C$301,MATCH($B465,Vinos!$A$2:$A$301,0)),""))</f>
        <v/>
      </c>
      <c r="R465" s="20">
        <f>IF(OR($A465="",$A465&lt;&gt;'Resumen del inventario'!$C$3,$N465="",$N465="OK"),"",IF(COUNTIFS($A$2:$A465,$A465,$B$2:$B465,$B465)=1,1,""))</f>
        <v/>
      </c>
      <c r="S465" s="20">
        <f>IF($R465=1,COUNTIF($R$2:$R465,1),"")</f>
        <v/>
      </c>
    </row>
    <row r="466">
      <c r="A466" s="19" t="n"/>
      <c r="B466" s="14" t="n"/>
      <c r="C466" s="20">
        <f>IF($B466="","",IFERROR(INDEX(Vinos!$B$2:$B$301,MATCH($B466,Vinos!$A$2:$A$301,0)),"Código no cargado"))</f>
        <v/>
      </c>
      <c r="D466" s="14" t="n"/>
      <c r="E466" s="14" t="n"/>
      <c r="F466" s="18" t="n"/>
      <c r="G466" s="18" t="n"/>
      <c r="H466" s="21">
        <f>IF(AND($F466="",$G466=""),"",N($F466)*IFERROR(N(INDEX(Vinos!$H$2:$H$301,MATCH($B466,Vinos!$A$2:$A$301,0))),0)+N($G466))</f>
        <v/>
      </c>
      <c r="I466" s="18" t="n"/>
      <c r="J466" s="21">
        <f>IF(OR($H466="",$I466=""),"",$H466-$I466)</f>
        <v/>
      </c>
      <c r="K466" s="16">
        <f>IF($H466="","",IFERROR(IF(INDEX(Vinos!$J$2:$J$301,MATCH($B466,Vinos!$A$2:$A$301,0))="","",$H466*INDEX(Vinos!$J$2:$J$301,MATCH($B466,Vinos!$A$2:$A$301,0))),""))</f>
        <v/>
      </c>
      <c r="L466" s="16">
        <f>IF($H466="","",IFERROR(IF(INDEX(Vinos!$K$2:$K$301,MATCH($B466,Vinos!$A$2:$A$301,0))="","",$H466*INDEX(Vinos!$K$2:$K$301,MATCH($B466,Vinos!$A$2:$A$301,0))),""))</f>
        <v/>
      </c>
      <c r="M466" s="21">
        <f>IF(OR($A466="",$B466=""),"",SUMIFS($H$2:$H$2001,$A$2:$A$2001,$A466,$B$2:$B$2001,$B466))</f>
        <v/>
      </c>
      <c r="N466" s="20">
        <f>IF($M466="","",IF($M466&lt;=0,"Sin stock: reponer ya",IF($M466&lt;IFERROR(N(INDEX(Vinos!$N$2:$N$301,MATCH($B466,Vinos!$A$2:$A$301,0))),0),"Bajo mínimo: reponer","OK")))</f>
        <v/>
      </c>
      <c r="O466" s="14" t="n"/>
      <c r="P466" s="14" t="n"/>
      <c r="Q466" s="20">
        <f>IF($B466="","",IFERROR(INDEX(Vinos!$C$2:$C$301,MATCH($B466,Vinos!$A$2:$A$301,0)),""))</f>
        <v/>
      </c>
      <c r="R466" s="20">
        <f>IF(OR($A466="",$A466&lt;&gt;'Resumen del inventario'!$C$3,$N466="",$N466="OK"),"",IF(COUNTIFS($A$2:$A466,$A466,$B$2:$B466,$B466)=1,1,""))</f>
        <v/>
      </c>
      <c r="S466" s="20">
        <f>IF($R466=1,COUNTIF($R$2:$R466,1),"")</f>
        <v/>
      </c>
    </row>
    <row r="467">
      <c r="A467" s="19" t="n"/>
      <c r="B467" s="14" t="n"/>
      <c r="C467" s="20">
        <f>IF($B467="","",IFERROR(INDEX(Vinos!$B$2:$B$301,MATCH($B467,Vinos!$A$2:$A$301,0)),"Código no cargado"))</f>
        <v/>
      </c>
      <c r="D467" s="14" t="n"/>
      <c r="E467" s="14" t="n"/>
      <c r="F467" s="18" t="n"/>
      <c r="G467" s="18" t="n"/>
      <c r="H467" s="21">
        <f>IF(AND($F467="",$G467=""),"",N($F467)*IFERROR(N(INDEX(Vinos!$H$2:$H$301,MATCH($B467,Vinos!$A$2:$A$301,0))),0)+N($G467))</f>
        <v/>
      </c>
      <c r="I467" s="18" t="n"/>
      <c r="J467" s="21">
        <f>IF(OR($H467="",$I467=""),"",$H467-$I467)</f>
        <v/>
      </c>
      <c r="K467" s="16">
        <f>IF($H467="","",IFERROR(IF(INDEX(Vinos!$J$2:$J$301,MATCH($B467,Vinos!$A$2:$A$301,0))="","",$H467*INDEX(Vinos!$J$2:$J$301,MATCH($B467,Vinos!$A$2:$A$301,0))),""))</f>
        <v/>
      </c>
      <c r="L467" s="16">
        <f>IF($H467="","",IFERROR(IF(INDEX(Vinos!$K$2:$K$301,MATCH($B467,Vinos!$A$2:$A$301,0))="","",$H467*INDEX(Vinos!$K$2:$K$301,MATCH($B467,Vinos!$A$2:$A$301,0))),""))</f>
        <v/>
      </c>
      <c r="M467" s="21">
        <f>IF(OR($A467="",$B467=""),"",SUMIFS($H$2:$H$2001,$A$2:$A$2001,$A467,$B$2:$B$2001,$B467))</f>
        <v/>
      </c>
      <c r="N467" s="20">
        <f>IF($M467="","",IF($M467&lt;=0,"Sin stock: reponer ya",IF($M467&lt;IFERROR(N(INDEX(Vinos!$N$2:$N$301,MATCH($B467,Vinos!$A$2:$A$301,0))),0),"Bajo mínimo: reponer","OK")))</f>
        <v/>
      </c>
      <c r="O467" s="14" t="n"/>
      <c r="P467" s="14" t="n"/>
      <c r="Q467" s="20">
        <f>IF($B467="","",IFERROR(INDEX(Vinos!$C$2:$C$301,MATCH($B467,Vinos!$A$2:$A$301,0)),""))</f>
        <v/>
      </c>
      <c r="R467" s="20">
        <f>IF(OR($A467="",$A467&lt;&gt;'Resumen del inventario'!$C$3,$N467="",$N467="OK"),"",IF(COUNTIFS($A$2:$A467,$A467,$B$2:$B467,$B467)=1,1,""))</f>
        <v/>
      </c>
      <c r="S467" s="20">
        <f>IF($R467=1,COUNTIF($R$2:$R467,1),"")</f>
        <v/>
      </c>
    </row>
    <row r="468">
      <c r="A468" s="19" t="n"/>
      <c r="B468" s="14" t="n"/>
      <c r="C468" s="20">
        <f>IF($B468="","",IFERROR(INDEX(Vinos!$B$2:$B$301,MATCH($B468,Vinos!$A$2:$A$301,0)),"Código no cargado"))</f>
        <v/>
      </c>
      <c r="D468" s="14" t="n"/>
      <c r="E468" s="14" t="n"/>
      <c r="F468" s="18" t="n"/>
      <c r="G468" s="18" t="n"/>
      <c r="H468" s="21">
        <f>IF(AND($F468="",$G468=""),"",N($F468)*IFERROR(N(INDEX(Vinos!$H$2:$H$301,MATCH($B468,Vinos!$A$2:$A$301,0))),0)+N($G468))</f>
        <v/>
      </c>
      <c r="I468" s="18" t="n"/>
      <c r="J468" s="21">
        <f>IF(OR($H468="",$I468=""),"",$H468-$I468)</f>
        <v/>
      </c>
      <c r="K468" s="16">
        <f>IF($H468="","",IFERROR(IF(INDEX(Vinos!$J$2:$J$301,MATCH($B468,Vinos!$A$2:$A$301,0))="","",$H468*INDEX(Vinos!$J$2:$J$301,MATCH($B468,Vinos!$A$2:$A$301,0))),""))</f>
        <v/>
      </c>
      <c r="L468" s="16">
        <f>IF($H468="","",IFERROR(IF(INDEX(Vinos!$K$2:$K$301,MATCH($B468,Vinos!$A$2:$A$301,0))="","",$H468*INDEX(Vinos!$K$2:$K$301,MATCH($B468,Vinos!$A$2:$A$301,0))),""))</f>
        <v/>
      </c>
      <c r="M468" s="21">
        <f>IF(OR($A468="",$B468=""),"",SUMIFS($H$2:$H$2001,$A$2:$A$2001,$A468,$B$2:$B$2001,$B468))</f>
        <v/>
      </c>
      <c r="N468" s="20">
        <f>IF($M468="","",IF($M468&lt;=0,"Sin stock: reponer ya",IF($M468&lt;IFERROR(N(INDEX(Vinos!$N$2:$N$301,MATCH($B468,Vinos!$A$2:$A$301,0))),0),"Bajo mínimo: reponer","OK")))</f>
        <v/>
      </c>
      <c r="O468" s="14" t="n"/>
      <c r="P468" s="14" t="n"/>
      <c r="Q468" s="20">
        <f>IF($B468="","",IFERROR(INDEX(Vinos!$C$2:$C$301,MATCH($B468,Vinos!$A$2:$A$301,0)),""))</f>
        <v/>
      </c>
      <c r="R468" s="20">
        <f>IF(OR($A468="",$A468&lt;&gt;'Resumen del inventario'!$C$3,$N468="",$N468="OK"),"",IF(COUNTIFS($A$2:$A468,$A468,$B$2:$B468,$B468)=1,1,""))</f>
        <v/>
      </c>
      <c r="S468" s="20">
        <f>IF($R468=1,COUNTIF($R$2:$R468,1),"")</f>
        <v/>
      </c>
    </row>
    <row r="469">
      <c r="A469" s="19" t="n"/>
      <c r="B469" s="14" t="n"/>
      <c r="C469" s="20">
        <f>IF($B469="","",IFERROR(INDEX(Vinos!$B$2:$B$301,MATCH($B469,Vinos!$A$2:$A$301,0)),"Código no cargado"))</f>
        <v/>
      </c>
      <c r="D469" s="14" t="n"/>
      <c r="E469" s="14" t="n"/>
      <c r="F469" s="18" t="n"/>
      <c r="G469" s="18" t="n"/>
      <c r="H469" s="21">
        <f>IF(AND($F469="",$G469=""),"",N($F469)*IFERROR(N(INDEX(Vinos!$H$2:$H$301,MATCH($B469,Vinos!$A$2:$A$301,0))),0)+N($G469))</f>
        <v/>
      </c>
      <c r="I469" s="18" t="n"/>
      <c r="J469" s="21">
        <f>IF(OR($H469="",$I469=""),"",$H469-$I469)</f>
        <v/>
      </c>
      <c r="K469" s="16">
        <f>IF($H469="","",IFERROR(IF(INDEX(Vinos!$J$2:$J$301,MATCH($B469,Vinos!$A$2:$A$301,0))="","",$H469*INDEX(Vinos!$J$2:$J$301,MATCH($B469,Vinos!$A$2:$A$301,0))),""))</f>
        <v/>
      </c>
      <c r="L469" s="16">
        <f>IF($H469="","",IFERROR(IF(INDEX(Vinos!$K$2:$K$301,MATCH($B469,Vinos!$A$2:$A$301,0))="","",$H469*INDEX(Vinos!$K$2:$K$301,MATCH($B469,Vinos!$A$2:$A$301,0))),""))</f>
        <v/>
      </c>
      <c r="M469" s="21">
        <f>IF(OR($A469="",$B469=""),"",SUMIFS($H$2:$H$2001,$A$2:$A$2001,$A469,$B$2:$B$2001,$B469))</f>
        <v/>
      </c>
      <c r="N469" s="20">
        <f>IF($M469="","",IF($M469&lt;=0,"Sin stock: reponer ya",IF($M469&lt;IFERROR(N(INDEX(Vinos!$N$2:$N$301,MATCH($B469,Vinos!$A$2:$A$301,0))),0),"Bajo mínimo: reponer","OK")))</f>
        <v/>
      </c>
      <c r="O469" s="14" t="n"/>
      <c r="P469" s="14" t="n"/>
      <c r="Q469" s="20">
        <f>IF($B469="","",IFERROR(INDEX(Vinos!$C$2:$C$301,MATCH($B469,Vinos!$A$2:$A$301,0)),""))</f>
        <v/>
      </c>
      <c r="R469" s="20">
        <f>IF(OR($A469="",$A469&lt;&gt;'Resumen del inventario'!$C$3,$N469="",$N469="OK"),"",IF(COUNTIFS($A$2:$A469,$A469,$B$2:$B469,$B469)=1,1,""))</f>
        <v/>
      </c>
      <c r="S469" s="20">
        <f>IF($R469=1,COUNTIF($R$2:$R469,1),"")</f>
        <v/>
      </c>
    </row>
    <row r="470">
      <c r="A470" s="19" t="n"/>
      <c r="B470" s="14" t="n"/>
      <c r="C470" s="20">
        <f>IF($B470="","",IFERROR(INDEX(Vinos!$B$2:$B$301,MATCH($B470,Vinos!$A$2:$A$301,0)),"Código no cargado"))</f>
        <v/>
      </c>
      <c r="D470" s="14" t="n"/>
      <c r="E470" s="14" t="n"/>
      <c r="F470" s="18" t="n"/>
      <c r="G470" s="18" t="n"/>
      <c r="H470" s="21">
        <f>IF(AND($F470="",$G470=""),"",N($F470)*IFERROR(N(INDEX(Vinos!$H$2:$H$301,MATCH($B470,Vinos!$A$2:$A$301,0))),0)+N($G470))</f>
        <v/>
      </c>
      <c r="I470" s="18" t="n"/>
      <c r="J470" s="21">
        <f>IF(OR($H470="",$I470=""),"",$H470-$I470)</f>
        <v/>
      </c>
      <c r="K470" s="16">
        <f>IF($H470="","",IFERROR(IF(INDEX(Vinos!$J$2:$J$301,MATCH($B470,Vinos!$A$2:$A$301,0))="","",$H470*INDEX(Vinos!$J$2:$J$301,MATCH($B470,Vinos!$A$2:$A$301,0))),""))</f>
        <v/>
      </c>
      <c r="L470" s="16">
        <f>IF($H470="","",IFERROR(IF(INDEX(Vinos!$K$2:$K$301,MATCH($B470,Vinos!$A$2:$A$301,0))="","",$H470*INDEX(Vinos!$K$2:$K$301,MATCH($B470,Vinos!$A$2:$A$301,0))),""))</f>
        <v/>
      </c>
      <c r="M470" s="21">
        <f>IF(OR($A470="",$B470=""),"",SUMIFS($H$2:$H$2001,$A$2:$A$2001,$A470,$B$2:$B$2001,$B470))</f>
        <v/>
      </c>
      <c r="N470" s="20">
        <f>IF($M470="","",IF($M470&lt;=0,"Sin stock: reponer ya",IF($M470&lt;IFERROR(N(INDEX(Vinos!$N$2:$N$301,MATCH($B470,Vinos!$A$2:$A$301,0))),0),"Bajo mínimo: reponer","OK")))</f>
        <v/>
      </c>
      <c r="O470" s="14" t="n"/>
      <c r="P470" s="14" t="n"/>
      <c r="Q470" s="20">
        <f>IF($B470="","",IFERROR(INDEX(Vinos!$C$2:$C$301,MATCH($B470,Vinos!$A$2:$A$301,0)),""))</f>
        <v/>
      </c>
      <c r="R470" s="20">
        <f>IF(OR($A470="",$A470&lt;&gt;'Resumen del inventario'!$C$3,$N470="",$N470="OK"),"",IF(COUNTIFS($A$2:$A470,$A470,$B$2:$B470,$B470)=1,1,""))</f>
        <v/>
      </c>
      <c r="S470" s="20">
        <f>IF($R470=1,COUNTIF($R$2:$R470,1),"")</f>
        <v/>
      </c>
    </row>
    <row r="471">
      <c r="A471" s="19" t="n"/>
      <c r="B471" s="14" t="n"/>
      <c r="C471" s="20">
        <f>IF($B471="","",IFERROR(INDEX(Vinos!$B$2:$B$301,MATCH($B471,Vinos!$A$2:$A$301,0)),"Código no cargado"))</f>
        <v/>
      </c>
      <c r="D471" s="14" t="n"/>
      <c r="E471" s="14" t="n"/>
      <c r="F471" s="18" t="n"/>
      <c r="G471" s="18" t="n"/>
      <c r="H471" s="21">
        <f>IF(AND($F471="",$G471=""),"",N($F471)*IFERROR(N(INDEX(Vinos!$H$2:$H$301,MATCH($B471,Vinos!$A$2:$A$301,0))),0)+N($G471))</f>
        <v/>
      </c>
      <c r="I471" s="18" t="n"/>
      <c r="J471" s="21">
        <f>IF(OR($H471="",$I471=""),"",$H471-$I471)</f>
        <v/>
      </c>
      <c r="K471" s="16">
        <f>IF($H471="","",IFERROR(IF(INDEX(Vinos!$J$2:$J$301,MATCH($B471,Vinos!$A$2:$A$301,0))="","",$H471*INDEX(Vinos!$J$2:$J$301,MATCH($B471,Vinos!$A$2:$A$301,0))),""))</f>
        <v/>
      </c>
      <c r="L471" s="16">
        <f>IF($H471="","",IFERROR(IF(INDEX(Vinos!$K$2:$K$301,MATCH($B471,Vinos!$A$2:$A$301,0))="","",$H471*INDEX(Vinos!$K$2:$K$301,MATCH($B471,Vinos!$A$2:$A$301,0))),""))</f>
        <v/>
      </c>
      <c r="M471" s="21">
        <f>IF(OR($A471="",$B471=""),"",SUMIFS($H$2:$H$2001,$A$2:$A$2001,$A471,$B$2:$B$2001,$B471))</f>
        <v/>
      </c>
      <c r="N471" s="20">
        <f>IF($M471="","",IF($M471&lt;=0,"Sin stock: reponer ya",IF($M471&lt;IFERROR(N(INDEX(Vinos!$N$2:$N$301,MATCH($B471,Vinos!$A$2:$A$301,0))),0),"Bajo mínimo: reponer","OK")))</f>
        <v/>
      </c>
      <c r="O471" s="14" t="n"/>
      <c r="P471" s="14" t="n"/>
      <c r="Q471" s="20">
        <f>IF($B471="","",IFERROR(INDEX(Vinos!$C$2:$C$301,MATCH($B471,Vinos!$A$2:$A$301,0)),""))</f>
        <v/>
      </c>
      <c r="R471" s="20">
        <f>IF(OR($A471="",$A471&lt;&gt;'Resumen del inventario'!$C$3,$N471="",$N471="OK"),"",IF(COUNTIFS($A$2:$A471,$A471,$B$2:$B471,$B471)=1,1,""))</f>
        <v/>
      </c>
      <c r="S471" s="20">
        <f>IF($R471=1,COUNTIF($R$2:$R471,1),"")</f>
        <v/>
      </c>
    </row>
    <row r="472">
      <c r="A472" s="19" t="n"/>
      <c r="B472" s="14" t="n"/>
      <c r="C472" s="20">
        <f>IF($B472="","",IFERROR(INDEX(Vinos!$B$2:$B$301,MATCH($B472,Vinos!$A$2:$A$301,0)),"Código no cargado"))</f>
        <v/>
      </c>
      <c r="D472" s="14" t="n"/>
      <c r="E472" s="14" t="n"/>
      <c r="F472" s="18" t="n"/>
      <c r="G472" s="18" t="n"/>
      <c r="H472" s="21">
        <f>IF(AND($F472="",$G472=""),"",N($F472)*IFERROR(N(INDEX(Vinos!$H$2:$H$301,MATCH($B472,Vinos!$A$2:$A$301,0))),0)+N($G472))</f>
        <v/>
      </c>
      <c r="I472" s="18" t="n"/>
      <c r="J472" s="21">
        <f>IF(OR($H472="",$I472=""),"",$H472-$I472)</f>
        <v/>
      </c>
      <c r="K472" s="16">
        <f>IF($H472="","",IFERROR(IF(INDEX(Vinos!$J$2:$J$301,MATCH($B472,Vinos!$A$2:$A$301,0))="","",$H472*INDEX(Vinos!$J$2:$J$301,MATCH($B472,Vinos!$A$2:$A$301,0))),""))</f>
        <v/>
      </c>
      <c r="L472" s="16">
        <f>IF($H472="","",IFERROR(IF(INDEX(Vinos!$K$2:$K$301,MATCH($B472,Vinos!$A$2:$A$301,0))="","",$H472*INDEX(Vinos!$K$2:$K$301,MATCH($B472,Vinos!$A$2:$A$301,0))),""))</f>
        <v/>
      </c>
      <c r="M472" s="21">
        <f>IF(OR($A472="",$B472=""),"",SUMIFS($H$2:$H$2001,$A$2:$A$2001,$A472,$B$2:$B$2001,$B472))</f>
        <v/>
      </c>
      <c r="N472" s="20">
        <f>IF($M472="","",IF($M472&lt;=0,"Sin stock: reponer ya",IF($M472&lt;IFERROR(N(INDEX(Vinos!$N$2:$N$301,MATCH($B472,Vinos!$A$2:$A$301,0))),0),"Bajo mínimo: reponer","OK")))</f>
        <v/>
      </c>
      <c r="O472" s="14" t="n"/>
      <c r="P472" s="14" t="n"/>
      <c r="Q472" s="20">
        <f>IF($B472="","",IFERROR(INDEX(Vinos!$C$2:$C$301,MATCH($B472,Vinos!$A$2:$A$301,0)),""))</f>
        <v/>
      </c>
      <c r="R472" s="20">
        <f>IF(OR($A472="",$A472&lt;&gt;'Resumen del inventario'!$C$3,$N472="",$N472="OK"),"",IF(COUNTIFS($A$2:$A472,$A472,$B$2:$B472,$B472)=1,1,""))</f>
        <v/>
      </c>
      <c r="S472" s="20">
        <f>IF($R472=1,COUNTIF($R$2:$R472,1),"")</f>
        <v/>
      </c>
    </row>
    <row r="473">
      <c r="A473" s="19" t="n"/>
      <c r="B473" s="14" t="n"/>
      <c r="C473" s="20">
        <f>IF($B473="","",IFERROR(INDEX(Vinos!$B$2:$B$301,MATCH($B473,Vinos!$A$2:$A$301,0)),"Código no cargado"))</f>
        <v/>
      </c>
      <c r="D473" s="14" t="n"/>
      <c r="E473" s="14" t="n"/>
      <c r="F473" s="18" t="n"/>
      <c r="G473" s="18" t="n"/>
      <c r="H473" s="21">
        <f>IF(AND($F473="",$G473=""),"",N($F473)*IFERROR(N(INDEX(Vinos!$H$2:$H$301,MATCH($B473,Vinos!$A$2:$A$301,0))),0)+N($G473))</f>
        <v/>
      </c>
      <c r="I473" s="18" t="n"/>
      <c r="J473" s="21">
        <f>IF(OR($H473="",$I473=""),"",$H473-$I473)</f>
        <v/>
      </c>
      <c r="K473" s="16">
        <f>IF($H473="","",IFERROR(IF(INDEX(Vinos!$J$2:$J$301,MATCH($B473,Vinos!$A$2:$A$301,0))="","",$H473*INDEX(Vinos!$J$2:$J$301,MATCH($B473,Vinos!$A$2:$A$301,0))),""))</f>
        <v/>
      </c>
      <c r="L473" s="16">
        <f>IF($H473="","",IFERROR(IF(INDEX(Vinos!$K$2:$K$301,MATCH($B473,Vinos!$A$2:$A$301,0))="","",$H473*INDEX(Vinos!$K$2:$K$301,MATCH($B473,Vinos!$A$2:$A$301,0))),""))</f>
        <v/>
      </c>
      <c r="M473" s="21">
        <f>IF(OR($A473="",$B473=""),"",SUMIFS($H$2:$H$2001,$A$2:$A$2001,$A473,$B$2:$B$2001,$B473))</f>
        <v/>
      </c>
      <c r="N473" s="20">
        <f>IF($M473="","",IF($M473&lt;=0,"Sin stock: reponer ya",IF($M473&lt;IFERROR(N(INDEX(Vinos!$N$2:$N$301,MATCH($B473,Vinos!$A$2:$A$301,0))),0),"Bajo mínimo: reponer","OK")))</f>
        <v/>
      </c>
      <c r="O473" s="14" t="n"/>
      <c r="P473" s="14" t="n"/>
      <c r="Q473" s="20">
        <f>IF($B473="","",IFERROR(INDEX(Vinos!$C$2:$C$301,MATCH($B473,Vinos!$A$2:$A$301,0)),""))</f>
        <v/>
      </c>
      <c r="R473" s="20">
        <f>IF(OR($A473="",$A473&lt;&gt;'Resumen del inventario'!$C$3,$N473="",$N473="OK"),"",IF(COUNTIFS($A$2:$A473,$A473,$B$2:$B473,$B473)=1,1,""))</f>
        <v/>
      </c>
      <c r="S473" s="20">
        <f>IF($R473=1,COUNTIF($R$2:$R473,1),"")</f>
        <v/>
      </c>
    </row>
    <row r="474">
      <c r="A474" s="19" t="n"/>
      <c r="B474" s="14" t="n"/>
      <c r="C474" s="20">
        <f>IF($B474="","",IFERROR(INDEX(Vinos!$B$2:$B$301,MATCH($B474,Vinos!$A$2:$A$301,0)),"Código no cargado"))</f>
        <v/>
      </c>
      <c r="D474" s="14" t="n"/>
      <c r="E474" s="14" t="n"/>
      <c r="F474" s="18" t="n"/>
      <c r="G474" s="18" t="n"/>
      <c r="H474" s="21">
        <f>IF(AND($F474="",$G474=""),"",N($F474)*IFERROR(N(INDEX(Vinos!$H$2:$H$301,MATCH($B474,Vinos!$A$2:$A$301,0))),0)+N($G474))</f>
        <v/>
      </c>
      <c r="I474" s="18" t="n"/>
      <c r="J474" s="21">
        <f>IF(OR($H474="",$I474=""),"",$H474-$I474)</f>
        <v/>
      </c>
      <c r="K474" s="16">
        <f>IF($H474="","",IFERROR(IF(INDEX(Vinos!$J$2:$J$301,MATCH($B474,Vinos!$A$2:$A$301,0))="","",$H474*INDEX(Vinos!$J$2:$J$301,MATCH($B474,Vinos!$A$2:$A$301,0))),""))</f>
        <v/>
      </c>
      <c r="L474" s="16">
        <f>IF($H474="","",IFERROR(IF(INDEX(Vinos!$K$2:$K$301,MATCH($B474,Vinos!$A$2:$A$301,0))="","",$H474*INDEX(Vinos!$K$2:$K$301,MATCH($B474,Vinos!$A$2:$A$301,0))),""))</f>
        <v/>
      </c>
      <c r="M474" s="21">
        <f>IF(OR($A474="",$B474=""),"",SUMIFS($H$2:$H$2001,$A$2:$A$2001,$A474,$B$2:$B$2001,$B474))</f>
        <v/>
      </c>
      <c r="N474" s="20">
        <f>IF($M474="","",IF($M474&lt;=0,"Sin stock: reponer ya",IF($M474&lt;IFERROR(N(INDEX(Vinos!$N$2:$N$301,MATCH($B474,Vinos!$A$2:$A$301,0))),0),"Bajo mínimo: reponer","OK")))</f>
        <v/>
      </c>
      <c r="O474" s="14" t="n"/>
      <c r="P474" s="14" t="n"/>
      <c r="Q474" s="20">
        <f>IF($B474="","",IFERROR(INDEX(Vinos!$C$2:$C$301,MATCH($B474,Vinos!$A$2:$A$301,0)),""))</f>
        <v/>
      </c>
      <c r="R474" s="20">
        <f>IF(OR($A474="",$A474&lt;&gt;'Resumen del inventario'!$C$3,$N474="",$N474="OK"),"",IF(COUNTIFS($A$2:$A474,$A474,$B$2:$B474,$B474)=1,1,""))</f>
        <v/>
      </c>
      <c r="S474" s="20">
        <f>IF($R474=1,COUNTIF($R$2:$R474,1),"")</f>
        <v/>
      </c>
    </row>
    <row r="475">
      <c r="A475" s="19" t="n"/>
      <c r="B475" s="14" t="n"/>
      <c r="C475" s="20">
        <f>IF($B475="","",IFERROR(INDEX(Vinos!$B$2:$B$301,MATCH($B475,Vinos!$A$2:$A$301,0)),"Código no cargado"))</f>
        <v/>
      </c>
      <c r="D475" s="14" t="n"/>
      <c r="E475" s="14" t="n"/>
      <c r="F475" s="18" t="n"/>
      <c r="G475" s="18" t="n"/>
      <c r="H475" s="21">
        <f>IF(AND($F475="",$G475=""),"",N($F475)*IFERROR(N(INDEX(Vinos!$H$2:$H$301,MATCH($B475,Vinos!$A$2:$A$301,0))),0)+N($G475))</f>
        <v/>
      </c>
      <c r="I475" s="18" t="n"/>
      <c r="J475" s="21">
        <f>IF(OR($H475="",$I475=""),"",$H475-$I475)</f>
        <v/>
      </c>
      <c r="K475" s="16">
        <f>IF($H475="","",IFERROR(IF(INDEX(Vinos!$J$2:$J$301,MATCH($B475,Vinos!$A$2:$A$301,0))="","",$H475*INDEX(Vinos!$J$2:$J$301,MATCH($B475,Vinos!$A$2:$A$301,0))),""))</f>
        <v/>
      </c>
      <c r="L475" s="16">
        <f>IF($H475="","",IFERROR(IF(INDEX(Vinos!$K$2:$K$301,MATCH($B475,Vinos!$A$2:$A$301,0))="","",$H475*INDEX(Vinos!$K$2:$K$301,MATCH($B475,Vinos!$A$2:$A$301,0))),""))</f>
        <v/>
      </c>
      <c r="M475" s="21">
        <f>IF(OR($A475="",$B475=""),"",SUMIFS($H$2:$H$2001,$A$2:$A$2001,$A475,$B$2:$B$2001,$B475))</f>
        <v/>
      </c>
      <c r="N475" s="20">
        <f>IF($M475="","",IF($M475&lt;=0,"Sin stock: reponer ya",IF($M475&lt;IFERROR(N(INDEX(Vinos!$N$2:$N$301,MATCH($B475,Vinos!$A$2:$A$301,0))),0),"Bajo mínimo: reponer","OK")))</f>
        <v/>
      </c>
      <c r="O475" s="14" t="n"/>
      <c r="P475" s="14" t="n"/>
      <c r="Q475" s="20">
        <f>IF($B475="","",IFERROR(INDEX(Vinos!$C$2:$C$301,MATCH($B475,Vinos!$A$2:$A$301,0)),""))</f>
        <v/>
      </c>
      <c r="R475" s="20">
        <f>IF(OR($A475="",$A475&lt;&gt;'Resumen del inventario'!$C$3,$N475="",$N475="OK"),"",IF(COUNTIFS($A$2:$A475,$A475,$B$2:$B475,$B475)=1,1,""))</f>
        <v/>
      </c>
      <c r="S475" s="20">
        <f>IF($R475=1,COUNTIF($R$2:$R475,1),"")</f>
        <v/>
      </c>
    </row>
    <row r="476">
      <c r="A476" s="19" t="n"/>
      <c r="B476" s="14" t="n"/>
      <c r="C476" s="20">
        <f>IF($B476="","",IFERROR(INDEX(Vinos!$B$2:$B$301,MATCH($B476,Vinos!$A$2:$A$301,0)),"Código no cargado"))</f>
        <v/>
      </c>
      <c r="D476" s="14" t="n"/>
      <c r="E476" s="14" t="n"/>
      <c r="F476" s="18" t="n"/>
      <c r="G476" s="18" t="n"/>
      <c r="H476" s="21">
        <f>IF(AND($F476="",$G476=""),"",N($F476)*IFERROR(N(INDEX(Vinos!$H$2:$H$301,MATCH($B476,Vinos!$A$2:$A$301,0))),0)+N($G476))</f>
        <v/>
      </c>
      <c r="I476" s="18" t="n"/>
      <c r="J476" s="21">
        <f>IF(OR($H476="",$I476=""),"",$H476-$I476)</f>
        <v/>
      </c>
      <c r="K476" s="16">
        <f>IF($H476="","",IFERROR(IF(INDEX(Vinos!$J$2:$J$301,MATCH($B476,Vinos!$A$2:$A$301,0))="","",$H476*INDEX(Vinos!$J$2:$J$301,MATCH($B476,Vinos!$A$2:$A$301,0))),""))</f>
        <v/>
      </c>
      <c r="L476" s="16">
        <f>IF($H476="","",IFERROR(IF(INDEX(Vinos!$K$2:$K$301,MATCH($B476,Vinos!$A$2:$A$301,0))="","",$H476*INDEX(Vinos!$K$2:$K$301,MATCH($B476,Vinos!$A$2:$A$301,0))),""))</f>
        <v/>
      </c>
      <c r="M476" s="21">
        <f>IF(OR($A476="",$B476=""),"",SUMIFS($H$2:$H$2001,$A$2:$A$2001,$A476,$B$2:$B$2001,$B476))</f>
        <v/>
      </c>
      <c r="N476" s="20">
        <f>IF($M476="","",IF($M476&lt;=0,"Sin stock: reponer ya",IF($M476&lt;IFERROR(N(INDEX(Vinos!$N$2:$N$301,MATCH($B476,Vinos!$A$2:$A$301,0))),0),"Bajo mínimo: reponer","OK")))</f>
        <v/>
      </c>
      <c r="O476" s="14" t="n"/>
      <c r="P476" s="14" t="n"/>
      <c r="Q476" s="20">
        <f>IF($B476="","",IFERROR(INDEX(Vinos!$C$2:$C$301,MATCH($B476,Vinos!$A$2:$A$301,0)),""))</f>
        <v/>
      </c>
      <c r="R476" s="20">
        <f>IF(OR($A476="",$A476&lt;&gt;'Resumen del inventario'!$C$3,$N476="",$N476="OK"),"",IF(COUNTIFS($A$2:$A476,$A476,$B$2:$B476,$B476)=1,1,""))</f>
        <v/>
      </c>
      <c r="S476" s="20">
        <f>IF($R476=1,COUNTIF($R$2:$R476,1),"")</f>
        <v/>
      </c>
    </row>
    <row r="477">
      <c r="A477" s="19" t="n"/>
      <c r="B477" s="14" t="n"/>
      <c r="C477" s="20">
        <f>IF($B477="","",IFERROR(INDEX(Vinos!$B$2:$B$301,MATCH($B477,Vinos!$A$2:$A$301,0)),"Código no cargado"))</f>
        <v/>
      </c>
      <c r="D477" s="14" t="n"/>
      <c r="E477" s="14" t="n"/>
      <c r="F477" s="18" t="n"/>
      <c r="G477" s="18" t="n"/>
      <c r="H477" s="21">
        <f>IF(AND($F477="",$G477=""),"",N($F477)*IFERROR(N(INDEX(Vinos!$H$2:$H$301,MATCH($B477,Vinos!$A$2:$A$301,0))),0)+N($G477))</f>
        <v/>
      </c>
      <c r="I477" s="18" t="n"/>
      <c r="J477" s="21">
        <f>IF(OR($H477="",$I477=""),"",$H477-$I477)</f>
        <v/>
      </c>
      <c r="K477" s="16">
        <f>IF($H477="","",IFERROR(IF(INDEX(Vinos!$J$2:$J$301,MATCH($B477,Vinos!$A$2:$A$301,0))="","",$H477*INDEX(Vinos!$J$2:$J$301,MATCH($B477,Vinos!$A$2:$A$301,0))),""))</f>
        <v/>
      </c>
      <c r="L477" s="16">
        <f>IF($H477="","",IFERROR(IF(INDEX(Vinos!$K$2:$K$301,MATCH($B477,Vinos!$A$2:$A$301,0))="","",$H477*INDEX(Vinos!$K$2:$K$301,MATCH($B477,Vinos!$A$2:$A$301,0))),""))</f>
        <v/>
      </c>
      <c r="M477" s="21">
        <f>IF(OR($A477="",$B477=""),"",SUMIFS($H$2:$H$2001,$A$2:$A$2001,$A477,$B$2:$B$2001,$B477))</f>
        <v/>
      </c>
      <c r="N477" s="20">
        <f>IF($M477="","",IF($M477&lt;=0,"Sin stock: reponer ya",IF($M477&lt;IFERROR(N(INDEX(Vinos!$N$2:$N$301,MATCH($B477,Vinos!$A$2:$A$301,0))),0),"Bajo mínimo: reponer","OK")))</f>
        <v/>
      </c>
      <c r="O477" s="14" t="n"/>
      <c r="P477" s="14" t="n"/>
      <c r="Q477" s="20">
        <f>IF($B477="","",IFERROR(INDEX(Vinos!$C$2:$C$301,MATCH($B477,Vinos!$A$2:$A$301,0)),""))</f>
        <v/>
      </c>
      <c r="R477" s="20">
        <f>IF(OR($A477="",$A477&lt;&gt;'Resumen del inventario'!$C$3,$N477="",$N477="OK"),"",IF(COUNTIFS($A$2:$A477,$A477,$B$2:$B477,$B477)=1,1,""))</f>
        <v/>
      </c>
      <c r="S477" s="20">
        <f>IF($R477=1,COUNTIF($R$2:$R477,1),"")</f>
        <v/>
      </c>
    </row>
    <row r="478">
      <c r="A478" s="19" t="n"/>
      <c r="B478" s="14" t="n"/>
      <c r="C478" s="20">
        <f>IF($B478="","",IFERROR(INDEX(Vinos!$B$2:$B$301,MATCH($B478,Vinos!$A$2:$A$301,0)),"Código no cargado"))</f>
        <v/>
      </c>
      <c r="D478" s="14" t="n"/>
      <c r="E478" s="14" t="n"/>
      <c r="F478" s="18" t="n"/>
      <c r="G478" s="18" t="n"/>
      <c r="H478" s="21">
        <f>IF(AND($F478="",$G478=""),"",N($F478)*IFERROR(N(INDEX(Vinos!$H$2:$H$301,MATCH($B478,Vinos!$A$2:$A$301,0))),0)+N($G478))</f>
        <v/>
      </c>
      <c r="I478" s="18" t="n"/>
      <c r="J478" s="21">
        <f>IF(OR($H478="",$I478=""),"",$H478-$I478)</f>
        <v/>
      </c>
      <c r="K478" s="16">
        <f>IF($H478="","",IFERROR(IF(INDEX(Vinos!$J$2:$J$301,MATCH($B478,Vinos!$A$2:$A$301,0))="","",$H478*INDEX(Vinos!$J$2:$J$301,MATCH($B478,Vinos!$A$2:$A$301,0))),""))</f>
        <v/>
      </c>
      <c r="L478" s="16">
        <f>IF($H478="","",IFERROR(IF(INDEX(Vinos!$K$2:$K$301,MATCH($B478,Vinos!$A$2:$A$301,0))="","",$H478*INDEX(Vinos!$K$2:$K$301,MATCH($B478,Vinos!$A$2:$A$301,0))),""))</f>
        <v/>
      </c>
      <c r="M478" s="21">
        <f>IF(OR($A478="",$B478=""),"",SUMIFS($H$2:$H$2001,$A$2:$A$2001,$A478,$B$2:$B$2001,$B478))</f>
        <v/>
      </c>
      <c r="N478" s="20">
        <f>IF($M478="","",IF($M478&lt;=0,"Sin stock: reponer ya",IF($M478&lt;IFERROR(N(INDEX(Vinos!$N$2:$N$301,MATCH($B478,Vinos!$A$2:$A$301,0))),0),"Bajo mínimo: reponer","OK")))</f>
        <v/>
      </c>
      <c r="O478" s="14" t="n"/>
      <c r="P478" s="14" t="n"/>
      <c r="Q478" s="20">
        <f>IF($B478="","",IFERROR(INDEX(Vinos!$C$2:$C$301,MATCH($B478,Vinos!$A$2:$A$301,0)),""))</f>
        <v/>
      </c>
      <c r="R478" s="20">
        <f>IF(OR($A478="",$A478&lt;&gt;'Resumen del inventario'!$C$3,$N478="",$N478="OK"),"",IF(COUNTIFS($A$2:$A478,$A478,$B$2:$B478,$B478)=1,1,""))</f>
        <v/>
      </c>
      <c r="S478" s="20">
        <f>IF($R478=1,COUNTIF($R$2:$R478,1),"")</f>
        <v/>
      </c>
    </row>
    <row r="479">
      <c r="A479" s="19" t="n"/>
      <c r="B479" s="14" t="n"/>
      <c r="C479" s="20">
        <f>IF($B479="","",IFERROR(INDEX(Vinos!$B$2:$B$301,MATCH($B479,Vinos!$A$2:$A$301,0)),"Código no cargado"))</f>
        <v/>
      </c>
      <c r="D479" s="14" t="n"/>
      <c r="E479" s="14" t="n"/>
      <c r="F479" s="18" t="n"/>
      <c r="G479" s="18" t="n"/>
      <c r="H479" s="21">
        <f>IF(AND($F479="",$G479=""),"",N($F479)*IFERROR(N(INDEX(Vinos!$H$2:$H$301,MATCH($B479,Vinos!$A$2:$A$301,0))),0)+N($G479))</f>
        <v/>
      </c>
      <c r="I479" s="18" t="n"/>
      <c r="J479" s="21">
        <f>IF(OR($H479="",$I479=""),"",$H479-$I479)</f>
        <v/>
      </c>
      <c r="K479" s="16">
        <f>IF($H479="","",IFERROR(IF(INDEX(Vinos!$J$2:$J$301,MATCH($B479,Vinos!$A$2:$A$301,0))="","",$H479*INDEX(Vinos!$J$2:$J$301,MATCH($B479,Vinos!$A$2:$A$301,0))),""))</f>
        <v/>
      </c>
      <c r="L479" s="16">
        <f>IF($H479="","",IFERROR(IF(INDEX(Vinos!$K$2:$K$301,MATCH($B479,Vinos!$A$2:$A$301,0))="","",$H479*INDEX(Vinos!$K$2:$K$301,MATCH($B479,Vinos!$A$2:$A$301,0))),""))</f>
        <v/>
      </c>
      <c r="M479" s="21">
        <f>IF(OR($A479="",$B479=""),"",SUMIFS($H$2:$H$2001,$A$2:$A$2001,$A479,$B$2:$B$2001,$B479))</f>
        <v/>
      </c>
      <c r="N479" s="20">
        <f>IF($M479="","",IF($M479&lt;=0,"Sin stock: reponer ya",IF($M479&lt;IFERROR(N(INDEX(Vinos!$N$2:$N$301,MATCH($B479,Vinos!$A$2:$A$301,0))),0),"Bajo mínimo: reponer","OK")))</f>
        <v/>
      </c>
      <c r="O479" s="14" t="n"/>
      <c r="P479" s="14" t="n"/>
      <c r="Q479" s="20">
        <f>IF($B479="","",IFERROR(INDEX(Vinos!$C$2:$C$301,MATCH($B479,Vinos!$A$2:$A$301,0)),""))</f>
        <v/>
      </c>
      <c r="R479" s="20">
        <f>IF(OR($A479="",$A479&lt;&gt;'Resumen del inventario'!$C$3,$N479="",$N479="OK"),"",IF(COUNTIFS($A$2:$A479,$A479,$B$2:$B479,$B479)=1,1,""))</f>
        <v/>
      </c>
      <c r="S479" s="20">
        <f>IF($R479=1,COUNTIF($R$2:$R479,1),"")</f>
        <v/>
      </c>
    </row>
    <row r="480">
      <c r="A480" s="19" t="n"/>
      <c r="B480" s="14" t="n"/>
      <c r="C480" s="20">
        <f>IF($B480="","",IFERROR(INDEX(Vinos!$B$2:$B$301,MATCH($B480,Vinos!$A$2:$A$301,0)),"Código no cargado"))</f>
        <v/>
      </c>
      <c r="D480" s="14" t="n"/>
      <c r="E480" s="14" t="n"/>
      <c r="F480" s="18" t="n"/>
      <c r="G480" s="18" t="n"/>
      <c r="H480" s="21">
        <f>IF(AND($F480="",$G480=""),"",N($F480)*IFERROR(N(INDEX(Vinos!$H$2:$H$301,MATCH($B480,Vinos!$A$2:$A$301,0))),0)+N($G480))</f>
        <v/>
      </c>
      <c r="I480" s="18" t="n"/>
      <c r="J480" s="21">
        <f>IF(OR($H480="",$I480=""),"",$H480-$I480)</f>
        <v/>
      </c>
      <c r="K480" s="16">
        <f>IF($H480="","",IFERROR(IF(INDEX(Vinos!$J$2:$J$301,MATCH($B480,Vinos!$A$2:$A$301,0))="","",$H480*INDEX(Vinos!$J$2:$J$301,MATCH($B480,Vinos!$A$2:$A$301,0))),""))</f>
        <v/>
      </c>
      <c r="L480" s="16">
        <f>IF($H480="","",IFERROR(IF(INDEX(Vinos!$K$2:$K$301,MATCH($B480,Vinos!$A$2:$A$301,0))="","",$H480*INDEX(Vinos!$K$2:$K$301,MATCH($B480,Vinos!$A$2:$A$301,0))),""))</f>
        <v/>
      </c>
      <c r="M480" s="21">
        <f>IF(OR($A480="",$B480=""),"",SUMIFS($H$2:$H$2001,$A$2:$A$2001,$A480,$B$2:$B$2001,$B480))</f>
        <v/>
      </c>
      <c r="N480" s="20">
        <f>IF($M480="","",IF($M480&lt;=0,"Sin stock: reponer ya",IF($M480&lt;IFERROR(N(INDEX(Vinos!$N$2:$N$301,MATCH($B480,Vinos!$A$2:$A$301,0))),0),"Bajo mínimo: reponer","OK")))</f>
        <v/>
      </c>
      <c r="O480" s="14" t="n"/>
      <c r="P480" s="14" t="n"/>
      <c r="Q480" s="20">
        <f>IF($B480="","",IFERROR(INDEX(Vinos!$C$2:$C$301,MATCH($B480,Vinos!$A$2:$A$301,0)),""))</f>
        <v/>
      </c>
      <c r="R480" s="20">
        <f>IF(OR($A480="",$A480&lt;&gt;'Resumen del inventario'!$C$3,$N480="",$N480="OK"),"",IF(COUNTIFS($A$2:$A480,$A480,$B$2:$B480,$B480)=1,1,""))</f>
        <v/>
      </c>
      <c r="S480" s="20">
        <f>IF($R480=1,COUNTIF($R$2:$R480,1),"")</f>
        <v/>
      </c>
    </row>
    <row r="481">
      <c r="A481" s="19" t="n"/>
      <c r="B481" s="14" t="n"/>
      <c r="C481" s="20">
        <f>IF($B481="","",IFERROR(INDEX(Vinos!$B$2:$B$301,MATCH($B481,Vinos!$A$2:$A$301,0)),"Código no cargado"))</f>
        <v/>
      </c>
      <c r="D481" s="14" t="n"/>
      <c r="E481" s="14" t="n"/>
      <c r="F481" s="18" t="n"/>
      <c r="G481" s="18" t="n"/>
      <c r="H481" s="21">
        <f>IF(AND($F481="",$G481=""),"",N($F481)*IFERROR(N(INDEX(Vinos!$H$2:$H$301,MATCH($B481,Vinos!$A$2:$A$301,0))),0)+N($G481))</f>
        <v/>
      </c>
      <c r="I481" s="18" t="n"/>
      <c r="J481" s="21">
        <f>IF(OR($H481="",$I481=""),"",$H481-$I481)</f>
        <v/>
      </c>
      <c r="K481" s="16">
        <f>IF($H481="","",IFERROR(IF(INDEX(Vinos!$J$2:$J$301,MATCH($B481,Vinos!$A$2:$A$301,0))="","",$H481*INDEX(Vinos!$J$2:$J$301,MATCH($B481,Vinos!$A$2:$A$301,0))),""))</f>
        <v/>
      </c>
      <c r="L481" s="16">
        <f>IF($H481="","",IFERROR(IF(INDEX(Vinos!$K$2:$K$301,MATCH($B481,Vinos!$A$2:$A$301,0))="","",$H481*INDEX(Vinos!$K$2:$K$301,MATCH($B481,Vinos!$A$2:$A$301,0))),""))</f>
        <v/>
      </c>
      <c r="M481" s="21">
        <f>IF(OR($A481="",$B481=""),"",SUMIFS($H$2:$H$2001,$A$2:$A$2001,$A481,$B$2:$B$2001,$B481))</f>
        <v/>
      </c>
      <c r="N481" s="20">
        <f>IF($M481="","",IF($M481&lt;=0,"Sin stock: reponer ya",IF($M481&lt;IFERROR(N(INDEX(Vinos!$N$2:$N$301,MATCH($B481,Vinos!$A$2:$A$301,0))),0),"Bajo mínimo: reponer","OK")))</f>
        <v/>
      </c>
      <c r="O481" s="14" t="n"/>
      <c r="P481" s="14" t="n"/>
      <c r="Q481" s="20">
        <f>IF($B481="","",IFERROR(INDEX(Vinos!$C$2:$C$301,MATCH($B481,Vinos!$A$2:$A$301,0)),""))</f>
        <v/>
      </c>
      <c r="R481" s="20">
        <f>IF(OR($A481="",$A481&lt;&gt;'Resumen del inventario'!$C$3,$N481="",$N481="OK"),"",IF(COUNTIFS($A$2:$A481,$A481,$B$2:$B481,$B481)=1,1,""))</f>
        <v/>
      </c>
      <c r="S481" s="20">
        <f>IF($R481=1,COUNTIF($R$2:$R481,1),"")</f>
        <v/>
      </c>
    </row>
    <row r="482">
      <c r="A482" s="19" t="n"/>
      <c r="B482" s="14" t="n"/>
      <c r="C482" s="20">
        <f>IF($B482="","",IFERROR(INDEX(Vinos!$B$2:$B$301,MATCH($B482,Vinos!$A$2:$A$301,0)),"Código no cargado"))</f>
        <v/>
      </c>
      <c r="D482" s="14" t="n"/>
      <c r="E482" s="14" t="n"/>
      <c r="F482" s="18" t="n"/>
      <c r="G482" s="18" t="n"/>
      <c r="H482" s="21">
        <f>IF(AND($F482="",$G482=""),"",N($F482)*IFERROR(N(INDEX(Vinos!$H$2:$H$301,MATCH($B482,Vinos!$A$2:$A$301,0))),0)+N($G482))</f>
        <v/>
      </c>
      <c r="I482" s="18" t="n"/>
      <c r="J482" s="21">
        <f>IF(OR($H482="",$I482=""),"",$H482-$I482)</f>
        <v/>
      </c>
      <c r="K482" s="16">
        <f>IF($H482="","",IFERROR(IF(INDEX(Vinos!$J$2:$J$301,MATCH($B482,Vinos!$A$2:$A$301,0))="","",$H482*INDEX(Vinos!$J$2:$J$301,MATCH($B482,Vinos!$A$2:$A$301,0))),""))</f>
        <v/>
      </c>
      <c r="L482" s="16">
        <f>IF($H482="","",IFERROR(IF(INDEX(Vinos!$K$2:$K$301,MATCH($B482,Vinos!$A$2:$A$301,0))="","",$H482*INDEX(Vinos!$K$2:$K$301,MATCH($B482,Vinos!$A$2:$A$301,0))),""))</f>
        <v/>
      </c>
      <c r="M482" s="21">
        <f>IF(OR($A482="",$B482=""),"",SUMIFS($H$2:$H$2001,$A$2:$A$2001,$A482,$B$2:$B$2001,$B482))</f>
        <v/>
      </c>
      <c r="N482" s="20">
        <f>IF($M482="","",IF($M482&lt;=0,"Sin stock: reponer ya",IF($M482&lt;IFERROR(N(INDEX(Vinos!$N$2:$N$301,MATCH($B482,Vinos!$A$2:$A$301,0))),0),"Bajo mínimo: reponer","OK")))</f>
        <v/>
      </c>
      <c r="O482" s="14" t="n"/>
      <c r="P482" s="14" t="n"/>
      <c r="Q482" s="20">
        <f>IF($B482="","",IFERROR(INDEX(Vinos!$C$2:$C$301,MATCH($B482,Vinos!$A$2:$A$301,0)),""))</f>
        <v/>
      </c>
      <c r="R482" s="20">
        <f>IF(OR($A482="",$A482&lt;&gt;'Resumen del inventario'!$C$3,$N482="",$N482="OK"),"",IF(COUNTIFS($A$2:$A482,$A482,$B$2:$B482,$B482)=1,1,""))</f>
        <v/>
      </c>
      <c r="S482" s="20">
        <f>IF($R482=1,COUNTIF($R$2:$R482,1),"")</f>
        <v/>
      </c>
    </row>
    <row r="483">
      <c r="A483" s="19" t="n"/>
      <c r="B483" s="14" t="n"/>
      <c r="C483" s="20">
        <f>IF($B483="","",IFERROR(INDEX(Vinos!$B$2:$B$301,MATCH($B483,Vinos!$A$2:$A$301,0)),"Código no cargado"))</f>
        <v/>
      </c>
      <c r="D483" s="14" t="n"/>
      <c r="E483" s="14" t="n"/>
      <c r="F483" s="18" t="n"/>
      <c r="G483" s="18" t="n"/>
      <c r="H483" s="21">
        <f>IF(AND($F483="",$G483=""),"",N($F483)*IFERROR(N(INDEX(Vinos!$H$2:$H$301,MATCH($B483,Vinos!$A$2:$A$301,0))),0)+N($G483))</f>
        <v/>
      </c>
      <c r="I483" s="18" t="n"/>
      <c r="J483" s="21">
        <f>IF(OR($H483="",$I483=""),"",$H483-$I483)</f>
        <v/>
      </c>
      <c r="K483" s="16">
        <f>IF($H483="","",IFERROR(IF(INDEX(Vinos!$J$2:$J$301,MATCH($B483,Vinos!$A$2:$A$301,0))="","",$H483*INDEX(Vinos!$J$2:$J$301,MATCH($B483,Vinos!$A$2:$A$301,0))),""))</f>
        <v/>
      </c>
      <c r="L483" s="16">
        <f>IF($H483="","",IFERROR(IF(INDEX(Vinos!$K$2:$K$301,MATCH($B483,Vinos!$A$2:$A$301,0))="","",$H483*INDEX(Vinos!$K$2:$K$301,MATCH($B483,Vinos!$A$2:$A$301,0))),""))</f>
        <v/>
      </c>
      <c r="M483" s="21">
        <f>IF(OR($A483="",$B483=""),"",SUMIFS($H$2:$H$2001,$A$2:$A$2001,$A483,$B$2:$B$2001,$B483))</f>
        <v/>
      </c>
      <c r="N483" s="20">
        <f>IF($M483="","",IF($M483&lt;=0,"Sin stock: reponer ya",IF($M483&lt;IFERROR(N(INDEX(Vinos!$N$2:$N$301,MATCH($B483,Vinos!$A$2:$A$301,0))),0),"Bajo mínimo: reponer","OK")))</f>
        <v/>
      </c>
      <c r="O483" s="14" t="n"/>
      <c r="P483" s="14" t="n"/>
      <c r="Q483" s="20">
        <f>IF($B483="","",IFERROR(INDEX(Vinos!$C$2:$C$301,MATCH($B483,Vinos!$A$2:$A$301,0)),""))</f>
        <v/>
      </c>
      <c r="R483" s="20">
        <f>IF(OR($A483="",$A483&lt;&gt;'Resumen del inventario'!$C$3,$N483="",$N483="OK"),"",IF(COUNTIFS($A$2:$A483,$A483,$B$2:$B483,$B483)=1,1,""))</f>
        <v/>
      </c>
      <c r="S483" s="20">
        <f>IF($R483=1,COUNTIF($R$2:$R483,1),"")</f>
        <v/>
      </c>
    </row>
    <row r="484">
      <c r="A484" s="19" t="n"/>
      <c r="B484" s="14" t="n"/>
      <c r="C484" s="20">
        <f>IF($B484="","",IFERROR(INDEX(Vinos!$B$2:$B$301,MATCH($B484,Vinos!$A$2:$A$301,0)),"Código no cargado"))</f>
        <v/>
      </c>
      <c r="D484" s="14" t="n"/>
      <c r="E484" s="14" t="n"/>
      <c r="F484" s="18" t="n"/>
      <c r="G484" s="18" t="n"/>
      <c r="H484" s="21">
        <f>IF(AND($F484="",$G484=""),"",N($F484)*IFERROR(N(INDEX(Vinos!$H$2:$H$301,MATCH($B484,Vinos!$A$2:$A$301,0))),0)+N($G484))</f>
        <v/>
      </c>
      <c r="I484" s="18" t="n"/>
      <c r="J484" s="21">
        <f>IF(OR($H484="",$I484=""),"",$H484-$I484)</f>
        <v/>
      </c>
      <c r="K484" s="16">
        <f>IF($H484="","",IFERROR(IF(INDEX(Vinos!$J$2:$J$301,MATCH($B484,Vinos!$A$2:$A$301,0))="","",$H484*INDEX(Vinos!$J$2:$J$301,MATCH($B484,Vinos!$A$2:$A$301,0))),""))</f>
        <v/>
      </c>
      <c r="L484" s="16">
        <f>IF($H484="","",IFERROR(IF(INDEX(Vinos!$K$2:$K$301,MATCH($B484,Vinos!$A$2:$A$301,0))="","",$H484*INDEX(Vinos!$K$2:$K$301,MATCH($B484,Vinos!$A$2:$A$301,0))),""))</f>
        <v/>
      </c>
      <c r="M484" s="21">
        <f>IF(OR($A484="",$B484=""),"",SUMIFS($H$2:$H$2001,$A$2:$A$2001,$A484,$B$2:$B$2001,$B484))</f>
        <v/>
      </c>
      <c r="N484" s="20">
        <f>IF($M484="","",IF($M484&lt;=0,"Sin stock: reponer ya",IF($M484&lt;IFERROR(N(INDEX(Vinos!$N$2:$N$301,MATCH($B484,Vinos!$A$2:$A$301,0))),0),"Bajo mínimo: reponer","OK")))</f>
        <v/>
      </c>
      <c r="O484" s="14" t="n"/>
      <c r="P484" s="14" t="n"/>
      <c r="Q484" s="20">
        <f>IF($B484="","",IFERROR(INDEX(Vinos!$C$2:$C$301,MATCH($B484,Vinos!$A$2:$A$301,0)),""))</f>
        <v/>
      </c>
      <c r="R484" s="20">
        <f>IF(OR($A484="",$A484&lt;&gt;'Resumen del inventario'!$C$3,$N484="",$N484="OK"),"",IF(COUNTIFS($A$2:$A484,$A484,$B$2:$B484,$B484)=1,1,""))</f>
        <v/>
      </c>
      <c r="S484" s="20">
        <f>IF($R484=1,COUNTIF($R$2:$R484,1),"")</f>
        <v/>
      </c>
    </row>
    <row r="485">
      <c r="A485" s="19" t="n"/>
      <c r="B485" s="14" t="n"/>
      <c r="C485" s="20">
        <f>IF($B485="","",IFERROR(INDEX(Vinos!$B$2:$B$301,MATCH($B485,Vinos!$A$2:$A$301,0)),"Código no cargado"))</f>
        <v/>
      </c>
      <c r="D485" s="14" t="n"/>
      <c r="E485" s="14" t="n"/>
      <c r="F485" s="18" t="n"/>
      <c r="G485" s="18" t="n"/>
      <c r="H485" s="21">
        <f>IF(AND($F485="",$G485=""),"",N($F485)*IFERROR(N(INDEX(Vinos!$H$2:$H$301,MATCH($B485,Vinos!$A$2:$A$301,0))),0)+N($G485))</f>
        <v/>
      </c>
      <c r="I485" s="18" t="n"/>
      <c r="J485" s="21">
        <f>IF(OR($H485="",$I485=""),"",$H485-$I485)</f>
        <v/>
      </c>
      <c r="K485" s="16">
        <f>IF($H485="","",IFERROR(IF(INDEX(Vinos!$J$2:$J$301,MATCH($B485,Vinos!$A$2:$A$301,0))="","",$H485*INDEX(Vinos!$J$2:$J$301,MATCH($B485,Vinos!$A$2:$A$301,0))),""))</f>
        <v/>
      </c>
      <c r="L485" s="16">
        <f>IF($H485="","",IFERROR(IF(INDEX(Vinos!$K$2:$K$301,MATCH($B485,Vinos!$A$2:$A$301,0))="","",$H485*INDEX(Vinos!$K$2:$K$301,MATCH($B485,Vinos!$A$2:$A$301,0))),""))</f>
        <v/>
      </c>
      <c r="M485" s="21">
        <f>IF(OR($A485="",$B485=""),"",SUMIFS($H$2:$H$2001,$A$2:$A$2001,$A485,$B$2:$B$2001,$B485))</f>
        <v/>
      </c>
      <c r="N485" s="20">
        <f>IF($M485="","",IF($M485&lt;=0,"Sin stock: reponer ya",IF($M485&lt;IFERROR(N(INDEX(Vinos!$N$2:$N$301,MATCH($B485,Vinos!$A$2:$A$301,0))),0),"Bajo mínimo: reponer","OK")))</f>
        <v/>
      </c>
      <c r="O485" s="14" t="n"/>
      <c r="P485" s="14" t="n"/>
      <c r="Q485" s="20">
        <f>IF($B485="","",IFERROR(INDEX(Vinos!$C$2:$C$301,MATCH($B485,Vinos!$A$2:$A$301,0)),""))</f>
        <v/>
      </c>
      <c r="R485" s="20">
        <f>IF(OR($A485="",$A485&lt;&gt;'Resumen del inventario'!$C$3,$N485="",$N485="OK"),"",IF(COUNTIFS($A$2:$A485,$A485,$B$2:$B485,$B485)=1,1,""))</f>
        <v/>
      </c>
      <c r="S485" s="20">
        <f>IF($R485=1,COUNTIF($R$2:$R485,1),"")</f>
        <v/>
      </c>
    </row>
    <row r="486">
      <c r="A486" s="19" t="n"/>
      <c r="B486" s="14" t="n"/>
      <c r="C486" s="20">
        <f>IF($B486="","",IFERROR(INDEX(Vinos!$B$2:$B$301,MATCH($B486,Vinos!$A$2:$A$301,0)),"Código no cargado"))</f>
        <v/>
      </c>
      <c r="D486" s="14" t="n"/>
      <c r="E486" s="14" t="n"/>
      <c r="F486" s="18" t="n"/>
      <c r="G486" s="18" t="n"/>
      <c r="H486" s="21">
        <f>IF(AND($F486="",$G486=""),"",N($F486)*IFERROR(N(INDEX(Vinos!$H$2:$H$301,MATCH($B486,Vinos!$A$2:$A$301,0))),0)+N($G486))</f>
        <v/>
      </c>
      <c r="I486" s="18" t="n"/>
      <c r="J486" s="21">
        <f>IF(OR($H486="",$I486=""),"",$H486-$I486)</f>
        <v/>
      </c>
      <c r="K486" s="16">
        <f>IF($H486="","",IFERROR(IF(INDEX(Vinos!$J$2:$J$301,MATCH($B486,Vinos!$A$2:$A$301,0))="","",$H486*INDEX(Vinos!$J$2:$J$301,MATCH($B486,Vinos!$A$2:$A$301,0))),""))</f>
        <v/>
      </c>
      <c r="L486" s="16">
        <f>IF($H486="","",IFERROR(IF(INDEX(Vinos!$K$2:$K$301,MATCH($B486,Vinos!$A$2:$A$301,0))="","",$H486*INDEX(Vinos!$K$2:$K$301,MATCH($B486,Vinos!$A$2:$A$301,0))),""))</f>
        <v/>
      </c>
      <c r="M486" s="21">
        <f>IF(OR($A486="",$B486=""),"",SUMIFS($H$2:$H$2001,$A$2:$A$2001,$A486,$B$2:$B$2001,$B486))</f>
        <v/>
      </c>
      <c r="N486" s="20">
        <f>IF($M486="","",IF($M486&lt;=0,"Sin stock: reponer ya",IF($M486&lt;IFERROR(N(INDEX(Vinos!$N$2:$N$301,MATCH($B486,Vinos!$A$2:$A$301,0))),0),"Bajo mínimo: reponer","OK")))</f>
        <v/>
      </c>
      <c r="O486" s="14" t="n"/>
      <c r="P486" s="14" t="n"/>
      <c r="Q486" s="20">
        <f>IF($B486="","",IFERROR(INDEX(Vinos!$C$2:$C$301,MATCH($B486,Vinos!$A$2:$A$301,0)),""))</f>
        <v/>
      </c>
      <c r="R486" s="20">
        <f>IF(OR($A486="",$A486&lt;&gt;'Resumen del inventario'!$C$3,$N486="",$N486="OK"),"",IF(COUNTIFS($A$2:$A486,$A486,$B$2:$B486,$B486)=1,1,""))</f>
        <v/>
      </c>
      <c r="S486" s="20">
        <f>IF($R486=1,COUNTIF($R$2:$R486,1),"")</f>
        <v/>
      </c>
    </row>
    <row r="487">
      <c r="A487" s="19" t="n"/>
      <c r="B487" s="14" t="n"/>
      <c r="C487" s="20">
        <f>IF($B487="","",IFERROR(INDEX(Vinos!$B$2:$B$301,MATCH($B487,Vinos!$A$2:$A$301,0)),"Código no cargado"))</f>
        <v/>
      </c>
      <c r="D487" s="14" t="n"/>
      <c r="E487" s="14" t="n"/>
      <c r="F487" s="18" t="n"/>
      <c r="G487" s="18" t="n"/>
      <c r="H487" s="21">
        <f>IF(AND($F487="",$G487=""),"",N($F487)*IFERROR(N(INDEX(Vinos!$H$2:$H$301,MATCH($B487,Vinos!$A$2:$A$301,0))),0)+N($G487))</f>
        <v/>
      </c>
      <c r="I487" s="18" t="n"/>
      <c r="J487" s="21">
        <f>IF(OR($H487="",$I487=""),"",$H487-$I487)</f>
        <v/>
      </c>
      <c r="K487" s="16">
        <f>IF($H487="","",IFERROR(IF(INDEX(Vinos!$J$2:$J$301,MATCH($B487,Vinos!$A$2:$A$301,0))="","",$H487*INDEX(Vinos!$J$2:$J$301,MATCH($B487,Vinos!$A$2:$A$301,0))),""))</f>
        <v/>
      </c>
      <c r="L487" s="16">
        <f>IF($H487="","",IFERROR(IF(INDEX(Vinos!$K$2:$K$301,MATCH($B487,Vinos!$A$2:$A$301,0))="","",$H487*INDEX(Vinos!$K$2:$K$301,MATCH($B487,Vinos!$A$2:$A$301,0))),""))</f>
        <v/>
      </c>
      <c r="M487" s="21">
        <f>IF(OR($A487="",$B487=""),"",SUMIFS($H$2:$H$2001,$A$2:$A$2001,$A487,$B$2:$B$2001,$B487))</f>
        <v/>
      </c>
      <c r="N487" s="20">
        <f>IF($M487="","",IF($M487&lt;=0,"Sin stock: reponer ya",IF($M487&lt;IFERROR(N(INDEX(Vinos!$N$2:$N$301,MATCH($B487,Vinos!$A$2:$A$301,0))),0),"Bajo mínimo: reponer","OK")))</f>
        <v/>
      </c>
      <c r="O487" s="14" t="n"/>
      <c r="P487" s="14" t="n"/>
      <c r="Q487" s="20">
        <f>IF($B487="","",IFERROR(INDEX(Vinos!$C$2:$C$301,MATCH($B487,Vinos!$A$2:$A$301,0)),""))</f>
        <v/>
      </c>
      <c r="R487" s="20">
        <f>IF(OR($A487="",$A487&lt;&gt;'Resumen del inventario'!$C$3,$N487="",$N487="OK"),"",IF(COUNTIFS($A$2:$A487,$A487,$B$2:$B487,$B487)=1,1,""))</f>
        <v/>
      </c>
      <c r="S487" s="20">
        <f>IF($R487=1,COUNTIF($R$2:$R487,1),"")</f>
        <v/>
      </c>
    </row>
    <row r="488">
      <c r="A488" s="19" t="n"/>
      <c r="B488" s="14" t="n"/>
      <c r="C488" s="20">
        <f>IF($B488="","",IFERROR(INDEX(Vinos!$B$2:$B$301,MATCH($B488,Vinos!$A$2:$A$301,0)),"Código no cargado"))</f>
        <v/>
      </c>
      <c r="D488" s="14" t="n"/>
      <c r="E488" s="14" t="n"/>
      <c r="F488" s="18" t="n"/>
      <c r="G488" s="18" t="n"/>
      <c r="H488" s="21">
        <f>IF(AND($F488="",$G488=""),"",N($F488)*IFERROR(N(INDEX(Vinos!$H$2:$H$301,MATCH($B488,Vinos!$A$2:$A$301,0))),0)+N($G488))</f>
        <v/>
      </c>
      <c r="I488" s="18" t="n"/>
      <c r="J488" s="21">
        <f>IF(OR($H488="",$I488=""),"",$H488-$I488)</f>
        <v/>
      </c>
      <c r="K488" s="16">
        <f>IF($H488="","",IFERROR(IF(INDEX(Vinos!$J$2:$J$301,MATCH($B488,Vinos!$A$2:$A$301,0))="","",$H488*INDEX(Vinos!$J$2:$J$301,MATCH($B488,Vinos!$A$2:$A$301,0))),""))</f>
        <v/>
      </c>
      <c r="L488" s="16">
        <f>IF($H488="","",IFERROR(IF(INDEX(Vinos!$K$2:$K$301,MATCH($B488,Vinos!$A$2:$A$301,0))="","",$H488*INDEX(Vinos!$K$2:$K$301,MATCH($B488,Vinos!$A$2:$A$301,0))),""))</f>
        <v/>
      </c>
      <c r="M488" s="21">
        <f>IF(OR($A488="",$B488=""),"",SUMIFS($H$2:$H$2001,$A$2:$A$2001,$A488,$B$2:$B$2001,$B488))</f>
        <v/>
      </c>
      <c r="N488" s="20">
        <f>IF($M488="","",IF($M488&lt;=0,"Sin stock: reponer ya",IF($M488&lt;IFERROR(N(INDEX(Vinos!$N$2:$N$301,MATCH($B488,Vinos!$A$2:$A$301,0))),0),"Bajo mínimo: reponer","OK")))</f>
        <v/>
      </c>
      <c r="O488" s="14" t="n"/>
      <c r="P488" s="14" t="n"/>
      <c r="Q488" s="20">
        <f>IF($B488="","",IFERROR(INDEX(Vinos!$C$2:$C$301,MATCH($B488,Vinos!$A$2:$A$301,0)),""))</f>
        <v/>
      </c>
      <c r="R488" s="20">
        <f>IF(OR($A488="",$A488&lt;&gt;'Resumen del inventario'!$C$3,$N488="",$N488="OK"),"",IF(COUNTIFS($A$2:$A488,$A488,$B$2:$B488,$B488)=1,1,""))</f>
        <v/>
      </c>
      <c r="S488" s="20">
        <f>IF($R488=1,COUNTIF($R$2:$R488,1),"")</f>
        <v/>
      </c>
    </row>
    <row r="489">
      <c r="A489" s="19" t="n"/>
      <c r="B489" s="14" t="n"/>
      <c r="C489" s="20">
        <f>IF($B489="","",IFERROR(INDEX(Vinos!$B$2:$B$301,MATCH($B489,Vinos!$A$2:$A$301,0)),"Código no cargado"))</f>
        <v/>
      </c>
      <c r="D489" s="14" t="n"/>
      <c r="E489" s="14" t="n"/>
      <c r="F489" s="18" t="n"/>
      <c r="G489" s="18" t="n"/>
      <c r="H489" s="21">
        <f>IF(AND($F489="",$G489=""),"",N($F489)*IFERROR(N(INDEX(Vinos!$H$2:$H$301,MATCH($B489,Vinos!$A$2:$A$301,0))),0)+N($G489))</f>
        <v/>
      </c>
      <c r="I489" s="18" t="n"/>
      <c r="J489" s="21">
        <f>IF(OR($H489="",$I489=""),"",$H489-$I489)</f>
        <v/>
      </c>
      <c r="K489" s="16">
        <f>IF($H489="","",IFERROR(IF(INDEX(Vinos!$J$2:$J$301,MATCH($B489,Vinos!$A$2:$A$301,0))="","",$H489*INDEX(Vinos!$J$2:$J$301,MATCH($B489,Vinos!$A$2:$A$301,0))),""))</f>
        <v/>
      </c>
      <c r="L489" s="16">
        <f>IF($H489="","",IFERROR(IF(INDEX(Vinos!$K$2:$K$301,MATCH($B489,Vinos!$A$2:$A$301,0))="","",$H489*INDEX(Vinos!$K$2:$K$301,MATCH($B489,Vinos!$A$2:$A$301,0))),""))</f>
        <v/>
      </c>
      <c r="M489" s="21">
        <f>IF(OR($A489="",$B489=""),"",SUMIFS($H$2:$H$2001,$A$2:$A$2001,$A489,$B$2:$B$2001,$B489))</f>
        <v/>
      </c>
      <c r="N489" s="20">
        <f>IF($M489="","",IF($M489&lt;=0,"Sin stock: reponer ya",IF($M489&lt;IFERROR(N(INDEX(Vinos!$N$2:$N$301,MATCH($B489,Vinos!$A$2:$A$301,0))),0),"Bajo mínimo: reponer","OK")))</f>
        <v/>
      </c>
      <c r="O489" s="14" t="n"/>
      <c r="P489" s="14" t="n"/>
      <c r="Q489" s="20">
        <f>IF($B489="","",IFERROR(INDEX(Vinos!$C$2:$C$301,MATCH($B489,Vinos!$A$2:$A$301,0)),""))</f>
        <v/>
      </c>
      <c r="R489" s="20">
        <f>IF(OR($A489="",$A489&lt;&gt;'Resumen del inventario'!$C$3,$N489="",$N489="OK"),"",IF(COUNTIFS($A$2:$A489,$A489,$B$2:$B489,$B489)=1,1,""))</f>
        <v/>
      </c>
      <c r="S489" s="20">
        <f>IF($R489=1,COUNTIF($R$2:$R489,1),"")</f>
        <v/>
      </c>
    </row>
    <row r="490">
      <c r="A490" s="19" t="n"/>
      <c r="B490" s="14" t="n"/>
      <c r="C490" s="20">
        <f>IF($B490="","",IFERROR(INDEX(Vinos!$B$2:$B$301,MATCH($B490,Vinos!$A$2:$A$301,0)),"Código no cargado"))</f>
        <v/>
      </c>
      <c r="D490" s="14" t="n"/>
      <c r="E490" s="14" t="n"/>
      <c r="F490" s="18" t="n"/>
      <c r="G490" s="18" t="n"/>
      <c r="H490" s="21">
        <f>IF(AND($F490="",$G490=""),"",N($F490)*IFERROR(N(INDEX(Vinos!$H$2:$H$301,MATCH($B490,Vinos!$A$2:$A$301,0))),0)+N($G490))</f>
        <v/>
      </c>
      <c r="I490" s="18" t="n"/>
      <c r="J490" s="21">
        <f>IF(OR($H490="",$I490=""),"",$H490-$I490)</f>
        <v/>
      </c>
      <c r="K490" s="16">
        <f>IF($H490="","",IFERROR(IF(INDEX(Vinos!$J$2:$J$301,MATCH($B490,Vinos!$A$2:$A$301,0))="","",$H490*INDEX(Vinos!$J$2:$J$301,MATCH($B490,Vinos!$A$2:$A$301,0))),""))</f>
        <v/>
      </c>
      <c r="L490" s="16">
        <f>IF($H490="","",IFERROR(IF(INDEX(Vinos!$K$2:$K$301,MATCH($B490,Vinos!$A$2:$A$301,0))="","",$H490*INDEX(Vinos!$K$2:$K$301,MATCH($B490,Vinos!$A$2:$A$301,0))),""))</f>
        <v/>
      </c>
      <c r="M490" s="21">
        <f>IF(OR($A490="",$B490=""),"",SUMIFS($H$2:$H$2001,$A$2:$A$2001,$A490,$B$2:$B$2001,$B490))</f>
        <v/>
      </c>
      <c r="N490" s="20">
        <f>IF($M490="","",IF($M490&lt;=0,"Sin stock: reponer ya",IF($M490&lt;IFERROR(N(INDEX(Vinos!$N$2:$N$301,MATCH($B490,Vinos!$A$2:$A$301,0))),0),"Bajo mínimo: reponer","OK")))</f>
        <v/>
      </c>
      <c r="O490" s="14" t="n"/>
      <c r="P490" s="14" t="n"/>
      <c r="Q490" s="20">
        <f>IF($B490="","",IFERROR(INDEX(Vinos!$C$2:$C$301,MATCH($B490,Vinos!$A$2:$A$301,0)),""))</f>
        <v/>
      </c>
      <c r="R490" s="20">
        <f>IF(OR($A490="",$A490&lt;&gt;'Resumen del inventario'!$C$3,$N490="",$N490="OK"),"",IF(COUNTIFS($A$2:$A490,$A490,$B$2:$B490,$B490)=1,1,""))</f>
        <v/>
      </c>
      <c r="S490" s="20">
        <f>IF($R490=1,COUNTIF($R$2:$R490,1),"")</f>
        <v/>
      </c>
    </row>
    <row r="491">
      <c r="A491" s="19" t="n"/>
      <c r="B491" s="14" t="n"/>
      <c r="C491" s="20">
        <f>IF($B491="","",IFERROR(INDEX(Vinos!$B$2:$B$301,MATCH($B491,Vinos!$A$2:$A$301,0)),"Código no cargado"))</f>
        <v/>
      </c>
      <c r="D491" s="14" t="n"/>
      <c r="E491" s="14" t="n"/>
      <c r="F491" s="18" t="n"/>
      <c r="G491" s="18" t="n"/>
      <c r="H491" s="21">
        <f>IF(AND($F491="",$G491=""),"",N($F491)*IFERROR(N(INDEX(Vinos!$H$2:$H$301,MATCH($B491,Vinos!$A$2:$A$301,0))),0)+N($G491))</f>
        <v/>
      </c>
      <c r="I491" s="18" t="n"/>
      <c r="J491" s="21">
        <f>IF(OR($H491="",$I491=""),"",$H491-$I491)</f>
        <v/>
      </c>
      <c r="K491" s="16">
        <f>IF($H491="","",IFERROR(IF(INDEX(Vinos!$J$2:$J$301,MATCH($B491,Vinos!$A$2:$A$301,0))="","",$H491*INDEX(Vinos!$J$2:$J$301,MATCH($B491,Vinos!$A$2:$A$301,0))),""))</f>
        <v/>
      </c>
      <c r="L491" s="16">
        <f>IF($H491="","",IFERROR(IF(INDEX(Vinos!$K$2:$K$301,MATCH($B491,Vinos!$A$2:$A$301,0))="","",$H491*INDEX(Vinos!$K$2:$K$301,MATCH($B491,Vinos!$A$2:$A$301,0))),""))</f>
        <v/>
      </c>
      <c r="M491" s="21">
        <f>IF(OR($A491="",$B491=""),"",SUMIFS($H$2:$H$2001,$A$2:$A$2001,$A491,$B$2:$B$2001,$B491))</f>
        <v/>
      </c>
      <c r="N491" s="20">
        <f>IF($M491="","",IF($M491&lt;=0,"Sin stock: reponer ya",IF($M491&lt;IFERROR(N(INDEX(Vinos!$N$2:$N$301,MATCH($B491,Vinos!$A$2:$A$301,0))),0),"Bajo mínimo: reponer","OK")))</f>
        <v/>
      </c>
      <c r="O491" s="14" t="n"/>
      <c r="P491" s="14" t="n"/>
      <c r="Q491" s="20">
        <f>IF($B491="","",IFERROR(INDEX(Vinos!$C$2:$C$301,MATCH($B491,Vinos!$A$2:$A$301,0)),""))</f>
        <v/>
      </c>
      <c r="R491" s="20">
        <f>IF(OR($A491="",$A491&lt;&gt;'Resumen del inventario'!$C$3,$N491="",$N491="OK"),"",IF(COUNTIFS($A$2:$A491,$A491,$B$2:$B491,$B491)=1,1,""))</f>
        <v/>
      </c>
      <c r="S491" s="20">
        <f>IF($R491=1,COUNTIF($R$2:$R491,1),"")</f>
        <v/>
      </c>
    </row>
    <row r="492">
      <c r="A492" s="19" t="n"/>
      <c r="B492" s="14" t="n"/>
      <c r="C492" s="20">
        <f>IF($B492="","",IFERROR(INDEX(Vinos!$B$2:$B$301,MATCH($B492,Vinos!$A$2:$A$301,0)),"Código no cargado"))</f>
        <v/>
      </c>
      <c r="D492" s="14" t="n"/>
      <c r="E492" s="14" t="n"/>
      <c r="F492" s="18" t="n"/>
      <c r="G492" s="18" t="n"/>
      <c r="H492" s="21">
        <f>IF(AND($F492="",$G492=""),"",N($F492)*IFERROR(N(INDEX(Vinos!$H$2:$H$301,MATCH($B492,Vinos!$A$2:$A$301,0))),0)+N($G492))</f>
        <v/>
      </c>
      <c r="I492" s="18" t="n"/>
      <c r="J492" s="21">
        <f>IF(OR($H492="",$I492=""),"",$H492-$I492)</f>
        <v/>
      </c>
      <c r="K492" s="16">
        <f>IF($H492="","",IFERROR(IF(INDEX(Vinos!$J$2:$J$301,MATCH($B492,Vinos!$A$2:$A$301,0))="","",$H492*INDEX(Vinos!$J$2:$J$301,MATCH($B492,Vinos!$A$2:$A$301,0))),""))</f>
        <v/>
      </c>
      <c r="L492" s="16">
        <f>IF($H492="","",IFERROR(IF(INDEX(Vinos!$K$2:$K$301,MATCH($B492,Vinos!$A$2:$A$301,0))="","",$H492*INDEX(Vinos!$K$2:$K$301,MATCH($B492,Vinos!$A$2:$A$301,0))),""))</f>
        <v/>
      </c>
      <c r="M492" s="21">
        <f>IF(OR($A492="",$B492=""),"",SUMIFS($H$2:$H$2001,$A$2:$A$2001,$A492,$B$2:$B$2001,$B492))</f>
        <v/>
      </c>
      <c r="N492" s="20">
        <f>IF($M492="","",IF($M492&lt;=0,"Sin stock: reponer ya",IF($M492&lt;IFERROR(N(INDEX(Vinos!$N$2:$N$301,MATCH($B492,Vinos!$A$2:$A$301,0))),0),"Bajo mínimo: reponer","OK")))</f>
        <v/>
      </c>
      <c r="O492" s="14" t="n"/>
      <c r="P492" s="14" t="n"/>
      <c r="Q492" s="20">
        <f>IF($B492="","",IFERROR(INDEX(Vinos!$C$2:$C$301,MATCH($B492,Vinos!$A$2:$A$301,0)),""))</f>
        <v/>
      </c>
      <c r="R492" s="20">
        <f>IF(OR($A492="",$A492&lt;&gt;'Resumen del inventario'!$C$3,$N492="",$N492="OK"),"",IF(COUNTIFS($A$2:$A492,$A492,$B$2:$B492,$B492)=1,1,""))</f>
        <v/>
      </c>
      <c r="S492" s="20">
        <f>IF($R492=1,COUNTIF($R$2:$R492,1),"")</f>
        <v/>
      </c>
    </row>
    <row r="493">
      <c r="A493" s="19" t="n"/>
      <c r="B493" s="14" t="n"/>
      <c r="C493" s="20">
        <f>IF($B493="","",IFERROR(INDEX(Vinos!$B$2:$B$301,MATCH($B493,Vinos!$A$2:$A$301,0)),"Código no cargado"))</f>
        <v/>
      </c>
      <c r="D493" s="14" t="n"/>
      <c r="E493" s="14" t="n"/>
      <c r="F493" s="18" t="n"/>
      <c r="G493" s="18" t="n"/>
      <c r="H493" s="21">
        <f>IF(AND($F493="",$G493=""),"",N($F493)*IFERROR(N(INDEX(Vinos!$H$2:$H$301,MATCH($B493,Vinos!$A$2:$A$301,0))),0)+N($G493))</f>
        <v/>
      </c>
      <c r="I493" s="18" t="n"/>
      <c r="J493" s="21">
        <f>IF(OR($H493="",$I493=""),"",$H493-$I493)</f>
        <v/>
      </c>
      <c r="K493" s="16">
        <f>IF($H493="","",IFERROR(IF(INDEX(Vinos!$J$2:$J$301,MATCH($B493,Vinos!$A$2:$A$301,0))="","",$H493*INDEX(Vinos!$J$2:$J$301,MATCH($B493,Vinos!$A$2:$A$301,0))),""))</f>
        <v/>
      </c>
      <c r="L493" s="16">
        <f>IF($H493="","",IFERROR(IF(INDEX(Vinos!$K$2:$K$301,MATCH($B493,Vinos!$A$2:$A$301,0))="","",$H493*INDEX(Vinos!$K$2:$K$301,MATCH($B493,Vinos!$A$2:$A$301,0))),""))</f>
        <v/>
      </c>
      <c r="M493" s="21">
        <f>IF(OR($A493="",$B493=""),"",SUMIFS($H$2:$H$2001,$A$2:$A$2001,$A493,$B$2:$B$2001,$B493))</f>
        <v/>
      </c>
      <c r="N493" s="20">
        <f>IF($M493="","",IF($M493&lt;=0,"Sin stock: reponer ya",IF($M493&lt;IFERROR(N(INDEX(Vinos!$N$2:$N$301,MATCH($B493,Vinos!$A$2:$A$301,0))),0),"Bajo mínimo: reponer","OK")))</f>
        <v/>
      </c>
      <c r="O493" s="14" t="n"/>
      <c r="P493" s="14" t="n"/>
      <c r="Q493" s="20">
        <f>IF($B493="","",IFERROR(INDEX(Vinos!$C$2:$C$301,MATCH($B493,Vinos!$A$2:$A$301,0)),""))</f>
        <v/>
      </c>
      <c r="R493" s="20">
        <f>IF(OR($A493="",$A493&lt;&gt;'Resumen del inventario'!$C$3,$N493="",$N493="OK"),"",IF(COUNTIFS($A$2:$A493,$A493,$B$2:$B493,$B493)=1,1,""))</f>
        <v/>
      </c>
      <c r="S493" s="20">
        <f>IF($R493=1,COUNTIF($R$2:$R493,1),"")</f>
        <v/>
      </c>
    </row>
    <row r="494">
      <c r="A494" s="19" t="n"/>
      <c r="B494" s="14" t="n"/>
      <c r="C494" s="20">
        <f>IF($B494="","",IFERROR(INDEX(Vinos!$B$2:$B$301,MATCH($B494,Vinos!$A$2:$A$301,0)),"Código no cargado"))</f>
        <v/>
      </c>
      <c r="D494" s="14" t="n"/>
      <c r="E494" s="14" t="n"/>
      <c r="F494" s="18" t="n"/>
      <c r="G494" s="18" t="n"/>
      <c r="H494" s="21">
        <f>IF(AND($F494="",$G494=""),"",N($F494)*IFERROR(N(INDEX(Vinos!$H$2:$H$301,MATCH($B494,Vinos!$A$2:$A$301,0))),0)+N($G494))</f>
        <v/>
      </c>
      <c r="I494" s="18" t="n"/>
      <c r="J494" s="21">
        <f>IF(OR($H494="",$I494=""),"",$H494-$I494)</f>
        <v/>
      </c>
      <c r="K494" s="16">
        <f>IF($H494="","",IFERROR(IF(INDEX(Vinos!$J$2:$J$301,MATCH($B494,Vinos!$A$2:$A$301,0))="","",$H494*INDEX(Vinos!$J$2:$J$301,MATCH($B494,Vinos!$A$2:$A$301,0))),""))</f>
        <v/>
      </c>
      <c r="L494" s="16">
        <f>IF($H494="","",IFERROR(IF(INDEX(Vinos!$K$2:$K$301,MATCH($B494,Vinos!$A$2:$A$301,0))="","",$H494*INDEX(Vinos!$K$2:$K$301,MATCH($B494,Vinos!$A$2:$A$301,0))),""))</f>
        <v/>
      </c>
      <c r="M494" s="21">
        <f>IF(OR($A494="",$B494=""),"",SUMIFS($H$2:$H$2001,$A$2:$A$2001,$A494,$B$2:$B$2001,$B494))</f>
        <v/>
      </c>
      <c r="N494" s="20">
        <f>IF($M494="","",IF($M494&lt;=0,"Sin stock: reponer ya",IF($M494&lt;IFERROR(N(INDEX(Vinos!$N$2:$N$301,MATCH($B494,Vinos!$A$2:$A$301,0))),0),"Bajo mínimo: reponer","OK")))</f>
        <v/>
      </c>
      <c r="O494" s="14" t="n"/>
      <c r="P494" s="14" t="n"/>
      <c r="Q494" s="20">
        <f>IF($B494="","",IFERROR(INDEX(Vinos!$C$2:$C$301,MATCH($B494,Vinos!$A$2:$A$301,0)),""))</f>
        <v/>
      </c>
      <c r="R494" s="20">
        <f>IF(OR($A494="",$A494&lt;&gt;'Resumen del inventario'!$C$3,$N494="",$N494="OK"),"",IF(COUNTIFS($A$2:$A494,$A494,$B$2:$B494,$B494)=1,1,""))</f>
        <v/>
      </c>
      <c r="S494" s="20">
        <f>IF($R494=1,COUNTIF($R$2:$R494,1),"")</f>
        <v/>
      </c>
    </row>
    <row r="495">
      <c r="A495" s="19" t="n"/>
      <c r="B495" s="14" t="n"/>
      <c r="C495" s="20">
        <f>IF($B495="","",IFERROR(INDEX(Vinos!$B$2:$B$301,MATCH($B495,Vinos!$A$2:$A$301,0)),"Código no cargado"))</f>
        <v/>
      </c>
      <c r="D495" s="14" t="n"/>
      <c r="E495" s="14" t="n"/>
      <c r="F495" s="18" t="n"/>
      <c r="G495" s="18" t="n"/>
      <c r="H495" s="21">
        <f>IF(AND($F495="",$G495=""),"",N($F495)*IFERROR(N(INDEX(Vinos!$H$2:$H$301,MATCH($B495,Vinos!$A$2:$A$301,0))),0)+N($G495))</f>
        <v/>
      </c>
      <c r="I495" s="18" t="n"/>
      <c r="J495" s="21">
        <f>IF(OR($H495="",$I495=""),"",$H495-$I495)</f>
        <v/>
      </c>
      <c r="K495" s="16">
        <f>IF($H495="","",IFERROR(IF(INDEX(Vinos!$J$2:$J$301,MATCH($B495,Vinos!$A$2:$A$301,0))="","",$H495*INDEX(Vinos!$J$2:$J$301,MATCH($B495,Vinos!$A$2:$A$301,0))),""))</f>
        <v/>
      </c>
      <c r="L495" s="16">
        <f>IF($H495="","",IFERROR(IF(INDEX(Vinos!$K$2:$K$301,MATCH($B495,Vinos!$A$2:$A$301,0))="","",$H495*INDEX(Vinos!$K$2:$K$301,MATCH($B495,Vinos!$A$2:$A$301,0))),""))</f>
        <v/>
      </c>
      <c r="M495" s="21">
        <f>IF(OR($A495="",$B495=""),"",SUMIFS($H$2:$H$2001,$A$2:$A$2001,$A495,$B$2:$B$2001,$B495))</f>
        <v/>
      </c>
      <c r="N495" s="20">
        <f>IF($M495="","",IF($M495&lt;=0,"Sin stock: reponer ya",IF($M495&lt;IFERROR(N(INDEX(Vinos!$N$2:$N$301,MATCH($B495,Vinos!$A$2:$A$301,0))),0),"Bajo mínimo: reponer","OK")))</f>
        <v/>
      </c>
      <c r="O495" s="14" t="n"/>
      <c r="P495" s="14" t="n"/>
      <c r="Q495" s="20">
        <f>IF($B495="","",IFERROR(INDEX(Vinos!$C$2:$C$301,MATCH($B495,Vinos!$A$2:$A$301,0)),""))</f>
        <v/>
      </c>
      <c r="R495" s="20">
        <f>IF(OR($A495="",$A495&lt;&gt;'Resumen del inventario'!$C$3,$N495="",$N495="OK"),"",IF(COUNTIFS($A$2:$A495,$A495,$B$2:$B495,$B495)=1,1,""))</f>
        <v/>
      </c>
      <c r="S495" s="20">
        <f>IF($R495=1,COUNTIF($R$2:$R495,1),"")</f>
        <v/>
      </c>
    </row>
    <row r="496">
      <c r="A496" s="19" t="n"/>
      <c r="B496" s="14" t="n"/>
      <c r="C496" s="20">
        <f>IF($B496="","",IFERROR(INDEX(Vinos!$B$2:$B$301,MATCH($B496,Vinos!$A$2:$A$301,0)),"Código no cargado"))</f>
        <v/>
      </c>
      <c r="D496" s="14" t="n"/>
      <c r="E496" s="14" t="n"/>
      <c r="F496" s="18" t="n"/>
      <c r="G496" s="18" t="n"/>
      <c r="H496" s="21">
        <f>IF(AND($F496="",$G496=""),"",N($F496)*IFERROR(N(INDEX(Vinos!$H$2:$H$301,MATCH($B496,Vinos!$A$2:$A$301,0))),0)+N($G496))</f>
        <v/>
      </c>
      <c r="I496" s="18" t="n"/>
      <c r="J496" s="21">
        <f>IF(OR($H496="",$I496=""),"",$H496-$I496)</f>
        <v/>
      </c>
      <c r="K496" s="16">
        <f>IF($H496="","",IFERROR(IF(INDEX(Vinos!$J$2:$J$301,MATCH($B496,Vinos!$A$2:$A$301,0))="","",$H496*INDEX(Vinos!$J$2:$J$301,MATCH($B496,Vinos!$A$2:$A$301,0))),""))</f>
        <v/>
      </c>
      <c r="L496" s="16">
        <f>IF($H496="","",IFERROR(IF(INDEX(Vinos!$K$2:$K$301,MATCH($B496,Vinos!$A$2:$A$301,0))="","",$H496*INDEX(Vinos!$K$2:$K$301,MATCH($B496,Vinos!$A$2:$A$301,0))),""))</f>
        <v/>
      </c>
      <c r="M496" s="21">
        <f>IF(OR($A496="",$B496=""),"",SUMIFS($H$2:$H$2001,$A$2:$A$2001,$A496,$B$2:$B$2001,$B496))</f>
        <v/>
      </c>
      <c r="N496" s="20">
        <f>IF($M496="","",IF($M496&lt;=0,"Sin stock: reponer ya",IF($M496&lt;IFERROR(N(INDEX(Vinos!$N$2:$N$301,MATCH($B496,Vinos!$A$2:$A$301,0))),0),"Bajo mínimo: reponer","OK")))</f>
        <v/>
      </c>
      <c r="O496" s="14" t="n"/>
      <c r="P496" s="14" t="n"/>
      <c r="Q496" s="20">
        <f>IF($B496="","",IFERROR(INDEX(Vinos!$C$2:$C$301,MATCH($B496,Vinos!$A$2:$A$301,0)),""))</f>
        <v/>
      </c>
      <c r="R496" s="20">
        <f>IF(OR($A496="",$A496&lt;&gt;'Resumen del inventario'!$C$3,$N496="",$N496="OK"),"",IF(COUNTIFS($A$2:$A496,$A496,$B$2:$B496,$B496)=1,1,""))</f>
        <v/>
      </c>
      <c r="S496" s="20">
        <f>IF($R496=1,COUNTIF($R$2:$R496,1),"")</f>
        <v/>
      </c>
    </row>
    <row r="497">
      <c r="A497" s="19" t="n"/>
      <c r="B497" s="14" t="n"/>
      <c r="C497" s="20">
        <f>IF($B497="","",IFERROR(INDEX(Vinos!$B$2:$B$301,MATCH($B497,Vinos!$A$2:$A$301,0)),"Código no cargado"))</f>
        <v/>
      </c>
      <c r="D497" s="14" t="n"/>
      <c r="E497" s="14" t="n"/>
      <c r="F497" s="18" t="n"/>
      <c r="G497" s="18" t="n"/>
      <c r="H497" s="21">
        <f>IF(AND($F497="",$G497=""),"",N($F497)*IFERROR(N(INDEX(Vinos!$H$2:$H$301,MATCH($B497,Vinos!$A$2:$A$301,0))),0)+N($G497))</f>
        <v/>
      </c>
      <c r="I497" s="18" t="n"/>
      <c r="J497" s="21">
        <f>IF(OR($H497="",$I497=""),"",$H497-$I497)</f>
        <v/>
      </c>
      <c r="K497" s="16">
        <f>IF($H497="","",IFERROR(IF(INDEX(Vinos!$J$2:$J$301,MATCH($B497,Vinos!$A$2:$A$301,0))="","",$H497*INDEX(Vinos!$J$2:$J$301,MATCH($B497,Vinos!$A$2:$A$301,0))),""))</f>
        <v/>
      </c>
      <c r="L497" s="16">
        <f>IF($H497="","",IFERROR(IF(INDEX(Vinos!$K$2:$K$301,MATCH($B497,Vinos!$A$2:$A$301,0))="","",$H497*INDEX(Vinos!$K$2:$K$301,MATCH($B497,Vinos!$A$2:$A$301,0))),""))</f>
        <v/>
      </c>
      <c r="M497" s="21">
        <f>IF(OR($A497="",$B497=""),"",SUMIFS($H$2:$H$2001,$A$2:$A$2001,$A497,$B$2:$B$2001,$B497))</f>
        <v/>
      </c>
      <c r="N497" s="20">
        <f>IF($M497="","",IF($M497&lt;=0,"Sin stock: reponer ya",IF($M497&lt;IFERROR(N(INDEX(Vinos!$N$2:$N$301,MATCH($B497,Vinos!$A$2:$A$301,0))),0),"Bajo mínimo: reponer","OK")))</f>
        <v/>
      </c>
      <c r="O497" s="14" t="n"/>
      <c r="P497" s="14" t="n"/>
      <c r="Q497" s="20">
        <f>IF($B497="","",IFERROR(INDEX(Vinos!$C$2:$C$301,MATCH($B497,Vinos!$A$2:$A$301,0)),""))</f>
        <v/>
      </c>
      <c r="R497" s="20">
        <f>IF(OR($A497="",$A497&lt;&gt;'Resumen del inventario'!$C$3,$N497="",$N497="OK"),"",IF(COUNTIFS($A$2:$A497,$A497,$B$2:$B497,$B497)=1,1,""))</f>
        <v/>
      </c>
      <c r="S497" s="20">
        <f>IF($R497=1,COUNTIF($R$2:$R497,1),"")</f>
        <v/>
      </c>
    </row>
    <row r="498">
      <c r="A498" s="19" t="n"/>
      <c r="B498" s="14" t="n"/>
      <c r="C498" s="20">
        <f>IF($B498="","",IFERROR(INDEX(Vinos!$B$2:$B$301,MATCH($B498,Vinos!$A$2:$A$301,0)),"Código no cargado"))</f>
        <v/>
      </c>
      <c r="D498" s="14" t="n"/>
      <c r="E498" s="14" t="n"/>
      <c r="F498" s="18" t="n"/>
      <c r="G498" s="18" t="n"/>
      <c r="H498" s="21">
        <f>IF(AND($F498="",$G498=""),"",N($F498)*IFERROR(N(INDEX(Vinos!$H$2:$H$301,MATCH($B498,Vinos!$A$2:$A$301,0))),0)+N($G498))</f>
        <v/>
      </c>
      <c r="I498" s="18" t="n"/>
      <c r="J498" s="21">
        <f>IF(OR($H498="",$I498=""),"",$H498-$I498)</f>
        <v/>
      </c>
      <c r="K498" s="16">
        <f>IF($H498="","",IFERROR(IF(INDEX(Vinos!$J$2:$J$301,MATCH($B498,Vinos!$A$2:$A$301,0))="","",$H498*INDEX(Vinos!$J$2:$J$301,MATCH($B498,Vinos!$A$2:$A$301,0))),""))</f>
        <v/>
      </c>
      <c r="L498" s="16">
        <f>IF($H498="","",IFERROR(IF(INDEX(Vinos!$K$2:$K$301,MATCH($B498,Vinos!$A$2:$A$301,0))="","",$H498*INDEX(Vinos!$K$2:$K$301,MATCH($B498,Vinos!$A$2:$A$301,0))),""))</f>
        <v/>
      </c>
      <c r="M498" s="21">
        <f>IF(OR($A498="",$B498=""),"",SUMIFS($H$2:$H$2001,$A$2:$A$2001,$A498,$B$2:$B$2001,$B498))</f>
        <v/>
      </c>
      <c r="N498" s="20">
        <f>IF($M498="","",IF($M498&lt;=0,"Sin stock: reponer ya",IF($M498&lt;IFERROR(N(INDEX(Vinos!$N$2:$N$301,MATCH($B498,Vinos!$A$2:$A$301,0))),0),"Bajo mínimo: reponer","OK")))</f>
        <v/>
      </c>
      <c r="O498" s="14" t="n"/>
      <c r="P498" s="14" t="n"/>
      <c r="Q498" s="20">
        <f>IF($B498="","",IFERROR(INDEX(Vinos!$C$2:$C$301,MATCH($B498,Vinos!$A$2:$A$301,0)),""))</f>
        <v/>
      </c>
      <c r="R498" s="20">
        <f>IF(OR($A498="",$A498&lt;&gt;'Resumen del inventario'!$C$3,$N498="",$N498="OK"),"",IF(COUNTIFS($A$2:$A498,$A498,$B$2:$B498,$B498)=1,1,""))</f>
        <v/>
      </c>
      <c r="S498" s="20">
        <f>IF($R498=1,COUNTIF($R$2:$R498,1),"")</f>
        <v/>
      </c>
    </row>
    <row r="499">
      <c r="A499" s="19" t="n"/>
      <c r="B499" s="14" t="n"/>
      <c r="C499" s="20">
        <f>IF($B499="","",IFERROR(INDEX(Vinos!$B$2:$B$301,MATCH($B499,Vinos!$A$2:$A$301,0)),"Código no cargado"))</f>
        <v/>
      </c>
      <c r="D499" s="14" t="n"/>
      <c r="E499" s="14" t="n"/>
      <c r="F499" s="18" t="n"/>
      <c r="G499" s="18" t="n"/>
      <c r="H499" s="21">
        <f>IF(AND($F499="",$G499=""),"",N($F499)*IFERROR(N(INDEX(Vinos!$H$2:$H$301,MATCH($B499,Vinos!$A$2:$A$301,0))),0)+N($G499))</f>
        <v/>
      </c>
      <c r="I499" s="18" t="n"/>
      <c r="J499" s="21">
        <f>IF(OR($H499="",$I499=""),"",$H499-$I499)</f>
        <v/>
      </c>
      <c r="K499" s="16">
        <f>IF($H499="","",IFERROR(IF(INDEX(Vinos!$J$2:$J$301,MATCH($B499,Vinos!$A$2:$A$301,0))="","",$H499*INDEX(Vinos!$J$2:$J$301,MATCH($B499,Vinos!$A$2:$A$301,0))),""))</f>
        <v/>
      </c>
      <c r="L499" s="16">
        <f>IF($H499="","",IFERROR(IF(INDEX(Vinos!$K$2:$K$301,MATCH($B499,Vinos!$A$2:$A$301,0))="","",$H499*INDEX(Vinos!$K$2:$K$301,MATCH($B499,Vinos!$A$2:$A$301,0))),""))</f>
        <v/>
      </c>
      <c r="M499" s="21">
        <f>IF(OR($A499="",$B499=""),"",SUMIFS($H$2:$H$2001,$A$2:$A$2001,$A499,$B$2:$B$2001,$B499))</f>
        <v/>
      </c>
      <c r="N499" s="20">
        <f>IF($M499="","",IF($M499&lt;=0,"Sin stock: reponer ya",IF($M499&lt;IFERROR(N(INDEX(Vinos!$N$2:$N$301,MATCH($B499,Vinos!$A$2:$A$301,0))),0),"Bajo mínimo: reponer","OK")))</f>
        <v/>
      </c>
      <c r="O499" s="14" t="n"/>
      <c r="P499" s="14" t="n"/>
      <c r="Q499" s="20">
        <f>IF($B499="","",IFERROR(INDEX(Vinos!$C$2:$C$301,MATCH($B499,Vinos!$A$2:$A$301,0)),""))</f>
        <v/>
      </c>
      <c r="R499" s="20">
        <f>IF(OR($A499="",$A499&lt;&gt;'Resumen del inventario'!$C$3,$N499="",$N499="OK"),"",IF(COUNTIFS($A$2:$A499,$A499,$B$2:$B499,$B499)=1,1,""))</f>
        <v/>
      </c>
      <c r="S499" s="20">
        <f>IF($R499=1,COUNTIF($R$2:$R499,1),"")</f>
        <v/>
      </c>
    </row>
    <row r="500">
      <c r="A500" s="19" t="n"/>
      <c r="B500" s="14" t="n"/>
      <c r="C500" s="20">
        <f>IF($B500="","",IFERROR(INDEX(Vinos!$B$2:$B$301,MATCH($B500,Vinos!$A$2:$A$301,0)),"Código no cargado"))</f>
        <v/>
      </c>
      <c r="D500" s="14" t="n"/>
      <c r="E500" s="14" t="n"/>
      <c r="F500" s="18" t="n"/>
      <c r="G500" s="18" t="n"/>
      <c r="H500" s="21">
        <f>IF(AND($F500="",$G500=""),"",N($F500)*IFERROR(N(INDEX(Vinos!$H$2:$H$301,MATCH($B500,Vinos!$A$2:$A$301,0))),0)+N($G500))</f>
        <v/>
      </c>
      <c r="I500" s="18" t="n"/>
      <c r="J500" s="21">
        <f>IF(OR($H500="",$I500=""),"",$H500-$I500)</f>
        <v/>
      </c>
      <c r="K500" s="16">
        <f>IF($H500="","",IFERROR(IF(INDEX(Vinos!$J$2:$J$301,MATCH($B500,Vinos!$A$2:$A$301,0))="","",$H500*INDEX(Vinos!$J$2:$J$301,MATCH($B500,Vinos!$A$2:$A$301,0))),""))</f>
        <v/>
      </c>
      <c r="L500" s="16">
        <f>IF($H500="","",IFERROR(IF(INDEX(Vinos!$K$2:$K$301,MATCH($B500,Vinos!$A$2:$A$301,0))="","",$H500*INDEX(Vinos!$K$2:$K$301,MATCH($B500,Vinos!$A$2:$A$301,0))),""))</f>
        <v/>
      </c>
      <c r="M500" s="21">
        <f>IF(OR($A500="",$B500=""),"",SUMIFS($H$2:$H$2001,$A$2:$A$2001,$A500,$B$2:$B$2001,$B500))</f>
        <v/>
      </c>
      <c r="N500" s="20">
        <f>IF($M500="","",IF($M500&lt;=0,"Sin stock: reponer ya",IF($M500&lt;IFERROR(N(INDEX(Vinos!$N$2:$N$301,MATCH($B500,Vinos!$A$2:$A$301,0))),0),"Bajo mínimo: reponer","OK")))</f>
        <v/>
      </c>
      <c r="O500" s="14" t="n"/>
      <c r="P500" s="14" t="n"/>
      <c r="Q500" s="20">
        <f>IF($B500="","",IFERROR(INDEX(Vinos!$C$2:$C$301,MATCH($B500,Vinos!$A$2:$A$301,0)),""))</f>
        <v/>
      </c>
      <c r="R500" s="20">
        <f>IF(OR($A500="",$A500&lt;&gt;'Resumen del inventario'!$C$3,$N500="",$N500="OK"),"",IF(COUNTIFS($A$2:$A500,$A500,$B$2:$B500,$B500)=1,1,""))</f>
        <v/>
      </c>
      <c r="S500" s="20">
        <f>IF($R500=1,COUNTIF($R$2:$R500,1),"")</f>
        <v/>
      </c>
    </row>
    <row r="501">
      <c r="A501" s="19" t="n"/>
      <c r="B501" s="14" t="n"/>
      <c r="C501" s="20">
        <f>IF($B501="","",IFERROR(INDEX(Vinos!$B$2:$B$301,MATCH($B501,Vinos!$A$2:$A$301,0)),"Código no cargado"))</f>
        <v/>
      </c>
      <c r="D501" s="14" t="n"/>
      <c r="E501" s="14" t="n"/>
      <c r="F501" s="18" t="n"/>
      <c r="G501" s="18" t="n"/>
      <c r="H501" s="21">
        <f>IF(AND($F501="",$G501=""),"",N($F501)*IFERROR(N(INDEX(Vinos!$H$2:$H$301,MATCH($B501,Vinos!$A$2:$A$301,0))),0)+N($G501))</f>
        <v/>
      </c>
      <c r="I501" s="18" t="n"/>
      <c r="J501" s="21">
        <f>IF(OR($H501="",$I501=""),"",$H501-$I501)</f>
        <v/>
      </c>
      <c r="K501" s="16">
        <f>IF($H501="","",IFERROR(IF(INDEX(Vinos!$J$2:$J$301,MATCH($B501,Vinos!$A$2:$A$301,0))="","",$H501*INDEX(Vinos!$J$2:$J$301,MATCH($B501,Vinos!$A$2:$A$301,0))),""))</f>
        <v/>
      </c>
      <c r="L501" s="16">
        <f>IF($H501="","",IFERROR(IF(INDEX(Vinos!$K$2:$K$301,MATCH($B501,Vinos!$A$2:$A$301,0))="","",$H501*INDEX(Vinos!$K$2:$K$301,MATCH($B501,Vinos!$A$2:$A$301,0))),""))</f>
        <v/>
      </c>
      <c r="M501" s="21">
        <f>IF(OR($A501="",$B501=""),"",SUMIFS($H$2:$H$2001,$A$2:$A$2001,$A501,$B$2:$B$2001,$B501))</f>
        <v/>
      </c>
      <c r="N501" s="20">
        <f>IF($M501="","",IF($M501&lt;=0,"Sin stock: reponer ya",IF($M501&lt;IFERROR(N(INDEX(Vinos!$N$2:$N$301,MATCH($B501,Vinos!$A$2:$A$301,0))),0),"Bajo mínimo: reponer","OK")))</f>
        <v/>
      </c>
      <c r="O501" s="14" t="n"/>
      <c r="P501" s="14" t="n"/>
      <c r="Q501" s="20">
        <f>IF($B501="","",IFERROR(INDEX(Vinos!$C$2:$C$301,MATCH($B501,Vinos!$A$2:$A$301,0)),""))</f>
        <v/>
      </c>
      <c r="R501" s="20">
        <f>IF(OR($A501="",$A501&lt;&gt;'Resumen del inventario'!$C$3,$N501="",$N501="OK"),"",IF(COUNTIFS($A$2:$A501,$A501,$B$2:$B501,$B501)=1,1,""))</f>
        <v/>
      </c>
      <c r="S501" s="20">
        <f>IF($R501=1,COUNTIF($R$2:$R501,1),"")</f>
        <v/>
      </c>
    </row>
    <row r="502">
      <c r="A502" s="19" t="n"/>
      <c r="B502" s="14" t="n"/>
      <c r="C502" s="20">
        <f>IF($B502="","",IFERROR(INDEX(Vinos!$B$2:$B$301,MATCH($B502,Vinos!$A$2:$A$301,0)),"Código no cargado"))</f>
        <v/>
      </c>
      <c r="D502" s="14" t="n"/>
      <c r="E502" s="14" t="n"/>
      <c r="F502" s="18" t="n"/>
      <c r="G502" s="18" t="n"/>
      <c r="H502" s="21">
        <f>IF(AND($F502="",$G502=""),"",N($F502)*IFERROR(N(INDEX(Vinos!$H$2:$H$301,MATCH($B502,Vinos!$A$2:$A$301,0))),0)+N($G502))</f>
        <v/>
      </c>
      <c r="I502" s="18" t="n"/>
      <c r="J502" s="21">
        <f>IF(OR($H502="",$I502=""),"",$H502-$I502)</f>
        <v/>
      </c>
      <c r="K502" s="16">
        <f>IF($H502="","",IFERROR(IF(INDEX(Vinos!$J$2:$J$301,MATCH($B502,Vinos!$A$2:$A$301,0))="","",$H502*INDEX(Vinos!$J$2:$J$301,MATCH($B502,Vinos!$A$2:$A$301,0))),""))</f>
        <v/>
      </c>
      <c r="L502" s="16">
        <f>IF($H502="","",IFERROR(IF(INDEX(Vinos!$K$2:$K$301,MATCH($B502,Vinos!$A$2:$A$301,0))="","",$H502*INDEX(Vinos!$K$2:$K$301,MATCH($B502,Vinos!$A$2:$A$301,0))),""))</f>
        <v/>
      </c>
      <c r="M502" s="21">
        <f>IF(OR($A502="",$B502=""),"",SUMIFS($H$2:$H$2001,$A$2:$A$2001,$A502,$B$2:$B$2001,$B502))</f>
        <v/>
      </c>
      <c r="N502" s="20">
        <f>IF($M502="","",IF($M502&lt;=0,"Sin stock: reponer ya",IF($M502&lt;IFERROR(N(INDEX(Vinos!$N$2:$N$301,MATCH($B502,Vinos!$A$2:$A$301,0))),0),"Bajo mínimo: reponer","OK")))</f>
        <v/>
      </c>
      <c r="O502" s="14" t="n"/>
      <c r="P502" s="14" t="n"/>
      <c r="Q502" s="20">
        <f>IF($B502="","",IFERROR(INDEX(Vinos!$C$2:$C$301,MATCH($B502,Vinos!$A$2:$A$301,0)),""))</f>
        <v/>
      </c>
      <c r="R502" s="20">
        <f>IF(OR($A502="",$A502&lt;&gt;'Resumen del inventario'!$C$3,$N502="",$N502="OK"),"",IF(COUNTIFS($A$2:$A502,$A502,$B$2:$B502,$B502)=1,1,""))</f>
        <v/>
      </c>
      <c r="S502" s="20">
        <f>IF($R502=1,COUNTIF($R$2:$R502,1),"")</f>
        <v/>
      </c>
    </row>
    <row r="503">
      <c r="A503" s="19" t="n"/>
      <c r="B503" s="14" t="n"/>
      <c r="C503" s="20">
        <f>IF($B503="","",IFERROR(INDEX(Vinos!$B$2:$B$301,MATCH($B503,Vinos!$A$2:$A$301,0)),"Código no cargado"))</f>
        <v/>
      </c>
      <c r="D503" s="14" t="n"/>
      <c r="E503" s="14" t="n"/>
      <c r="F503" s="18" t="n"/>
      <c r="G503" s="18" t="n"/>
      <c r="H503" s="21">
        <f>IF(AND($F503="",$G503=""),"",N($F503)*IFERROR(N(INDEX(Vinos!$H$2:$H$301,MATCH($B503,Vinos!$A$2:$A$301,0))),0)+N($G503))</f>
        <v/>
      </c>
      <c r="I503" s="18" t="n"/>
      <c r="J503" s="21">
        <f>IF(OR($H503="",$I503=""),"",$H503-$I503)</f>
        <v/>
      </c>
      <c r="K503" s="16">
        <f>IF($H503="","",IFERROR(IF(INDEX(Vinos!$J$2:$J$301,MATCH($B503,Vinos!$A$2:$A$301,0))="","",$H503*INDEX(Vinos!$J$2:$J$301,MATCH($B503,Vinos!$A$2:$A$301,0))),""))</f>
        <v/>
      </c>
      <c r="L503" s="16">
        <f>IF($H503="","",IFERROR(IF(INDEX(Vinos!$K$2:$K$301,MATCH($B503,Vinos!$A$2:$A$301,0))="","",$H503*INDEX(Vinos!$K$2:$K$301,MATCH($B503,Vinos!$A$2:$A$301,0))),""))</f>
        <v/>
      </c>
      <c r="M503" s="21">
        <f>IF(OR($A503="",$B503=""),"",SUMIFS($H$2:$H$2001,$A$2:$A$2001,$A503,$B$2:$B$2001,$B503))</f>
        <v/>
      </c>
      <c r="N503" s="20">
        <f>IF($M503="","",IF($M503&lt;=0,"Sin stock: reponer ya",IF($M503&lt;IFERROR(N(INDEX(Vinos!$N$2:$N$301,MATCH($B503,Vinos!$A$2:$A$301,0))),0),"Bajo mínimo: reponer","OK")))</f>
        <v/>
      </c>
      <c r="O503" s="14" t="n"/>
      <c r="P503" s="14" t="n"/>
      <c r="Q503" s="20">
        <f>IF($B503="","",IFERROR(INDEX(Vinos!$C$2:$C$301,MATCH($B503,Vinos!$A$2:$A$301,0)),""))</f>
        <v/>
      </c>
      <c r="R503" s="20">
        <f>IF(OR($A503="",$A503&lt;&gt;'Resumen del inventario'!$C$3,$N503="",$N503="OK"),"",IF(COUNTIFS($A$2:$A503,$A503,$B$2:$B503,$B503)=1,1,""))</f>
        <v/>
      </c>
      <c r="S503" s="20">
        <f>IF($R503=1,COUNTIF($R$2:$R503,1),"")</f>
        <v/>
      </c>
    </row>
    <row r="504">
      <c r="A504" s="19" t="n"/>
      <c r="B504" s="14" t="n"/>
      <c r="C504" s="20">
        <f>IF($B504="","",IFERROR(INDEX(Vinos!$B$2:$B$301,MATCH($B504,Vinos!$A$2:$A$301,0)),"Código no cargado"))</f>
        <v/>
      </c>
      <c r="D504" s="14" t="n"/>
      <c r="E504" s="14" t="n"/>
      <c r="F504" s="18" t="n"/>
      <c r="G504" s="18" t="n"/>
      <c r="H504" s="21">
        <f>IF(AND($F504="",$G504=""),"",N($F504)*IFERROR(N(INDEX(Vinos!$H$2:$H$301,MATCH($B504,Vinos!$A$2:$A$301,0))),0)+N($G504))</f>
        <v/>
      </c>
      <c r="I504" s="18" t="n"/>
      <c r="J504" s="21">
        <f>IF(OR($H504="",$I504=""),"",$H504-$I504)</f>
        <v/>
      </c>
      <c r="K504" s="16">
        <f>IF($H504="","",IFERROR(IF(INDEX(Vinos!$J$2:$J$301,MATCH($B504,Vinos!$A$2:$A$301,0))="","",$H504*INDEX(Vinos!$J$2:$J$301,MATCH($B504,Vinos!$A$2:$A$301,0))),""))</f>
        <v/>
      </c>
      <c r="L504" s="16">
        <f>IF($H504="","",IFERROR(IF(INDEX(Vinos!$K$2:$K$301,MATCH($B504,Vinos!$A$2:$A$301,0))="","",$H504*INDEX(Vinos!$K$2:$K$301,MATCH($B504,Vinos!$A$2:$A$301,0))),""))</f>
        <v/>
      </c>
      <c r="M504" s="21">
        <f>IF(OR($A504="",$B504=""),"",SUMIFS($H$2:$H$2001,$A$2:$A$2001,$A504,$B$2:$B$2001,$B504))</f>
        <v/>
      </c>
      <c r="N504" s="20">
        <f>IF($M504="","",IF($M504&lt;=0,"Sin stock: reponer ya",IF($M504&lt;IFERROR(N(INDEX(Vinos!$N$2:$N$301,MATCH($B504,Vinos!$A$2:$A$301,0))),0),"Bajo mínimo: reponer","OK")))</f>
        <v/>
      </c>
      <c r="O504" s="14" t="n"/>
      <c r="P504" s="14" t="n"/>
      <c r="Q504" s="20">
        <f>IF($B504="","",IFERROR(INDEX(Vinos!$C$2:$C$301,MATCH($B504,Vinos!$A$2:$A$301,0)),""))</f>
        <v/>
      </c>
      <c r="R504" s="20">
        <f>IF(OR($A504="",$A504&lt;&gt;'Resumen del inventario'!$C$3,$N504="",$N504="OK"),"",IF(COUNTIFS($A$2:$A504,$A504,$B$2:$B504,$B504)=1,1,""))</f>
        <v/>
      </c>
      <c r="S504" s="20">
        <f>IF($R504=1,COUNTIF($R$2:$R504,1),"")</f>
        <v/>
      </c>
    </row>
    <row r="505">
      <c r="A505" s="19" t="n"/>
      <c r="B505" s="14" t="n"/>
      <c r="C505" s="20">
        <f>IF($B505="","",IFERROR(INDEX(Vinos!$B$2:$B$301,MATCH($B505,Vinos!$A$2:$A$301,0)),"Código no cargado"))</f>
        <v/>
      </c>
      <c r="D505" s="14" t="n"/>
      <c r="E505" s="14" t="n"/>
      <c r="F505" s="18" t="n"/>
      <c r="G505" s="18" t="n"/>
      <c r="H505" s="21">
        <f>IF(AND($F505="",$G505=""),"",N($F505)*IFERROR(N(INDEX(Vinos!$H$2:$H$301,MATCH($B505,Vinos!$A$2:$A$301,0))),0)+N($G505))</f>
        <v/>
      </c>
      <c r="I505" s="18" t="n"/>
      <c r="J505" s="21">
        <f>IF(OR($H505="",$I505=""),"",$H505-$I505)</f>
        <v/>
      </c>
      <c r="K505" s="16">
        <f>IF($H505="","",IFERROR(IF(INDEX(Vinos!$J$2:$J$301,MATCH($B505,Vinos!$A$2:$A$301,0))="","",$H505*INDEX(Vinos!$J$2:$J$301,MATCH($B505,Vinos!$A$2:$A$301,0))),""))</f>
        <v/>
      </c>
      <c r="L505" s="16">
        <f>IF($H505="","",IFERROR(IF(INDEX(Vinos!$K$2:$K$301,MATCH($B505,Vinos!$A$2:$A$301,0))="","",$H505*INDEX(Vinos!$K$2:$K$301,MATCH($B505,Vinos!$A$2:$A$301,0))),""))</f>
        <v/>
      </c>
      <c r="M505" s="21">
        <f>IF(OR($A505="",$B505=""),"",SUMIFS($H$2:$H$2001,$A$2:$A$2001,$A505,$B$2:$B$2001,$B505))</f>
        <v/>
      </c>
      <c r="N505" s="20">
        <f>IF($M505="","",IF($M505&lt;=0,"Sin stock: reponer ya",IF($M505&lt;IFERROR(N(INDEX(Vinos!$N$2:$N$301,MATCH($B505,Vinos!$A$2:$A$301,0))),0),"Bajo mínimo: reponer","OK")))</f>
        <v/>
      </c>
      <c r="O505" s="14" t="n"/>
      <c r="P505" s="14" t="n"/>
      <c r="Q505" s="20">
        <f>IF($B505="","",IFERROR(INDEX(Vinos!$C$2:$C$301,MATCH($B505,Vinos!$A$2:$A$301,0)),""))</f>
        <v/>
      </c>
      <c r="R505" s="20">
        <f>IF(OR($A505="",$A505&lt;&gt;'Resumen del inventario'!$C$3,$N505="",$N505="OK"),"",IF(COUNTIFS($A$2:$A505,$A505,$B$2:$B505,$B505)=1,1,""))</f>
        <v/>
      </c>
      <c r="S505" s="20">
        <f>IF($R505=1,COUNTIF($R$2:$R505,1),"")</f>
        <v/>
      </c>
    </row>
    <row r="506">
      <c r="A506" s="19" t="n"/>
      <c r="B506" s="14" t="n"/>
      <c r="C506" s="20">
        <f>IF($B506="","",IFERROR(INDEX(Vinos!$B$2:$B$301,MATCH($B506,Vinos!$A$2:$A$301,0)),"Código no cargado"))</f>
        <v/>
      </c>
      <c r="D506" s="14" t="n"/>
      <c r="E506" s="14" t="n"/>
      <c r="F506" s="18" t="n"/>
      <c r="G506" s="18" t="n"/>
      <c r="H506" s="21">
        <f>IF(AND($F506="",$G506=""),"",N($F506)*IFERROR(N(INDEX(Vinos!$H$2:$H$301,MATCH($B506,Vinos!$A$2:$A$301,0))),0)+N($G506))</f>
        <v/>
      </c>
      <c r="I506" s="18" t="n"/>
      <c r="J506" s="21">
        <f>IF(OR($H506="",$I506=""),"",$H506-$I506)</f>
        <v/>
      </c>
      <c r="K506" s="16">
        <f>IF($H506="","",IFERROR(IF(INDEX(Vinos!$J$2:$J$301,MATCH($B506,Vinos!$A$2:$A$301,0))="","",$H506*INDEX(Vinos!$J$2:$J$301,MATCH($B506,Vinos!$A$2:$A$301,0))),""))</f>
        <v/>
      </c>
      <c r="L506" s="16">
        <f>IF($H506="","",IFERROR(IF(INDEX(Vinos!$K$2:$K$301,MATCH($B506,Vinos!$A$2:$A$301,0))="","",$H506*INDEX(Vinos!$K$2:$K$301,MATCH($B506,Vinos!$A$2:$A$301,0))),""))</f>
        <v/>
      </c>
      <c r="M506" s="21">
        <f>IF(OR($A506="",$B506=""),"",SUMIFS($H$2:$H$2001,$A$2:$A$2001,$A506,$B$2:$B$2001,$B506))</f>
        <v/>
      </c>
      <c r="N506" s="20">
        <f>IF($M506="","",IF($M506&lt;=0,"Sin stock: reponer ya",IF($M506&lt;IFERROR(N(INDEX(Vinos!$N$2:$N$301,MATCH($B506,Vinos!$A$2:$A$301,0))),0),"Bajo mínimo: reponer","OK")))</f>
        <v/>
      </c>
      <c r="O506" s="14" t="n"/>
      <c r="P506" s="14" t="n"/>
      <c r="Q506" s="20">
        <f>IF($B506="","",IFERROR(INDEX(Vinos!$C$2:$C$301,MATCH($B506,Vinos!$A$2:$A$301,0)),""))</f>
        <v/>
      </c>
      <c r="R506" s="20">
        <f>IF(OR($A506="",$A506&lt;&gt;'Resumen del inventario'!$C$3,$N506="",$N506="OK"),"",IF(COUNTIFS($A$2:$A506,$A506,$B$2:$B506,$B506)=1,1,""))</f>
        <v/>
      </c>
      <c r="S506" s="20">
        <f>IF($R506=1,COUNTIF($R$2:$R506,1),"")</f>
        <v/>
      </c>
    </row>
    <row r="507">
      <c r="A507" s="19" t="n"/>
      <c r="B507" s="14" t="n"/>
      <c r="C507" s="20">
        <f>IF($B507="","",IFERROR(INDEX(Vinos!$B$2:$B$301,MATCH($B507,Vinos!$A$2:$A$301,0)),"Código no cargado"))</f>
        <v/>
      </c>
      <c r="D507" s="14" t="n"/>
      <c r="E507" s="14" t="n"/>
      <c r="F507" s="18" t="n"/>
      <c r="G507" s="18" t="n"/>
      <c r="H507" s="21">
        <f>IF(AND($F507="",$G507=""),"",N($F507)*IFERROR(N(INDEX(Vinos!$H$2:$H$301,MATCH($B507,Vinos!$A$2:$A$301,0))),0)+N($G507))</f>
        <v/>
      </c>
      <c r="I507" s="18" t="n"/>
      <c r="J507" s="21">
        <f>IF(OR($H507="",$I507=""),"",$H507-$I507)</f>
        <v/>
      </c>
      <c r="K507" s="16">
        <f>IF($H507="","",IFERROR(IF(INDEX(Vinos!$J$2:$J$301,MATCH($B507,Vinos!$A$2:$A$301,0))="","",$H507*INDEX(Vinos!$J$2:$J$301,MATCH($B507,Vinos!$A$2:$A$301,0))),""))</f>
        <v/>
      </c>
      <c r="L507" s="16">
        <f>IF($H507="","",IFERROR(IF(INDEX(Vinos!$K$2:$K$301,MATCH($B507,Vinos!$A$2:$A$301,0))="","",$H507*INDEX(Vinos!$K$2:$K$301,MATCH($B507,Vinos!$A$2:$A$301,0))),""))</f>
        <v/>
      </c>
      <c r="M507" s="21">
        <f>IF(OR($A507="",$B507=""),"",SUMIFS($H$2:$H$2001,$A$2:$A$2001,$A507,$B$2:$B$2001,$B507))</f>
        <v/>
      </c>
      <c r="N507" s="20">
        <f>IF($M507="","",IF($M507&lt;=0,"Sin stock: reponer ya",IF($M507&lt;IFERROR(N(INDEX(Vinos!$N$2:$N$301,MATCH($B507,Vinos!$A$2:$A$301,0))),0),"Bajo mínimo: reponer","OK")))</f>
        <v/>
      </c>
      <c r="O507" s="14" t="n"/>
      <c r="P507" s="14" t="n"/>
      <c r="Q507" s="20">
        <f>IF($B507="","",IFERROR(INDEX(Vinos!$C$2:$C$301,MATCH($B507,Vinos!$A$2:$A$301,0)),""))</f>
        <v/>
      </c>
      <c r="R507" s="20">
        <f>IF(OR($A507="",$A507&lt;&gt;'Resumen del inventario'!$C$3,$N507="",$N507="OK"),"",IF(COUNTIFS($A$2:$A507,$A507,$B$2:$B507,$B507)=1,1,""))</f>
        <v/>
      </c>
      <c r="S507" s="20">
        <f>IF($R507=1,COUNTIF($R$2:$R507,1),"")</f>
        <v/>
      </c>
    </row>
    <row r="508">
      <c r="A508" s="19" t="n"/>
      <c r="B508" s="14" t="n"/>
      <c r="C508" s="20">
        <f>IF($B508="","",IFERROR(INDEX(Vinos!$B$2:$B$301,MATCH($B508,Vinos!$A$2:$A$301,0)),"Código no cargado"))</f>
        <v/>
      </c>
      <c r="D508" s="14" t="n"/>
      <c r="E508" s="14" t="n"/>
      <c r="F508" s="18" t="n"/>
      <c r="G508" s="18" t="n"/>
      <c r="H508" s="21">
        <f>IF(AND($F508="",$G508=""),"",N($F508)*IFERROR(N(INDEX(Vinos!$H$2:$H$301,MATCH($B508,Vinos!$A$2:$A$301,0))),0)+N($G508))</f>
        <v/>
      </c>
      <c r="I508" s="18" t="n"/>
      <c r="J508" s="21">
        <f>IF(OR($H508="",$I508=""),"",$H508-$I508)</f>
        <v/>
      </c>
      <c r="K508" s="16">
        <f>IF($H508="","",IFERROR(IF(INDEX(Vinos!$J$2:$J$301,MATCH($B508,Vinos!$A$2:$A$301,0))="","",$H508*INDEX(Vinos!$J$2:$J$301,MATCH($B508,Vinos!$A$2:$A$301,0))),""))</f>
        <v/>
      </c>
      <c r="L508" s="16">
        <f>IF($H508="","",IFERROR(IF(INDEX(Vinos!$K$2:$K$301,MATCH($B508,Vinos!$A$2:$A$301,0))="","",$H508*INDEX(Vinos!$K$2:$K$301,MATCH($B508,Vinos!$A$2:$A$301,0))),""))</f>
        <v/>
      </c>
      <c r="M508" s="21">
        <f>IF(OR($A508="",$B508=""),"",SUMIFS($H$2:$H$2001,$A$2:$A$2001,$A508,$B$2:$B$2001,$B508))</f>
        <v/>
      </c>
      <c r="N508" s="20">
        <f>IF($M508="","",IF($M508&lt;=0,"Sin stock: reponer ya",IF($M508&lt;IFERROR(N(INDEX(Vinos!$N$2:$N$301,MATCH($B508,Vinos!$A$2:$A$301,0))),0),"Bajo mínimo: reponer","OK")))</f>
        <v/>
      </c>
      <c r="O508" s="14" t="n"/>
      <c r="P508" s="14" t="n"/>
      <c r="Q508" s="20">
        <f>IF($B508="","",IFERROR(INDEX(Vinos!$C$2:$C$301,MATCH($B508,Vinos!$A$2:$A$301,0)),""))</f>
        <v/>
      </c>
      <c r="R508" s="20">
        <f>IF(OR($A508="",$A508&lt;&gt;'Resumen del inventario'!$C$3,$N508="",$N508="OK"),"",IF(COUNTIFS($A$2:$A508,$A508,$B$2:$B508,$B508)=1,1,""))</f>
        <v/>
      </c>
      <c r="S508" s="20">
        <f>IF($R508=1,COUNTIF($R$2:$R508,1),"")</f>
        <v/>
      </c>
    </row>
    <row r="509">
      <c r="A509" s="19" t="n"/>
      <c r="B509" s="14" t="n"/>
      <c r="C509" s="20">
        <f>IF($B509="","",IFERROR(INDEX(Vinos!$B$2:$B$301,MATCH($B509,Vinos!$A$2:$A$301,0)),"Código no cargado"))</f>
        <v/>
      </c>
      <c r="D509" s="14" t="n"/>
      <c r="E509" s="14" t="n"/>
      <c r="F509" s="18" t="n"/>
      <c r="G509" s="18" t="n"/>
      <c r="H509" s="21">
        <f>IF(AND($F509="",$G509=""),"",N($F509)*IFERROR(N(INDEX(Vinos!$H$2:$H$301,MATCH($B509,Vinos!$A$2:$A$301,0))),0)+N($G509))</f>
        <v/>
      </c>
      <c r="I509" s="18" t="n"/>
      <c r="J509" s="21">
        <f>IF(OR($H509="",$I509=""),"",$H509-$I509)</f>
        <v/>
      </c>
      <c r="K509" s="16">
        <f>IF($H509="","",IFERROR(IF(INDEX(Vinos!$J$2:$J$301,MATCH($B509,Vinos!$A$2:$A$301,0))="","",$H509*INDEX(Vinos!$J$2:$J$301,MATCH($B509,Vinos!$A$2:$A$301,0))),""))</f>
        <v/>
      </c>
      <c r="L509" s="16">
        <f>IF($H509="","",IFERROR(IF(INDEX(Vinos!$K$2:$K$301,MATCH($B509,Vinos!$A$2:$A$301,0))="","",$H509*INDEX(Vinos!$K$2:$K$301,MATCH($B509,Vinos!$A$2:$A$301,0))),""))</f>
        <v/>
      </c>
      <c r="M509" s="21">
        <f>IF(OR($A509="",$B509=""),"",SUMIFS($H$2:$H$2001,$A$2:$A$2001,$A509,$B$2:$B$2001,$B509))</f>
        <v/>
      </c>
      <c r="N509" s="20">
        <f>IF($M509="","",IF($M509&lt;=0,"Sin stock: reponer ya",IF($M509&lt;IFERROR(N(INDEX(Vinos!$N$2:$N$301,MATCH($B509,Vinos!$A$2:$A$301,0))),0),"Bajo mínimo: reponer","OK")))</f>
        <v/>
      </c>
      <c r="O509" s="14" t="n"/>
      <c r="P509" s="14" t="n"/>
      <c r="Q509" s="20">
        <f>IF($B509="","",IFERROR(INDEX(Vinos!$C$2:$C$301,MATCH($B509,Vinos!$A$2:$A$301,0)),""))</f>
        <v/>
      </c>
      <c r="R509" s="20">
        <f>IF(OR($A509="",$A509&lt;&gt;'Resumen del inventario'!$C$3,$N509="",$N509="OK"),"",IF(COUNTIFS($A$2:$A509,$A509,$B$2:$B509,$B509)=1,1,""))</f>
        <v/>
      </c>
      <c r="S509" s="20">
        <f>IF($R509=1,COUNTIF($R$2:$R509,1),"")</f>
        <v/>
      </c>
    </row>
    <row r="510">
      <c r="A510" s="19" t="n"/>
      <c r="B510" s="14" t="n"/>
      <c r="C510" s="20">
        <f>IF($B510="","",IFERROR(INDEX(Vinos!$B$2:$B$301,MATCH($B510,Vinos!$A$2:$A$301,0)),"Código no cargado"))</f>
        <v/>
      </c>
      <c r="D510" s="14" t="n"/>
      <c r="E510" s="14" t="n"/>
      <c r="F510" s="18" t="n"/>
      <c r="G510" s="18" t="n"/>
      <c r="H510" s="21">
        <f>IF(AND($F510="",$G510=""),"",N($F510)*IFERROR(N(INDEX(Vinos!$H$2:$H$301,MATCH($B510,Vinos!$A$2:$A$301,0))),0)+N($G510))</f>
        <v/>
      </c>
      <c r="I510" s="18" t="n"/>
      <c r="J510" s="21">
        <f>IF(OR($H510="",$I510=""),"",$H510-$I510)</f>
        <v/>
      </c>
      <c r="K510" s="16">
        <f>IF($H510="","",IFERROR(IF(INDEX(Vinos!$J$2:$J$301,MATCH($B510,Vinos!$A$2:$A$301,0))="","",$H510*INDEX(Vinos!$J$2:$J$301,MATCH($B510,Vinos!$A$2:$A$301,0))),""))</f>
        <v/>
      </c>
      <c r="L510" s="16">
        <f>IF($H510="","",IFERROR(IF(INDEX(Vinos!$K$2:$K$301,MATCH($B510,Vinos!$A$2:$A$301,0))="","",$H510*INDEX(Vinos!$K$2:$K$301,MATCH($B510,Vinos!$A$2:$A$301,0))),""))</f>
        <v/>
      </c>
      <c r="M510" s="21">
        <f>IF(OR($A510="",$B510=""),"",SUMIFS($H$2:$H$2001,$A$2:$A$2001,$A510,$B$2:$B$2001,$B510))</f>
        <v/>
      </c>
      <c r="N510" s="20">
        <f>IF($M510="","",IF($M510&lt;=0,"Sin stock: reponer ya",IF($M510&lt;IFERROR(N(INDEX(Vinos!$N$2:$N$301,MATCH($B510,Vinos!$A$2:$A$301,0))),0),"Bajo mínimo: reponer","OK")))</f>
        <v/>
      </c>
      <c r="O510" s="14" t="n"/>
      <c r="P510" s="14" t="n"/>
      <c r="Q510" s="20">
        <f>IF($B510="","",IFERROR(INDEX(Vinos!$C$2:$C$301,MATCH($B510,Vinos!$A$2:$A$301,0)),""))</f>
        <v/>
      </c>
      <c r="R510" s="20">
        <f>IF(OR($A510="",$A510&lt;&gt;'Resumen del inventario'!$C$3,$N510="",$N510="OK"),"",IF(COUNTIFS($A$2:$A510,$A510,$B$2:$B510,$B510)=1,1,""))</f>
        <v/>
      </c>
      <c r="S510" s="20">
        <f>IF($R510=1,COUNTIF($R$2:$R510,1),"")</f>
        <v/>
      </c>
    </row>
    <row r="511">
      <c r="A511" s="19" t="n"/>
      <c r="B511" s="14" t="n"/>
      <c r="C511" s="20">
        <f>IF($B511="","",IFERROR(INDEX(Vinos!$B$2:$B$301,MATCH($B511,Vinos!$A$2:$A$301,0)),"Código no cargado"))</f>
        <v/>
      </c>
      <c r="D511" s="14" t="n"/>
      <c r="E511" s="14" t="n"/>
      <c r="F511" s="18" t="n"/>
      <c r="G511" s="18" t="n"/>
      <c r="H511" s="21">
        <f>IF(AND($F511="",$G511=""),"",N($F511)*IFERROR(N(INDEX(Vinos!$H$2:$H$301,MATCH($B511,Vinos!$A$2:$A$301,0))),0)+N($G511))</f>
        <v/>
      </c>
      <c r="I511" s="18" t="n"/>
      <c r="J511" s="21">
        <f>IF(OR($H511="",$I511=""),"",$H511-$I511)</f>
        <v/>
      </c>
      <c r="K511" s="16">
        <f>IF($H511="","",IFERROR(IF(INDEX(Vinos!$J$2:$J$301,MATCH($B511,Vinos!$A$2:$A$301,0))="","",$H511*INDEX(Vinos!$J$2:$J$301,MATCH($B511,Vinos!$A$2:$A$301,0))),""))</f>
        <v/>
      </c>
      <c r="L511" s="16">
        <f>IF($H511="","",IFERROR(IF(INDEX(Vinos!$K$2:$K$301,MATCH($B511,Vinos!$A$2:$A$301,0))="","",$H511*INDEX(Vinos!$K$2:$K$301,MATCH($B511,Vinos!$A$2:$A$301,0))),""))</f>
        <v/>
      </c>
      <c r="M511" s="21">
        <f>IF(OR($A511="",$B511=""),"",SUMIFS($H$2:$H$2001,$A$2:$A$2001,$A511,$B$2:$B$2001,$B511))</f>
        <v/>
      </c>
      <c r="N511" s="20">
        <f>IF($M511="","",IF($M511&lt;=0,"Sin stock: reponer ya",IF($M511&lt;IFERROR(N(INDEX(Vinos!$N$2:$N$301,MATCH($B511,Vinos!$A$2:$A$301,0))),0),"Bajo mínimo: reponer","OK")))</f>
        <v/>
      </c>
      <c r="O511" s="14" t="n"/>
      <c r="P511" s="14" t="n"/>
      <c r="Q511" s="20">
        <f>IF($B511="","",IFERROR(INDEX(Vinos!$C$2:$C$301,MATCH($B511,Vinos!$A$2:$A$301,0)),""))</f>
        <v/>
      </c>
      <c r="R511" s="20">
        <f>IF(OR($A511="",$A511&lt;&gt;'Resumen del inventario'!$C$3,$N511="",$N511="OK"),"",IF(COUNTIFS($A$2:$A511,$A511,$B$2:$B511,$B511)=1,1,""))</f>
        <v/>
      </c>
      <c r="S511" s="20">
        <f>IF($R511=1,COUNTIF($R$2:$R511,1),"")</f>
        <v/>
      </c>
    </row>
    <row r="512">
      <c r="A512" s="19" t="n"/>
      <c r="B512" s="14" t="n"/>
      <c r="C512" s="20">
        <f>IF($B512="","",IFERROR(INDEX(Vinos!$B$2:$B$301,MATCH($B512,Vinos!$A$2:$A$301,0)),"Código no cargado"))</f>
        <v/>
      </c>
      <c r="D512" s="14" t="n"/>
      <c r="E512" s="14" t="n"/>
      <c r="F512" s="18" t="n"/>
      <c r="G512" s="18" t="n"/>
      <c r="H512" s="21">
        <f>IF(AND($F512="",$G512=""),"",N($F512)*IFERROR(N(INDEX(Vinos!$H$2:$H$301,MATCH($B512,Vinos!$A$2:$A$301,0))),0)+N($G512))</f>
        <v/>
      </c>
      <c r="I512" s="18" t="n"/>
      <c r="J512" s="21">
        <f>IF(OR($H512="",$I512=""),"",$H512-$I512)</f>
        <v/>
      </c>
      <c r="K512" s="16">
        <f>IF($H512="","",IFERROR(IF(INDEX(Vinos!$J$2:$J$301,MATCH($B512,Vinos!$A$2:$A$301,0))="","",$H512*INDEX(Vinos!$J$2:$J$301,MATCH($B512,Vinos!$A$2:$A$301,0))),""))</f>
        <v/>
      </c>
      <c r="L512" s="16">
        <f>IF($H512="","",IFERROR(IF(INDEX(Vinos!$K$2:$K$301,MATCH($B512,Vinos!$A$2:$A$301,0))="","",$H512*INDEX(Vinos!$K$2:$K$301,MATCH($B512,Vinos!$A$2:$A$301,0))),""))</f>
        <v/>
      </c>
      <c r="M512" s="21">
        <f>IF(OR($A512="",$B512=""),"",SUMIFS($H$2:$H$2001,$A$2:$A$2001,$A512,$B$2:$B$2001,$B512))</f>
        <v/>
      </c>
      <c r="N512" s="20">
        <f>IF($M512="","",IF($M512&lt;=0,"Sin stock: reponer ya",IF($M512&lt;IFERROR(N(INDEX(Vinos!$N$2:$N$301,MATCH($B512,Vinos!$A$2:$A$301,0))),0),"Bajo mínimo: reponer","OK")))</f>
        <v/>
      </c>
      <c r="O512" s="14" t="n"/>
      <c r="P512" s="14" t="n"/>
      <c r="Q512" s="20">
        <f>IF($B512="","",IFERROR(INDEX(Vinos!$C$2:$C$301,MATCH($B512,Vinos!$A$2:$A$301,0)),""))</f>
        <v/>
      </c>
      <c r="R512" s="20">
        <f>IF(OR($A512="",$A512&lt;&gt;'Resumen del inventario'!$C$3,$N512="",$N512="OK"),"",IF(COUNTIFS($A$2:$A512,$A512,$B$2:$B512,$B512)=1,1,""))</f>
        <v/>
      </c>
      <c r="S512" s="20">
        <f>IF($R512=1,COUNTIF($R$2:$R512,1),"")</f>
        <v/>
      </c>
    </row>
    <row r="513">
      <c r="A513" s="19" t="n"/>
      <c r="B513" s="14" t="n"/>
      <c r="C513" s="20">
        <f>IF($B513="","",IFERROR(INDEX(Vinos!$B$2:$B$301,MATCH($B513,Vinos!$A$2:$A$301,0)),"Código no cargado"))</f>
        <v/>
      </c>
      <c r="D513" s="14" t="n"/>
      <c r="E513" s="14" t="n"/>
      <c r="F513" s="18" t="n"/>
      <c r="G513" s="18" t="n"/>
      <c r="H513" s="21">
        <f>IF(AND($F513="",$G513=""),"",N($F513)*IFERROR(N(INDEX(Vinos!$H$2:$H$301,MATCH($B513,Vinos!$A$2:$A$301,0))),0)+N($G513))</f>
        <v/>
      </c>
      <c r="I513" s="18" t="n"/>
      <c r="J513" s="21">
        <f>IF(OR($H513="",$I513=""),"",$H513-$I513)</f>
        <v/>
      </c>
      <c r="K513" s="16">
        <f>IF($H513="","",IFERROR(IF(INDEX(Vinos!$J$2:$J$301,MATCH($B513,Vinos!$A$2:$A$301,0))="","",$H513*INDEX(Vinos!$J$2:$J$301,MATCH($B513,Vinos!$A$2:$A$301,0))),""))</f>
        <v/>
      </c>
      <c r="L513" s="16">
        <f>IF($H513="","",IFERROR(IF(INDEX(Vinos!$K$2:$K$301,MATCH($B513,Vinos!$A$2:$A$301,0))="","",$H513*INDEX(Vinos!$K$2:$K$301,MATCH($B513,Vinos!$A$2:$A$301,0))),""))</f>
        <v/>
      </c>
      <c r="M513" s="21">
        <f>IF(OR($A513="",$B513=""),"",SUMIFS($H$2:$H$2001,$A$2:$A$2001,$A513,$B$2:$B$2001,$B513))</f>
        <v/>
      </c>
      <c r="N513" s="20">
        <f>IF($M513="","",IF($M513&lt;=0,"Sin stock: reponer ya",IF($M513&lt;IFERROR(N(INDEX(Vinos!$N$2:$N$301,MATCH($B513,Vinos!$A$2:$A$301,0))),0),"Bajo mínimo: reponer","OK")))</f>
        <v/>
      </c>
      <c r="O513" s="14" t="n"/>
      <c r="P513" s="14" t="n"/>
      <c r="Q513" s="20">
        <f>IF($B513="","",IFERROR(INDEX(Vinos!$C$2:$C$301,MATCH($B513,Vinos!$A$2:$A$301,0)),""))</f>
        <v/>
      </c>
      <c r="R513" s="20">
        <f>IF(OR($A513="",$A513&lt;&gt;'Resumen del inventario'!$C$3,$N513="",$N513="OK"),"",IF(COUNTIFS($A$2:$A513,$A513,$B$2:$B513,$B513)=1,1,""))</f>
        <v/>
      </c>
      <c r="S513" s="20">
        <f>IF($R513=1,COUNTIF($R$2:$R513,1),"")</f>
        <v/>
      </c>
    </row>
    <row r="514">
      <c r="A514" s="19" t="n"/>
      <c r="B514" s="14" t="n"/>
      <c r="C514" s="20">
        <f>IF($B514="","",IFERROR(INDEX(Vinos!$B$2:$B$301,MATCH($B514,Vinos!$A$2:$A$301,0)),"Código no cargado"))</f>
        <v/>
      </c>
      <c r="D514" s="14" t="n"/>
      <c r="E514" s="14" t="n"/>
      <c r="F514" s="18" t="n"/>
      <c r="G514" s="18" t="n"/>
      <c r="H514" s="21">
        <f>IF(AND($F514="",$G514=""),"",N($F514)*IFERROR(N(INDEX(Vinos!$H$2:$H$301,MATCH($B514,Vinos!$A$2:$A$301,0))),0)+N($G514))</f>
        <v/>
      </c>
      <c r="I514" s="18" t="n"/>
      <c r="J514" s="21">
        <f>IF(OR($H514="",$I514=""),"",$H514-$I514)</f>
        <v/>
      </c>
      <c r="K514" s="16">
        <f>IF($H514="","",IFERROR(IF(INDEX(Vinos!$J$2:$J$301,MATCH($B514,Vinos!$A$2:$A$301,0))="","",$H514*INDEX(Vinos!$J$2:$J$301,MATCH($B514,Vinos!$A$2:$A$301,0))),""))</f>
        <v/>
      </c>
      <c r="L514" s="16">
        <f>IF($H514="","",IFERROR(IF(INDEX(Vinos!$K$2:$K$301,MATCH($B514,Vinos!$A$2:$A$301,0))="","",$H514*INDEX(Vinos!$K$2:$K$301,MATCH($B514,Vinos!$A$2:$A$301,0))),""))</f>
        <v/>
      </c>
      <c r="M514" s="21">
        <f>IF(OR($A514="",$B514=""),"",SUMIFS($H$2:$H$2001,$A$2:$A$2001,$A514,$B$2:$B$2001,$B514))</f>
        <v/>
      </c>
      <c r="N514" s="20">
        <f>IF($M514="","",IF($M514&lt;=0,"Sin stock: reponer ya",IF($M514&lt;IFERROR(N(INDEX(Vinos!$N$2:$N$301,MATCH($B514,Vinos!$A$2:$A$301,0))),0),"Bajo mínimo: reponer","OK")))</f>
        <v/>
      </c>
      <c r="O514" s="14" t="n"/>
      <c r="P514" s="14" t="n"/>
      <c r="Q514" s="20">
        <f>IF($B514="","",IFERROR(INDEX(Vinos!$C$2:$C$301,MATCH($B514,Vinos!$A$2:$A$301,0)),""))</f>
        <v/>
      </c>
      <c r="R514" s="20">
        <f>IF(OR($A514="",$A514&lt;&gt;'Resumen del inventario'!$C$3,$N514="",$N514="OK"),"",IF(COUNTIFS($A$2:$A514,$A514,$B$2:$B514,$B514)=1,1,""))</f>
        <v/>
      </c>
      <c r="S514" s="20">
        <f>IF($R514=1,COUNTIF($R$2:$R514,1),"")</f>
        <v/>
      </c>
    </row>
    <row r="515">
      <c r="A515" s="19" t="n"/>
      <c r="B515" s="14" t="n"/>
      <c r="C515" s="20">
        <f>IF($B515="","",IFERROR(INDEX(Vinos!$B$2:$B$301,MATCH($B515,Vinos!$A$2:$A$301,0)),"Código no cargado"))</f>
        <v/>
      </c>
      <c r="D515" s="14" t="n"/>
      <c r="E515" s="14" t="n"/>
      <c r="F515" s="18" t="n"/>
      <c r="G515" s="18" t="n"/>
      <c r="H515" s="21">
        <f>IF(AND($F515="",$G515=""),"",N($F515)*IFERROR(N(INDEX(Vinos!$H$2:$H$301,MATCH($B515,Vinos!$A$2:$A$301,0))),0)+N($G515))</f>
        <v/>
      </c>
      <c r="I515" s="18" t="n"/>
      <c r="J515" s="21">
        <f>IF(OR($H515="",$I515=""),"",$H515-$I515)</f>
        <v/>
      </c>
      <c r="K515" s="16">
        <f>IF($H515="","",IFERROR(IF(INDEX(Vinos!$J$2:$J$301,MATCH($B515,Vinos!$A$2:$A$301,0))="","",$H515*INDEX(Vinos!$J$2:$J$301,MATCH($B515,Vinos!$A$2:$A$301,0))),""))</f>
        <v/>
      </c>
      <c r="L515" s="16">
        <f>IF($H515="","",IFERROR(IF(INDEX(Vinos!$K$2:$K$301,MATCH($B515,Vinos!$A$2:$A$301,0))="","",$H515*INDEX(Vinos!$K$2:$K$301,MATCH($B515,Vinos!$A$2:$A$301,0))),""))</f>
        <v/>
      </c>
      <c r="M515" s="21">
        <f>IF(OR($A515="",$B515=""),"",SUMIFS($H$2:$H$2001,$A$2:$A$2001,$A515,$B$2:$B$2001,$B515))</f>
        <v/>
      </c>
      <c r="N515" s="20">
        <f>IF($M515="","",IF($M515&lt;=0,"Sin stock: reponer ya",IF($M515&lt;IFERROR(N(INDEX(Vinos!$N$2:$N$301,MATCH($B515,Vinos!$A$2:$A$301,0))),0),"Bajo mínimo: reponer","OK")))</f>
        <v/>
      </c>
      <c r="O515" s="14" t="n"/>
      <c r="P515" s="14" t="n"/>
      <c r="Q515" s="20">
        <f>IF($B515="","",IFERROR(INDEX(Vinos!$C$2:$C$301,MATCH($B515,Vinos!$A$2:$A$301,0)),""))</f>
        <v/>
      </c>
      <c r="R515" s="20">
        <f>IF(OR($A515="",$A515&lt;&gt;'Resumen del inventario'!$C$3,$N515="",$N515="OK"),"",IF(COUNTIFS($A$2:$A515,$A515,$B$2:$B515,$B515)=1,1,""))</f>
        <v/>
      </c>
      <c r="S515" s="20">
        <f>IF($R515=1,COUNTIF($R$2:$R515,1),"")</f>
        <v/>
      </c>
    </row>
    <row r="516">
      <c r="A516" s="19" t="n"/>
      <c r="B516" s="14" t="n"/>
      <c r="C516" s="20">
        <f>IF($B516="","",IFERROR(INDEX(Vinos!$B$2:$B$301,MATCH($B516,Vinos!$A$2:$A$301,0)),"Código no cargado"))</f>
        <v/>
      </c>
      <c r="D516" s="14" t="n"/>
      <c r="E516" s="14" t="n"/>
      <c r="F516" s="18" t="n"/>
      <c r="G516" s="18" t="n"/>
      <c r="H516" s="21">
        <f>IF(AND($F516="",$G516=""),"",N($F516)*IFERROR(N(INDEX(Vinos!$H$2:$H$301,MATCH($B516,Vinos!$A$2:$A$301,0))),0)+N($G516))</f>
        <v/>
      </c>
      <c r="I516" s="18" t="n"/>
      <c r="J516" s="21">
        <f>IF(OR($H516="",$I516=""),"",$H516-$I516)</f>
        <v/>
      </c>
      <c r="K516" s="16">
        <f>IF($H516="","",IFERROR(IF(INDEX(Vinos!$J$2:$J$301,MATCH($B516,Vinos!$A$2:$A$301,0))="","",$H516*INDEX(Vinos!$J$2:$J$301,MATCH($B516,Vinos!$A$2:$A$301,0))),""))</f>
        <v/>
      </c>
      <c r="L516" s="16">
        <f>IF($H516="","",IFERROR(IF(INDEX(Vinos!$K$2:$K$301,MATCH($B516,Vinos!$A$2:$A$301,0))="","",$H516*INDEX(Vinos!$K$2:$K$301,MATCH($B516,Vinos!$A$2:$A$301,0))),""))</f>
        <v/>
      </c>
      <c r="M516" s="21">
        <f>IF(OR($A516="",$B516=""),"",SUMIFS($H$2:$H$2001,$A$2:$A$2001,$A516,$B$2:$B$2001,$B516))</f>
        <v/>
      </c>
      <c r="N516" s="20">
        <f>IF($M516="","",IF($M516&lt;=0,"Sin stock: reponer ya",IF($M516&lt;IFERROR(N(INDEX(Vinos!$N$2:$N$301,MATCH($B516,Vinos!$A$2:$A$301,0))),0),"Bajo mínimo: reponer","OK")))</f>
        <v/>
      </c>
      <c r="O516" s="14" t="n"/>
      <c r="P516" s="14" t="n"/>
      <c r="Q516" s="20">
        <f>IF($B516="","",IFERROR(INDEX(Vinos!$C$2:$C$301,MATCH($B516,Vinos!$A$2:$A$301,0)),""))</f>
        <v/>
      </c>
      <c r="R516" s="20">
        <f>IF(OR($A516="",$A516&lt;&gt;'Resumen del inventario'!$C$3,$N516="",$N516="OK"),"",IF(COUNTIFS($A$2:$A516,$A516,$B$2:$B516,$B516)=1,1,""))</f>
        <v/>
      </c>
      <c r="S516" s="20">
        <f>IF($R516=1,COUNTIF($R$2:$R516,1),"")</f>
        <v/>
      </c>
    </row>
    <row r="517">
      <c r="A517" s="19" t="n"/>
      <c r="B517" s="14" t="n"/>
      <c r="C517" s="20">
        <f>IF($B517="","",IFERROR(INDEX(Vinos!$B$2:$B$301,MATCH($B517,Vinos!$A$2:$A$301,0)),"Código no cargado"))</f>
        <v/>
      </c>
      <c r="D517" s="14" t="n"/>
      <c r="E517" s="14" t="n"/>
      <c r="F517" s="18" t="n"/>
      <c r="G517" s="18" t="n"/>
      <c r="H517" s="21">
        <f>IF(AND($F517="",$G517=""),"",N($F517)*IFERROR(N(INDEX(Vinos!$H$2:$H$301,MATCH($B517,Vinos!$A$2:$A$301,0))),0)+N($G517))</f>
        <v/>
      </c>
      <c r="I517" s="18" t="n"/>
      <c r="J517" s="21">
        <f>IF(OR($H517="",$I517=""),"",$H517-$I517)</f>
        <v/>
      </c>
      <c r="K517" s="16">
        <f>IF($H517="","",IFERROR(IF(INDEX(Vinos!$J$2:$J$301,MATCH($B517,Vinos!$A$2:$A$301,0))="","",$H517*INDEX(Vinos!$J$2:$J$301,MATCH($B517,Vinos!$A$2:$A$301,0))),""))</f>
        <v/>
      </c>
      <c r="L517" s="16">
        <f>IF($H517="","",IFERROR(IF(INDEX(Vinos!$K$2:$K$301,MATCH($B517,Vinos!$A$2:$A$301,0))="","",$H517*INDEX(Vinos!$K$2:$K$301,MATCH($B517,Vinos!$A$2:$A$301,0))),""))</f>
        <v/>
      </c>
      <c r="M517" s="21">
        <f>IF(OR($A517="",$B517=""),"",SUMIFS($H$2:$H$2001,$A$2:$A$2001,$A517,$B$2:$B$2001,$B517))</f>
        <v/>
      </c>
      <c r="N517" s="20">
        <f>IF($M517="","",IF($M517&lt;=0,"Sin stock: reponer ya",IF($M517&lt;IFERROR(N(INDEX(Vinos!$N$2:$N$301,MATCH($B517,Vinos!$A$2:$A$301,0))),0),"Bajo mínimo: reponer","OK")))</f>
        <v/>
      </c>
      <c r="O517" s="14" t="n"/>
      <c r="P517" s="14" t="n"/>
      <c r="Q517" s="20">
        <f>IF($B517="","",IFERROR(INDEX(Vinos!$C$2:$C$301,MATCH($B517,Vinos!$A$2:$A$301,0)),""))</f>
        <v/>
      </c>
      <c r="R517" s="20">
        <f>IF(OR($A517="",$A517&lt;&gt;'Resumen del inventario'!$C$3,$N517="",$N517="OK"),"",IF(COUNTIFS($A$2:$A517,$A517,$B$2:$B517,$B517)=1,1,""))</f>
        <v/>
      </c>
      <c r="S517" s="20">
        <f>IF($R517=1,COUNTIF($R$2:$R517,1),"")</f>
        <v/>
      </c>
    </row>
    <row r="518">
      <c r="A518" s="19" t="n"/>
      <c r="B518" s="14" t="n"/>
      <c r="C518" s="20">
        <f>IF($B518="","",IFERROR(INDEX(Vinos!$B$2:$B$301,MATCH($B518,Vinos!$A$2:$A$301,0)),"Código no cargado"))</f>
        <v/>
      </c>
      <c r="D518" s="14" t="n"/>
      <c r="E518" s="14" t="n"/>
      <c r="F518" s="18" t="n"/>
      <c r="G518" s="18" t="n"/>
      <c r="H518" s="21">
        <f>IF(AND($F518="",$G518=""),"",N($F518)*IFERROR(N(INDEX(Vinos!$H$2:$H$301,MATCH($B518,Vinos!$A$2:$A$301,0))),0)+N($G518))</f>
        <v/>
      </c>
      <c r="I518" s="18" t="n"/>
      <c r="J518" s="21">
        <f>IF(OR($H518="",$I518=""),"",$H518-$I518)</f>
        <v/>
      </c>
      <c r="K518" s="16">
        <f>IF($H518="","",IFERROR(IF(INDEX(Vinos!$J$2:$J$301,MATCH($B518,Vinos!$A$2:$A$301,0))="","",$H518*INDEX(Vinos!$J$2:$J$301,MATCH($B518,Vinos!$A$2:$A$301,0))),""))</f>
        <v/>
      </c>
      <c r="L518" s="16">
        <f>IF($H518="","",IFERROR(IF(INDEX(Vinos!$K$2:$K$301,MATCH($B518,Vinos!$A$2:$A$301,0))="","",$H518*INDEX(Vinos!$K$2:$K$301,MATCH($B518,Vinos!$A$2:$A$301,0))),""))</f>
        <v/>
      </c>
      <c r="M518" s="21">
        <f>IF(OR($A518="",$B518=""),"",SUMIFS($H$2:$H$2001,$A$2:$A$2001,$A518,$B$2:$B$2001,$B518))</f>
        <v/>
      </c>
      <c r="N518" s="20">
        <f>IF($M518="","",IF($M518&lt;=0,"Sin stock: reponer ya",IF($M518&lt;IFERROR(N(INDEX(Vinos!$N$2:$N$301,MATCH($B518,Vinos!$A$2:$A$301,0))),0),"Bajo mínimo: reponer","OK")))</f>
        <v/>
      </c>
      <c r="O518" s="14" t="n"/>
      <c r="P518" s="14" t="n"/>
      <c r="Q518" s="20">
        <f>IF($B518="","",IFERROR(INDEX(Vinos!$C$2:$C$301,MATCH($B518,Vinos!$A$2:$A$301,0)),""))</f>
        <v/>
      </c>
      <c r="R518" s="20">
        <f>IF(OR($A518="",$A518&lt;&gt;'Resumen del inventario'!$C$3,$N518="",$N518="OK"),"",IF(COUNTIFS($A$2:$A518,$A518,$B$2:$B518,$B518)=1,1,""))</f>
        <v/>
      </c>
      <c r="S518" s="20">
        <f>IF($R518=1,COUNTIF($R$2:$R518,1),"")</f>
        <v/>
      </c>
    </row>
    <row r="519">
      <c r="A519" s="19" t="n"/>
      <c r="B519" s="14" t="n"/>
      <c r="C519" s="20">
        <f>IF($B519="","",IFERROR(INDEX(Vinos!$B$2:$B$301,MATCH($B519,Vinos!$A$2:$A$301,0)),"Código no cargado"))</f>
        <v/>
      </c>
      <c r="D519" s="14" t="n"/>
      <c r="E519" s="14" t="n"/>
      <c r="F519" s="18" t="n"/>
      <c r="G519" s="18" t="n"/>
      <c r="H519" s="21">
        <f>IF(AND($F519="",$G519=""),"",N($F519)*IFERROR(N(INDEX(Vinos!$H$2:$H$301,MATCH($B519,Vinos!$A$2:$A$301,0))),0)+N($G519))</f>
        <v/>
      </c>
      <c r="I519" s="18" t="n"/>
      <c r="J519" s="21">
        <f>IF(OR($H519="",$I519=""),"",$H519-$I519)</f>
        <v/>
      </c>
      <c r="K519" s="16">
        <f>IF($H519="","",IFERROR(IF(INDEX(Vinos!$J$2:$J$301,MATCH($B519,Vinos!$A$2:$A$301,0))="","",$H519*INDEX(Vinos!$J$2:$J$301,MATCH($B519,Vinos!$A$2:$A$301,0))),""))</f>
        <v/>
      </c>
      <c r="L519" s="16">
        <f>IF($H519="","",IFERROR(IF(INDEX(Vinos!$K$2:$K$301,MATCH($B519,Vinos!$A$2:$A$301,0))="","",$H519*INDEX(Vinos!$K$2:$K$301,MATCH($B519,Vinos!$A$2:$A$301,0))),""))</f>
        <v/>
      </c>
      <c r="M519" s="21">
        <f>IF(OR($A519="",$B519=""),"",SUMIFS($H$2:$H$2001,$A$2:$A$2001,$A519,$B$2:$B$2001,$B519))</f>
        <v/>
      </c>
      <c r="N519" s="20">
        <f>IF($M519="","",IF($M519&lt;=0,"Sin stock: reponer ya",IF($M519&lt;IFERROR(N(INDEX(Vinos!$N$2:$N$301,MATCH($B519,Vinos!$A$2:$A$301,0))),0),"Bajo mínimo: reponer","OK")))</f>
        <v/>
      </c>
      <c r="O519" s="14" t="n"/>
      <c r="P519" s="14" t="n"/>
      <c r="Q519" s="20">
        <f>IF($B519="","",IFERROR(INDEX(Vinos!$C$2:$C$301,MATCH($B519,Vinos!$A$2:$A$301,0)),""))</f>
        <v/>
      </c>
      <c r="R519" s="20">
        <f>IF(OR($A519="",$A519&lt;&gt;'Resumen del inventario'!$C$3,$N519="",$N519="OK"),"",IF(COUNTIFS($A$2:$A519,$A519,$B$2:$B519,$B519)=1,1,""))</f>
        <v/>
      </c>
      <c r="S519" s="20">
        <f>IF($R519=1,COUNTIF($R$2:$R519,1),"")</f>
        <v/>
      </c>
    </row>
    <row r="520">
      <c r="A520" s="19" t="n"/>
      <c r="B520" s="14" t="n"/>
      <c r="C520" s="20">
        <f>IF($B520="","",IFERROR(INDEX(Vinos!$B$2:$B$301,MATCH($B520,Vinos!$A$2:$A$301,0)),"Código no cargado"))</f>
        <v/>
      </c>
      <c r="D520" s="14" t="n"/>
      <c r="E520" s="14" t="n"/>
      <c r="F520" s="18" t="n"/>
      <c r="G520" s="18" t="n"/>
      <c r="H520" s="21">
        <f>IF(AND($F520="",$G520=""),"",N($F520)*IFERROR(N(INDEX(Vinos!$H$2:$H$301,MATCH($B520,Vinos!$A$2:$A$301,0))),0)+N($G520))</f>
        <v/>
      </c>
      <c r="I520" s="18" t="n"/>
      <c r="J520" s="21">
        <f>IF(OR($H520="",$I520=""),"",$H520-$I520)</f>
        <v/>
      </c>
      <c r="K520" s="16">
        <f>IF($H520="","",IFERROR(IF(INDEX(Vinos!$J$2:$J$301,MATCH($B520,Vinos!$A$2:$A$301,0))="","",$H520*INDEX(Vinos!$J$2:$J$301,MATCH($B520,Vinos!$A$2:$A$301,0))),""))</f>
        <v/>
      </c>
      <c r="L520" s="16">
        <f>IF($H520="","",IFERROR(IF(INDEX(Vinos!$K$2:$K$301,MATCH($B520,Vinos!$A$2:$A$301,0))="","",$H520*INDEX(Vinos!$K$2:$K$301,MATCH($B520,Vinos!$A$2:$A$301,0))),""))</f>
        <v/>
      </c>
      <c r="M520" s="21">
        <f>IF(OR($A520="",$B520=""),"",SUMIFS($H$2:$H$2001,$A$2:$A$2001,$A520,$B$2:$B$2001,$B520))</f>
        <v/>
      </c>
      <c r="N520" s="20">
        <f>IF($M520="","",IF($M520&lt;=0,"Sin stock: reponer ya",IF($M520&lt;IFERROR(N(INDEX(Vinos!$N$2:$N$301,MATCH($B520,Vinos!$A$2:$A$301,0))),0),"Bajo mínimo: reponer","OK")))</f>
        <v/>
      </c>
      <c r="O520" s="14" t="n"/>
      <c r="P520" s="14" t="n"/>
      <c r="Q520" s="20">
        <f>IF($B520="","",IFERROR(INDEX(Vinos!$C$2:$C$301,MATCH($B520,Vinos!$A$2:$A$301,0)),""))</f>
        <v/>
      </c>
      <c r="R520" s="20">
        <f>IF(OR($A520="",$A520&lt;&gt;'Resumen del inventario'!$C$3,$N520="",$N520="OK"),"",IF(COUNTIFS($A$2:$A520,$A520,$B$2:$B520,$B520)=1,1,""))</f>
        <v/>
      </c>
      <c r="S520" s="20">
        <f>IF($R520=1,COUNTIF($R$2:$R520,1),"")</f>
        <v/>
      </c>
    </row>
    <row r="521">
      <c r="A521" s="19" t="n"/>
      <c r="B521" s="14" t="n"/>
      <c r="C521" s="20">
        <f>IF($B521="","",IFERROR(INDEX(Vinos!$B$2:$B$301,MATCH($B521,Vinos!$A$2:$A$301,0)),"Código no cargado"))</f>
        <v/>
      </c>
      <c r="D521" s="14" t="n"/>
      <c r="E521" s="14" t="n"/>
      <c r="F521" s="18" t="n"/>
      <c r="G521" s="18" t="n"/>
      <c r="H521" s="21">
        <f>IF(AND($F521="",$G521=""),"",N($F521)*IFERROR(N(INDEX(Vinos!$H$2:$H$301,MATCH($B521,Vinos!$A$2:$A$301,0))),0)+N($G521))</f>
        <v/>
      </c>
      <c r="I521" s="18" t="n"/>
      <c r="J521" s="21">
        <f>IF(OR($H521="",$I521=""),"",$H521-$I521)</f>
        <v/>
      </c>
      <c r="K521" s="16">
        <f>IF($H521="","",IFERROR(IF(INDEX(Vinos!$J$2:$J$301,MATCH($B521,Vinos!$A$2:$A$301,0))="","",$H521*INDEX(Vinos!$J$2:$J$301,MATCH($B521,Vinos!$A$2:$A$301,0))),""))</f>
        <v/>
      </c>
      <c r="L521" s="16">
        <f>IF($H521="","",IFERROR(IF(INDEX(Vinos!$K$2:$K$301,MATCH($B521,Vinos!$A$2:$A$301,0))="","",$H521*INDEX(Vinos!$K$2:$K$301,MATCH($B521,Vinos!$A$2:$A$301,0))),""))</f>
        <v/>
      </c>
      <c r="M521" s="21">
        <f>IF(OR($A521="",$B521=""),"",SUMIFS($H$2:$H$2001,$A$2:$A$2001,$A521,$B$2:$B$2001,$B521))</f>
        <v/>
      </c>
      <c r="N521" s="20">
        <f>IF($M521="","",IF($M521&lt;=0,"Sin stock: reponer ya",IF($M521&lt;IFERROR(N(INDEX(Vinos!$N$2:$N$301,MATCH($B521,Vinos!$A$2:$A$301,0))),0),"Bajo mínimo: reponer","OK")))</f>
        <v/>
      </c>
      <c r="O521" s="14" t="n"/>
      <c r="P521" s="14" t="n"/>
      <c r="Q521" s="20">
        <f>IF($B521="","",IFERROR(INDEX(Vinos!$C$2:$C$301,MATCH($B521,Vinos!$A$2:$A$301,0)),""))</f>
        <v/>
      </c>
      <c r="R521" s="20">
        <f>IF(OR($A521="",$A521&lt;&gt;'Resumen del inventario'!$C$3,$N521="",$N521="OK"),"",IF(COUNTIFS($A$2:$A521,$A521,$B$2:$B521,$B521)=1,1,""))</f>
        <v/>
      </c>
      <c r="S521" s="20">
        <f>IF($R521=1,COUNTIF($R$2:$R521,1),"")</f>
        <v/>
      </c>
    </row>
    <row r="522">
      <c r="A522" s="19" t="n"/>
      <c r="B522" s="14" t="n"/>
      <c r="C522" s="20">
        <f>IF($B522="","",IFERROR(INDEX(Vinos!$B$2:$B$301,MATCH($B522,Vinos!$A$2:$A$301,0)),"Código no cargado"))</f>
        <v/>
      </c>
      <c r="D522" s="14" t="n"/>
      <c r="E522" s="14" t="n"/>
      <c r="F522" s="18" t="n"/>
      <c r="G522" s="18" t="n"/>
      <c r="H522" s="21">
        <f>IF(AND($F522="",$G522=""),"",N($F522)*IFERROR(N(INDEX(Vinos!$H$2:$H$301,MATCH($B522,Vinos!$A$2:$A$301,0))),0)+N($G522))</f>
        <v/>
      </c>
      <c r="I522" s="18" t="n"/>
      <c r="J522" s="21">
        <f>IF(OR($H522="",$I522=""),"",$H522-$I522)</f>
        <v/>
      </c>
      <c r="K522" s="16">
        <f>IF($H522="","",IFERROR(IF(INDEX(Vinos!$J$2:$J$301,MATCH($B522,Vinos!$A$2:$A$301,0))="","",$H522*INDEX(Vinos!$J$2:$J$301,MATCH($B522,Vinos!$A$2:$A$301,0))),""))</f>
        <v/>
      </c>
      <c r="L522" s="16">
        <f>IF($H522="","",IFERROR(IF(INDEX(Vinos!$K$2:$K$301,MATCH($B522,Vinos!$A$2:$A$301,0))="","",$H522*INDEX(Vinos!$K$2:$K$301,MATCH($B522,Vinos!$A$2:$A$301,0))),""))</f>
        <v/>
      </c>
      <c r="M522" s="21">
        <f>IF(OR($A522="",$B522=""),"",SUMIFS($H$2:$H$2001,$A$2:$A$2001,$A522,$B$2:$B$2001,$B522))</f>
        <v/>
      </c>
      <c r="N522" s="20">
        <f>IF($M522="","",IF($M522&lt;=0,"Sin stock: reponer ya",IF($M522&lt;IFERROR(N(INDEX(Vinos!$N$2:$N$301,MATCH($B522,Vinos!$A$2:$A$301,0))),0),"Bajo mínimo: reponer","OK")))</f>
        <v/>
      </c>
      <c r="O522" s="14" t="n"/>
      <c r="P522" s="14" t="n"/>
      <c r="Q522" s="20">
        <f>IF($B522="","",IFERROR(INDEX(Vinos!$C$2:$C$301,MATCH($B522,Vinos!$A$2:$A$301,0)),""))</f>
        <v/>
      </c>
      <c r="R522" s="20">
        <f>IF(OR($A522="",$A522&lt;&gt;'Resumen del inventario'!$C$3,$N522="",$N522="OK"),"",IF(COUNTIFS($A$2:$A522,$A522,$B$2:$B522,$B522)=1,1,""))</f>
        <v/>
      </c>
      <c r="S522" s="20">
        <f>IF($R522=1,COUNTIF($R$2:$R522,1),"")</f>
        <v/>
      </c>
    </row>
    <row r="523">
      <c r="A523" s="19" t="n"/>
      <c r="B523" s="14" t="n"/>
      <c r="C523" s="20">
        <f>IF($B523="","",IFERROR(INDEX(Vinos!$B$2:$B$301,MATCH($B523,Vinos!$A$2:$A$301,0)),"Código no cargado"))</f>
        <v/>
      </c>
      <c r="D523" s="14" t="n"/>
      <c r="E523" s="14" t="n"/>
      <c r="F523" s="18" t="n"/>
      <c r="G523" s="18" t="n"/>
      <c r="H523" s="21">
        <f>IF(AND($F523="",$G523=""),"",N($F523)*IFERROR(N(INDEX(Vinos!$H$2:$H$301,MATCH($B523,Vinos!$A$2:$A$301,0))),0)+N($G523))</f>
        <v/>
      </c>
      <c r="I523" s="18" t="n"/>
      <c r="J523" s="21">
        <f>IF(OR($H523="",$I523=""),"",$H523-$I523)</f>
        <v/>
      </c>
      <c r="K523" s="16">
        <f>IF($H523="","",IFERROR(IF(INDEX(Vinos!$J$2:$J$301,MATCH($B523,Vinos!$A$2:$A$301,0))="","",$H523*INDEX(Vinos!$J$2:$J$301,MATCH($B523,Vinos!$A$2:$A$301,0))),""))</f>
        <v/>
      </c>
      <c r="L523" s="16">
        <f>IF($H523="","",IFERROR(IF(INDEX(Vinos!$K$2:$K$301,MATCH($B523,Vinos!$A$2:$A$301,0))="","",$H523*INDEX(Vinos!$K$2:$K$301,MATCH($B523,Vinos!$A$2:$A$301,0))),""))</f>
        <v/>
      </c>
      <c r="M523" s="21">
        <f>IF(OR($A523="",$B523=""),"",SUMIFS($H$2:$H$2001,$A$2:$A$2001,$A523,$B$2:$B$2001,$B523))</f>
        <v/>
      </c>
      <c r="N523" s="20">
        <f>IF($M523="","",IF($M523&lt;=0,"Sin stock: reponer ya",IF($M523&lt;IFERROR(N(INDEX(Vinos!$N$2:$N$301,MATCH($B523,Vinos!$A$2:$A$301,0))),0),"Bajo mínimo: reponer","OK")))</f>
        <v/>
      </c>
      <c r="O523" s="14" t="n"/>
      <c r="P523" s="14" t="n"/>
      <c r="Q523" s="20">
        <f>IF($B523="","",IFERROR(INDEX(Vinos!$C$2:$C$301,MATCH($B523,Vinos!$A$2:$A$301,0)),""))</f>
        <v/>
      </c>
      <c r="R523" s="20">
        <f>IF(OR($A523="",$A523&lt;&gt;'Resumen del inventario'!$C$3,$N523="",$N523="OK"),"",IF(COUNTIFS($A$2:$A523,$A523,$B$2:$B523,$B523)=1,1,""))</f>
        <v/>
      </c>
      <c r="S523" s="20">
        <f>IF($R523=1,COUNTIF($R$2:$R523,1),"")</f>
        <v/>
      </c>
    </row>
    <row r="524">
      <c r="A524" s="19" t="n"/>
      <c r="B524" s="14" t="n"/>
      <c r="C524" s="20">
        <f>IF($B524="","",IFERROR(INDEX(Vinos!$B$2:$B$301,MATCH($B524,Vinos!$A$2:$A$301,0)),"Código no cargado"))</f>
        <v/>
      </c>
      <c r="D524" s="14" t="n"/>
      <c r="E524" s="14" t="n"/>
      <c r="F524" s="18" t="n"/>
      <c r="G524" s="18" t="n"/>
      <c r="H524" s="21">
        <f>IF(AND($F524="",$G524=""),"",N($F524)*IFERROR(N(INDEX(Vinos!$H$2:$H$301,MATCH($B524,Vinos!$A$2:$A$301,0))),0)+N($G524))</f>
        <v/>
      </c>
      <c r="I524" s="18" t="n"/>
      <c r="J524" s="21">
        <f>IF(OR($H524="",$I524=""),"",$H524-$I524)</f>
        <v/>
      </c>
      <c r="K524" s="16">
        <f>IF($H524="","",IFERROR(IF(INDEX(Vinos!$J$2:$J$301,MATCH($B524,Vinos!$A$2:$A$301,0))="","",$H524*INDEX(Vinos!$J$2:$J$301,MATCH($B524,Vinos!$A$2:$A$301,0))),""))</f>
        <v/>
      </c>
      <c r="L524" s="16">
        <f>IF($H524="","",IFERROR(IF(INDEX(Vinos!$K$2:$K$301,MATCH($B524,Vinos!$A$2:$A$301,0))="","",$H524*INDEX(Vinos!$K$2:$K$301,MATCH($B524,Vinos!$A$2:$A$301,0))),""))</f>
        <v/>
      </c>
      <c r="M524" s="21">
        <f>IF(OR($A524="",$B524=""),"",SUMIFS($H$2:$H$2001,$A$2:$A$2001,$A524,$B$2:$B$2001,$B524))</f>
        <v/>
      </c>
      <c r="N524" s="20">
        <f>IF($M524="","",IF($M524&lt;=0,"Sin stock: reponer ya",IF($M524&lt;IFERROR(N(INDEX(Vinos!$N$2:$N$301,MATCH($B524,Vinos!$A$2:$A$301,0))),0),"Bajo mínimo: reponer","OK")))</f>
        <v/>
      </c>
      <c r="O524" s="14" t="n"/>
      <c r="P524" s="14" t="n"/>
      <c r="Q524" s="20">
        <f>IF($B524="","",IFERROR(INDEX(Vinos!$C$2:$C$301,MATCH($B524,Vinos!$A$2:$A$301,0)),""))</f>
        <v/>
      </c>
      <c r="R524" s="20">
        <f>IF(OR($A524="",$A524&lt;&gt;'Resumen del inventario'!$C$3,$N524="",$N524="OK"),"",IF(COUNTIFS($A$2:$A524,$A524,$B$2:$B524,$B524)=1,1,""))</f>
        <v/>
      </c>
      <c r="S524" s="20">
        <f>IF($R524=1,COUNTIF($R$2:$R524,1),"")</f>
        <v/>
      </c>
    </row>
    <row r="525">
      <c r="A525" s="19" t="n"/>
      <c r="B525" s="14" t="n"/>
      <c r="C525" s="20">
        <f>IF($B525="","",IFERROR(INDEX(Vinos!$B$2:$B$301,MATCH($B525,Vinos!$A$2:$A$301,0)),"Código no cargado"))</f>
        <v/>
      </c>
      <c r="D525" s="14" t="n"/>
      <c r="E525" s="14" t="n"/>
      <c r="F525" s="18" t="n"/>
      <c r="G525" s="18" t="n"/>
      <c r="H525" s="21">
        <f>IF(AND($F525="",$G525=""),"",N($F525)*IFERROR(N(INDEX(Vinos!$H$2:$H$301,MATCH($B525,Vinos!$A$2:$A$301,0))),0)+N($G525))</f>
        <v/>
      </c>
      <c r="I525" s="18" t="n"/>
      <c r="J525" s="21">
        <f>IF(OR($H525="",$I525=""),"",$H525-$I525)</f>
        <v/>
      </c>
      <c r="K525" s="16">
        <f>IF($H525="","",IFERROR(IF(INDEX(Vinos!$J$2:$J$301,MATCH($B525,Vinos!$A$2:$A$301,0))="","",$H525*INDEX(Vinos!$J$2:$J$301,MATCH($B525,Vinos!$A$2:$A$301,0))),""))</f>
        <v/>
      </c>
      <c r="L525" s="16">
        <f>IF($H525="","",IFERROR(IF(INDEX(Vinos!$K$2:$K$301,MATCH($B525,Vinos!$A$2:$A$301,0))="","",$H525*INDEX(Vinos!$K$2:$K$301,MATCH($B525,Vinos!$A$2:$A$301,0))),""))</f>
        <v/>
      </c>
      <c r="M525" s="21">
        <f>IF(OR($A525="",$B525=""),"",SUMIFS($H$2:$H$2001,$A$2:$A$2001,$A525,$B$2:$B$2001,$B525))</f>
        <v/>
      </c>
      <c r="N525" s="20">
        <f>IF($M525="","",IF($M525&lt;=0,"Sin stock: reponer ya",IF($M525&lt;IFERROR(N(INDEX(Vinos!$N$2:$N$301,MATCH($B525,Vinos!$A$2:$A$301,0))),0),"Bajo mínimo: reponer","OK")))</f>
        <v/>
      </c>
      <c r="O525" s="14" t="n"/>
      <c r="P525" s="14" t="n"/>
      <c r="Q525" s="20">
        <f>IF($B525="","",IFERROR(INDEX(Vinos!$C$2:$C$301,MATCH($B525,Vinos!$A$2:$A$301,0)),""))</f>
        <v/>
      </c>
      <c r="R525" s="20">
        <f>IF(OR($A525="",$A525&lt;&gt;'Resumen del inventario'!$C$3,$N525="",$N525="OK"),"",IF(COUNTIFS($A$2:$A525,$A525,$B$2:$B525,$B525)=1,1,""))</f>
        <v/>
      </c>
      <c r="S525" s="20">
        <f>IF($R525=1,COUNTIF($R$2:$R525,1),"")</f>
        <v/>
      </c>
    </row>
    <row r="526">
      <c r="A526" s="19" t="n"/>
      <c r="B526" s="14" t="n"/>
      <c r="C526" s="20">
        <f>IF($B526="","",IFERROR(INDEX(Vinos!$B$2:$B$301,MATCH($B526,Vinos!$A$2:$A$301,0)),"Código no cargado"))</f>
        <v/>
      </c>
      <c r="D526" s="14" t="n"/>
      <c r="E526" s="14" t="n"/>
      <c r="F526" s="18" t="n"/>
      <c r="G526" s="18" t="n"/>
      <c r="H526" s="21">
        <f>IF(AND($F526="",$G526=""),"",N($F526)*IFERROR(N(INDEX(Vinos!$H$2:$H$301,MATCH($B526,Vinos!$A$2:$A$301,0))),0)+N($G526))</f>
        <v/>
      </c>
      <c r="I526" s="18" t="n"/>
      <c r="J526" s="21">
        <f>IF(OR($H526="",$I526=""),"",$H526-$I526)</f>
        <v/>
      </c>
      <c r="K526" s="16">
        <f>IF($H526="","",IFERROR(IF(INDEX(Vinos!$J$2:$J$301,MATCH($B526,Vinos!$A$2:$A$301,0))="","",$H526*INDEX(Vinos!$J$2:$J$301,MATCH($B526,Vinos!$A$2:$A$301,0))),""))</f>
        <v/>
      </c>
      <c r="L526" s="16">
        <f>IF($H526="","",IFERROR(IF(INDEX(Vinos!$K$2:$K$301,MATCH($B526,Vinos!$A$2:$A$301,0))="","",$H526*INDEX(Vinos!$K$2:$K$301,MATCH($B526,Vinos!$A$2:$A$301,0))),""))</f>
        <v/>
      </c>
      <c r="M526" s="21">
        <f>IF(OR($A526="",$B526=""),"",SUMIFS($H$2:$H$2001,$A$2:$A$2001,$A526,$B$2:$B$2001,$B526))</f>
        <v/>
      </c>
      <c r="N526" s="20">
        <f>IF($M526="","",IF($M526&lt;=0,"Sin stock: reponer ya",IF($M526&lt;IFERROR(N(INDEX(Vinos!$N$2:$N$301,MATCH($B526,Vinos!$A$2:$A$301,0))),0),"Bajo mínimo: reponer","OK")))</f>
        <v/>
      </c>
      <c r="O526" s="14" t="n"/>
      <c r="P526" s="14" t="n"/>
      <c r="Q526" s="20">
        <f>IF($B526="","",IFERROR(INDEX(Vinos!$C$2:$C$301,MATCH($B526,Vinos!$A$2:$A$301,0)),""))</f>
        <v/>
      </c>
      <c r="R526" s="20">
        <f>IF(OR($A526="",$A526&lt;&gt;'Resumen del inventario'!$C$3,$N526="",$N526="OK"),"",IF(COUNTIFS($A$2:$A526,$A526,$B$2:$B526,$B526)=1,1,""))</f>
        <v/>
      </c>
      <c r="S526" s="20">
        <f>IF($R526=1,COUNTIF($R$2:$R526,1),"")</f>
        <v/>
      </c>
    </row>
    <row r="527">
      <c r="A527" s="19" t="n"/>
      <c r="B527" s="14" t="n"/>
      <c r="C527" s="20">
        <f>IF($B527="","",IFERROR(INDEX(Vinos!$B$2:$B$301,MATCH($B527,Vinos!$A$2:$A$301,0)),"Código no cargado"))</f>
        <v/>
      </c>
      <c r="D527" s="14" t="n"/>
      <c r="E527" s="14" t="n"/>
      <c r="F527" s="18" t="n"/>
      <c r="G527" s="18" t="n"/>
      <c r="H527" s="21">
        <f>IF(AND($F527="",$G527=""),"",N($F527)*IFERROR(N(INDEX(Vinos!$H$2:$H$301,MATCH($B527,Vinos!$A$2:$A$301,0))),0)+N($G527))</f>
        <v/>
      </c>
      <c r="I527" s="18" t="n"/>
      <c r="J527" s="21">
        <f>IF(OR($H527="",$I527=""),"",$H527-$I527)</f>
        <v/>
      </c>
      <c r="K527" s="16">
        <f>IF($H527="","",IFERROR(IF(INDEX(Vinos!$J$2:$J$301,MATCH($B527,Vinos!$A$2:$A$301,0))="","",$H527*INDEX(Vinos!$J$2:$J$301,MATCH($B527,Vinos!$A$2:$A$301,0))),""))</f>
        <v/>
      </c>
      <c r="L527" s="16">
        <f>IF($H527="","",IFERROR(IF(INDEX(Vinos!$K$2:$K$301,MATCH($B527,Vinos!$A$2:$A$301,0))="","",$H527*INDEX(Vinos!$K$2:$K$301,MATCH($B527,Vinos!$A$2:$A$301,0))),""))</f>
        <v/>
      </c>
      <c r="M527" s="21">
        <f>IF(OR($A527="",$B527=""),"",SUMIFS($H$2:$H$2001,$A$2:$A$2001,$A527,$B$2:$B$2001,$B527))</f>
        <v/>
      </c>
      <c r="N527" s="20">
        <f>IF($M527="","",IF($M527&lt;=0,"Sin stock: reponer ya",IF($M527&lt;IFERROR(N(INDEX(Vinos!$N$2:$N$301,MATCH($B527,Vinos!$A$2:$A$301,0))),0),"Bajo mínimo: reponer","OK")))</f>
        <v/>
      </c>
      <c r="O527" s="14" t="n"/>
      <c r="P527" s="14" t="n"/>
      <c r="Q527" s="20">
        <f>IF($B527="","",IFERROR(INDEX(Vinos!$C$2:$C$301,MATCH($B527,Vinos!$A$2:$A$301,0)),""))</f>
        <v/>
      </c>
      <c r="R527" s="20">
        <f>IF(OR($A527="",$A527&lt;&gt;'Resumen del inventario'!$C$3,$N527="",$N527="OK"),"",IF(COUNTIFS($A$2:$A527,$A527,$B$2:$B527,$B527)=1,1,""))</f>
        <v/>
      </c>
      <c r="S527" s="20">
        <f>IF($R527=1,COUNTIF($R$2:$R527,1),"")</f>
        <v/>
      </c>
    </row>
    <row r="528">
      <c r="A528" s="19" t="n"/>
      <c r="B528" s="14" t="n"/>
      <c r="C528" s="20">
        <f>IF($B528="","",IFERROR(INDEX(Vinos!$B$2:$B$301,MATCH($B528,Vinos!$A$2:$A$301,0)),"Código no cargado"))</f>
        <v/>
      </c>
      <c r="D528" s="14" t="n"/>
      <c r="E528" s="14" t="n"/>
      <c r="F528" s="18" t="n"/>
      <c r="G528" s="18" t="n"/>
      <c r="H528" s="21">
        <f>IF(AND($F528="",$G528=""),"",N($F528)*IFERROR(N(INDEX(Vinos!$H$2:$H$301,MATCH($B528,Vinos!$A$2:$A$301,0))),0)+N($G528))</f>
        <v/>
      </c>
      <c r="I528" s="18" t="n"/>
      <c r="J528" s="21">
        <f>IF(OR($H528="",$I528=""),"",$H528-$I528)</f>
        <v/>
      </c>
      <c r="K528" s="16">
        <f>IF($H528="","",IFERROR(IF(INDEX(Vinos!$J$2:$J$301,MATCH($B528,Vinos!$A$2:$A$301,0))="","",$H528*INDEX(Vinos!$J$2:$J$301,MATCH($B528,Vinos!$A$2:$A$301,0))),""))</f>
        <v/>
      </c>
      <c r="L528" s="16">
        <f>IF($H528="","",IFERROR(IF(INDEX(Vinos!$K$2:$K$301,MATCH($B528,Vinos!$A$2:$A$301,0))="","",$H528*INDEX(Vinos!$K$2:$K$301,MATCH($B528,Vinos!$A$2:$A$301,0))),""))</f>
        <v/>
      </c>
      <c r="M528" s="21">
        <f>IF(OR($A528="",$B528=""),"",SUMIFS($H$2:$H$2001,$A$2:$A$2001,$A528,$B$2:$B$2001,$B528))</f>
        <v/>
      </c>
      <c r="N528" s="20">
        <f>IF($M528="","",IF($M528&lt;=0,"Sin stock: reponer ya",IF($M528&lt;IFERROR(N(INDEX(Vinos!$N$2:$N$301,MATCH($B528,Vinos!$A$2:$A$301,0))),0),"Bajo mínimo: reponer","OK")))</f>
        <v/>
      </c>
      <c r="O528" s="14" t="n"/>
      <c r="P528" s="14" t="n"/>
      <c r="Q528" s="20">
        <f>IF($B528="","",IFERROR(INDEX(Vinos!$C$2:$C$301,MATCH($B528,Vinos!$A$2:$A$301,0)),""))</f>
        <v/>
      </c>
      <c r="R528" s="20">
        <f>IF(OR($A528="",$A528&lt;&gt;'Resumen del inventario'!$C$3,$N528="",$N528="OK"),"",IF(COUNTIFS($A$2:$A528,$A528,$B$2:$B528,$B528)=1,1,""))</f>
        <v/>
      </c>
      <c r="S528" s="20">
        <f>IF($R528=1,COUNTIF($R$2:$R528,1),"")</f>
        <v/>
      </c>
    </row>
    <row r="529">
      <c r="A529" s="19" t="n"/>
      <c r="B529" s="14" t="n"/>
      <c r="C529" s="20">
        <f>IF($B529="","",IFERROR(INDEX(Vinos!$B$2:$B$301,MATCH($B529,Vinos!$A$2:$A$301,0)),"Código no cargado"))</f>
        <v/>
      </c>
      <c r="D529" s="14" t="n"/>
      <c r="E529" s="14" t="n"/>
      <c r="F529" s="18" t="n"/>
      <c r="G529" s="18" t="n"/>
      <c r="H529" s="21">
        <f>IF(AND($F529="",$G529=""),"",N($F529)*IFERROR(N(INDEX(Vinos!$H$2:$H$301,MATCH($B529,Vinos!$A$2:$A$301,0))),0)+N($G529))</f>
        <v/>
      </c>
      <c r="I529" s="18" t="n"/>
      <c r="J529" s="21">
        <f>IF(OR($H529="",$I529=""),"",$H529-$I529)</f>
        <v/>
      </c>
      <c r="K529" s="16">
        <f>IF($H529="","",IFERROR(IF(INDEX(Vinos!$J$2:$J$301,MATCH($B529,Vinos!$A$2:$A$301,0))="","",$H529*INDEX(Vinos!$J$2:$J$301,MATCH($B529,Vinos!$A$2:$A$301,0))),""))</f>
        <v/>
      </c>
      <c r="L529" s="16">
        <f>IF($H529="","",IFERROR(IF(INDEX(Vinos!$K$2:$K$301,MATCH($B529,Vinos!$A$2:$A$301,0))="","",$H529*INDEX(Vinos!$K$2:$K$301,MATCH($B529,Vinos!$A$2:$A$301,0))),""))</f>
        <v/>
      </c>
      <c r="M529" s="21">
        <f>IF(OR($A529="",$B529=""),"",SUMIFS($H$2:$H$2001,$A$2:$A$2001,$A529,$B$2:$B$2001,$B529))</f>
        <v/>
      </c>
      <c r="N529" s="20">
        <f>IF($M529="","",IF($M529&lt;=0,"Sin stock: reponer ya",IF($M529&lt;IFERROR(N(INDEX(Vinos!$N$2:$N$301,MATCH($B529,Vinos!$A$2:$A$301,0))),0),"Bajo mínimo: reponer","OK")))</f>
        <v/>
      </c>
      <c r="O529" s="14" t="n"/>
      <c r="P529" s="14" t="n"/>
      <c r="Q529" s="20">
        <f>IF($B529="","",IFERROR(INDEX(Vinos!$C$2:$C$301,MATCH($B529,Vinos!$A$2:$A$301,0)),""))</f>
        <v/>
      </c>
      <c r="R529" s="20">
        <f>IF(OR($A529="",$A529&lt;&gt;'Resumen del inventario'!$C$3,$N529="",$N529="OK"),"",IF(COUNTIFS($A$2:$A529,$A529,$B$2:$B529,$B529)=1,1,""))</f>
        <v/>
      </c>
      <c r="S529" s="20">
        <f>IF($R529=1,COUNTIF($R$2:$R529,1),"")</f>
        <v/>
      </c>
    </row>
    <row r="530">
      <c r="A530" s="19" t="n"/>
      <c r="B530" s="14" t="n"/>
      <c r="C530" s="20">
        <f>IF($B530="","",IFERROR(INDEX(Vinos!$B$2:$B$301,MATCH($B530,Vinos!$A$2:$A$301,0)),"Código no cargado"))</f>
        <v/>
      </c>
      <c r="D530" s="14" t="n"/>
      <c r="E530" s="14" t="n"/>
      <c r="F530" s="18" t="n"/>
      <c r="G530" s="18" t="n"/>
      <c r="H530" s="21">
        <f>IF(AND($F530="",$G530=""),"",N($F530)*IFERROR(N(INDEX(Vinos!$H$2:$H$301,MATCH($B530,Vinos!$A$2:$A$301,0))),0)+N($G530))</f>
        <v/>
      </c>
      <c r="I530" s="18" t="n"/>
      <c r="J530" s="21">
        <f>IF(OR($H530="",$I530=""),"",$H530-$I530)</f>
        <v/>
      </c>
      <c r="K530" s="16">
        <f>IF($H530="","",IFERROR(IF(INDEX(Vinos!$J$2:$J$301,MATCH($B530,Vinos!$A$2:$A$301,0))="","",$H530*INDEX(Vinos!$J$2:$J$301,MATCH($B530,Vinos!$A$2:$A$301,0))),""))</f>
        <v/>
      </c>
      <c r="L530" s="16">
        <f>IF($H530="","",IFERROR(IF(INDEX(Vinos!$K$2:$K$301,MATCH($B530,Vinos!$A$2:$A$301,0))="","",$H530*INDEX(Vinos!$K$2:$K$301,MATCH($B530,Vinos!$A$2:$A$301,0))),""))</f>
        <v/>
      </c>
      <c r="M530" s="21">
        <f>IF(OR($A530="",$B530=""),"",SUMIFS($H$2:$H$2001,$A$2:$A$2001,$A530,$B$2:$B$2001,$B530))</f>
        <v/>
      </c>
      <c r="N530" s="20">
        <f>IF($M530="","",IF($M530&lt;=0,"Sin stock: reponer ya",IF($M530&lt;IFERROR(N(INDEX(Vinos!$N$2:$N$301,MATCH($B530,Vinos!$A$2:$A$301,0))),0),"Bajo mínimo: reponer","OK")))</f>
        <v/>
      </c>
      <c r="O530" s="14" t="n"/>
      <c r="P530" s="14" t="n"/>
      <c r="Q530" s="20">
        <f>IF($B530="","",IFERROR(INDEX(Vinos!$C$2:$C$301,MATCH($B530,Vinos!$A$2:$A$301,0)),""))</f>
        <v/>
      </c>
      <c r="R530" s="20">
        <f>IF(OR($A530="",$A530&lt;&gt;'Resumen del inventario'!$C$3,$N530="",$N530="OK"),"",IF(COUNTIFS($A$2:$A530,$A530,$B$2:$B530,$B530)=1,1,""))</f>
        <v/>
      </c>
      <c r="S530" s="20">
        <f>IF($R530=1,COUNTIF($R$2:$R530,1),"")</f>
        <v/>
      </c>
    </row>
    <row r="531">
      <c r="A531" s="19" t="n"/>
      <c r="B531" s="14" t="n"/>
      <c r="C531" s="20">
        <f>IF($B531="","",IFERROR(INDEX(Vinos!$B$2:$B$301,MATCH($B531,Vinos!$A$2:$A$301,0)),"Código no cargado"))</f>
        <v/>
      </c>
      <c r="D531" s="14" t="n"/>
      <c r="E531" s="14" t="n"/>
      <c r="F531" s="18" t="n"/>
      <c r="G531" s="18" t="n"/>
      <c r="H531" s="21">
        <f>IF(AND($F531="",$G531=""),"",N($F531)*IFERROR(N(INDEX(Vinos!$H$2:$H$301,MATCH($B531,Vinos!$A$2:$A$301,0))),0)+N($G531))</f>
        <v/>
      </c>
      <c r="I531" s="18" t="n"/>
      <c r="J531" s="21">
        <f>IF(OR($H531="",$I531=""),"",$H531-$I531)</f>
        <v/>
      </c>
      <c r="K531" s="16">
        <f>IF($H531="","",IFERROR(IF(INDEX(Vinos!$J$2:$J$301,MATCH($B531,Vinos!$A$2:$A$301,0))="","",$H531*INDEX(Vinos!$J$2:$J$301,MATCH($B531,Vinos!$A$2:$A$301,0))),""))</f>
        <v/>
      </c>
      <c r="L531" s="16">
        <f>IF($H531="","",IFERROR(IF(INDEX(Vinos!$K$2:$K$301,MATCH($B531,Vinos!$A$2:$A$301,0))="","",$H531*INDEX(Vinos!$K$2:$K$301,MATCH($B531,Vinos!$A$2:$A$301,0))),""))</f>
        <v/>
      </c>
      <c r="M531" s="21">
        <f>IF(OR($A531="",$B531=""),"",SUMIFS($H$2:$H$2001,$A$2:$A$2001,$A531,$B$2:$B$2001,$B531))</f>
        <v/>
      </c>
      <c r="N531" s="20">
        <f>IF($M531="","",IF($M531&lt;=0,"Sin stock: reponer ya",IF($M531&lt;IFERROR(N(INDEX(Vinos!$N$2:$N$301,MATCH($B531,Vinos!$A$2:$A$301,0))),0),"Bajo mínimo: reponer","OK")))</f>
        <v/>
      </c>
      <c r="O531" s="14" t="n"/>
      <c r="P531" s="14" t="n"/>
      <c r="Q531" s="20">
        <f>IF($B531="","",IFERROR(INDEX(Vinos!$C$2:$C$301,MATCH($B531,Vinos!$A$2:$A$301,0)),""))</f>
        <v/>
      </c>
      <c r="R531" s="20">
        <f>IF(OR($A531="",$A531&lt;&gt;'Resumen del inventario'!$C$3,$N531="",$N531="OK"),"",IF(COUNTIFS($A$2:$A531,$A531,$B$2:$B531,$B531)=1,1,""))</f>
        <v/>
      </c>
      <c r="S531" s="20">
        <f>IF($R531=1,COUNTIF($R$2:$R531,1),"")</f>
        <v/>
      </c>
    </row>
    <row r="532">
      <c r="A532" s="19" t="n"/>
      <c r="B532" s="14" t="n"/>
      <c r="C532" s="20">
        <f>IF($B532="","",IFERROR(INDEX(Vinos!$B$2:$B$301,MATCH($B532,Vinos!$A$2:$A$301,0)),"Código no cargado"))</f>
        <v/>
      </c>
      <c r="D532" s="14" t="n"/>
      <c r="E532" s="14" t="n"/>
      <c r="F532" s="18" t="n"/>
      <c r="G532" s="18" t="n"/>
      <c r="H532" s="21">
        <f>IF(AND($F532="",$G532=""),"",N($F532)*IFERROR(N(INDEX(Vinos!$H$2:$H$301,MATCH($B532,Vinos!$A$2:$A$301,0))),0)+N($G532))</f>
        <v/>
      </c>
      <c r="I532" s="18" t="n"/>
      <c r="J532" s="21">
        <f>IF(OR($H532="",$I532=""),"",$H532-$I532)</f>
        <v/>
      </c>
      <c r="K532" s="16">
        <f>IF($H532="","",IFERROR(IF(INDEX(Vinos!$J$2:$J$301,MATCH($B532,Vinos!$A$2:$A$301,0))="","",$H532*INDEX(Vinos!$J$2:$J$301,MATCH($B532,Vinos!$A$2:$A$301,0))),""))</f>
        <v/>
      </c>
      <c r="L532" s="16">
        <f>IF($H532="","",IFERROR(IF(INDEX(Vinos!$K$2:$K$301,MATCH($B532,Vinos!$A$2:$A$301,0))="","",$H532*INDEX(Vinos!$K$2:$K$301,MATCH($B532,Vinos!$A$2:$A$301,0))),""))</f>
        <v/>
      </c>
      <c r="M532" s="21">
        <f>IF(OR($A532="",$B532=""),"",SUMIFS($H$2:$H$2001,$A$2:$A$2001,$A532,$B$2:$B$2001,$B532))</f>
        <v/>
      </c>
      <c r="N532" s="20">
        <f>IF($M532="","",IF($M532&lt;=0,"Sin stock: reponer ya",IF($M532&lt;IFERROR(N(INDEX(Vinos!$N$2:$N$301,MATCH($B532,Vinos!$A$2:$A$301,0))),0),"Bajo mínimo: reponer","OK")))</f>
        <v/>
      </c>
      <c r="O532" s="14" t="n"/>
      <c r="P532" s="14" t="n"/>
      <c r="Q532" s="20">
        <f>IF($B532="","",IFERROR(INDEX(Vinos!$C$2:$C$301,MATCH($B532,Vinos!$A$2:$A$301,0)),""))</f>
        <v/>
      </c>
      <c r="R532" s="20">
        <f>IF(OR($A532="",$A532&lt;&gt;'Resumen del inventario'!$C$3,$N532="",$N532="OK"),"",IF(COUNTIFS($A$2:$A532,$A532,$B$2:$B532,$B532)=1,1,""))</f>
        <v/>
      </c>
      <c r="S532" s="20">
        <f>IF($R532=1,COUNTIF($R$2:$R532,1),"")</f>
        <v/>
      </c>
    </row>
    <row r="533">
      <c r="A533" s="19" t="n"/>
      <c r="B533" s="14" t="n"/>
      <c r="C533" s="20">
        <f>IF($B533="","",IFERROR(INDEX(Vinos!$B$2:$B$301,MATCH($B533,Vinos!$A$2:$A$301,0)),"Código no cargado"))</f>
        <v/>
      </c>
      <c r="D533" s="14" t="n"/>
      <c r="E533" s="14" t="n"/>
      <c r="F533" s="18" t="n"/>
      <c r="G533" s="18" t="n"/>
      <c r="H533" s="21">
        <f>IF(AND($F533="",$G533=""),"",N($F533)*IFERROR(N(INDEX(Vinos!$H$2:$H$301,MATCH($B533,Vinos!$A$2:$A$301,0))),0)+N($G533))</f>
        <v/>
      </c>
      <c r="I533" s="18" t="n"/>
      <c r="J533" s="21">
        <f>IF(OR($H533="",$I533=""),"",$H533-$I533)</f>
        <v/>
      </c>
      <c r="K533" s="16">
        <f>IF($H533="","",IFERROR(IF(INDEX(Vinos!$J$2:$J$301,MATCH($B533,Vinos!$A$2:$A$301,0))="","",$H533*INDEX(Vinos!$J$2:$J$301,MATCH($B533,Vinos!$A$2:$A$301,0))),""))</f>
        <v/>
      </c>
      <c r="L533" s="16">
        <f>IF($H533="","",IFERROR(IF(INDEX(Vinos!$K$2:$K$301,MATCH($B533,Vinos!$A$2:$A$301,0))="","",$H533*INDEX(Vinos!$K$2:$K$301,MATCH($B533,Vinos!$A$2:$A$301,0))),""))</f>
        <v/>
      </c>
      <c r="M533" s="21">
        <f>IF(OR($A533="",$B533=""),"",SUMIFS($H$2:$H$2001,$A$2:$A$2001,$A533,$B$2:$B$2001,$B533))</f>
        <v/>
      </c>
      <c r="N533" s="20">
        <f>IF($M533="","",IF($M533&lt;=0,"Sin stock: reponer ya",IF($M533&lt;IFERROR(N(INDEX(Vinos!$N$2:$N$301,MATCH($B533,Vinos!$A$2:$A$301,0))),0),"Bajo mínimo: reponer","OK")))</f>
        <v/>
      </c>
      <c r="O533" s="14" t="n"/>
      <c r="P533" s="14" t="n"/>
      <c r="Q533" s="20">
        <f>IF($B533="","",IFERROR(INDEX(Vinos!$C$2:$C$301,MATCH($B533,Vinos!$A$2:$A$301,0)),""))</f>
        <v/>
      </c>
      <c r="R533" s="20">
        <f>IF(OR($A533="",$A533&lt;&gt;'Resumen del inventario'!$C$3,$N533="",$N533="OK"),"",IF(COUNTIFS($A$2:$A533,$A533,$B$2:$B533,$B533)=1,1,""))</f>
        <v/>
      </c>
      <c r="S533" s="20">
        <f>IF($R533=1,COUNTIF($R$2:$R533,1),"")</f>
        <v/>
      </c>
    </row>
    <row r="534">
      <c r="A534" s="19" t="n"/>
      <c r="B534" s="14" t="n"/>
      <c r="C534" s="20">
        <f>IF($B534="","",IFERROR(INDEX(Vinos!$B$2:$B$301,MATCH($B534,Vinos!$A$2:$A$301,0)),"Código no cargado"))</f>
        <v/>
      </c>
      <c r="D534" s="14" t="n"/>
      <c r="E534" s="14" t="n"/>
      <c r="F534" s="18" t="n"/>
      <c r="G534" s="18" t="n"/>
      <c r="H534" s="21">
        <f>IF(AND($F534="",$G534=""),"",N($F534)*IFERROR(N(INDEX(Vinos!$H$2:$H$301,MATCH($B534,Vinos!$A$2:$A$301,0))),0)+N($G534))</f>
        <v/>
      </c>
      <c r="I534" s="18" t="n"/>
      <c r="J534" s="21">
        <f>IF(OR($H534="",$I534=""),"",$H534-$I534)</f>
        <v/>
      </c>
      <c r="K534" s="16">
        <f>IF($H534="","",IFERROR(IF(INDEX(Vinos!$J$2:$J$301,MATCH($B534,Vinos!$A$2:$A$301,0))="","",$H534*INDEX(Vinos!$J$2:$J$301,MATCH($B534,Vinos!$A$2:$A$301,0))),""))</f>
        <v/>
      </c>
      <c r="L534" s="16">
        <f>IF($H534="","",IFERROR(IF(INDEX(Vinos!$K$2:$K$301,MATCH($B534,Vinos!$A$2:$A$301,0))="","",$H534*INDEX(Vinos!$K$2:$K$301,MATCH($B534,Vinos!$A$2:$A$301,0))),""))</f>
        <v/>
      </c>
      <c r="M534" s="21">
        <f>IF(OR($A534="",$B534=""),"",SUMIFS($H$2:$H$2001,$A$2:$A$2001,$A534,$B$2:$B$2001,$B534))</f>
        <v/>
      </c>
      <c r="N534" s="20">
        <f>IF($M534="","",IF($M534&lt;=0,"Sin stock: reponer ya",IF($M534&lt;IFERROR(N(INDEX(Vinos!$N$2:$N$301,MATCH($B534,Vinos!$A$2:$A$301,0))),0),"Bajo mínimo: reponer","OK")))</f>
        <v/>
      </c>
      <c r="O534" s="14" t="n"/>
      <c r="P534" s="14" t="n"/>
      <c r="Q534" s="20">
        <f>IF($B534="","",IFERROR(INDEX(Vinos!$C$2:$C$301,MATCH($B534,Vinos!$A$2:$A$301,0)),""))</f>
        <v/>
      </c>
      <c r="R534" s="20">
        <f>IF(OR($A534="",$A534&lt;&gt;'Resumen del inventario'!$C$3,$N534="",$N534="OK"),"",IF(COUNTIFS($A$2:$A534,$A534,$B$2:$B534,$B534)=1,1,""))</f>
        <v/>
      </c>
      <c r="S534" s="20">
        <f>IF($R534=1,COUNTIF($R$2:$R534,1),"")</f>
        <v/>
      </c>
    </row>
    <row r="535">
      <c r="A535" s="19" t="n"/>
      <c r="B535" s="14" t="n"/>
      <c r="C535" s="20">
        <f>IF($B535="","",IFERROR(INDEX(Vinos!$B$2:$B$301,MATCH($B535,Vinos!$A$2:$A$301,0)),"Código no cargado"))</f>
        <v/>
      </c>
      <c r="D535" s="14" t="n"/>
      <c r="E535" s="14" t="n"/>
      <c r="F535" s="18" t="n"/>
      <c r="G535" s="18" t="n"/>
      <c r="H535" s="21">
        <f>IF(AND($F535="",$G535=""),"",N($F535)*IFERROR(N(INDEX(Vinos!$H$2:$H$301,MATCH($B535,Vinos!$A$2:$A$301,0))),0)+N($G535))</f>
        <v/>
      </c>
      <c r="I535" s="18" t="n"/>
      <c r="J535" s="21">
        <f>IF(OR($H535="",$I535=""),"",$H535-$I535)</f>
        <v/>
      </c>
      <c r="K535" s="16">
        <f>IF($H535="","",IFERROR(IF(INDEX(Vinos!$J$2:$J$301,MATCH($B535,Vinos!$A$2:$A$301,0))="","",$H535*INDEX(Vinos!$J$2:$J$301,MATCH($B535,Vinos!$A$2:$A$301,0))),""))</f>
        <v/>
      </c>
      <c r="L535" s="16">
        <f>IF($H535="","",IFERROR(IF(INDEX(Vinos!$K$2:$K$301,MATCH($B535,Vinos!$A$2:$A$301,0))="","",$H535*INDEX(Vinos!$K$2:$K$301,MATCH($B535,Vinos!$A$2:$A$301,0))),""))</f>
        <v/>
      </c>
      <c r="M535" s="21">
        <f>IF(OR($A535="",$B535=""),"",SUMIFS($H$2:$H$2001,$A$2:$A$2001,$A535,$B$2:$B$2001,$B535))</f>
        <v/>
      </c>
      <c r="N535" s="20">
        <f>IF($M535="","",IF($M535&lt;=0,"Sin stock: reponer ya",IF($M535&lt;IFERROR(N(INDEX(Vinos!$N$2:$N$301,MATCH($B535,Vinos!$A$2:$A$301,0))),0),"Bajo mínimo: reponer","OK")))</f>
        <v/>
      </c>
      <c r="O535" s="14" t="n"/>
      <c r="P535" s="14" t="n"/>
      <c r="Q535" s="20">
        <f>IF($B535="","",IFERROR(INDEX(Vinos!$C$2:$C$301,MATCH($B535,Vinos!$A$2:$A$301,0)),""))</f>
        <v/>
      </c>
      <c r="R535" s="20">
        <f>IF(OR($A535="",$A535&lt;&gt;'Resumen del inventario'!$C$3,$N535="",$N535="OK"),"",IF(COUNTIFS($A$2:$A535,$A535,$B$2:$B535,$B535)=1,1,""))</f>
        <v/>
      </c>
      <c r="S535" s="20">
        <f>IF($R535=1,COUNTIF($R$2:$R535,1),"")</f>
        <v/>
      </c>
    </row>
    <row r="536">
      <c r="A536" s="19" t="n"/>
      <c r="B536" s="14" t="n"/>
      <c r="C536" s="20">
        <f>IF($B536="","",IFERROR(INDEX(Vinos!$B$2:$B$301,MATCH($B536,Vinos!$A$2:$A$301,0)),"Código no cargado"))</f>
        <v/>
      </c>
      <c r="D536" s="14" t="n"/>
      <c r="E536" s="14" t="n"/>
      <c r="F536" s="18" t="n"/>
      <c r="G536" s="18" t="n"/>
      <c r="H536" s="21">
        <f>IF(AND($F536="",$G536=""),"",N($F536)*IFERROR(N(INDEX(Vinos!$H$2:$H$301,MATCH($B536,Vinos!$A$2:$A$301,0))),0)+N($G536))</f>
        <v/>
      </c>
      <c r="I536" s="18" t="n"/>
      <c r="J536" s="21">
        <f>IF(OR($H536="",$I536=""),"",$H536-$I536)</f>
        <v/>
      </c>
      <c r="K536" s="16">
        <f>IF($H536="","",IFERROR(IF(INDEX(Vinos!$J$2:$J$301,MATCH($B536,Vinos!$A$2:$A$301,0))="","",$H536*INDEX(Vinos!$J$2:$J$301,MATCH($B536,Vinos!$A$2:$A$301,0))),""))</f>
        <v/>
      </c>
      <c r="L536" s="16">
        <f>IF($H536="","",IFERROR(IF(INDEX(Vinos!$K$2:$K$301,MATCH($B536,Vinos!$A$2:$A$301,0))="","",$H536*INDEX(Vinos!$K$2:$K$301,MATCH($B536,Vinos!$A$2:$A$301,0))),""))</f>
        <v/>
      </c>
      <c r="M536" s="21">
        <f>IF(OR($A536="",$B536=""),"",SUMIFS($H$2:$H$2001,$A$2:$A$2001,$A536,$B$2:$B$2001,$B536))</f>
        <v/>
      </c>
      <c r="N536" s="20">
        <f>IF($M536="","",IF($M536&lt;=0,"Sin stock: reponer ya",IF($M536&lt;IFERROR(N(INDEX(Vinos!$N$2:$N$301,MATCH($B536,Vinos!$A$2:$A$301,0))),0),"Bajo mínimo: reponer","OK")))</f>
        <v/>
      </c>
      <c r="O536" s="14" t="n"/>
      <c r="P536" s="14" t="n"/>
      <c r="Q536" s="20">
        <f>IF($B536="","",IFERROR(INDEX(Vinos!$C$2:$C$301,MATCH($B536,Vinos!$A$2:$A$301,0)),""))</f>
        <v/>
      </c>
      <c r="R536" s="20">
        <f>IF(OR($A536="",$A536&lt;&gt;'Resumen del inventario'!$C$3,$N536="",$N536="OK"),"",IF(COUNTIFS($A$2:$A536,$A536,$B$2:$B536,$B536)=1,1,""))</f>
        <v/>
      </c>
      <c r="S536" s="20">
        <f>IF($R536=1,COUNTIF($R$2:$R536,1),"")</f>
        <v/>
      </c>
    </row>
    <row r="537">
      <c r="A537" s="19" t="n"/>
      <c r="B537" s="14" t="n"/>
      <c r="C537" s="20">
        <f>IF($B537="","",IFERROR(INDEX(Vinos!$B$2:$B$301,MATCH($B537,Vinos!$A$2:$A$301,0)),"Código no cargado"))</f>
        <v/>
      </c>
      <c r="D537" s="14" t="n"/>
      <c r="E537" s="14" t="n"/>
      <c r="F537" s="18" t="n"/>
      <c r="G537" s="18" t="n"/>
      <c r="H537" s="21">
        <f>IF(AND($F537="",$G537=""),"",N($F537)*IFERROR(N(INDEX(Vinos!$H$2:$H$301,MATCH($B537,Vinos!$A$2:$A$301,0))),0)+N($G537))</f>
        <v/>
      </c>
      <c r="I537" s="18" t="n"/>
      <c r="J537" s="21">
        <f>IF(OR($H537="",$I537=""),"",$H537-$I537)</f>
        <v/>
      </c>
      <c r="K537" s="16">
        <f>IF($H537="","",IFERROR(IF(INDEX(Vinos!$J$2:$J$301,MATCH($B537,Vinos!$A$2:$A$301,0))="","",$H537*INDEX(Vinos!$J$2:$J$301,MATCH($B537,Vinos!$A$2:$A$301,0))),""))</f>
        <v/>
      </c>
      <c r="L537" s="16">
        <f>IF($H537="","",IFERROR(IF(INDEX(Vinos!$K$2:$K$301,MATCH($B537,Vinos!$A$2:$A$301,0))="","",$H537*INDEX(Vinos!$K$2:$K$301,MATCH($B537,Vinos!$A$2:$A$301,0))),""))</f>
        <v/>
      </c>
      <c r="M537" s="21">
        <f>IF(OR($A537="",$B537=""),"",SUMIFS($H$2:$H$2001,$A$2:$A$2001,$A537,$B$2:$B$2001,$B537))</f>
        <v/>
      </c>
      <c r="N537" s="20">
        <f>IF($M537="","",IF($M537&lt;=0,"Sin stock: reponer ya",IF($M537&lt;IFERROR(N(INDEX(Vinos!$N$2:$N$301,MATCH($B537,Vinos!$A$2:$A$301,0))),0),"Bajo mínimo: reponer","OK")))</f>
        <v/>
      </c>
      <c r="O537" s="14" t="n"/>
      <c r="P537" s="14" t="n"/>
      <c r="Q537" s="20">
        <f>IF($B537="","",IFERROR(INDEX(Vinos!$C$2:$C$301,MATCH($B537,Vinos!$A$2:$A$301,0)),""))</f>
        <v/>
      </c>
      <c r="R537" s="20">
        <f>IF(OR($A537="",$A537&lt;&gt;'Resumen del inventario'!$C$3,$N537="",$N537="OK"),"",IF(COUNTIFS($A$2:$A537,$A537,$B$2:$B537,$B537)=1,1,""))</f>
        <v/>
      </c>
      <c r="S537" s="20">
        <f>IF($R537=1,COUNTIF($R$2:$R537,1),"")</f>
        <v/>
      </c>
    </row>
    <row r="538">
      <c r="A538" s="19" t="n"/>
      <c r="B538" s="14" t="n"/>
      <c r="C538" s="20">
        <f>IF($B538="","",IFERROR(INDEX(Vinos!$B$2:$B$301,MATCH($B538,Vinos!$A$2:$A$301,0)),"Código no cargado"))</f>
        <v/>
      </c>
      <c r="D538" s="14" t="n"/>
      <c r="E538" s="14" t="n"/>
      <c r="F538" s="18" t="n"/>
      <c r="G538" s="18" t="n"/>
      <c r="H538" s="21">
        <f>IF(AND($F538="",$G538=""),"",N($F538)*IFERROR(N(INDEX(Vinos!$H$2:$H$301,MATCH($B538,Vinos!$A$2:$A$301,0))),0)+N($G538))</f>
        <v/>
      </c>
      <c r="I538" s="18" t="n"/>
      <c r="J538" s="21">
        <f>IF(OR($H538="",$I538=""),"",$H538-$I538)</f>
        <v/>
      </c>
      <c r="K538" s="16">
        <f>IF($H538="","",IFERROR(IF(INDEX(Vinos!$J$2:$J$301,MATCH($B538,Vinos!$A$2:$A$301,0))="","",$H538*INDEX(Vinos!$J$2:$J$301,MATCH($B538,Vinos!$A$2:$A$301,0))),""))</f>
        <v/>
      </c>
      <c r="L538" s="16">
        <f>IF($H538="","",IFERROR(IF(INDEX(Vinos!$K$2:$K$301,MATCH($B538,Vinos!$A$2:$A$301,0))="","",$H538*INDEX(Vinos!$K$2:$K$301,MATCH($B538,Vinos!$A$2:$A$301,0))),""))</f>
        <v/>
      </c>
      <c r="M538" s="21">
        <f>IF(OR($A538="",$B538=""),"",SUMIFS($H$2:$H$2001,$A$2:$A$2001,$A538,$B$2:$B$2001,$B538))</f>
        <v/>
      </c>
      <c r="N538" s="20">
        <f>IF($M538="","",IF($M538&lt;=0,"Sin stock: reponer ya",IF($M538&lt;IFERROR(N(INDEX(Vinos!$N$2:$N$301,MATCH($B538,Vinos!$A$2:$A$301,0))),0),"Bajo mínimo: reponer","OK")))</f>
        <v/>
      </c>
      <c r="O538" s="14" t="n"/>
      <c r="P538" s="14" t="n"/>
      <c r="Q538" s="20">
        <f>IF($B538="","",IFERROR(INDEX(Vinos!$C$2:$C$301,MATCH($B538,Vinos!$A$2:$A$301,0)),""))</f>
        <v/>
      </c>
      <c r="R538" s="20">
        <f>IF(OR($A538="",$A538&lt;&gt;'Resumen del inventario'!$C$3,$N538="",$N538="OK"),"",IF(COUNTIFS($A$2:$A538,$A538,$B$2:$B538,$B538)=1,1,""))</f>
        <v/>
      </c>
      <c r="S538" s="20">
        <f>IF($R538=1,COUNTIF($R$2:$R538,1),"")</f>
        <v/>
      </c>
    </row>
    <row r="539">
      <c r="A539" s="19" t="n"/>
      <c r="B539" s="14" t="n"/>
      <c r="C539" s="20">
        <f>IF($B539="","",IFERROR(INDEX(Vinos!$B$2:$B$301,MATCH($B539,Vinos!$A$2:$A$301,0)),"Código no cargado"))</f>
        <v/>
      </c>
      <c r="D539" s="14" t="n"/>
      <c r="E539" s="14" t="n"/>
      <c r="F539" s="18" t="n"/>
      <c r="G539" s="18" t="n"/>
      <c r="H539" s="21">
        <f>IF(AND($F539="",$G539=""),"",N($F539)*IFERROR(N(INDEX(Vinos!$H$2:$H$301,MATCH($B539,Vinos!$A$2:$A$301,0))),0)+N($G539))</f>
        <v/>
      </c>
      <c r="I539" s="18" t="n"/>
      <c r="J539" s="21">
        <f>IF(OR($H539="",$I539=""),"",$H539-$I539)</f>
        <v/>
      </c>
      <c r="K539" s="16">
        <f>IF($H539="","",IFERROR(IF(INDEX(Vinos!$J$2:$J$301,MATCH($B539,Vinos!$A$2:$A$301,0))="","",$H539*INDEX(Vinos!$J$2:$J$301,MATCH($B539,Vinos!$A$2:$A$301,0))),""))</f>
        <v/>
      </c>
      <c r="L539" s="16">
        <f>IF($H539="","",IFERROR(IF(INDEX(Vinos!$K$2:$K$301,MATCH($B539,Vinos!$A$2:$A$301,0))="","",$H539*INDEX(Vinos!$K$2:$K$301,MATCH($B539,Vinos!$A$2:$A$301,0))),""))</f>
        <v/>
      </c>
      <c r="M539" s="21">
        <f>IF(OR($A539="",$B539=""),"",SUMIFS($H$2:$H$2001,$A$2:$A$2001,$A539,$B$2:$B$2001,$B539))</f>
        <v/>
      </c>
      <c r="N539" s="20">
        <f>IF($M539="","",IF($M539&lt;=0,"Sin stock: reponer ya",IF($M539&lt;IFERROR(N(INDEX(Vinos!$N$2:$N$301,MATCH($B539,Vinos!$A$2:$A$301,0))),0),"Bajo mínimo: reponer","OK")))</f>
        <v/>
      </c>
      <c r="O539" s="14" t="n"/>
      <c r="P539" s="14" t="n"/>
      <c r="Q539" s="20">
        <f>IF($B539="","",IFERROR(INDEX(Vinos!$C$2:$C$301,MATCH($B539,Vinos!$A$2:$A$301,0)),""))</f>
        <v/>
      </c>
      <c r="R539" s="20">
        <f>IF(OR($A539="",$A539&lt;&gt;'Resumen del inventario'!$C$3,$N539="",$N539="OK"),"",IF(COUNTIFS($A$2:$A539,$A539,$B$2:$B539,$B539)=1,1,""))</f>
        <v/>
      </c>
      <c r="S539" s="20">
        <f>IF($R539=1,COUNTIF($R$2:$R539,1),"")</f>
        <v/>
      </c>
    </row>
    <row r="540">
      <c r="A540" s="19" t="n"/>
      <c r="B540" s="14" t="n"/>
      <c r="C540" s="20">
        <f>IF($B540="","",IFERROR(INDEX(Vinos!$B$2:$B$301,MATCH($B540,Vinos!$A$2:$A$301,0)),"Código no cargado"))</f>
        <v/>
      </c>
      <c r="D540" s="14" t="n"/>
      <c r="E540" s="14" t="n"/>
      <c r="F540" s="18" t="n"/>
      <c r="G540" s="18" t="n"/>
      <c r="H540" s="21">
        <f>IF(AND($F540="",$G540=""),"",N($F540)*IFERROR(N(INDEX(Vinos!$H$2:$H$301,MATCH($B540,Vinos!$A$2:$A$301,0))),0)+N($G540))</f>
        <v/>
      </c>
      <c r="I540" s="18" t="n"/>
      <c r="J540" s="21">
        <f>IF(OR($H540="",$I540=""),"",$H540-$I540)</f>
        <v/>
      </c>
      <c r="K540" s="16">
        <f>IF($H540="","",IFERROR(IF(INDEX(Vinos!$J$2:$J$301,MATCH($B540,Vinos!$A$2:$A$301,0))="","",$H540*INDEX(Vinos!$J$2:$J$301,MATCH($B540,Vinos!$A$2:$A$301,0))),""))</f>
        <v/>
      </c>
      <c r="L540" s="16">
        <f>IF($H540="","",IFERROR(IF(INDEX(Vinos!$K$2:$K$301,MATCH($B540,Vinos!$A$2:$A$301,0))="","",$H540*INDEX(Vinos!$K$2:$K$301,MATCH($B540,Vinos!$A$2:$A$301,0))),""))</f>
        <v/>
      </c>
      <c r="M540" s="21">
        <f>IF(OR($A540="",$B540=""),"",SUMIFS($H$2:$H$2001,$A$2:$A$2001,$A540,$B$2:$B$2001,$B540))</f>
        <v/>
      </c>
      <c r="N540" s="20">
        <f>IF($M540="","",IF($M540&lt;=0,"Sin stock: reponer ya",IF($M540&lt;IFERROR(N(INDEX(Vinos!$N$2:$N$301,MATCH($B540,Vinos!$A$2:$A$301,0))),0),"Bajo mínimo: reponer","OK")))</f>
        <v/>
      </c>
      <c r="O540" s="14" t="n"/>
      <c r="P540" s="14" t="n"/>
      <c r="Q540" s="20">
        <f>IF($B540="","",IFERROR(INDEX(Vinos!$C$2:$C$301,MATCH($B540,Vinos!$A$2:$A$301,0)),""))</f>
        <v/>
      </c>
      <c r="R540" s="20">
        <f>IF(OR($A540="",$A540&lt;&gt;'Resumen del inventario'!$C$3,$N540="",$N540="OK"),"",IF(COUNTIFS($A$2:$A540,$A540,$B$2:$B540,$B540)=1,1,""))</f>
        <v/>
      </c>
      <c r="S540" s="20">
        <f>IF($R540=1,COUNTIF($R$2:$R540,1),"")</f>
        <v/>
      </c>
    </row>
    <row r="541">
      <c r="A541" s="19" t="n"/>
      <c r="B541" s="14" t="n"/>
      <c r="C541" s="20">
        <f>IF($B541="","",IFERROR(INDEX(Vinos!$B$2:$B$301,MATCH($B541,Vinos!$A$2:$A$301,0)),"Código no cargado"))</f>
        <v/>
      </c>
      <c r="D541" s="14" t="n"/>
      <c r="E541" s="14" t="n"/>
      <c r="F541" s="18" t="n"/>
      <c r="G541" s="18" t="n"/>
      <c r="H541" s="21">
        <f>IF(AND($F541="",$G541=""),"",N($F541)*IFERROR(N(INDEX(Vinos!$H$2:$H$301,MATCH($B541,Vinos!$A$2:$A$301,0))),0)+N($G541))</f>
        <v/>
      </c>
      <c r="I541" s="18" t="n"/>
      <c r="J541" s="21">
        <f>IF(OR($H541="",$I541=""),"",$H541-$I541)</f>
        <v/>
      </c>
      <c r="K541" s="16">
        <f>IF($H541="","",IFERROR(IF(INDEX(Vinos!$J$2:$J$301,MATCH($B541,Vinos!$A$2:$A$301,0))="","",$H541*INDEX(Vinos!$J$2:$J$301,MATCH($B541,Vinos!$A$2:$A$301,0))),""))</f>
        <v/>
      </c>
      <c r="L541" s="16">
        <f>IF($H541="","",IFERROR(IF(INDEX(Vinos!$K$2:$K$301,MATCH($B541,Vinos!$A$2:$A$301,0))="","",$H541*INDEX(Vinos!$K$2:$K$301,MATCH($B541,Vinos!$A$2:$A$301,0))),""))</f>
        <v/>
      </c>
      <c r="M541" s="21">
        <f>IF(OR($A541="",$B541=""),"",SUMIFS($H$2:$H$2001,$A$2:$A$2001,$A541,$B$2:$B$2001,$B541))</f>
        <v/>
      </c>
      <c r="N541" s="20">
        <f>IF($M541="","",IF($M541&lt;=0,"Sin stock: reponer ya",IF($M541&lt;IFERROR(N(INDEX(Vinos!$N$2:$N$301,MATCH($B541,Vinos!$A$2:$A$301,0))),0),"Bajo mínimo: reponer","OK")))</f>
        <v/>
      </c>
      <c r="O541" s="14" t="n"/>
      <c r="P541" s="14" t="n"/>
      <c r="Q541" s="20">
        <f>IF($B541="","",IFERROR(INDEX(Vinos!$C$2:$C$301,MATCH($B541,Vinos!$A$2:$A$301,0)),""))</f>
        <v/>
      </c>
      <c r="R541" s="20">
        <f>IF(OR($A541="",$A541&lt;&gt;'Resumen del inventario'!$C$3,$N541="",$N541="OK"),"",IF(COUNTIFS($A$2:$A541,$A541,$B$2:$B541,$B541)=1,1,""))</f>
        <v/>
      </c>
      <c r="S541" s="20">
        <f>IF($R541=1,COUNTIF($R$2:$R541,1),"")</f>
        <v/>
      </c>
    </row>
    <row r="542">
      <c r="A542" s="19" t="n"/>
      <c r="B542" s="14" t="n"/>
      <c r="C542" s="20">
        <f>IF($B542="","",IFERROR(INDEX(Vinos!$B$2:$B$301,MATCH($B542,Vinos!$A$2:$A$301,0)),"Código no cargado"))</f>
        <v/>
      </c>
      <c r="D542" s="14" t="n"/>
      <c r="E542" s="14" t="n"/>
      <c r="F542" s="18" t="n"/>
      <c r="G542" s="18" t="n"/>
      <c r="H542" s="21">
        <f>IF(AND($F542="",$G542=""),"",N($F542)*IFERROR(N(INDEX(Vinos!$H$2:$H$301,MATCH($B542,Vinos!$A$2:$A$301,0))),0)+N($G542))</f>
        <v/>
      </c>
      <c r="I542" s="18" t="n"/>
      <c r="J542" s="21">
        <f>IF(OR($H542="",$I542=""),"",$H542-$I542)</f>
        <v/>
      </c>
      <c r="K542" s="16">
        <f>IF($H542="","",IFERROR(IF(INDEX(Vinos!$J$2:$J$301,MATCH($B542,Vinos!$A$2:$A$301,0))="","",$H542*INDEX(Vinos!$J$2:$J$301,MATCH($B542,Vinos!$A$2:$A$301,0))),""))</f>
        <v/>
      </c>
      <c r="L542" s="16">
        <f>IF($H542="","",IFERROR(IF(INDEX(Vinos!$K$2:$K$301,MATCH($B542,Vinos!$A$2:$A$301,0))="","",$H542*INDEX(Vinos!$K$2:$K$301,MATCH($B542,Vinos!$A$2:$A$301,0))),""))</f>
        <v/>
      </c>
      <c r="M542" s="21">
        <f>IF(OR($A542="",$B542=""),"",SUMIFS($H$2:$H$2001,$A$2:$A$2001,$A542,$B$2:$B$2001,$B542))</f>
        <v/>
      </c>
      <c r="N542" s="20">
        <f>IF($M542="","",IF($M542&lt;=0,"Sin stock: reponer ya",IF($M542&lt;IFERROR(N(INDEX(Vinos!$N$2:$N$301,MATCH($B542,Vinos!$A$2:$A$301,0))),0),"Bajo mínimo: reponer","OK")))</f>
        <v/>
      </c>
      <c r="O542" s="14" t="n"/>
      <c r="P542" s="14" t="n"/>
      <c r="Q542" s="20">
        <f>IF($B542="","",IFERROR(INDEX(Vinos!$C$2:$C$301,MATCH($B542,Vinos!$A$2:$A$301,0)),""))</f>
        <v/>
      </c>
      <c r="R542" s="20">
        <f>IF(OR($A542="",$A542&lt;&gt;'Resumen del inventario'!$C$3,$N542="",$N542="OK"),"",IF(COUNTIFS($A$2:$A542,$A542,$B$2:$B542,$B542)=1,1,""))</f>
        <v/>
      </c>
      <c r="S542" s="20">
        <f>IF($R542=1,COUNTIF($R$2:$R542,1),"")</f>
        <v/>
      </c>
    </row>
    <row r="543">
      <c r="A543" s="19" t="n"/>
      <c r="B543" s="14" t="n"/>
      <c r="C543" s="20">
        <f>IF($B543="","",IFERROR(INDEX(Vinos!$B$2:$B$301,MATCH($B543,Vinos!$A$2:$A$301,0)),"Código no cargado"))</f>
        <v/>
      </c>
      <c r="D543" s="14" t="n"/>
      <c r="E543" s="14" t="n"/>
      <c r="F543" s="18" t="n"/>
      <c r="G543" s="18" t="n"/>
      <c r="H543" s="21">
        <f>IF(AND($F543="",$G543=""),"",N($F543)*IFERROR(N(INDEX(Vinos!$H$2:$H$301,MATCH($B543,Vinos!$A$2:$A$301,0))),0)+N($G543))</f>
        <v/>
      </c>
      <c r="I543" s="18" t="n"/>
      <c r="J543" s="21">
        <f>IF(OR($H543="",$I543=""),"",$H543-$I543)</f>
        <v/>
      </c>
      <c r="K543" s="16">
        <f>IF($H543="","",IFERROR(IF(INDEX(Vinos!$J$2:$J$301,MATCH($B543,Vinos!$A$2:$A$301,0))="","",$H543*INDEX(Vinos!$J$2:$J$301,MATCH($B543,Vinos!$A$2:$A$301,0))),""))</f>
        <v/>
      </c>
      <c r="L543" s="16">
        <f>IF($H543="","",IFERROR(IF(INDEX(Vinos!$K$2:$K$301,MATCH($B543,Vinos!$A$2:$A$301,0))="","",$H543*INDEX(Vinos!$K$2:$K$301,MATCH($B543,Vinos!$A$2:$A$301,0))),""))</f>
        <v/>
      </c>
      <c r="M543" s="21">
        <f>IF(OR($A543="",$B543=""),"",SUMIFS($H$2:$H$2001,$A$2:$A$2001,$A543,$B$2:$B$2001,$B543))</f>
        <v/>
      </c>
      <c r="N543" s="20">
        <f>IF($M543="","",IF($M543&lt;=0,"Sin stock: reponer ya",IF($M543&lt;IFERROR(N(INDEX(Vinos!$N$2:$N$301,MATCH($B543,Vinos!$A$2:$A$301,0))),0),"Bajo mínimo: reponer","OK")))</f>
        <v/>
      </c>
      <c r="O543" s="14" t="n"/>
      <c r="P543" s="14" t="n"/>
      <c r="Q543" s="20">
        <f>IF($B543="","",IFERROR(INDEX(Vinos!$C$2:$C$301,MATCH($B543,Vinos!$A$2:$A$301,0)),""))</f>
        <v/>
      </c>
      <c r="R543" s="20">
        <f>IF(OR($A543="",$A543&lt;&gt;'Resumen del inventario'!$C$3,$N543="",$N543="OK"),"",IF(COUNTIFS($A$2:$A543,$A543,$B$2:$B543,$B543)=1,1,""))</f>
        <v/>
      </c>
      <c r="S543" s="20">
        <f>IF($R543=1,COUNTIF($R$2:$R543,1),"")</f>
        <v/>
      </c>
    </row>
    <row r="544">
      <c r="A544" s="19" t="n"/>
      <c r="B544" s="14" t="n"/>
      <c r="C544" s="20">
        <f>IF($B544="","",IFERROR(INDEX(Vinos!$B$2:$B$301,MATCH($B544,Vinos!$A$2:$A$301,0)),"Código no cargado"))</f>
        <v/>
      </c>
      <c r="D544" s="14" t="n"/>
      <c r="E544" s="14" t="n"/>
      <c r="F544" s="18" t="n"/>
      <c r="G544" s="18" t="n"/>
      <c r="H544" s="21">
        <f>IF(AND($F544="",$G544=""),"",N($F544)*IFERROR(N(INDEX(Vinos!$H$2:$H$301,MATCH($B544,Vinos!$A$2:$A$301,0))),0)+N($G544))</f>
        <v/>
      </c>
      <c r="I544" s="18" t="n"/>
      <c r="J544" s="21">
        <f>IF(OR($H544="",$I544=""),"",$H544-$I544)</f>
        <v/>
      </c>
      <c r="K544" s="16">
        <f>IF($H544="","",IFERROR(IF(INDEX(Vinos!$J$2:$J$301,MATCH($B544,Vinos!$A$2:$A$301,0))="","",$H544*INDEX(Vinos!$J$2:$J$301,MATCH($B544,Vinos!$A$2:$A$301,0))),""))</f>
        <v/>
      </c>
      <c r="L544" s="16">
        <f>IF($H544="","",IFERROR(IF(INDEX(Vinos!$K$2:$K$301,MATCH($B544,Vinos!$A$2:$A$301,0))="","",$H544*INDEX(Vinos!$K$2:$K$301,MATCH($B544,Vinos!$A$2:$A$301,0))),""))</f>
        <v/>
      </c>
      <c r="M544" s="21">
        <f>IF(OR($A544="",$B544=""),"",SUMIFS($H$2:$H$2001,$A$2:$A$2001,$A544,$B$2:$B$2001,$B544))</f>
        <v/>
      </c>
      <c r="N544" s="20">
        <f>IF($M544="","",IF($M544&lt;=0,"Sin stock: reponer ya",IF($M544&lt;IFERROR(N(INDEX(Vinos!$N$2:$N$301,MATCH($B544,Vinos!$A$2:$A$301,0))),0),"Bajo mínimo: reponer","OK")))</f>
        <v/>
      </c>
      <c r="O544" s="14" t="n"/>
      <c r="P544" s="14" t="n"/>
      <c r="Q544" s="20">
        <f>IF($B544="","",IFERROR(INDEX(Vinos!$C$2:$C$301,MATCH($B544,Vinos!$A$2:$A$301,0)),""))</f>
        <v/>
      </c>
      <c r="R544" s="20">
        <f>IF(OR($A544="",$A544&lt;&gt;'Resumen del inventario'!$C$3,$N544="",$N544="OK"),"",IF(COUNTIFS($A$2:$A544,$A544,$B$2:$B544,$B544)=1,1,""))</f>
        <v/>
      </c>
      <c r="S544" s="20">
        <f>IF($R544=1,COUNTIF($R$2:$R544,1),"")</f>
        <v/>
      </c>
    </row>
    <row r="545">
      <c r="A545" s="19" t="n"/>
      <c r="B545" s="14" t="n"/>
      <c r="C545" s="20">
        <f>IF($B545="","",IFERROR(INDEX(Vinos!$B$2:$B$301,MATCH($B545,Vinos!$A$2:$A$301,0)),"Código no cargado"))</f>
        <v/>
      </c>
      <c r="D545" s="14" t="n"/>
      <c r="E545" s="14" t="n"/>
      <c r="F545" s="18" t="n"/>
      <c r="G545" s="18" t="n"/>
      <c r="H545" s="21">
        <f>IF(AND($F545="",$G545=""),"",N($F545)*IFERROR(N(INDEX(Vinos!$H$2:$H$301,MATCH($B545,Vinos!$A$2:$A$301,0))),0)+N($G545))</f>
        <v/>
      </c>
      <c r="I545" s="18" t="n"/>
      <c r="J545" s="21">
        <f>IF(OR($H545="",$I545=""),"",$H545-$I545)</f>
        <v/>
      </c>
      <c r="K545" s="16">
        <f>IF($H545="","",IFERROR(IF(INDEX(Vinos!$J$2:$J$301,MATCH($B545,Vinos!$A$2:$A$301,0))="","",$H545*INDEX(Vinos!$J$2:$J$301,MATCH($B545,Vinos!$A$2:$A$301,0))),""))</f>
        <v/>
      </c>
      <c r="L545" s="16">
        <f>IF($H545="","",IFERROR(IF(INDEX(Vinos!$K$2:$K$301,MATCH($B545,Vinos!$A$2:$A$301,0))="","",$H545*INDEX(Vinos!$K$2:$K$301,MATCH($B545,Vinos!$A$2:$A$301,0))),""))</f>
        <v/>
      </c>
      <c r="M545" s="21">
        <f>IF(OR($A545="",$B545=""),"",SUMIFS($H$2:$H$2001,$A$2:$A$2001,$A545,$B$2:$B$2001,$B545))</f>
        <v/>
      </c>
      <c r="N545" s="20">
        <f>IF($M545="","",IF($M545&lt;=0,"Sin stock: reponer ya",IF($M545&lt;IFERROR(N(INDEX(Vinos!$N$2:$N$301,MATCH($B545,Vinos!$A$2:$A$301,0))),0),"Bajo mínimo: reponer","OK")))</f>
        <v/>
      </c>
      <c r="O545" s="14" t="n"/>
      <c r="P545" s="14" t="n"/>
      <c r="Q545" s="20">
        <f>IF($B545="","",IFERROR(INDEX(Vinos!$C$2:$C$301,MATCH($B545,Vinos!$A$2:$A$301,0)),""))</f>
        <v/>
      </c>
      <c r="R545" s="20">
        <f>IF(OR($A545="",$A545&lt;&gt;'Resumen del inventario'!$C$3,$N545="",$N545="OK"),"",IF(COUNTIFS($A$2:$A545,$A545,$B$2:$B545,$B545)=1,1,""))</f>
        <v/>
      </c>
      <c r="S545" s="20">
        <f>IF($R545=1,COUNTIF($R$2:$R545,1),"")</f>
        <v/>
      </c>
    </row>
    <row r="546">
      <c r="A546" s="19" t="n"/>
      <c r="B546" s="14" t="n"/>
      <c r="C546" s="20">
        <f>IF($B546="","",IFERROR(INDEX(Vinos!$B$2:$B$301,MATCH($B546,Vinos!$A$2:$A$301,0)),"Código no cargado"))</f>
        <v/>
      </c>
      <c r="D546" s="14" t="n"/>
      <c r="E546" s="14" t="n"/>
      <c r="F546" s="18" t="n"/>
      <c r="G546" s="18" t="n"/>
      <c r="H546" s="21">
        <f>IF(AND($F546="",$G546=""),"",N($F546)*IFERROR(N(INDEX(Vinos!$H$2:$H$301,MATCH($B546,Vinos!$A$2:$A$301,0))),0)+N($G546))</f>
        <v/>
      </c>
      <c r="I546" s="18" t="n"/>
      <c r="J546" s="21">
        <f>IF(OR($H546="",$I546=""),"",$H546-$I546)</f>
        <v/>
      </c>
      <c r="K546" s="16">
        <f>IF($H546="","",IFERROR(IF(INDEX(Vinos!$J$2:$J$301,MATCH($B546,Vinos!$A$2:$A$301,0))="","",$H546*INDEX(Vinos!$J$2:$J$301,MATCH($B546,Vinos!$A$2:$A$301,0))),""))</f>
        <v/>
      </c>
      <c r="L546" s="16">
        <f>IF($H546="","",IFERROR(IF(INDEX(Vinos!$K$2:$K$301,MATCH($B546,Vinos!$A$2:$A$301,0))="","",$H546*INDEX(Vinos!$K$2:$K$301,MATCH($B546,Vinos!$A$2:$A$301,0))),""))</f>
        <v/>
      </c>
      <c r="M546" s="21">
        <f>IF(OR($A546="",$B546=""),"",SUMIFS($H$2:$H$2001,$A$2:$A$2001,$A546,$B$2:$B$2001,$B546))</f>
        <v/>
      </c>
      <c r="N546" s="20">
        <f>IF($M546="","",IF($M546&lt;=0,"Sin stock: reponer ya",IF($M546&lt;IFERROR(N(INDEX(Vinos!$N$2:$N$301,MATCH($B546,Vinos!$A$2:$A$301,0))),0),"Bajo mínimo: reponer","OK")))</f>
        <v/>
      </c>
      <c r="O546" s="14" t="n"/>
      <c r="P546" s="14" t="n"/>
      <c r="Q546" s="20">
        <f>IF($B546="","",IFERROR(INDEX(Vinos!$C$2:$C$301,MATCH($B546,Vinos!$A$2:$A$301,0)),""))</f>
        <v/>
      </c>
      <c r="R546" s="20">
        <f>IF(OR($A546="",$A546&lt;&gt;'Resumen del inventario'!$C$3,$N546="",$N546="OK"),"",IF(COUNTIFS($A$2:$A546,$A546,$B$2:$B546,$B546)=1,1,""))</f>
        <v/>
      </c>
      <c r="S546" s="20">
        <f>IF($R546=1,COUNTIF($R$2:$R546,1),"")</f>
        <v/>
      </c>
    </row>
    <row r="547">
      <c r="A547" s="19" t="n"/>
      <c r="B547" s="14" t="n"/>
      <c r="C547" s="20">
        <f>IF($B547="","",IFERROR(INDEX(Vinos!$B$2:$B$301,MATCH($B547,Vinos!$A$2:$A$301,0)),"Código no cargado"))</f>
        <v/>
      </c>
      <c r="D547" s="14" t="n"/>
      <c r="E547" s="14" t="n"/>
      <c r="F547" s="18" t="n"/>
      <c r="G547" s="18" t="n"/>
      <c r="H547" s="21">
        <f>IF(AND($F547="",$G547=""),"",N($F547)*IFERROR(N(INDEX(Vinos!$H$2:$H$301,MATCH($B547,Vinos!$A$2:$A$301,0))),0)+N($G547))</f>
        <v/>
      </c>
      <c r="I547" s="18" t="n"/>
      <c r="J547" s="21">
        <f>IF(OR($H547="",$I547=""),"",$H547-$I547)</f>
        <v/>
      </c>
      <c r="K547" s="16">
        <f>IF($H547="","",IFERROR(IF(INDEX(Vinos!$J$2:$J$301,MATCH($B547,Vinos!$A$2:$A$301,0))="","",$H547*INDEX(Vinos!$J$2:$J$301,MATCH($B547,Vinos!$A$2:$A$301,0))),""))</f>
        <v/>
      </c>
      <c r="L547" s="16">
        <f>IF($H547="","",IFERROR(IF(INDEX(Vinos!$K$2:$K$301,MATCH($B547,Vinos!$A$2:$A$301,0))="","",$H547*INDEX(Vinos!$K$2:$K$301,MATCH($B547,Vinos!$A$2:$A$301,0))),""))</f>
        <v/>
      </c>
      <c r="M547" s="21">
        <f>IF(OR($A547="",$B547=""),"",SUMIFS($H$2:$H$2001,$A$2:$A$2001,$A547,$B$2:$B$2001,$B547))</f>
        <v/>
      </c>
      <c r="N547" s="20">
        <f>IF($M547="","",IF($M547&lt;=0,"Sin stock: reponer ya",IF($M547&lt;IFERROR(N(INDEX(Vinos!$N$2:$N$301,MATCH($B547,Vinos!$A$2:$A$301,0))),0),"Bajo mínimo: reponer","OK")))</f>
        <v/>
      </c>
      <c r="O547" s="14" t="n"/>
      <c r="P547" s="14" t="n"/>
      <c r="Q547" s="20">
        <f>IF($B547="","",IFERROR(INDEX(Vinos!$C$2:$C$301,MATCH($B547,Vinos!$A$2:$A$301,0)),""))</f>
        <v/>
      </c>
      <c r="R547" s="20">
        <f>IF(OR($A547="",$A547&lt;&gt;'Resumen del inventario'!$C$3,$N547="",$N547="OK"),"",IF(COUNTIFS($A$2:$A547,$A547,$B$2:$B547,$B547)=1,1,""))</f>
        <v/>
      </c>
      <c r="S547" s="20">
        <f>IF($R547=1,COUNTIF($R$2:$R547,1),"")</f>
        <v/>
      </c>
    </row>
    <row r="548">
      <c r="A548" s="19" t="n"/>
      <c r="B548" s="14" t="n"/>
      <c r="C548" s="20">
        <f>IF($B548="","",IFERROR(INDEX(Vinos!$B$2:$B$301,MATCH($B548,Vinos!$A$2:$A$301,0)),"Código no cargado"))</f>
        <v/>
      </c>
      <c r="D548" s="14" t="n"/>
      <c r="E548" s="14" t="n"/>
      <c r="F548" s="18" t="n"/>
      <c r="G548" s="18" t="n"/>
      <c r="H548" s="21">
        <f>IF(AND($F548="",$G548=""),"",N($F548)*IFERROR(N(INDEX(Vinos!$H$2:$H$301,MATCH($B548,Vinos!$A$2:$A$301,0))),0)+N($G548))</f>
        <v/>
      </c>
      <c r="I548" s="18" t="n"/>
      <c r="J548" s="21">
        <f>IF(OR($H548="",$I548=""),"",$H548-$I548)</f>
        <v/>
      </c>
      <c r="K548" s="16">
        <f>IF($H548="","",IFERROR(IF(INDEX(Vinos!$J$2:$J$301,MATCH($B548,Vinos!$A$2:$A$301,0))="","",$H548*INDEX(Vinos!$J$2:$J$301,MATCH($B548,Vinos!$A$2:$A$301,0))),""))</f>
        <v/>
      </c>
      <c r="L548" s="16">
        <f>IF($H548="","",IFERROR(IF(INDEX(Vinos!$K$2:$K$301,MATCH($B548,Vinos!$A$2:$A$301,0))="","",$H548*INDEX(Vinos!$K$2:$K$301,MATCH($B548,Vinos!$A$2:$A$301,0))),""))</f>
        <v/>
      </c>
      <c r="M548" s="21">
        <f>IF(OR($A548="",$B548=""),"",SUMIFS($H$2:$H$2001,$A$2:$A$2001,$A548,$B$2:$B$2001,$B548))</f>
        <v/>
      </c>
      <c r="N548" s="20">
        <f>IF($M548="","",IF($M548&lt;=0,"Sin stock: reponer ya",IF($M548&lt;IFERROR(N(INDEX(Vinos!$N$2:$N$301,MATCH($B548,Vinos!$A$2:$A$301,0))),0),"Bajo mínimo: reponer","OK")))</f>
        <v/>
      </c>
      <c r="O548" s="14" t="n"/>
      <c r="P548" s="14" t="n"/>
      <c r="Q548" s="20">
        <f>IF($B548="","",IFERROR(INDEX(Vinos!$C$2:$C$301,MATCH($B548,Vinos!$A$2:$A$301,0)),""))</f>
        <v/>
      </c>
      <c r="R548" s="20">
        <f>IF(OR($A548="",$A548&lt;&gt;'Resumen del inventario'!$C$3,$N548="",$N548="OK"),"",IF(COUNTIFS($A$2:$A548,$A548,$B$2:$B548,$B548)=1,1,""))</f>
        <v/>
      </c>
      <c r="S548" s="20">
        <f>IF($R548=1,COUNTIF($R$2:$R548,1),"")</f>
        <v/>
      </c>
    </row>
    <row r="549">
      <c r="A549" s="19" t="n"/>
      <c r="B549" s="14" t="n"/>
      <c r="C549" s="20">
        <f>IF($B549="","",IFERROR(INDEX(Vinos!$B$2:$B$301,MATCH($B549,Vinos!$A$2:$A$301,0)),"Código no cargado"))</f>
        <v/>
      </c>
      <c r="D549" s="14" t="n"/>
      <c r="E549" s="14" t="n"/>
      <c r="F549" s="18" t="n"/>
      <c r="G549" s="18" t="n"/>
      <c r="H549" s="21">
        <f>IF(AND($F549="",$G549=""),"",N($F549)*IFERROR(N(INDEX(Vinos!$H$2:$H$301,MATCH($B549,Vinos!$A$2:$A$301,0))),0)+N($G549))</f>
        <v/>
      </c>
      <c r="I549" s="18" t="n"/>
      <c r="J549" s="21">
        <f>IF(OR($H549="",$I549=""),"",$H549-$I549)</f>
        <v/>
      </c>
      <c r="K549" s="16">
        <f>IF($H549="","",IFERROR(IF(INDEX(Vinos!$J$2:$J$301,MATCH($B549,Vinos!$A$2:$A$301,0))="","",$H549*INDEX(Vinos!$J$2:$J$301,MATCH($B549,Vinos!$A$2:$A$301,0))),""))</f>
        <v/>
      </c>
      <c r="L549" s="16">
        <f>IF($H549="","",IFERROR(IF(INDEX(Vinos!$K$2:$K$301,MATCH($B549,Vinos!$A$2:$A$301,0))="","",$H549*INDEX(Vinos!$K$2:$K$301,MATCH($B549,Vinos!$A$2:$A$301,0))),""))</f>
        <v/>
      </c>
      <c r="M549" s="21">
        <f>IF(OR($A549="",$B549=""),"",SUMIFS($H$2:$H$2001,$A$2:$A$2001,$A549,$B$2:$B$2001,$B549))</f>
        <v/>
      </c>
      <c r="N549" s="20">
        <f>IF($M549="","",IF($M549&lt;=0,"Sin stock: reponer ya",IF($M549&lt;IFERROR(N(INDEX(Vinos!$N$2:$N$301,MATCH($B549,Vinos!$A$2:$A$301,0))),0),"Bajo mínimo: reponer","OK")))</f>
        <v/>
      </c>
      <c r="O549" s="14" t="n"/>
      <c r="P549" s="14" t="n"/>
      <c r="Q549" s="20">
        <f>IF($B549="","",IFERROR(INDEX(Vinos!$C$2:$C$301,MATCH($B549,Vinos!$A$2:$A$301,0)),""))</f>
        <v/>
      </c>
      <c r="R549" s="20">
        <f>IF(OR($A549="",$A549&lt;&gt;'Resumen del inventario'!$C$3,$N549="",$N549="OK"),"",IF(COUNTIFS($A$2:$A549,$A549,$B$2:$B549,$B549)=1,1,""))</f>
        <v/>
      </c>
      <c r="S549" s="20">
        <f>IF($R549=1,COUNTIF($R$2:$R549,1),"")</f>
        <v/>
      </c>
    </row>
    <row r="550">
      <c r="A550" s="19" t="n"/>
      <c r="B550" s="14" t="n"/>
      <c r="C550" s="20">
        <f>IF($B550="","",IFERROR(INDEX(Vinos!$B$2:$B$301,MATCH($B550,Vinos!$A$2:$A$301,0)),"Código no cargado"))</f>
        <v/>
      </c>
      <c r="D550" s="14" t="n"/>
      <c r="E550" s="14" t="n"/>
      <c r="F550" s="18" t="n"/>
      <c r="G550" s="18" t="n"/>
      <c r="H550" s="21">
        <f>IF(AND($F550="",$G550=""),"",N($F550)*IFERROR(N(INDEX(Vinos!$H$2:$H$301,MATCH($B550,Vinos!$A$2:$A$301,0))),0)+N($G550))</f>
        <v/>
      </c>
      <c r="I550" s="18" t="n"/>
      <c r="J550" s="21">
        <f>IF(OR($H550="",$I550=""),"",$H550-$I550)</f>
        <v/>
      </c>
      <c r="K550" s="16">
        <f>IF($H550="","",IFERROR(IF(INDEX(Vinos!$J$2:$J$301,MATCH($B550,Vinos!$A$2:$A$301,0))="","",$H550*INDEX(Vinos!$J$2:$J$301,MATCH($B550,Vinos!$A$2:$A$301,0))),""))</f>
        <v/>
      </c>
      <c r="L550" s="16">
        <f>IF($H550="","",IFERROR(IF(INDEX(Vinos!$K$2:$K$301,MATCH($B550,Vinos!$A$2:$A$301,0))="","",$H550*INDEX(Vinos!$K$2:$K$301,MATCH($B550,Vinos!$A$2:$A$301,0))),""))</f>
        <v/>
      </c>
      <c r="M550" s="21">
        <f>IF(OR($A550="",$B550=""),"",SUMIFS($H$2:$H$2001,$A$2:$A$2001,$A550,$B$2:$B$2001,$B550))</f>
        <v/>
      </c>
      <c r="N550" s="20">
        <f>IF($M550="","",IF($M550&lt;=0,"Sin stock: reponer ya",IF($M550&lt;IFERROR(N(INDEX(Vinos!$N$2:$N$301,MATCH($B550,Vinos!$A$2:$A$301,0))),0),"Bajo mínimo: reponer","OK")))</f>
        <v/>
      </c>
      <c r="O550" s="14" t="n"/>
      <c r="P550" s="14" t="n"/>
      <c r="Q550" s="20">
        <f>IF($B550="","",IFERROR(INDEX(Vinos!$C$2:$C$301,MATCH($B550,Vinos!$A$2:$A$301,0)),""))</f>
        <v/>
      </c>
      <c r="R550" s="20">
        <f>IF(OR($A550="",$A550&lt;&gt;'Resumen del inventario'!$C$3,$N550="",$N550="OK"),"",IF(COUNTIFS($A$2:$A550,$A550,$B$2:$B550,$B550)=1,1,""))</f>
        <v/>
      </c>
      <c r="S550" s="20">
        <f>IF($R550=1,COUNTIF($R$2:$R550,1),"")</f>
        <v/>
      </c>
    </row>
    <row r="551">
      <c r="A551" s="19" t="n"/>
      <c r="B551" s="14" t="n"/>
      <c r="C551" s="20">
        <f>IF($B551="","",IFERROR(INDEX(Vinos!$B$2:$B$301,MATCH($B551,Vinos!$A$2:$A$301,0)),"Código no cargado"))</f>
        <v/>
      </c>
      <c r="D551" s="14" t="n"/>
      <c r="E551" s="14" t="n"/>
      <c r="F551" s="18" t="n"/>
      <c r="G551" s="18" t="n"/>
      <c r="H551" s="21">
        <f>IF(AND($F551="",$G551=""),"",N($F551)*IFERROR(N(INDEX(Vinos!$H$2:$H$301,MATCH($B551,Vinos!$A$2:$A$301,0))),0)+N($G551))</f>
        <v/>
      </c>
      <c r="I551" s="18" t="n"/>
      <c r="J551" s="21">
        <f>IF(OR($H551="",$I551=""),"",$H551-$I551)</f>
        <v/>
      </c>
      <c r="K551" s="16">
        <f>IF($H551="","",IFERROR(IF(INDEX(Vinos!$J$2:$J$301,MATCH($B551,Vinos!$A$2:$A$301,0))="","",$H551*INDEX(Vinos!$J$2:$J$301,MATCH($B551,Vinos!$A$2:$A$301,0))),""))</f>
        <v/>
      </c>
      <c r="L551" s="16">
        <f>IF($H551="","",IFERROR(IF(INDEX(Vinos!$K$2:$K$301,MATCH($B551,Vinos!$A$2:$A$301,0))="","",$H551*INDEX(Vinos!$K$2:$K$301,MATCH($B551,Vinos!$A$2:$A$301,0))),""))</f>
        <v/>
      </c>
      <c r="M551" s="21">
        <f>IF(OR($A551="",$B551=""),"",SUMIFS($H$2:$H$2001,$A$2:$A$2001,$A551,$B$2:$B$2001,$B551))</f>
        <v/>
      </c>
      <c r="N551" s="20">
        <f>IF($M551="","",IF($M551&lt;=0,"Sin stock: reponer ya",IF($M551&lt;IFERROR(N(INDEX(Vinos!$N$2:$N$301,MATCH($B551,Vinos!$A$2:$A$301,0))),0),"Bajo mínimo: reponer","OK")))</f>
        <v/>
      </c>
      <c r="O551" s="14" t="n"/>
      <c r="P551" s="14" t="n"/>
      <c r="Q551" s="20">
        <f>IF($B551="","",IFERROR(INDEX(Vinos!$C$2:$C$301,MATCH($B551,Vinos!$A$2:$A$301,0)),""))</f>
        <v/>
      </c>
      <c r="R551" s="20">
        <f>IF(OR($A551="",$A551&lt;&gt;'Resumen del inventario'!$C$3,$N551="",$N551="OK"),"",IF(COUNTIFS($A$2:$A551,$A551,$B$2:$B551,$B551)=1,1,""))</f>
        <v/>
      </c>
      <c r="S551" s="20">
        <f>IF($R551=1,COUNTIF($R$2:$R551,1),"")</f>
        <v/>
      </c>
    </row>
    <row r="552">
      <c r="A552" s="19" t="n"/>
      <c r="B552" s="14" t="n"/>
      <c r="C552" s="20">
        <f>IF($B552="","",IFERROR(INDEX(Vinos!$B$2:$B$301,MATCH($B552,Vinos!$A$2:$A$301,0)),"Código no cargado"))</f>
        <v/>
      </c>
      <c r="D552" s="14" t="n"/>
      <c r="E552" s="14" t="n"/>
      <c r="F552" s="18" t="n"/>
      <c r="G552" s="18" t="n"/>
      <c r="H552" s="21">
        <f>IF(AND($F552="",$G552=""),"",N($F552)*IFERROR(N(INDEX(Vinos!$H$2:$H$301,MATCH($B552,Vinos!$A$2:$A$301,0))),0)+N($G552))</f>
        <v/>
      </c>
      <c r="I552" s="18" t="n"/>
      <c r="J552" s="21">
        <f>IF(OR($H552="",$I552=""),"",$H552-$I552)</f>
        <v/>
      </c>
      <c r="K552" s="16">
        <f>IF($H552="","",IFERROR(IF(INDEX(Vinos!$J$2:$J$301,MATCH($B552,Vinos!$A$2:$A$301,0))="","",$H552*INDEX(Vinos!$J$2:$J$301,MATCH($B552,Vinos!$A$2:$A$301,0))),""))</f>
        <v/>
      </c>
      <c r="L552" s="16">
        <f>IF($H552="","",IFERROR(IF(INDEX(Vinos!$K$2:$K$301,MATCH($B552,Vinos!$A$2:$A$301,0))="","",$H552*INDEX(Vinos!$K$2:$K$301,MATCH($B552,Vinos!$A$2:$A$301,0))),""))</f>
        <v/>
      </c>
      <c r="M552" s="21">
        <f>IF(OR($A552="",$B552=""),"",SUMIFS($H$2:$H$2001,$A$2:$A$2001,$A552,$B$2:$B$2001,$B552))</f>
        <v/>
      </c>
      <c r="N552" s="20">
        <f>IF($M552="","",IF($M552&lt;=0,"Sin stock: reponer ya",IF($M552&lt;IFERROR(N(INDEX(Vinos!$N$2:$N$301,MATCH($B552,Vinos!$A$2:$A$301,0))),0),"Bajo mínimo: reponer","OK")))</f>
        <v/>
      </c>
      <c r="O552" s="14" t="n"/>
      <c r="P552" s="14" t="n"/>
      <c r="Q552" s="20">
        <f>IF($B552="","",IFERROR(INDEX(Vinos!$C$2:$C$301,MATCH($B552,Vinos!$A$2:$A$301,0)),""))</f>
        <v/>
      </c>
      <c r="R552" s="20">
        <f>IF(OR($A552="",$A552&lt;&gt;'Resumen del inventario'!$C$3,$N552="",$N552="OK"),"",IF(COUNTIFS($A$2:$A552,$A552,$B$2:$B552,$B552)=1,1,""))</f>
        <v/>
      </c>
      <c r="S552" s="20">
        <f>IF($R552=1,COUNTIF($R$2:$R552,1),"")</f>
        <v/>
      </c>
    </row>
    <row r="553">
      <c r="A553" s="19" t="n"/>
      <c r="B553" s="14" t="n"/>
      <c r="C553" s="20">
        <f>IF($B553="","",IFERROR(INDEX(Vinos!$B$2:$B$301,MATCH($B553,Vinos!$A$2:$A$301,0)),"Código no cargado"))</f>
        <v/>
      </c>
      <c r="D553" s="14" t="n"/>
      <c r="E553" s="14" t="n"/>
      <c r="F553" s="18" t="n"/>
      <c r="G553" s="18" t="n"/>
      <c r="H553" s="21">
        <f>IF(AND($F553="",$G553=""),"",N($F553)*IFERROR(N(INDEX(Vinos!$H$2:$H$301,MATCH($B553,Vinos!$A$2:$A$301,0))),0)+N($G553))</f>
        <v/>
      </c>
      <c r="I553" s="18" t="n"/>
      <c r="J553" s="21">
        <f>IF(OR($H553="",$I553=""),"",$H553-$I553)</f>
        <v/>
      </c>
      <c r="K553" s="16">
        <f>IF($H553="","",IFERROR(IF(INDEX(Vinos!$J$2:$J$301,MATCH($B553,Vinos!$A$2:$A$301,0))="","",$H553*INDEX(Vinos!$J$2:$J$301,MATCH($B553,Vinos!$A$2:$A$301,0))),""))</f>
        <v/>
      </c>
      <c r="L553" s="16">
        <f>IF($H553="","",IFERROR(IF(INDEX(Vinos!$K$2:$K$301,MATCH($B553,Vinos!$A$2:$A$301,0))="","",$H553*INDEX(Vinos!$K$2:$K$301,MATCH($B553,Vinos!$A$2:$A$301,0))),""))</f>
        <v/>
      </c>
      <c r="M553" s="21">
        <f>IF(OR($A553="",$B553=""),"",SUMIFS($H$2:$H$2001,$A$2:$A$2001,$A553,$B$2:$B$2001,$B553))</f>
        <v/>
      </c>
      <c r="N553" s="20">
        <f>IF($M553="","",IF($M553&lt;=0,"Sin stock: reponer ya",IF($M553&lt;IFERROR(N(INDEX(Vinos!$N$2:$N$301,MATCH($B553,Vinos!$A$2:$A$301,0))),0),"Bajo mínimo: reponer","OK")))</f>
        <v/>
      </c>
      <c r="O553" s="14" t="n"/>
      <c r="P553" s="14" t="n"/>
      <c r="Q553" s="20">
        <f>IF($B553="","",IFERROR(INDEX(Vinos!$C$2:$C$301,MATCH($B553,Vinos!$A$2:$A$301,0)),""))</f>
        <v/>
      </c>
      <c r="R553" s="20">
        <f>IF(OR($A553="",$A553&lt;&gt;'Resumen del inventario'!$C$3,$N553="",$N553="OK"),"",IF(COUNTIFS($A$2:$A553,$A553,$B$2:$B553,$B553)=1,1,""))</f>
        <v/>
      </c>
      <c r="S553" s="20">
        <f>IF($R553=1,COUNTIF($R$2:$R553,1),"")</f>
        <v/>
      </c>
    </row>
    <row r="554">
      <c r="A554" s="19" t="n"/>
      <c r="B554" s="14" t="n"/>
      <c r="C554" s="20">
        <f>IF($B554="","",IFERROR(INDEX(Vinos!$B$2:$B$301,MATCH($B554,Vinos!$A$2:$A$301,0)),"Código no cargado"))</f>
        <v/>
      </c>
      <c r="D554" s="14" t="n"/>
      <c r="E554" s="14" t="n"/>
      <c r="F554" s="18" t="n"/>
      <c r="G554" s="18" t="n"/>
      <c r="H554" s="21">
        <f>IF(AND($F554="",$G554=""),"",N($F554)*IFERROR(N(INDEX(Vinos!$H$2:$H$301,MATCH($B554,Vinos!$A$2:$A$301,0))),0)+N($G554))</f>
        <v/>
      </c>
      <c r="I554" s="18" t="n"/>
      <c r="J554" s="21">
        <f>IF(OR($H554="",$I554=""),"",$H554-$I554)</f>
        <v/>
      </c>
      <c r="K554" s="16">
        <f>IF($H554="","",IFERROR(IF(INDEX(Vinos!$J$2:$J$301,MATCH($B554,Vinos!$A$2:$A$301,0))="","",$H554*INDEX(Vinos!$J$2:$J$301,MATCH($B554,Vinos!$A$2:$A$301,0))),""))</f>
        <v/>
      </c>
      <c r="L554" s="16">
        <f>IF($H554="","",IFERROR(IF(INDEX(Vinos!$K$2:$K$301,MATCH($B554,Vinos!$A$2:$A$301,0))="","",$H554*INDEX(Vinos!$K$2:$K$301,MATCH($B554,Vinos!$A$2:$A$301,0))),""))</f>
        <v/>
      </c>
      <c r="M554" s="21">
        <f>IF(OR($A554="",$B554=""),"",SUMIFS($H$2:$H$2001,$A$2:$A$2001,$A554,$B$2:$B$2001,$B554))</f>
        <v/>
      </c>
      <c r="N554" s="20">
        <f>IF($M554="","",IF($M554&lt;=0,"Sin stock: reponer ya",IF($M554&lt;IFERROR(N(INDEX(Vinos!$N$2:$N$301,MATCH($B554,Vinos!$A$2:$A$301,0))),0),"Bajo mínimo: reponer","OK")))</f>
        <v/>
      </c>
      <c r="O554" s="14" t="n"/>
      <c r="P554" s="14" t="n"/>
      <c r="Q554" s="20">
        <f>IF($B554="","",IFERROR(INDEX(Vinos!$C$2:$C$301,MATCH($B554,Vinos!$A$2:$A$301,0)),""))</f>
        <v/>
      </c>
      <c r="R554" s="20">
        <f>IF(OR($A554="",$A554&lt;&gt;'Resumen del inventario'!$C$3,$N554="",$N554="OK"),"",IF(COUNTIFS($A$2:$A554,$A554,$B$2:$B554,$B554)=1,1,""))</f>
        <v/>
      </c>
      <c r="S554" s="20">
        <f>IF($R554=1,COUNTIF($R$2:$R554,1),"")</f>
        <v/>
      </c>
    </row>
    <row r="555">
      <c r="A555" s="19" t="n"/>
      <c r="B555" s="14" t="n"/>
      <c r="C555" s="20">
        <f>IF($B555="","",IFERROR(INDEX(Vinos!$B$2:$B$301,MATCH($B555,Vinos!$A$2:$A$301,0)),"Código no cargado"))</f>
        <v/>
      </c>
      <c r="D555" s="14" t="n"/>
      <c r="E555" s="14" t="n"/>
      <c r="F555" s="18" t="n"/>
      <c r="G555" s="18" t="n"/>
      <c r="H555" s="21">
        <f>IF(AND($F555="",$G555=""),"",N($F555)*IFERROR(N(INDEX(Vinos!$H$2:$H$301,MATCH($B555,Vinos!$A$2:$A$301,0))),0)+N($G555))</f>
        <v/>
      </c>
      <c r="I555" s="18" t="n"/>
      <c r="J555" s="21">
        <f>IF(OR($H555="",$I555=""),"",$H555-$I555)</f>
        <v/>
      </c>
      <c r="K555" s="16">
        <f>IF($H555="","",IFERROR(IF(INDEX(Vinos!$J$2:$J$301,MATCH($B555,Vinos!$A$2:$A$301,0))="","",$H555*INDEX(Vinos!$J$2:$J$301,MATCH($B555,Vinos!$A$2:$A$301,0))),""))</f>
        <v/>
      </c>
      <c r="L555" s="16">
        <f>IF($H555="","",IFERROR(IF(INDEX(Vinos!$K$2:$K$301,MATCH($B555,Vinos!$A$2:$A$301,0))="","",$H555*INDEX(Vinos!$K$2:$K$301,MATCH($B555,Vinos!$A$2:$A$301,0))),""))</f>
        <v/>
      </c>
      <c r="M555" s="21">
        <f>IF(OR($A555="",$B555=""),"",SUMIFS($H$2:$H$2001,$A$2:$A$2001,$A555,$B$2:$B$2001,$B555))</f>
        <v/>
      </c>
      <c r="N555" s="20">
        <f>IF($M555="","",IF($M555&lt;=0,"Sin stock: reponer ya",IF($M555&lt;IFERROR(N(INDEX(Vinos!$N$2:$N$301,MATCH($B555,Vinos!$A$2:$A$301,0))),0),"Bajo mínimo: reponer","OK")))</f>
        <v/>
      </c>
      <c r="O555" s="14" t="n"/>
      <c r="P555" s="14" t="n"/>
      <c r="Q555" s="20">
        <f>IF($B555="","",IFERROR(INDEX(Vinos!$C$2:$C$301,MATCH($B555,Vinos!$A$2:$A$301,0)),""))</f>
        <v/>
      </c>
      <c r="R555" s="20">
        <f>IF(OR($A555="",$A555&lt;&gt;'Resumen del inventario'!$C$3,$N555="",$N555="OK"),"",IF(COUNTIFS($A$2:$A555,$A555,$B$2:$B555,$B555)=1,1,""))</f>
        <v/>
      </c>
      <c r="S555" s="20">
        <f>IF($R555=1,COUNTIF($R$2:$R555,1),"")</f>
        <v/>
      </c>
    </row>
    <row r="556">
      <c r="A556" s="19" t="n"/>
      <c r="B556" s="14" t="n"/>
      <c r="C556" s="20">
        <f>IF($B556="","",IFERROR(INDEX(Vinos!$B$2:$B$301,MATCH($B556,Vinos!$A$2:$A$301,0)),"Código no cargado"))</f>
        <v/>
      </c>
      <c r="D556" s="14" t="n"/>
      <c r="E556" s="14" t="n"/>
      <c r="F556" s="18" t="n"/>
      <c r="G556" s="18" t="n"/>
      <c r="H556" s="21">
        <f>IF(AND($F556="",$G556=""),"",N($F556)*IFERROR(N(INDEX(Vinos!$H$2:$H$301,MATCH($B556,Vinos!$A$2:$A$301,0))),0)+N($G556))</f>
        <v/>
      </c>
      <c r="I556" s="18" t="n"/>
      <c r="J556" s="21">
        <f>IF(OR($H556="",$I556=""),"",$H556-$I556)</f>
        <v/>
      </c>
      <c r="K556" s="16">
        <f>IF($H556="","",IFERROR(IF(INDEX(Vinos!$J$2:$J$301,MATCH($B556,Vinos!$A$2:$A$301,0))="","",$H556*INDEX(Vinos!$J$2:$J$301,MATCH($B556,Vinos!$A$2:$A$301,0))),""))</f>
        <v/>
      </c>
      <c r="L556" s="16">
        <f>IF($H556="","",IFERROR(IF(INDEX(Vinos!$K$2:$K$301,MATCH($B556,Vinos!$A$2:$A$301,0))="","",$H556*INDEX(Vinos!$K$2:$K$301,MATCH($B556,Vinos!$A$2:$A$301,0))),""))</f>
        <v/>
      </c>
      <c r="M556" s="21">
        <f>IF(OR($A556="",$B556=""),"",SUMIFS($H$2:$H$2001,$A$2:$A$2001,$A556,$B$2:$B$2001,$B556))</f>
        <v/>
      </c>
      <c r="N556" s="20">
        <f>IF($M556="","",IF($M556&lt;=0,"Sin stock: reponer ya",IF($M556&lt;IFERROR(N(INDEX(Vinos!$N$2:$N$301,MATCH($B556,Vinos!$A$2:$A$301,0))),0),"Bajo mínimo: reponer","OK")))</f>
        <v/>
      </c>
      <c r="O556" s="14" t="n"/>
      <c r="P556" s="14" t="n"/>
      <c r="Q556" s="20">
        <f>IF($B556="","",IFERROR(INDEX(Vinos!$C$2:$C$301,MATCH($B556,Vinos!$A$2:$A$301,0)),""))</f>
        <v/>
      </c>
      <c r="R556" s="20">
        <f>IF(OR($A556="",$A556&lt;&gt;'Resumen del inventario'!$C$3,$N556="",$N556="OK"),"",IF(COUNTIFS($A$2:$A556,$A556,$B$2:$B556,$B556)=1,1,""))</f>
        <v/>
      </c>
      <c r="S556" s="20">
        <f>IF($R556=1,COUNTIF($R$2:$R556,1),"")</f>
        <v/>
      </c>
    </row>
    <row r="557">
      <c r="A557" s="19" t="n"/>
      <c r="B557" s="14" t="n"/>
      <c r="C557" s="20">
        <f>IF($B557="","",IFERROR(INDEX(Vinos!$B$2:$B$301,MATCH($B557,Vinos!$A$2:$A$301,0)),"Código no cargado"))</f>
        <v/>
      </c>
      <c r="D557" s="14" t="n"/>
      <c r="E557" s="14" t="n"/>
      <c r="F557" s="18" t="n"/>
      <c r="G557" s="18" t="n"/>
      <c r="H557" s="21">
        <f>IF(AND($F557="",$G557=""),"",N($F557)*IFERROR(N(INDEX(Vinos!$H$2:$H$301,MATCH($B557,Vinos!$A$2:$A$301,0))),0)+N($G557))</f>
        <v/>
      </c>
      <c r="I557" s="18" t="n"/>
      <c r="J557" s="21">
        <f>IF(OR($H557="",$I557=""),"",$H557-$I557)</f>
        <v/>
      </c>
      <c r="K557" s="16">
        <f>IF($H557="","",IFERROR(IF(INDEX(Vinos!$J$2:$J$301,MATCH($B557,Vinos!$A$2:$A$301,0))="","",$H557*INDEX(Vinos!$J$2:$J$301,MATCH($B557,Vinos!$A$2:$A$301,0))),""))</f>
        <v/>
      </c>
      <c r="L557" s="16">
        <f>IF($H557="","",IFERROR(IF(INDEX(Vinos!$K$2:$K$301,MATCH($B557,Vinos!$A$2:$A$301,0))="","",$H557*INDEX(Vinos!$K$2:$K$301,MATCH($B557,Vinos!$A$2:$A$301,0))),""))</f>
        <v/>
      </c>
      <c r="M557" s="21">
        <f>IF(OR($A557="",$B557=""),"",SUMIFS($H$2:$H$2001,$A$2:$A$2001,$A557,$B$2:$B$2001,$B557))</f>
        <v/>
      </c>
      <c r="N557" s="20">
        <f>IF($M557="","",IF($M557&lt;=0,"Sin stock: reponer ya",IF($M557&lt;IFERROR(N(INDEX(Vinos!$N$2:$N$301,MATCH($B557,Vinos!$A$2:$A$301,0))),0),"Bajo mínimo: reponer","OK")))</f>
        <v/>
      </c>
      <c r="O557" s="14" t="n"/>
      <c r="P557" s="14" t="n"/>
      <c r="Q557" s="20">
        <f>IF($B557="","",IFERROR(INDEX(Vinos!$C$2:$C$301,MATCH($B557,Vinos!$A$2:$A$301,0)),""))</f>
        <v/>
      </c>
      <c r="R557" s="20">
        <f>IF(OR($A557="",$A557&lt;&gt;'Resumen del inventario'!$C$3,$N557="",$N557="OK"),"",IF(COUNTIFS($A$2:$A557,$A557,$B$2:$B557,$B557)=1,1,""))</f>
        <v/>
      </c>
      <c r="S557" s="20">
        <f>IF($R557=1,COUNTIF($R$2:$R557,1),"")</f>
        <v/>
      </c>
    </row>
    <row r="558">
      <c r="A558" s="19" t="n"/>
      <c r="B558" s="14" t="n"/>
      <c r="C558" s="20">
        <f>IF($B558="","",IFERROR(INDEX(Vinos!$B$2:$B$301,MATCH($B558,Vinos!$A$2:$A$301,0)),"Código no cargado"))</f>
        <v/>
      </c>
      <c r="D558" s="14" t="n"/>
      <c r="E558" s="14" t="n"/>
      <c r="F558" s="18" t="n"/>
      <c r="G558" s="18" t="n"/>
      <c r="H558" s="21">
        <f>IF(AND($F558="",$G558=""),"",N($F558)*IFERROR(N(INDEX(Vinos!$H$2:$H$301,MATCH($B558,Vinos!$A$2:$A$301,0))),0)+N($G558))</f>
        <v/>
      </c>
      <c r="I558" s="18" t="n"/>
      <c r="J558" s="21">
        <f>IF(OR($H558="",$I558=""),"",$H558-$I558)</f>
        <v/>
      </c>
      <c r="K558" s="16">
        <f>IF($H558="","",IFERROR(IF(INDEX(Vinos!$J$2:$J$301,MATCH($B558,Vinos!$A$2:$A$301,0))="","",$H558*INDEX(Vinos!$J$2:$J$301,MATCH($B558,Vinos!$A$2:$A$301,0))),""))</f>
        <v/>
      </c>
      <c r="L558" s="16">
        <f>IF($H558="","",IFERROR(IF(INDEX(Vinos!$K$2:$K$301,MATCH($B558,Vinos!$A$2:$A$301,0))="","",$H558*INDEX(Vinos!$K$2:$K$301,MATCH($B558,Vinos!$A$2:$A$301,0))),""))</f>
        <v/>
      </c>
      <c r="M558" s="21">
        <f>IF(OR($A558="",$B558=""),"",SUMIFS($H$2:$H$2001,$A$2:$A$2001,$A558,$B$2:$B$2001,$B558))</f>
        <v/>
      </c>
      <c r="N558" s="20">
        <f>IF($M558="","",IF($M558&lt;=0,"Sin stock: reponer ya",IF($M558&lt;IFERROR(N(INDEX(Vinos!$N$2:$N$301,MATCH($B558,Vinos!$A$2:$A$301,0))),0),"Bajo mínimo: reponer","OK")))</f>
        <v/>
      </c>
      <c r="O558" s="14" t="n"/>
      <c r="P558" s="14" t="n"/>
      <c r="Q558" s="20">
        <f>IF($B558="","",IFERROR(INDEX(Vinos!$C$2:$C$301,MATCH($B558,Vinos!$A$2:$A$301,0)),""))</f>
        <v/>
      </c>
      <c r="R558" s="20">
        <f>IF(OR($A558="",$A558&lt;&gt;'Resumen del inventario'!$C$3,$N558="",$N558="OK"),"",IF(COUNTIFS($A$2:$A558,$A558,$B$2:$B558,$B558)=1,1,""))</f>
        <v/>
      </c>
      <c r="S558" s="20">
        <f>IF($R558=1,COUNTIF($R$2:$R558,1),"")</f>
        <v/>
      </c>
    </row>
    <row r="559">
      <c r="A559" s="19" t="n"/>
      <c r="B559" s="14" t="n"/>
      <c r="C559" s="20">
        <f>IF($B559="","",IFERROR(INDEX(Vinos!$B$2:$B$301,MATCH($B559,Vinos!$A$2:$A$301,0)),"Código no cargado"))</f>
        <v/>
      </c>
      <c r="D559" s="14" t="n"/>
      <c r="E559" s="14" t="n"/>
      <c r="F559" s="18" t="n"/>
      <c r="G559" s="18" t="n"/>
      <c r="H559" s="21">
        <f>IF(AND($F559="",$G559=""),"",N($F559)*IFERROR(N(INDEX(Vinos!$H$2:$H$301,MATCH($B559,Vinos!$A$2:$A$301,0))),0)+N($G559))</f>
        <v/>
      </c>
      <c r="I559" s="18" t="n"/>
      <c r="J559" s="21">
        <f>IF(OR($H559="",$I559=""),"",$H559-$I559)</f>
        <v/>
      </c>
      <c r="K559" s="16">
        <f>IF($H559="","",IFERROR(IF(INDEX(Vinos!$J$2:$J$301,MATCH($B559,Vinos!$A$2:$A$301,0))="","",$H559*INDEX(Vinos!$J$2:$J$301,MATCH($B559,Vinos!$A$2:$A$301,0))),""))</f>
        <v/>
      </c>
      <c r="L559" s="16">
        <f>IF($H559="","",IFERROR(IF(INDEX(Vinos!$K$2:$K$301,MATCH($B559,Vinos!$A$2:$A$301,0))="","",$H559*INDEX(Vinos!$K$2:$K$301,MATCH($B559,Vinos!$A$2:$A$301,0))),""))</f>
        <v/>
      </c>
      <c r="M559" s="21">
        <f>IF(OR($A559="",$B559=""),"",SUMIFS($H$2:$H$2001,$A$2:$A$2001,$A559,$B$2:$B$2001,$B559))</f>
        <v/>
      </c>
      <c r="N559" s="20">
        <f>IF($M559="","",IF($M559&lt;=0,"Sin stock: reponer ya",IF($M559&lt;IFERROR(N(INDEX(Vinos!$N$2:$N$301,MATCH($B559,Vinos!$A$2:$A$301,0))),0),"Bajo mínimo: reponer","OK")))</f>
        <v/>
      </c>
      <c r="O559" s="14" t="n"/>
      <c r="P559" s="14" t="n"/>
      <c r="Q559" s="20">
        <f>IF($B559="","",IFERROR(INDEX(Vinos!$C$2:$C$301,MATCH($B559,Vinos!$A$2:$A$301,0)),""))</f>
        <v/>
      </c>
      <c r="R559" s="20">
        <f>IF(OR($A559="",$A559&lt;&gt;'Resumen del inventario'!$C$3,$N559="",$N559="OK"),"",IF(COUNTIFS($A$2:$A559,$A559,$B$2:$B559,$B559)=1,1,""))</f>
        <v/>
      </c>
      <c r="S559" s="20">
        <f>IF($R559=1,COUNTIF($R$2:$R559,1),"")</f>
        <v/>
      </c>
    </row>
    <row r="560">
      <c r="A560" s="19" t="n"/>
      <c r="B560" s="14" t="n"/>
      <c r="C560" s="20">
        <f>IF($B560="","",IFERROR(INDEX(Vinos!$B$2:$B$301,MATCH($B560,Vinos!$A$2:$A$301,0)),"Código no cargado"))</f>
        <v/>
      </c>
      <c r="D560" s="14" t="n"/>
      <c r="E560" s="14" t="n"/>
      <c r="F560" s="18" t="n"/>
      <c r="G560" s="18" t="n"/>
      <c r="H560" s="21">
        <f>IF(AND($F560="",$G560=""),"",N($F560)*IFERROR(N(INDEX(Vinos!$H$2:$H$301,MATCH($B560,Vinos!$A$2:$A$301,0))),0)+N($G560))</f>
        <v/>
      </c>
      <c r="I560" s="18" t="n"/>
      <c r="J560" s="21">
        <f>IF(OR($H560="",$I560=""),"",$H560-$I560)</f>
        <v/>
      </c>
      <c r="K560" s="16">
        <f>IF($H560="","",IFERROR(IF(INDEX(Vinos!$J$2:$J$301,MATCH($B560,Vinos!$A$2:$A$301,0))="","",$H560*INDEX(Vinos!$J$2:$J$301,MATCH($B560,Vinos!$A$2:$A$301,0))),""))</f>
        <v/>
      </c>
      <c r="L560" s="16">
        <f>IF($H560="","",IFERROR(IF(INDEX(Vinos!$K$2:$K$301,MATCH($B560,Vinos!$A$2:$A$301,0))="","",$H560*INDEX(Vinos!$K$2:$K$301,MATCH($B560,Vinos!$A$2:$A$301,0))),""))</f>
        <v/>
      </c>
      <c r="M560" s="21">
        <f>IF(OR($A560="",$B560=""),"",SUMIFS($H$2:$H$2001,$A$2:$A$2001,$A560,$B$2:$B$2001,$B560))</f>
        <v/>
      </c>
      <c r="N560" s="20">
        <f>IF($M560="","",IF($M560&lt;=0,"Sin stock: reponer ya",IF($M560&lt;IFERROR(N(INDEX(Vinos!$N$2:$N$301,MATCH($B560,Vinos!$A$2:$A$301,0))),0),"Bajo mínimo: reponer","OK")))</f>
        <v/>
      </c>
      <c r="O560" s="14" t="n"/>
      <c r="P560" s="14" t="n"/>
      <c r="Q560" s="20">
        <f>IF($B560="","",IFERROR(INDEX(Vinos!$C$2:$C$301,MATCH($B560,Vinos!$A$2:$A$301,0)),""))</f>
        <v/>
      </c>
      <c r="R560" s="20">
        <f>IF(OR($A560="",$A560&lt;&gt;'Resumen del inventario'!$C$3,$N560="",$N560="OK"),"",IF(COUNTIFS($A$2:$A560,$A560,$B$2:$B560,$B560)=1,1,""))</f>
        <v/>
      </c>
      <c r="S560" s="20">
        <f>IF($R560=1,COUNTIF($R$2:$R560,1),"")</f>
        <v/>
      </c>
    </row>
    <row r="561">
      <c r="A561" s="19" t="n"/>
      <c r="B561" s="14" t="n"/>
      <c r="C561" s="20">
        <f>IF($B561="","",IFERROR(INDEX(Vinos!$B$2:$B$301,MATCH($B561,Vinos!$A$2:$A$301,0)),"Código no cargado"))</f>
        <v/>
      </c>
      <c r="D561" s="14" t="n"/>
      <c r="E561" s="14" t="n"/>
      <c r="F561" s="18" t="n"/>
      <c r="G561" s="18" t="n"/>
      <c r="H561" s="21">
        <f>IF(AND($F561="",$G561=""),"",N($F561)*IFERROR(N(INDEX(Vinos!$H$2:$H$301,MATCH($B561,Vinos!$A$2:$A$301,0))),0)+N($G561))</f>
        <v/>
      </c>
      <c r="I561" s="18" t="n"/>
      <c r="J561" s="21">
        <f>IF(OR($H561="",$I561=""),"",$H561-$I561)</f>
        <v/>
      </c>
      <c r="K561" s="16">
        <f>IF($H561="","",IFERROR(IF(INDEX(Vinos!$J$2:$J$301,MATCH($B561,Vinos!$A$2:$A$301,0))="","",$H561*INDEX(Vinos!$J$2:$J$301,MATCH($B561,Vinos!$A$2:$A$301,0))),""))</f>
        <v/>
      </c>
      <c r="L561" s="16">
        <f>IF($H561="","",IFERROR(IF(INDEX(Vinos!$K$2:$K$301,MATCH($B561,Vinos!$A$2:$A$301,0))="","",$H561*INDEX(Vinos!$K$2:$K$301,MATCH($B561,Vinos!$A$2:$A$301,0))),""))</f>
        <v/>
      </c>
      <c r="M561" s="21">
        <f>IF(OR($A561="",$B561=""),"",SUMIFS($H$2:$H$2001,$A$2:$A$2001,$A561,$B$2:$B$2001,$B561))</f>
        <v/>
      </c>
      <c r="N561" s="20">
        <f>IF($M561="","",IF($M561&lt;=0,"Sin stock: reponer ya",IF($M561&lt;IFERROR(N(INDEX(Vinos!$N$2:$N$301,MATCH($B561,Vinos!$A$2:$A$301,0))),0),"Bajo mínimo: reponer","OK")))</f>
        <v/>
      </c>
      <c r="O561" s="14" t="n"/>
      <c r="P561" s="14" t="n"/>
      <c r="Q561" s="20">
        <f>IF($B561="","",IFERROR(INDEX(Vinos!$C$2:$C$301,MATCH($B561,Vinos!$A$2:$A$301,0)),""))</f>
        <v/>
      </c>
      <c r="R561" s="20">
        <f>IF(OR($A561="",$A561&lt;&gt;'Resumen del inventario'!$C$3,$N561="",$N561="OK"),"",IF(COUNTIFS($A$2:$A561,$A561,$B$2:$B561,$B561)=1,1,""))</f>
        <v/>
      </c>
      <c r="S561" s="20">
        <f>IF($R561=1,COUNTIF($R$2:$R561,1),"")</f>
        <v/>
      </c>
    </row>
    <row r="562">
      <c r="A562" s="19" t="n"/>
      <c r="B562" s="14" t="n"/>
      <c r="C562" s="20">
        <f>IF($B562="","",IFERROR(INDEX(Vinos!$B$2:$B$301,MATCH($B562,Vinos!$A$2:$A$301,0)),"Código no cargado"))</f>
        <v/>
      </c>
      <c r="D562" s="14" t="n"/>
      <c r="E562" s="14" t="n"/>
      <c r="F562" s="18" t="n"/>
      <c r="G562" s="18" t="n"/>
      <c r="H562" s="21">
        <f>IF(AND($F562="",$G562=""),"",N($F562)*IFERROR(N(INDEX(Vinos!$H$2:$H$301,MATCH($B562,Vinos!$A$2:$A$301,0))),0)+N($G562))</f>
        <v/>
      </c>
      <c r="I562" s="18" t="n"/>
      <c r="J562" s="21">
        <f>IF(OR($H562="",$I562=""),"",$H562-$I562)</f>
        <v/>
      </c>
      <c r="K562" s="16">
        <f>IF($H562="","",IFERROR(IF(INDEX(Vinos!$J$2:$J$301,MATCH($B562,Vinos!$A$2:$A$301,0))="","",$H562*INDEX(Vinos!$J$2:$J$301,MATCH($B562,Vinos!$A$2:$A$301,0))),""))</f>
        <v/>
      </c>
      <c r="L562" s="16">
        <f>IF($H562="","",IFERROR(IF(INDEX(Vinos!$K$2:$K$301,MATCH($B562,Vinos!$A$2:$A$301,0))="","",$H562*INDEX(Vinos!$K$2:$K$301,MATCH($B562,Vinos!$A$2:$A$301,0))),""))</f>
        <v/>
      </c>
      <c r="M562" s="21">
        <f>IF(OR($A562="",$B562=""),"",SUMIFS($H$2:$H$2001,$A$2:$A$2001,$A562,$B$2:$B$2001,$B562))</f>
        <v/>
      </c>
      <c r="N562" s="20">
        <f>IF($M562="","",IF($M562&lt;=0,"Sin stock: reponer ya",IF($M562&lt;IFERROR(N(INDEX(Vinos!$N$2:$N$301,MATCH($B562,Vinos!$A$2:$A$301,0))),0),"Bajo mínimo: reponer","OK")))</f>
        <v/>
      </c>
      <c r="O562" s="14" t="n"/>
      <c r="P562" s="14" t="n"/>
      <c r="Q562" s="20">
        <f>IF($B562="","",IFERROR(INDEX(Vinos!$C$2:$C$301,MATCH($B562,Vinos!$A$2:$A$301,0)),""))</f>
        <v/>
      </c>
      <c r="R562" s="20">
        <f>IF(OR($A562="",$A562&lt;&gt;'Resumen del inventario'!$C$3,$N562="",$N562="OK"),"",IF(COUNTIFS($A$2:$A562,$A562,$B$2:$B562,$B562)=1,1,""))</f>
        <v/>
      </c>
      <c r="S562" s="20">
        <f>IF($R562=1,COUNTIF($R$2:$R562,1),"")</f>
        <v/>
      </c>
    </row>
    <row r="563">
      <c r="A563" s="19" t="n"/>
      <c r="B563" s="14" t="n"/>
      <c r="C563" s="20">
        <f>IF($B563="","",IFERROR(INDEX(Vinos!$B$2:$B$301,MATCH($B563,Vinos!$A$2:$A$301,0)),"Código no cargado"))</f>
        <v/>
      </c>
      <c r="D563" s="14" t="n"/>
      <c r="E563" s="14" t="n"/>
      <c r="F563" s="18" t="n"/>
      <c r="G563" s="18" t="n"/>
      <c r="H563" s="21">
        <f>IF(AND($F563="",$G563=""),"",N($F563)*IFERROR(N(INDEX(Vinos!$H$2:$H$301,MATCH($B563,Vinos!$A$2:$A$301,0))),0)+N($G563))</f>
        <v/>
      </c>
      <c r="I563" s="18" t="n"/>
      <c r="J563" s="21">
        <f>IF(OR($H563="",$I563=""),"",$H563-$I563)</f>
        <v/>
      </c>
      <c r="K563" s="16">
        <f>IF($H563="","",IFERROR(IF(INDEX(Vinos!$J$2:$J$301,MATCH($B563,Vinos!$A$2:$A$301,0))="","",$H563*INDEX(Vinos!$J$2:$J$301,MATCH($B563,Vinos!$A$2:$A$301,0))),""))</f>
        <v/>
      </c>
      <c r="L563" s="16">
        <f>IF($H563="","",IFERROR(IF(INDEX(Vinos!$K$2:$K$301,MATCH($B563,Vinos!$A$2:$A$301,0))="","",$H563*INDEX(Vinos!$K$2:$K$301,MATCH($B563,Vinos!$A$2:$A$301,0))),""))</f>
        <v/>
      </c>
      <c r="M563" s="21">
        <f>IF(OR($A563="",$B563=""),"",SUMIFS($H$2:$H$2001,$A$2:$A$2001,$A563,$B$2:$B$2001,$B563))</f>
        <v/>
      </c>
      <c r="N563" s="20">
        <f>IF($M563="","",IF($M563&lt;=0,"Sin stock: reponer ya",IF($M563&lt;IFERROR(N(INDEX(Vinos!$N$2:$N$301,MATCH($B563,Vinos!$A$2:$A$301,0))),0),"Bajo mínimo: reponer","OK")))</f>
        <v/>
      </c>
      <c r="O563" s="14" t="n"/>
      <c r="P563" s="14" t="n"/>
      <c r="Q563" s="20">
        <f>IF($B563="","",IFERROR(INDEX(Vinos!$C$2:$C$301,MATCH($B563,Vinos!$A$2:$A$301,0)),""))</f>
        <v/>
      </c>
      <c r="R563" s="20">
        <f>IF(OR($A563="",$A563&lt;&gt;'Resumen del inventario'!$C$3,$N563="",$N563="OK"),"",IF(COUNTIFS($A$2:$A563,$A563,$B$2:$B563,$B563)=1,1,""))</f>
        <v/>
      </c>
      <c r="S563" s="20">
        <f>IF($R563=1,COUNTIF($R$2:$R563,1),"")</f>
        <v/>
      </c>
    </row>
    <row r="564">
      <c r="A564" s="19" t="n"/>
      <c r="B564" s="14" t="n"/>
      <c r="C564" s="20">
        <f>IF($B564="","",IFERROR(INDEX(Vinos!$B$2:$B$301,MATCH($B564,Vinos!$A$2:$A$301,0)),"Código no cargado"))</f>
        <v/>
      </c>
      <c r="D564" s="14" t="n"/>
      <c r="E564" s="14" t="n"/>
      <c r="F564" s="18" t="n"/>
      <c r="G564" s="18" t="n"/>
      <c r="H564" s="21">
        <f>IF(AND($F564="",$G564=""),"",N($F564)*IFERROR(N(INDEX(Vinos!$H$2:$H$301,MATCH($B564,Vinos!$A$2:$A$301,0))),0)+N($G564))</f>
        <v/>
      </c>
      <c r="I564" s="18" t="n"/>
      <c r="J564" s="21">
        <f>IF(OR($H564="",$I564=""),"",$H564-$I564)</f>
        <v/>
      </c>
      <c r="K564" s="16">
        <f>IF($H564="","",IFERROR(IF(INDEX(Vinos!$J$2:$J$301,MATCH($B564,Vinos!$A$2:$A$301,0))="","",$H564*INDEX(Vinos!$J$2:$J$301,MATCH($B564,Vinos!$A$2:$A$301,0))),""))</f>
        <v/>
      </c>
      <c r="L564" s="16">
        <f>IF($H564="","",IFERROR(IF(INDEX(Vinos!$K$2:$K$301,MATCH($B564,Vinos!$A$2:$A$301,0))="","",$H564*INDEX(Vinos!$K$2:$K$301,MATCH($B564,Vinos!$A$2:$A$301,0))),""))</f>
        <v/>
      </c>
      <c r="M564" s="21">
        <f>IF(OR($A564="",$B564=""),"",SUMIFS($H$2:$H$2001,$A$2:$A$2001,$A564,$B$2:$B$2001,$B564))</f>
        <v/>
      </c>
      <c r="N564" s="20">
        <f>IF($M564="","",IF($M564&lt;=0,"Sin stock: reponer ya",IF($M564&lt;IFERROR(N(INDEX(Vinos!$N$2:$N$301,MATCH($B564,Vinos!$A$2:$A$301,0))),0),"Bajo mínimo: reponer","OK")))</f>
        <v/>
      </c>
      <c r="O564" s="14" t="n"/>
      <c r="P564" s="14" t="n"/>
      <c r="Q564" s="20">
        <f>IF($B564="","",IFERROR(INDEX(Vinos!$C$2:$C$301,MATCH($B564,Vinos!$A$2:$A$301,0)),""))</f>
        <v/>
      </c>
      <c r="R564" s="20">
        <f>IF(OR($A564="",$A564&lt;&gt;'Resumen del inventario'!$C$3,$N564="",$N564="OK"),"",IF(COUNTIFS($A$2:$A564,$A564,$B$2:$B564,$B564)=1,1,""))</f>
        <v/>
      </c>
      <c r="S564" s="20">
        <f>IF($R564=1,COUNTIF($R$2:$R564,1),"")</f>
        <v/>
      </c>
    </row>
    <row r="565">
      <c r="A565" s="19" t="n"/>
      <c r="B565" s="14" t="n"/>
      <c r="C565" s="20">
        <f>IF($B565="","",IFERROR(INDEX(Vinos!$B$2:$B$301,MATCH($B565,Vinos!$A$2:$A$301,0)),"Código no cargado"))</f>
        <v/>
      </c>
      <c r="D565" s="14" t="n"/>
      <c r="E565" s="14" t="n"/>
      <c r="F565" s="18" t="n"/>
      <c r="G565" s="18" t="n"/>
      <c r="H565" s="21">
        <f>IF(AND($F565="",$G565=""),"",N($F565)*IFERROR(N(INDEX(Vinos!$H$2:$H$301,MATCH($B565,Vinos!$A$2:$A$301,0))),0)+N($G565))</f>
        <v/>
      </c>
      <c r="I565" s="18" t="n"/>
      <c r="J565" s="21">
        <f>IF(OR($H565="",$I565=""),"",$H565-$I565)</f>
        <v/>
      </c>
      <c r="K565" s="16">
        <f>IF($H565="","",IFERROR(IF(INDEX(Vinos!$J$2:$J$301,MATCH($B565,Vinos!$A$2:$A$301,0))="","",$H565*INDEX(Vinos!$J$2:$J$301,MATCH($B565,Vinos!$A$2:$A$301,0))),""))</f>
        <v/>
      </c>
      <c r="L565" s="16">
        <f>IF($H565="","",IFERROR(IF(INDEX(Vinos!$K$2:$K$301,MATCH($B565,Vinos!$A$2:$A$301,0))="","",$H565*INDEX(Vinos!$K$2:$K$301,MATCH($B565,Vinos!$A$2:$A$301,0))),""))</f>
        <v/>
      </c>
      <c r="M565" s="21">
        <f>IF(OR($A565="",$B565=""),"",SUMIFS($H$2:$H$2001,$A$2:$A$2001,$A565,$B$2:$B$2001,$B565))</f>
        <v/>
      </c>
      <c r="N565" s="20">
        <f>IF($M565="","",IF($M565&lt;=0,"Sin stock: reponer ya",IF($M565&lt;IFERROR(N(INDEX(Vinos!$N$2:$N$301,MATCH($B565,Vinos!$A$2:$A$301,0))),0),"Bajo mínimo: reponer","OK")))</f>
        <v/>
      </c>
      <c r="O565" s="14" t="n"/>
      <c r="P565" s="14" t="n"/>
      <c r="Q565" s="20">
        <f>IF($B565="","",IFERROR(INDEX(Vinos!$C$2:$C$301,MATCH($B565,Vinos!$A$2:$A$301,0)),""))</f>
        <v/>
      </c>
      <c r="R565" s="20">
        <f>IF(OR($A565="",$A565&lt;&gt;'Resumen del inventario'!$C$3,$N565="",$N565="OK"),"",IF(COUNTIFS($A$2:$A565,$A565,$B$2:$B565,$B565)=1,1,""))</f>
        <v/>
      </c>
      <c r="S565" s="20">
        <f>IF($R565=1,COUNTIF($R$2:$R565,1),"")</f>
        <v/>
      </c>
    </row>
    <row r="566">
      <c r="A566" s="19" t="n"/>
      <c r="B566" s="14" t="n"/>
      <c r="C566" s="20">
        <f>IF($B566="","",IFERROR(INDEX(Vinos!$B$2:$B$301,MATCH($B566,Vinos!$A$2:$A$301,0)),"Código no cargado"))</f>
        <v/>
      </c>
      <c r="D566" s="14" t="n"/>
      <c r="E566" s="14" t="n"/>
      <c r="F566" s="18" t="n"/>
      <c r="G566" s="18" t="n"/>
      <c r="H566" s="21">
        <f>IF(AND($F566="",$G566=""),"",N($F566)*IFERROR(N(INDEX(Vinos!$H$2:$H$301,MATCH($B566,Vinos!$A$2:$A$301,0))),0)+N($G566))</f>
        <v/>
      </c>
      <c r="I566" s="18" t="n"/>
      <c r="J566" s="21">
        <f>IF(OR($H566="",$I566=""),"",$H566-$I566)</f>
        <v/>
      </c>
      <c r="K566" s="16">
        <f>IF($H566="","",IFERROR(IF(INDEX(Vinos!$J$2:$J$301,MATCH($B566,Vinos!$A$2:$A$301,0))="","",$H566*INDEX(Vinos!$J$2:$J$301,MATCH($B566,Vinos!$A$2:$A$301,0))),""))</f>
        <v/>
      </c>
      <c r="L566" s="16">
        <f>IF($H566="","",IFERROR(IF(INDEX(Vinos!$K$2:$K$301,MATCH($B566,Vinos!$A$2:$A$301,0))="","",$H566*INDEX(Vinos!$K$2:$K$301,MATCH($B566,Vinos!$A$2:$A$301,0))),""))</f>
        <v/>
      </c>
      <c r="M566" s="21">
        <f>IF(OR($A566="",$B566=""),"",SUMIFS($H$2:$H$2001,$A$2:$A$2001,$A566,$B$2:$B$2001,$B566))</f>
        <v/>
      </c>
      <c r="N566" s="20">
        <f>IF($M566="","",IF($M566&lt;=0,"Sin stock: reponer ya",IF($M566&lt;IFERROR(N(INDEX(Vinos!$N$2:$N$301,MATCH($B566,Vinos!$A$2:$A$301,0))),0),"Bajo mínimo: reponer","OK")))</f>
        <v/>
      </c>
      <c r="O566" s="14" t="n"/>
      <c r="P566" s="14" t="n"/>
      <c r="Q566" s="20">
        <f>IF($B566="","",IFERROR(INDEX(Vinos!$C$2:$C$301,MATCH($B566,Vinos!$A$2:$A$301,0)),""))</f>
        <v/>
      </c>
      <c r="R566" s="20">
        <f>IF(OR($A566="",$A566&lt;&gt;'Resumen del inventario'!$C$3,$N566="",$N566="OK"),"",IF(COUNTIFS($A$2:$A566,$A566,$B$2:$B566,$B566)=1,1,""))</f>
        <v/>
      </c>
      <c r="S566" s="20">
        <f>IF($R566=1,COUNTIF($R$2:$R566,1),"")</f>
        <v/>
      </c>
    </row>
    <row r="567">
      <c r="A567" s="19" t="n"/>
      <c r="B567" s="14" t="n"/>
      <c r="C567" s="20">
        <f>IF($B567="","",IFERROR(INDEX(Vinos!$B$2:$B$301,MATCH($B567,Vinos!$A$2:$A$301,0)),"Código no cargado"))</f>
        <v/>
      </c>
      <c r="D567" s="14" t="n"/>
      <c r="E567" s="14" t="n"/>
      <c r="F567" s="18" t="n"/>
      <c r="G567" s="18" t="n"/>
      <c r="H567" s="21">
        <f>IF(AND($F567="",$G567=""),"",N($F567)*IFERROR(N(INDEX(Vinos!$H$2:$H$301,MATCH($B567,Vinos!$A$2:$A$301,0))),0)+N($G567))</f>
        <v/>
      </c>
      <c r="I567" s="18" t="n"/>
      <c r="J567" s="21">
        <f>IF(OR($H567="",$I567=""),"",$H567-$I567)</f>
        <v/>
      </c>
      <c r="K567" s="16">
        <f>IF($H567="","",IFERROR(IF(INDEX(Vinos!$J$2:$J$301,MATCH($B567,Vinos!$A$2:$A$301,0))="","",$H567*INDEX(Vinos!$J$2:$J$301,MATCH($B567,Vinos!$A$2:$A$301,0))),""))</f>
        <v/>
      </c>
      <c r="L567" s="16">
        <f>IF($H567="","",IFERROR(IF(INDEX(Vinos!$K$2:$K$301,MATCH($B567,Vinos!$A$2:$A$301,0))="","",$H567*INDEX(Vinos!$K$2:$K$301,MATCH($B567,Vinos!$A$2:$A$301,0))),""))</f>
        <v/>
      </c>
      <c r="M567" s="21">
        <f>IF(OR($A567="",$B567=""),"",SUMIFS($H$2:$H$2001,$A$2:$A$2001,$A567,$B$2:$B$2001,$B567))</f>
        <v/>
      </c>
      <c r="N567" s="20">
        <f>IF($M567="","",IF($M567&lt;=0,"Sin stock: reponer ya",IF($M567&lt;IFERROR(N(INDEX(Vinos!$N$2:$N$301,MATCH($B567,Vinos!$A$2:$A$301,0))),0),"Bajo mínimo: reponer","OK")))</f>
        <v/>
      </c>
      <c r="O567" s="14" t="n"/>
      <c r="P567" s="14" t="n"/>
      <c r="Q567" s="20">
        <f>IF($B567="","",IFERROR(INDEX(Vinos!$C$2:$C$301,MATCH($B567,Vinos!$A$2:$A$301,0)),""))</f>
        <v/>
      </c>
      <c r="R567" s="20">
        <f>IF(OR($A567="",$A567&lt;&gt;'Resumen del inventario'!$C$3,$N567="",$N567="OK"),"",IF(COUNTIFS($A$2:$A567,$A567,$B$2:$B567,$B567)=1,1,""))</f>
        <v/>
      </c>
      <c r="S567" s="20">
        <f>IF($R567=1,COUNTIF($R$2:$R567,1),"")</f>
        <v/>
      </c>
    </row>
    <row r="568">
      <c r="A568" s="19" t="n"/>
      <c r="B568" s="14" t="n"/>
      <c r="C568" s="20">
        <f>IF($B568="","",IFERROR(INDEX(Vinos!$B$2:$B$301,MATCH($B568,Vinos!$A$2:$A$301,0)),"Código no cargado"))</f>
        <v/>
      </c>
      <c r="D568" s="14" t="n"/>
      <c r="E568" s="14" t="n"/>
      <c r="F568" s="18" t="n"/>
      <c r="G568" s="18" t="n"/>
      <c r="H568" s="21">
        <f>IF(AND($F568="",$G568=""),"",N($F568)*IFERROR(N(INDEX(Vinos!$H$2:$H$301,MATCH($B568,Vinos!$A$2:$A$301,0))),0)+N($G568))</f>
        <v/>
      </c>
      <c r="I568" s="18" t="n"/>
      <c r="J568" s="21">
        <f>IF(OR($H568="",$I568=""),"",$H568-$I568)</f>
        <v/>
      </c>
      <c r="K568" s="16">
        <f>IF($H568="","",IFERROR(IF(INDEX(Vinos!$J$2:$J$301,MATCH($B568,Vinos!$A$2:$A$301,0))="","",$H568*INDEX(Vinos!$J$2:$J$301,MATCH($B568,Vinos!$A$2:$A$301,0))),""))</f>
        <v/>
      </c>
      <c r="L568" s="16">
        <f>IF($H568="","",IFERROR(IF(INDEX(Vinos!$K$2:$K$301,MATCH($B568,Vinos!$A$2:$A$301,0))="","",$H568*INDEX(Vinos!$K$2:$K$301,MATCH($B568,Vinos!$A$2:$A$301,0))),""))</f>
        <v/>
      </c>
      <c r="M568" s="21">
        <f>IF(OR($A568="",$B568=""),"",SUMIFS($H$2:$H$2001,$A$2:$A$2001,$A568,$B$2:$B$2001,$B568))</f>
        <v/>
      </c>
      <c r="N568" s="20">
        <f>IF($M568="","",IF($M568&lt;=0,"Sin stock: reponer ya",IF($M568&lt;IFERROR(N(INDEX(Vinos!$N$2:$N$301,MATCH($B568,Vinos!$A$2:$A$301,0))),0),"Bajo mínimo: reponer","OK")))</f>
        <v/>
      </c>
      <c r="O568" s="14" t="n"/>
      <c r="P568" s="14" t="n"/>
      <c r="Q568" s="20">
        <f>IF($B568="","",IFERROR(INDEX(Vinos!$C$2:$C$301,MATCH($B568,Vinos!$A$2:$A$301,0)),""))</f>
        <v/>
      </c>
      <c r="R568" s="20">
        <f>IF(OR($A568="",$A568&lt;&gt;'Resumen del inventario'!$C$3,$N568="",$N568="OK"),"",IF(COUNTIFS($A$2:$A568,$A568,$B$2:$B568,$B568)=1,1,""))</f>
        <v/>
      </c>
      <c r="S568" s="20">
        <f>IF($R568=1,COUNTIF($R$2:$R568,1),"")</f>
        <v/>
      </c>
    </row>
    <row r="569">
      <c r="A569" s="19" t="n"/>
      <c r="B569" s="14" t="n"/>
      <c r="C569" s="20">
        <f>IF($B569="","",IFERROR(INDEX(Vinos!$B$2:$B$301,MATCH($B569,Vinos!$A$2:$A$301,0)),"Código no cargado"))</f>
        <v/>
      </c>
      <c r="D569" s="14" t="n"/>
      <c r="E569" s="14" t="n"/>
      <c r="F569" s="18" t="n"/>
      <c r="G569" s="18" t="n"/>
      <c r="H569" s="21">
        <f>IF(AND($F569="",$G569=""),"",N($F569)*IFERROR(N(INDEX(Vinos!$H$2:$H$301,MATCH($B569,Vinos!$A$2:$A$301,0))),0)+N($G569))</f>
        <v/>
      </c>
      <c r="I569" s="18" t="n"/>
      <c r="J569" s="21">
        <f>IF(OR($H569="",$I569=""),"",$H569-$I569)</f>
        <v/>
      </c>
      <c r="K569" s="16">
        <f>IF($H569="","",IFERROR(IF(INDEX(Vinos!$J$2:$J$301,MATCH($B569,Vinos!$A$2:$A$301,0))="","",$H569*INDEX(Vinos!$J$2:$J$301,MATCH($B569,Vinos!$A$2:$A$301,0))),""))</f>
        <v/>
      </c>
      <c r="L569" s="16">
        <f>IF($H569="","",IFERROR(IF(INDEX(Vinos!$K$2:$K$301,MATCH($B569,Vinos!$A$2:$A$301,0))="","",$H569*INDEX(Vinos!$K$2:$K$301,MATCH($B569,Vinos!$A$2:$A$301,0))),""))</f>
        <v/>
      </c>
      <c r="M569" s="21">
        <f>IF(OR($A569="",$B569=""),"",SUMIFS($H$2:$H$2001,$A$2:$A$2001,$A569,$B$2:$B$2001,$B569))</f>
        <v/>
      </c>
      <c r="N569" s="20">
        <f>IF($M569="","",IF($M569&lt;=0,"Sin stock: reponer ya",IF($M569&lt;IFERROR(N(INDEX(Vinos!$N$2:$N$301,MATCH($B569,Vinos!$A$2:$A$301,0))),0),"Bajo mínimo: reponer","OK")))</f>
        <v/>
      </c>
      <c r="O569" s="14" t="n"/>
      <c r="P569" s="14" t="n"/>
      <c r="Q569" s="20">
        <f>IF($B569="","",IFERROR(INDEX(Vinos!$C$2:$C$301,MATCH($B569,Vinos!$A$2:$A$301,0)),""))</f>
        <v/>
      </c>
      <c r="R569" s="20">
        <f>IF(OR($A569="",$A569&lt;&gt;'Resumen del inventario'!$C$3,$N569="",$N569="OK"),"",IF(COUNTIFS($A$2:$A569,$A569,$B$2:$B569,$B569)=1,1,""))</f>
        <v/>
      </c>
      <c r="S569" s="20">
        <f>IF($R569=1,COUNTIF($R$2:$R569,1),"")</f>
        <v/>
      </c>
    </row>
    <row r="570">
      <c r="A570" s="19" t="n"/>
      <c r="B570" s="14" t="n"/>
      <c r="C570" s="20">
        <f>IF($B570="","",IFERROR(INDEX(Vinos!$B$2:$B$301,MATCH($B570,Vinos!$A$2:$A$301,0)),"Código no cargado"))</f>
        <v/>
      </c>
      <c r="D570" s="14" t="n"/>
      <c r="E570" s="14" t="n"/>
      <c r="F570" s="18" t="n"/>
      <c r="G570" s="18" t="n"/>
      <c r="H570" s="21">
        <f>IF(AND($F570="",$G570=""),"",N($F570)*IFERROR(N(INDEX(Vinos!$H$2:$H$301,MATCH($B570,Vinos!$A$2:$A$301,0))),0)+N($G570))</f>
        <v/>
      </c>
      <c r="I570" s="18" t="n"/>
      <c r="J570" s="21">
        <f>IF(OR($H570="",$I570=""),"",$H570-$I570)</f>
        <v/>
      </c>
      <c r="K570" s="16">
        <f>IF($H570="","",IFERROR(IF(INDEX(Vinos!$J$2:$J$301,MATCH($B570,Vinos!$A$2:$A$301,0))="","",$H570*INDEX(Vinos!$J$2:$J$301,MATCH($B570,Vinos!$A$2:$A$301,0))),""))</f>
        <v/>
      </c>
      <c r="L570" s="16">
        <f>IF($H570="","",IFERROR(IF(INDEX(Vinos!$K$2:$K$301,MATCH($B570,Vinos!$A$2:$A$301,0))="","",$H570*INDEX(Vinos!$K$2:$K$301,MATCH($B570,Vinos!$A$2:$A$301,0))),""))</f>
        <v/>
      </c>
      <c r="M570" s="21">
        <f>IF(OR($A570="",$B570=""),"",SUMIFS($H$2:$H$2001,$A$2:$A$2001,$A570,$B$2:$B$2001,$B570))</f>
        <v/>
      </c>
      <c r="N570" s="20">
        <f>IF($M570="","",IF($M570&lt;=0,"Sin stock: reponer ya",IF($M570&lt;IFERROR(N(INDEX(Vinos!$N$2:$N$301,MATCH($B570,Vinos!$A$2:$A$301,0))),0),"Bajo mínimo: reponer","OK")))</f>
        <v/>
      </c>
      <c r="O570" s="14" t="n"/>
      <c r="P570" s="14" t="n"/>
      <c r="Q570" s="20">
        <f>IF($B570="","",IFERROR(INDEX(Vinos!$C$2:$C$301,MATCH($B570,Vinos!$A$2:$A$301,0)),""))</f>
        <v/>
      </c>
      <c r="R570" s="20">
        <f>IF(OR($A570="",$A570&lt;&gt;'Resumen del inventario'!$C$3,$N570="",$N570="OK"),"",IF(COUNTIFS($A$2:$A570,$A570,$B$2:$B570,$B570)=1,1,""))</f>
        <v/>
      </c>
      <c r="S570" s="20">
        <f>IF($R570=1,COUNTIF($R$2:$R570,1),"")</f>
        <v/>
      </c>
    </row>
    <row r="571">
      <c r="A571" s="19" t="n"/>
      <c r="B571" s="14" t="n"/>
      <c r="C571" s="20">
        <f>IF($B571="","",IFERROR(INDEX(Vinos!$B$2:$B$301,MATCH($B571,Vinos!$A$2:$A$301,0)),"Código no cargado"))</f>
        <v/>
      </c>
      <c r="D571" s="14" t="n"/>
      <c r="E571" s="14" t="n"/>
      <c r="F571" s="18" t="n"/>
      <c r="G571" s="18" t="n"/>
      <c r="H571" s="21">
        <f>IF(AND($F571="",$G571=""),"",N($F571)*IFERROR(N(INDEX(Vinos!$H$2:$H$301,MATCH($B571,Vinos!$A$2:$A$301,0))),0)+N($G571))</f>
        <v/>
      </c>
      <c r="I571" s="18" t="n"/>
      <c r="J571" s="21">
        <f>IF(OR($H571="",$I571=""),"",$H571-$I571)</f>
        <v/>
      </c>
      <c r="K571" s="16">
        <f>IF($H571="","",IFERROR(IF(INDEX(Vinos!$J$2:$J$301,MATCH($B571,Vinos!$A$2:$A$301,0))="","",$H571*INDEX(Vinos!$J$2:$J$301,MATCH($B571,Vinos!$A$2:$A$301,0))),""))</f>
        <v/>
      </c>
      <c r="L571" s="16">
        <f>IF($H571="","",IFERROR(IF(INDEX(Vinos!$K$2:$K$301,MATCH($B571,Vinos!$A$2:$A$301,0))="","",$H571*INDEX(Vinos!$K$2:$K$301,MATCH($B571,Vinos!$A$2:$A$301,0))),""))</f>
        <v/>
      </c>
      <c r="M571" s="21">
        <f>IF(OR($A571="",$B571=""),"",SUMIFS($H$2:$H$2001,$A$2:$A$2001,$A571,$B$2:$B$2001,$B571))</f>
        <v/>
      </c>
      <c r="N571" s="20">
        <f>IF($M571="","",IF($M571&lt;=0,"Sin stock: reponer ya",IF($M571&lt;IFERROR(N(INDEX(Vinos!$N$2:$N$301,MATCH($B571,Vinos!$A$2:$A$301,0))),0),"Bajo mínimo: reponer","OK")))</f>
        <v/>
      </c>
      <c r="O571" s="14" t="n"/>
      <c r="P571" s="14" t="n"/>
      <c r="Q571" s="20">
        <f>IF($B571="","",IFERROR(INDEX(Vinos!$C$2:$C$301,MATCH($B571,Vinos!$A$2:$A$301,0)),""))</f>
        <v/>
      </c>
      <c r="R571" s="20">
        <f>IF(OR($A571="",$A571&lt;&gt;'Resumen del inventario'!$C$3,$N571="",$N571="OK"),"",IF(COUNTIFS($A$2:$A571,$A571,$B$2:$B571,$B571)=1,1,""))</f>
        <v/>
      </c>
      <c r="S571" s="20">
        <f>IF($R571=1,COUNTIF($R$2:$R571,1),"")</f>
        <v/>
      </c>
    </row>
    <row r="572">
      <c r="A572" s="19" t="n"/>
      <c r="B572" s="14" t="n"/>
      <c r="C572" s="20">
        <f>IF($B572="","",IFERROR(INDEX(Vinos!$B$2:$B$301,MATCH($B572,Vinos!$A$2:$A$301,0)),"Código no cargado"))</f>
        <v/>
      </c>
      <c r="D572" s="14" t="n"/>
      <c r="E572" s="14" t="n"/>
      <c r="F572" s="18" t="n"/>
      <c r="G572" s="18" t="n"/>
      <c r="H572" s="21">
        <f>IF(AND($F572="",$G572=""),"",N($F572)*IFERROR(N(INDEX(Vinos!$H$2:$H$301,MATCH($B572,Vinos!$A$2:$A$301,0))),0)+N($G572))</f>
        <v/>
      </c>
      <c r="I572" s="18" t="n"/>
      <c r="J572" s="21">
        <f>IF(OR($H572="",$I572=""),"",$H572-$I572)</f>
        <v/>
      </c>
      <c r="K572" s="16">
        <f>IF($H572="","",IFERROR(IF(INDEX(Vinos!$J$2:$J$301,MATCH($B572,Vinos!$A$2:$A$301,0))="","",$H572*INDEX(Vinos!$J$2:$J$301,MATCH($B572,Vinos!$A$2:$A$301,0))),""))</f>
        <v/>
      </c>
      <c r="L572" s="16">
        <f>IF($H572="","",IFERROR(IF(INDEX(Vinos!$K$2:$K$301,MATCH($B572,Vinos!$A$2:$A$301,0))="","",$H572*INDEX(Vinos!$K$2:$K$301,MATCH($B572,Vinos!$A$2:$A$301,0))),""))</f>
        <v/>
      </c>
      <c r="M572" s="21">
        <f>IF(OR($A572="",$B572=""),"",SUMIFS($H$2:$H$2001,$A$2:$A$2001,$A572,$B$2:$B$2001,$B572))</f>
        <v/>
      </c>
      <c r="N572" s="20">
        <f>IF($M572="","",IF($M572&lt;=0,"Sin stock: reponer ya",IF($M572&lt;IFERROR(N(INDEX(Vinos!$N$2:$N$301,MATCH($B572,Vinos!$A$2:$A$301,0))),0),"Bajo mínimo: reponer","OK")))</f>
        <v/>
      </c>
      <c r="O572" s="14" t="n"/>
      <c r="P572" s="14" t="n"/>
      <c r="Q572" s="20">
        <f>IF($B572="","",IFERROR(INDEX(Vinos!$C$2:$C$301,MATCH($B572,Vinos!$A$2:$A$301,0)),""))</f>
        <v/>
      </c>
      <c r="R572" s="20">
        <f>IF(OR($A572="",$A572&lt;&gt;'Resumen del inventario'!$C$3,$N572="",$N572="OK"),"",IF(COUNTIFS($A$2:$A572,$A572,$B$2:$B572,$B572)=1,1,""))</f>
        <v/>
      </c>
      <c r="S572" s="20">
        <f>IF($R572=1,COUNTIF($R$2:$R572,1),"")</f>
        <v/>
      </c>
    </row>
    <row r="573">
      <c r="A573" s="19" t="n"/>
      <c r="B573" s="14" t="n"/>
      <c r="C573" s="20">
        <f>IF($B573="","",IFERROR(INDEX(Vinos!$B$2:$B$301,MATCH($B573,Vinos!$A$2:$A$301,0)),"Código no cargado"))</f>
        <v/>
      </c>
      <c r="D573" s="14" t="n"/>
      <c r="E573" s="14" t="n"/>
      <c r="F573" s="18" t="n"/>
      <c r="G573" s="18" t="n"/>
      <c r="H573" s="21">
        <f>IF(AND($F573="",$G573=""),"",N($F573)*IFERROR(N(INDEX(Vinos!$H$2:$H$301,MATCH($B573,Vinos!$A$2:$A$301,0))),0)+N($G573))</f>
        <v/>
      </c>
      <c r="I573" s="18" t="n"/>
      <c r="J573" s="21">
        <f>IF(OR($H573="",$I573=""),"",$H573-$I573)</f>
        <v/>
      </c>
      <c r="K573" s="16">
        <f>IF($H573="","",IFERROR(IF(INDEX(Vinos!$J$2:$J$301,MATCH($B573,Vinos!$A$2:$A$301,0))="","",$H573*INDEX(Vinos!$J$2:$J$301,MATCH($B573,Vinos!$A$2:$A$301,0))),""))</f>
        <v/>
      </c>
      <c r="L573" s="16">
        <f>IF($H573="","",IFERROR(IF(INDEX(Vinos!$K$2:$K$301,MATCH($B573,Vinos!$A$2:$A$301,0))="","",$H573*INDEX(Vinos!$K$2:$K$301,MATCH($B573,Vinos!$A$2:$A$301,0))),""))</f>
        <v/>
      </c>
      <c r="M573" s="21">
        <f>IF(OR($A573="",$B573=""),"",SUMIFS($H$2:$H$2001,$A$2:$A$2001,$A573,$B$2:$B$2001,$B573))</f>
        <v/>
      </c>
      <c r="N573" s="20">
        <f>IF($M573="","",IF($M573&lt;=0,"Sin stock: reponer ya",IF($M573&lt;IFERROR(N(INDEX(Vinos!$N$2:$N$301,MATCH($B573,Vinos!$A$2:$A$301,0))),0),"Bajo mínimo: reponer","OK")))</f>
        <v/>
      </c>
      <c r="O573" s="14" t="n"/>
      <c r="P573" s="14" t="n"/>
      <c r="Q573" s="20">
        <f>IF($B573="","",IFERROR(INDEX(Vinos!$C$2:$C$301,MATCH($B573,Vinos!$A$2:$A$301,0)),""))</f>
        <v/>
      </c>
      <c r="R573" s="20">
        <f>IF(OR($A573="",$A573&lt;&gt;'Resumen del inventario'!$C$3,$N573="",$N573="OK"),"",IF(COUNTIFS($A$2:$A573,$A573,$B$2:$B573,$B573)=1,1,""))</f>
        <v/>
      </c>
      <c r="S573" s="20">
        <f>IF($R573=1,COUNTIF($R$2:$R573,1),"")</f>
        <v/>
      </c>
    </row>
    <row r="574">
      <c r="A574" s="19" t="n"/>
      <c r="B574" s="14" t="n"/>
      <c r="C574" s="20">
        <f>IF($B574="","",IFERROR(INDEX(Vinos!$B$2:$B$301,MATCH($B574,Vinos!$A$2:$A$301,0)),"Código no cargado"))</f>
        <v/>
      </c>
      <c r="D574" s="14" t="n"/>
      <c r="E574" s="14" t="n"/>
      <c r="F574" s="18" t="n"/>
      <c r="G574" s="18" t="n"/>
      <c r="H574" s="21">
        <f>IF(AND($F574="",$G574=""),"",N($F574)*IFERROR(N(INDEX(Vinos!$H$2:$H$301,MATCH($B574,Vinos!$A$2:$A$301,0))),0)+N($G574))</f>
        <v/>
      </c>
      <c r="I574" s="18" t="n"/>
      <c r="J574" s="21">
        <f>IF(OR($H574="",$I574=""),"",$H574-$I574)</f>
        <v/>
      </c>
      <c r="K574" s="16">
        <f>IF($H574="","",IFERROR(IF(INDEX(Vinos!$J$2:$J$301,MATCH($B574,Vinos!$A$2:$A$301,0))="","",$H574*INDEX(Vinos!$J$2:$J$301,MATCH($B574,Vinos!$A$2:$A$301,0))),""))</f>
        <v/>
      </c>
      <c r="L574" s="16">
        <f>IF($H574="","",IFERROR(IF(INDEX(Vinos!$K$2:$K$301,MATCH($B574,Vinos!$A$2:$A$301,0))="","",$H574*INDEX(Vinos!$K$2:$K$301,MATCH($B574,Vinos!$A$2:$A$301,0))),""))</f>
        <v/>
      </c>
      <c r="M574" s="21">
        <f>IF(OR($A574="",$B574=""),"",SUMIFS($H$2:$H$2001,$A$2:$A$2001,$A574,$B$2:$B$2001,$B574))</f>
        <v/>
      </c>
      <c r="N574" s="20">
        <f>IF($M574="","",IF($M574&lt;=0,"Sin stock: reponer ya",IF($M574&lt;IFERROR(N(INDEX(Vinos!$N$2:$N$301,MATCH($B574,Vinos!$A$2:$A$301,0))),0),"Bajo mínimo: reponer","OK")))</f>
        <v/>
      </c>
      <c r="O574" s="14" t="n"/>
      <c r="P574" s="14" t="n"/>
      <c r="Q574" s="20">
        <f>IF($B574="","",IFERROR(INDEX(Vinos!$C$2:$C$301,MATCH($B574,Vinos!$A$2:$A$301,0)),""))</f>
        <v/>
      </c>
      <c r="R574" s="20">
        <f>IF(OR($A574="",$A574&lt;&gt;'Resumen del inventario'!$C$3,$N574="",$N574="OK"),"",IF(COUNTIFS($A$2:$A574,$A574,$B$2:$B574,$B574)=1,1,""))</f>
        <v/>
      </c>
      <c r="S574" s="20">
        <f>IF($R574=1,COUNTIF($R$2:$R574,1),"")</f>
        <v/>
      </c>
    </row>
    <row r="575">
      <c r="A575" s="19" t="n"/>
      <c r="B575" s="14" t="n"/>
      <c r="C575" s="20">
        <f>IF($B575="","",IFERROR(INDEX(Vinos!$B$2:$B$301,MATCH($B575,Vinos!$A$2:$A$301,0)),"Código no cargado"))</f>
        <v/>
      </c>
      <c r="D575" s="14" t="n"/>
      <c r="E575" s="14" t="n"/>
      <c r="F575" s="18" t="n"/>
      <c r="G575" s="18" t="n"/>
      <c r="H575" s="21">
        <f>IF(AND($F575="",$G575=""),"",N($F575)*IFERROR(N(INDEX(Vinos!$H$2:$H$301,MATCH($B575,Vinos!$A$2:$A$301,0))),0)+N($G575))</f>
        <v/>
      </c>
      <c r="I575" s="18" t="n"/>
      <c r="J575" s="21">
        <f>IF(OR($H575="",$I575=""),"",$H575-$I575)</f>
        <v/>
      </c>
      <c r="K575" s="16">
        <f>IF($H575="","",IFERROR(IF(INDEX(Vinos!$J$2:$J$301,MATCH($B575,Vinos!$A$2:$A$301,0))="","",$H575*INDEX(Vinos!$J$2:$J$301,MATCH($B575,Vinos!$A$2:$A$301,0))),""))</f>
        <v/>
      </c>
      <c r="L575" s="16">
        <f>IF($H575="","",IFERROR(IF(INDEX(Vinos!$K$2:$K$301,MATCH($B575,Vinos!$A$2:$A$301,0))="","",$H575*INDEX(Vinos!$K$2:$K$301,MATCH($B575,Vinos!$A$2:$A$301,0))),""))</f>
        <v/>
      </c>
      <c r="M575" s="21">
        <f>IF(OR($A575="",$B575=""),"",SUMIFS($H$2:$H$2001,$A$2:$A$2001,$A575,$B$2:$B$2001,$B575))</f>
        <v/>
      </c>
      <c r="N575" s="20">
        <f>IF($M575="","",IF($M575&lt;=0,"Sin stock: reponer ya",IF($M575&lt;IFERROR(N(INDEX(Vinos!$N$2:$N$301,MATCH($B575,Vinos!$A$2:$A$301,0))),0),"Bajo mínimo: reponer","OK")))</f>
        <v/>
      </c>
      <c r="O575" s="14" t="n"/>
      <c r="P575" s="14" t="n"/>
      <c r="Q575" s="20">
        <f>IF($B575="","",IFERROR(INDEX(Vinos!$C$2:$C$301,MATCH($B575,Vinos!$A$2:$A$301,0)),""))</f>
        <v/>
      </c>
      <c r="R575" s="20">
        <f>IF(OR($A575="",$A575&lt;&gt;'Resumen del inventario'!$C$3,$N575="",$N575="OK"),"",IF(COUNTIFS($A$2:$A575,$A575,$B$2:$B575,$B575)=1,1,""))</f>
        <v/>
      </c>
      <c r="S575" s="20">
        <f>IF($R575=1,COUNTIF($R$2:$R575,1),"")</f>
        <v/>
      </c>
    </row>
    <row r="576">
      <c r="A576" s="19" t="n"/>
      <c r="B576" s="14" t="n"/>
      <c r="C576" s="20">
        <f>IF($B576="","",IFERROR(INDEX(Vinos!$B$2:$B$301,MATCH($B576,Vinos!$A$2:$A$301,0)),"Código no cargado"))</f>
        <v/>
      </c>
      <c r="D576" s="14" t="n"/>
      <c r="E576" s="14" t="n"/>
      <c r="F576" s="18" t="n"/>
      <c r="G576" s="18" t="n"/>
      <c r="H576" s="21">
        <f>IF(AND($F576="",$G576=""),"",N($F576)*IFERROR(N(INDEX(Vinos!$H$2:$H$301,MATCH($B576,Vinos!$A$2:$A$301,0))),0)+N($G576))</f>
        <v/>
      </c>
      <c r="I576" s="18" t="n"/>
      <c r="J576" s="21">
        <f>IF(OR($H576="",$I576=""),"",$H576-$I576)</f>
        <v/>
      </c>
      <c r="K576" s="16">
        <f>IF($H576="","",IFERROR(IF(INDEX(Vinos!$J$2:$J$301,MATCH($B576,Vinos!$A$2:$A$301,0))="","",$H576*INDEX(Vinos!$J$2:$J$301,MATCH($B576,Vinos!$A$2:$A$301,0))),""))</f>
        <v/>
      </c>
      <c r="L576" s="16">
        <f>IF($H576="","",IFERROR(IF(INDEX(Vinos!$K$2:$K$301,MATCH($B576,Vinos!$A$2:$A$301,0))="","",$H576*INDEX(Vinos!$K$2:$K$301,MATCH($B576,Vinos!$A$2:$A$301,0))),""))</f>
        <v/>
      </c>
      <c r="M576" s="21">
        <f>IF(OR($A576="",$B576=""),"",SUMIFS($H$2:$H$2001,$A$2:$A$2001,$A576,$B$2:$B$2001,$B576))</f>
        <v/>
      </c>
      <c r="N576" s="20">
        <f>IF($M576="","",IF($M576&lt;=0,"Sin stock: reponer ya",IF($M576&lt;IFERROR(N(INDEX(Vinos!$N$2:$N$301,MATCH($B576,Vinos!$A$2:$A$301,0))),0),"Bajo mínimo: reponer","OK")))</f>
        <v/>
      </c>
      <c r="O576" s="14" t="n"/>
      <c r="P576" s="14" t="n"/>
      <c r="Q576" s="20">
        <f>IF($B576="","",IFERROR(INDEX(Vinos!$C$2:$C$301,MATCH($B576,Vinos!$A$2:$A$301,0)),""))</f>
        <v/>
      </c>
      <c r="R576" s="20">
        <f>IF(OR($A576="",$A576&lt;&gt;'Resumen del inventario'!$C$3,$N576="",$N576="OK"),"",IF(COUNTIFS($A$2:$A576,$A576,$B$2:$B576,$B576)=1,1,""))</f>
        <v/>
      </c>
      <c r="S576" s="20">
        <f>IF($R576=1,COUNTIF($R$2:$R576,1),"")</f>
        <v/>
      </c>
    </row>
    <row r="577">
      <c r="A577" s="19" t="n"/>
      <c r="B577" s="14" t="n"/>
      <c r="C577" s="20">
        <f>IF($B577="","",IFERROR(INDEX(Vinos!$B$2:$B$301,MATCH($B577,Vinos!$A$2:$A$301,0)),"Código no cargado"))</f>
        <v/>
      </c>
      <c r="D577" s="14" t="n"/>
      <c r="E577" s="14" t="n"/>
      <c r="F577" s="18" t="n"/>
      <c r="G577" s="18" t="n"/>
      <c r="H577" s="21">
        <f>IF(AND($F577="",$G577=""),"",N($F577)*IFERROR(N(INDEX(Vinos!$H$2:$H$301,MATCH($B577,Vinos!$A$2:$A$301,0))),0)+N($G577))</f>
        <v/>
      </c>
      <c r="I577" s="18" t="n"/>
      <c r="J577" s="21">
        <f>IF(OR($H577="",$I577=""),"",$H577-$I577)</f>
        <v/>
      </c>
      <c r="K577" s="16">
        <f>IF($H577="","",IFERROR(IF(INDEX(Vinos!$J$2:$J$301,MATCH($B577,Vinos!$A$2:$A$301,0))="","",$H577*INDEX(Vinos!$J$2:$J$301,MATCH($B577,Vinos!$A$2:$A$301,0))),""))</f>
        <v/>
      </c>
      <c r="L577" s="16">
        <f>IF($H577="","",IFERROR(IF(INDEX(Vinos!$K$2:$K$301,MATCH($B577,Vinos!$A$2:$A$301,0))="","",$H577*INDEX(Vinos!$K$2:$K$301,MATCH($B577,Vinos!$A$2:$A$301,0))),""))</f>
        <v/>
      </c>
      <c r="M577" s="21">
        <f>IF(OR($A577="",$B577=""),"",SUMIFS($H$2:$H$2001,$A$2:$A$2001,$A577,$B$2:$B$2001,$B577))</f>
        <v/>
      </c>
      <c r="N577" s="20">
        <f>IF($M577="","",IF($M577&lt;=0,"Sin stock: reponer ya",IF($M577&lt;IFERROR(N(INDEX(Vinos!$N$2:$N$301,MATCH($B577,Vinos!$A$2:$A$301,0))),0),"Bajo mínimo: reponer","OK")))</f>
        <v/>
      </c>
      <c r="O577" s="14" t="n"/>
      <c r="P577" s="14" t="n"/>
      <c r="Q577" s="20">
        <f>IF($B577="","",IFERROR(INDEX(Vinos!$C$2:$C$301,MATCH($B577,Vinos!$A$2:$A$301,0)),""))</f>
        <v/>
      </c>
      <c r="R577" s="20">
        <f>IF(OR($A577="",$A577&lt;&gt;'Resumen del inventario'!$C$3,$N577="",$N577="OK"),"",IF(COUNTIFS($A$2:$A577,$A577,$B$2:$B577,$B577)=1,1,""))</f>
        <v/>
      </c>
      <c r="S577" s="20">
        <f>IF($R577=1,COUNTIF($R$2:$R577,1),"")</f>
        <v/>
      </c>
    </row>
    <row r="578">
      <c r="A578" s="19" t="n"/>
      <c r="B578" s="14" t="n"/>
      <c r="C578" s="20">
        <f>IF($B578="","",IFERROR(INDEX(Vinos!$B$2:$B$301,MATCH($B578,Vinos!$A$2:$A$301,0)),"Código no cargado"))</f>
        <v/>
      </c>
      <c r="D578" s="14" t="n"/>
      <c r="E578" s="14" t="n"/>
      <c r="F578" s="18" t="n"/>
      <c r="G578" s="18" t="n"/>
      <c r="H578" s="21">
        <f>IF(AND($F578="",$G578=""),"",N($F578)*IFERROR(N(INDEX(Vinos!$H$2:$H$301,MATCH($B578,Vinos!$A$2:$A$301,0))),0)+N($G578))</f>
        <v/>
      </c>
      <c r="I578" s="18" t="n"/>
      <c r="J578" s="21">
        <f>IF(OR($H578="",$I578=""),"",$H578-$I578)</f>
        <v/>
      </c>
      <c r="K578" s="16">
        <f>IF($H578="","",IFERROR(IF(INDEX(Vinos!$J$2:$J$301,MATCH($B578,Vinos!$A$2:$A$301,0))="","",$H578*INDEX(Vinos!$J$2:$J$301,MATCH($B578,Vinos!$A$2:$A$301,0))),""))</f>
        <v/>
      </c>
      <c r="L578" s="16">
        <f>IF($H578="","",IFERROR(IF(INDEX(Vinos!$K$2:$K$301,MATCH($B578,Vinos!$A$2:$A$301,0))="","",$H578*INDEX(Vinos!$K$2:$K$301,MATCH($B578,Vinos!$A$2:$A$301,0))),""))</f>
        <v/>
      </c>
      <c r="M578" s="21">
        <f>IF(OR($A578="",$B578=""),"",SUMIFS($H$2:$H$2001,$A$2:$A$2001,$A578,$B$2:$B$2001,$B578))</f>
        <v/>
      </c>
      <c r="N578" s="20">
        <f>IF($M578="","",IF($M578&lt;=0,"Sin stock: reponer ya",IF($M578&lt;IFERROR(N(INDEX(Vinos!$N$2:$N$301,MATCH($B578,Vinos!$A$2:$A$301,0))),0),"Bajo mínimo: reponer","OK")))</f>
        <v/>
      </c>
      <c r="O578" s="14" t="n"/>
      <c r="P578" s="14" t="n"/>
      <c r="Q578" s="20">
        <f>IF($B578="","",IFERROR(INDEX(Vinos!$C$2:$C$301,MATCH($B578,Vinos!$A$2:$A$301,0)),""))</f>
        <v/>
      </c>
      <c r="R578" s="20">
        <f>IF(OR($A578="",$A578&lt;&gt;'Resumen del inventario'!$C$3,$N578="",$N578="OK"),"",IF(COUNTIFS($A$2:$A578,$A578,$B$2:$B578,$B578)=1,1,""))</f>
        <v/>
      </c>
      <c r="S578" s="20">
        <f>IF($R578=1,COUNTIF($R$2:$R578,1),"")</f>
        <v/>
      </c>
    </row>
    <row r="579">
      <c r="A579" s="19" t="n"/>
      <c r="B579" s="14" t="n"/>
      <c r="C579" s="20">
        <f>IF($B579="","",IFERROR(INDEX(Vinos!$B$2:$B$301,MATCH($B579,Vinos!$A$2:$A$301,0)),"Código no cargado"))</f>
        <v/>
      </c>
      <c r="D579" s="14" t="n"/>
      <c r="E579" s="14" t="n"/>
      <c r="F579" s="18" t="n"/>
      <c r="G579" s="18" t="n"/>
      <c r="H579" s="21">
        <f>IF(AND($F579="",$G579=""),"",N($F579)*IFERROR(N(INDEX(Vinos!$H$2:$H$301,MATCH($B579,Vinos!$A$2:$A$301,0))),0)+N($G579))</f>
        <v/>
      </c>
      <c r="I579" s="18" t="n"/>
      <c r="J579" s="21">
        <f>IF(OR($H579="",$I579=""),"",$H579-$I579)</f>
        <v/>
      </c>
      <c r="K579" s="16">
        <f>IF($H579="","",IFERROR(IF(INDEX(Vinos!$J$2:$J$301,MATCH($B579,Vinos!$A$2:$A$301,0))="","",$H579*INDEX(Vinos!$J$2:$J$301,MATCH($B579,Vinos!$A$2:$A$301,0))),""))</f>
        <v/>
      </c>
      <c r="L579" s="16">
        <f>IF($H579="","",IFERROR(IF(INDEX(Vinos!$K$2:$K$301,MATCH($B579,Vinos!$A$2:$A$301,0))="","",$H579*INDEX(Vinos!$K$2:$K$301,MATCH($B579,Vinos!$A$2:$A$301,0))),""))</f>
        <v/>
      </c>
      <c r="M579" s="21">
        <f>IF(OR($A579="",$B579=""),"",SUMIFS($H$2:$H$2001,$A$2:$A$2001,$A579,$B$2:$B$2001,$B579))</f>
        <v/>
      </c>
      <c r="N579" s="20">
        <f>IF($M579="","",IF($M579&lt;=0,"Sin stock: reponer ya",IF($M579&lt;IFERROR(N(INDEX(Vinos!$N$2:$N$301,MATCH($B579,Vinos!$A$2:$A$301,0))),0),"Bajo mínimo: reponer","OK")))</f>
        <v/>
      </c>
      <c r="O579" s="14" t="n"/>
      <c r="P579" s="14" t="n"/>
      <c r="Q579" s="20">
        <f>IF($B579="","",IFERROR(INDEX(Vinos!$C$2:$C$301,MATCH($B579,Vinos!$A$2:$A$301,0)),""))</f>
        <v/>
      </c>
      <c r="R579" s="20">
        <f>IF(OR($A579="",$A579&lt;&gt;'Resumen del inventario'!$C$3,$N579="",$N579="OK"),"",IF(COUNTIFS($A$2:$A579,$A579,$B$2:$B579,$B579)=1,1,""))</f>
        <v/>
      </c>
      <c r="S579" s="20">
        <f>IF($R579=1,COUNTIF($R$2:$R579,1),"")</f>
        <v/>
      </c>
    </row>
    <row r="580">
      <c r="A580" s="19" t="n"/>
      <c r="B580" s="14" t="n"/>
      <c r="C580" s="20">
        <f>IF($B580="","",IFERROR(INDEX(Vinos!$B$2:$B$301,MATCH($B580,Vinos!$A$2:$A$301,0)),"Código no cargado"))</f>
        <v/>
      </c>
      <c r="D580" s="14" t="n"/>
      <c r="E580" s="14" t="n"/>
      <c r="F580" s="18" t="n"/>
      <c r="G580" s="18" t="n"/>
      <c r="H580" s="21">
        <f>IF(AND($F580="",$G580=""),"",N($F580)*IFERROR(N(INDEX(Vinos!$H$2:$H$301,MATCH($B580,Vinos!$A$2:$A$301,0))),0)+N($G580))</f>
        <v/>
      </c>
      <c r="I580" s="18" t="n"/>
      <c r="J580" s="21">
        <f>IF(OR($H580="",$I580=""),"",$H580-$I580)</f>
        <v/>
      </c>
      <c r="K580" s="16">
        <f>IF($H580="","",IFERROR(IF(INDEX(Vinos!$J$2:$J$301,MATCH($B580,Vinos!$A$2:$A$301,0))="","",$H580*INDEX(Vinos!$J$2:$J$301,MATCH($B580,Vinos!$A$2:$A$301,0))),""))</f>
        <v/>
      </c>
      <c r="L580" s="16">
        <f>IF($H580="","",IFERROR(IF(INDEX(Vinos!$K$2:$K$301,MATCH($B580,Vinos!$A$2:$A$301,0))="","",$H580*INDEX(Vinos!$K$2:$K$301,MATCH($B580,Vinos!$A$2:$A$301,0))),""))</f>
        <v/>
      </c>
      <c r="M580" s="21">
        <f>IF(OR($A580="",$B580=""),"",SUMIFS($H$2:$H$2001,$A$2:$A$2001,$A580,$B$2:$B$2001,$B580))</f>
        <v/>
      </c>
      <c r="N580" s="20">
        <f>IF($M580="","",IF($M580&lt;=0,"Sin stock: reponer ya",IF($M580&lt;IFERROR(N(INDEX(Vinos!$N$2:$N$301,MATCH($B580,Vinos!$A$2:$A$301,0))),0),"Bajo mínimo: reponer","OK")))</f>
        <v/>
      </c>
      <c r="O580" s="14" t="n"/>
      <c r="P580" s="14" t="n"/>
      <c r="Q580" s="20">
        <f>IF($B580="","",IFERROR(INDEX(Vinos!$C$2:$C$301,MATCH($B580,Vinos!$A$2:$A$301,0)),""))</f>
        <v/>
      </c>
      <c r="R580" s="20">
        <f>IF(OR($A580="",$A580&lt;&gt;'Resumen del inventario'!$C$3,$N580="",$N580="OK"),"",IF(COUNTIFS($A$2:$A580,$A580,$B$2:$B580,$B580)=1,1,""))</f>
        <v/>
      </c>
      <c r="S580" s="20">
        <f>IF($R580=1,COUNTIF($R$2:$R580,1),"")</f>
        <v/>
      </c>
    </row>
    <row r="581">
      <c r="A581" s="19" t="n"/>
      <c r="B581" s="14" t="n"/>
      <c r="C581" s="20">
        <f>IF($B581="","",IFERROR(INDEX(Vinos!$B$2:$B$301,MATCH($B581,Vinos!$A$2:$A$301,0)),"Código no cargado"))</f>
        <v/>
      </c>
      <c r="D581" s="14" t="n"/>
      <c r="E581" s="14" t="n"/>
      <c r="F581" s="18" t="n"/>
      <c r="G581" s="18" t="n"/>
      <c r="H581" s="21">
        <f>IF(AND($F581="",$G581=""),"",N($F581)*IFERROR(N(INDEX(Vinos!$H$2:$H$301,MATCH($B581,Vinos!$A$2:$A$301,0))),0)+N($G581))</f>
        <v/>
      </c>
      <c r="I581" s="18" t="n"/>
      <c r="J581" s="21">
        <f>IF(OR($H581="",$I581=""),"",$H581-$I581)</f>
        <v/>
      </c>
      <c r="K581" s="16">
        <f>IF($H581="","",IFERROR(IF(INDEX(Vinos!$J$2:$J$301,MATCH($B581,Vinos!$A$2:$A$301,0))="","",$H581*INDEX(Vinos!$J$2:$J$301,MATCH($B581,Vinos!$A$2:$A$301,0))),""))</f>
        <v/>
      </c>
      <c r="L581" s="16">
        <f>IF($H581="","",IFERROR(IF(INDEX(Vinos!$K$2:$K$301,MATCH($B581,Vinos!$A$2:$A$301,0))="","",$H581*INDEX(Vinos!$K$2:$K$301,MATCH($B581,Vinos!$A$2:$A$301,0))),""))</f>
        <v/>
      </c>
      <c r="M581" s="21">
        <f>IF(OR($A581="",$B581=""),"",SUMIFS($H$2:$H$2001,$A$2:$A$2001,$A581,$B$2:$B$2001,$B581))</f>
        <v/>
      </c>
      <c r="N581" s="20">
        <f>IF($M581="","",IF($M581&lt;=0,"Sin stock: reponer ya",IF($M581&lt;IFERROR(N(INDEX(Vinos!$N$2:$N$301,MATCH($B581,Vinos!$A$2:$A$301,0))),0),"Bajo mínimo: reponer","OK")))</f>
        <v/>
      </c>
      <c r="O581" s="14" t="n"/>
      <c r="P581" s="14" t="n"/>
      <c r="Q581" s="20">
        <f>IF($B581="","",IFERROR(INDEX(Vinos!$C$2:$C$301,MATCH($B581,Vinos!$A$2:$A$301,0)),""))</f>
        <v/>
      </c>
      <c r="R581" s="20">
        <f>IF(OR($A581="",$A581&lt;&gt;'Resumen del inventario'!$C$3,$N581="",$N581="OK"),"",IF(COUNTIFS($A$2:$A581,$A581,$B$2:$B581,$B581)=1,1,""))</f>
        <v/>
      </c>
      <c r="S581" s="20">
        <f>IF($R581=1,COUNTIF($R$2:$R581,1),"")</f>
        <v/>
      </c>
    </row>
    <row r="582">
      <c r="A582" s="19" t="n"/>
      <c r="B582" s="14" t="n"/>
      <c r="C582" s="20">
        <f>IF($B582="","",IFERROR(INDEX(Vinos!$B$2:$B$301,MATCH($B582,Vinos!$A$2:$A$301,0)),"Código no cargado"))</f>
        <v/>
      </c>
      <c r="D582" s="14" t="n"/>
      <c r="E582" s="14" t="n"/>
      <c r="F582" s="18" t="n"/>
      <c r="G582" s="18" t="n"/>
      <c r="H582" s="21">
        <f>IF(AND($F582="",$G582=""),"",N($F582)*IFERROR(N(INDEX(Vinos!$H$2:$H$301,MATCH($B582,Vinos!$A$2:$A$301,0))),0)+N($G582))</f>
        <v/>
      </c>
      <c r="I582" s="18" t="n"/>
      <c r="J582" s="21">
        <f>IF(OR($H582="",$I582=""),"",$H582-$I582)</f>
        <v/>
      </c>
      <c r="K582" s="16">
        <f>IF($H582="","",IFERROR(IF(INDEX(Vinos!$J$2:$J$301,MATCH($B582,Vinos!$A$2:$A$301,0))="","",$H582*INDEX(Vinos!$J$2:$J$301,MATCH($B582,Vinos!$A$2:$A$301,0))),""))</f>
        <v/>
      </c>
      <c r="L582" s="16">
        <f>IF($H582="","",IFERROR(IF(INDEX(Vinos!$K$2:$K$301,MATCH($B582,Vinos!$A$2:$A$301,0))="","",$H582*INDEX(Vinos!$K$2:$K$301,MATCH($B582,Vinos!$A$2:$A$301,0))),""))</f>
        <v/>
      </c>
      <c r="M582" s="21">
        <f>IF(OR($A582="",$B582=""),"",SUMIFS($H$2:$H$2001,$A$2:$A$2001,$A582,$B$2:$B$2001,$B582))</f>
        <v/>
      </c>
      <c r="N582" s="20">
        <f>IF($M582="","",IF($M582&lt;=0,"Sin stock: reponer ya",IF($M582&lt;IFERROR(N(INDEX(Vinos!$N$2:$N$301,MATCH($B582,Vinos!$A$2:$A$301,0))),0),"Bajo mínimo: reponer","OK")))</f>
        <v/>
      </c>
      <c r="O582" s="14" t="n"/>
      <c r="P582" s="14" t="n"/>
      <c r="Q582" s="20">
        <f>IF($B582="","",IFERROR(INDEX(Vinos!$C$2:$C$301,MATCH($B582,Vinos!$A$2:$A$301,0)),""))</f>
        <v/>
      </c>
      <c r="R582" s="20">
        <f>IF(OR($A582="",$A582&lt;&gt;'Resumen del inventario'!$C$3,$N582="",$N582="OK"),"",IF(COUNTIFS($A$2:$A582,$A582,$B$2:$B582,$B582)=1,1,""))</f>
        <v/>
      </c>
      <c r="S582" s="20">
        <f>IF($R582=1,COUNTIF($R$2:$R582,1),"")</f>
        <v/>
      </c>
    </row>
    <row r="583">
      <c r="A583" s="19" t="n"/>
      <c r="B583" s="14" t="n"/>
      <c r="C583" s="20">
        <f>IF($B583="","",IFERROR(INDEX(Vinos!$B$2:$B$301,MATCH($B583,Vinos!$A$2:$A$301,0)),"Código no cargado"))</f>
        <v/>
      </c>
      <c r="D583" s="14" t="n"/>
      <c r="E583" s="14" t="n"/>
      <c r="F583" s="18" t="n"/>
      <c r="G583" s="18" t="n"/>
      <c r="H583" s="21">
        <f>IF(AND($F583="",$G583=""),"",N($F583)*IFERROR(N(INDEX(Vinos!$H$2:$H$301,MATCH($B583,Vinos!$A$2:$A$301,0))),0)+N($G583))</f>
        <v/>
      </c>
      <c r="I583" s="18" t="n"/>
      <c r="J583" s="21">
        <f>IF(OR($H583="",$I583=""),"",$H583-$I583)</f>
        <v/>
      </c>
      <c r="K583" s="16">
        <f>IF($H583="","",IFERROR(IF(INDEX(Vinos!$J$2:$J$301,MATCH($B583,Vinos!$A$2:$A$301,0))="","",$H583*INDEX(Vinos!$J$2:$J$301,MATCH($B583,Vinos!$A$2:$A$301,0))),""))</f>
        <v/>
      </c>
      <c r="L583" s="16">
        <f>IF($H583="","",IFERROR(IF(INDEX(Vinos!$K$2:$K$301,MATCH($B583,Vinos!$A$2:$A$301,0))="","",$H583*INDEX(Vinos!$K$2:$K$301,MATCH($B583,Vinos!$A$2:$A$301,0))),""))</f>
        <v/>
      </c>
      <c r="M583" s="21">
        <f>IF(OR($A583="",$B583=""),"",SUMIFS($H$2:$H$2001,$A$2:$A$2001,$A583,$B$2:$B$2001,$B583))</f>
        <v/>
      </c>
      <c r="N583" s="20">
        <f>IF($M583="","",IF($M583&lt;=0,"Sin stock: reponer ya",IF($M583&lt;IFERROR(N(INDEX(Vinos!$N$2:$N$301,MATCH($B583,Vinos!$A$2:$A$301,0))),0),"Bajo mínimo: reponer","OK")))</f>
        <v/>
      </c>
      <c r="O583" s="14" t="n"/>
      <c r="P583" s="14" t="n"/>
      <c r="Q583" s="20">
        <f>IF($B583="","",IFERROR(INDEX(Vinos!$C$2:$C$301,MATCH($B583,Vinos!$A$2:$A$301,0)),""))</f>
        <v/>
      </c>
      <c r="R583" s="20">
        <f>IF(OR($A583="",$A583&lt;&gt;'Resumen del inventario'!$C$3,$N583="",$N583="OK"),"",IF(COUNTIFS($A$2:$A583,$A583,$B$2:$B583,$B583)=1,1,""))</f>
        <v/>
      </c>
      <c r="S583" s="20">
        <f>IF($R583=1,COUNTIF($R$2:$R583,1),"")</f>
        <v/>
      </c>
    </row>
    <row r="584">
      <c r="A584" s="19" t="n"/>
      <c r="B584" s="14" t="n"/>
      <c r="C584" s="20">
        <f>IF($B584="","",IFERROR(INDEX(Vinos!$B$2:$B$301,MATCH($B584,Vinos!$A$2:$A$301,0)),"Código no cargado"))</f>
        <v/>
      </c>
      <c r="D584" s="14" t="n"/>
      <c r="E584" s="14" t="n"/>
      <c r="F584" s="18" t="n"/>
      <c r="G584" s="18" t="n"/>
      <c r="H584" s="21">
        <f>IF(AND($F584="",$G584=""),"",N($F584)*IFERROR(N(INDEX(Vinos!$H$2:$H$301,MATCH($B584,Vinos!$A$2:$A$301,0))),0)+N($G584))</f>
        <v/>
      </c>
      <c r="I584" s="18" t="n"/>
      <c r="J584" s="21">
        <f>IF(OR($H584="",$I584=""),"",$H584-$I584)</f>
        <v/>
      </c>
      <c r="K584" s="16">
        <f>IF($H584="","",IFERROR(IF(INDEX(Vinos!$J$2:$J$301,MATCH($B584,Vinos!$A$2:$A$301,0))="","",$H584*INDEX(Vinos!$J$2:$J$301,MATCH($B584,Vinos!$A$2:$A$301,0))),""))</f>
        <v/>
      </c>
      <c r="L584" s="16">
        <f>IF($H584="","",IFERROR(IF(INDEX(Vinos!$K$2:$K$301,MATCH($B584,Vinos!$A$2:$A$301,0))="","",$H584*INDEX(Vinos!$K$2:$K$301,MATCH($B584,Vinos!$A$2:$A$301,0))),""))</f>
        <v/>
      </c>
      <c r="M584" s="21">
        <f>IF(OR($A584="",$B584=""),"",SUMIFS($H$2:$H$2001,$A$2:$A$2001,$A584,$B$2:$B$2001,$B584))</f>
        <v/>
      </c>
      <c r="N584" s="20">
        <f>IF($M584="","",IF($M584&lt;=0,"Sin stock: reponer ya",IF($M584&lt;IFERROR(N(INDEX(Vinos!$N$2:$N$301,MATCH($B584,Vinos!$A$2:$A$301,0))),0),"Bajo mínimo: reponer","OK")))</f>
        <v/>
      </c>
      <c r="O584" s="14" t="n"/>
      <c r="P584" s="14" t="n"/>
      <c r="Q584" s="20">
        <f>IF($B584="","",IFERROR(INDEX(Vinos!$C$2:$C$301,MATCH($B584,Vinos!$A$2:$A$301,0)),""))</f>
        <v/>
      </c>
      <c r="R584" s="20">
        <f>IF(OR($A584="",$A584&lt;&gt;'Resumen del inventario'!$C$3,$N584="",$N584="OK"),"",IF(COUNTIFS($A$2:$A584,$A584,$B$2:$B584,$B584)=1,1,""))</f>
        <v/>
      </c>
      <c r="S584" s="20">
        <f>IF($R584=1,COUNTIF($R$2:$R584,1),"")</f>
        <v/>
      </c>
    </row>
    <row r="585">
      <c r="A585" s="19" t="n"/>
      <c r="B585" s="14" t="n"/>
      <c r="C585" s="20">
        <f>IF($B585="","",IFERROR(INDEX(Vinos!$B$2:$B$301,MATCH($B585,Vinos!$A$2:$A$301,0)),"Código no cargado"))</f>
        <v/>
      </c>
      <c r="D585" s="14" t="n"/>
      <c r="E585" s="14" t="n"/>
      <c r="F585" s="18" t="n"/>
      <c r="G585" s="18" t="n"/>
      <c r="H585" s="21">
        <f>IF(AND($F585="",$G585=""),"",N($F585)*IFERROR(N(INDEX(Vinos!$H$2:$H$301,MATCH($B585,Vinos!$A$2:$A$301,0))),0)+N($G585))</f>
        <v/>
      </c>
      <c r="I585" s="18" t="n"/>
      <c r="J585" s="21">
        <f>IF(OR($H585="",$I585=""),"",$H585-$I585)</f>
        <v/>
      </c>
      <c r="K585" s="16">
        <f>IF($H585="","",IFERROR(IF(INDEX(Vinos!$J$2:$J$301,MATCH($B585,Vinos!$A$2:$A$301,0))="","",$H585*INDEX(Vinos!$J$2:$J$301,MATCH($B585,Vinos!$A$2:$A$301,0))),""))</f>
        <v/>
      </c>
      <c r="L585" s="16">
        <f>IF($H585="","",IFERROR(IF(INDEX(Vinos!$K$2:$K$301,MATCH($B585,Vinos!$A$2:$A$301,0))="","",$H585*INDEX(Vinos!$K$2:$K$301,MATCH($B585,Vinos!$A$2:$A$301,0))),""))</f>
        <v/>
      </c>
      <c r="M585" s="21">
        <f>IF(OR($A585="",$B585=""),"",SUMIFS($H$2:$H$2001,$A$2:$A$2001,$A585,$B$2:$B$2001,$B585))</f>
        <v/>
      </c>
      <c r="N585" s="20">
        <f>IF($M585="","",IF($M585&lt;=0,"Sin stock: reponer ya",IF($M585&lt;IFERROR(N(INDEX(Vinos!$N$2:$N$301,MATCH($B585,Vinos!$A$2:$A$301,0))),0),"Bajo mínimo: reponer","OK")))</f>
        <v/>
      </c>
      <c r="O585" s="14" t="n"/>
      <c r="P585" s="14" t="n"/>
      <c r="Q585" s="20">
        <f>IF($B585="","",IFERROR(INDEX(Vinos!$C$2:$C$301,MATCH($B585,Vinos!$A$2:$A$301,0)),""))</f>
        <v/>
      </c>
      <c r="R585" s="20">
        <f>IF(OR($A585="",$A585&lt;&gt;'Resumen del inventario'!$C$3,$N585="",$N585="OK"),"",IF(COUNTIFS($A$2:$A585,$A585,$B$2:$B585,$B585)=1,1,""))</f>
        <v/>
      </c>
      <c r="S585" s="20">
        <f>IF($R585=1,COUNTIF($R$2:$R585,1),"")</f>
        <v/>
      </c>
    </row>
    <row r="586">
      <c r="A586" s="19" t="n"/>
      <c r="B586" s="14" t="n"/>
      <c r="C586" s="20">
        <f>IF($B586="","",IFERROR(INDEX(Vinos!$B$2:$B$301,MATCH($B586,Vinos!$A$2:$A$301,0)),"Código no cargado"))</f>
        <v/>
      </c>
      <c r="D586" s="14" t="n"/>
      <c r="E586" s="14" t="n"/>
      <c r="F586" s="18" t="n"/>
      <c r="G586" s="18" t="n"/>
      <c r="H586" s="21">
        <f>IF(AND($F586="",$G586=""),"",N($F586)*IFERROR(N(INDEX(Vinos!$H$2:$H$301,MATCH($B586,Vinos!$A$2:$A$301,0))),0)+N($G586))</f>
        <v/>
      </c>
      <c r="I586" s="18" t="n"/>
      <c r="J586" s="21">
        <f>IF(OR($H586="",$I586=""),"",$H586-$I586)</f>
        <v/>
      </c>
      <c r="K586" s="16">
        <f>IF($H586="","",IFERROR(IF(INDEX(Vinos!$J$2:$J$301,MATCH($B586,Vinos!$A$2:$A$301,0))="","",$H586*INDEX(Vinos!$J$2:$J$301,MATCH($B586,Vinos!$A$2:$A$301,0))),""))</f>
        <v/>
      </c>
      <c r="L586" s="16">
        <f>IF($H586="","",IFERROR(IF(INDEX(Vinos!$K$2:$K$301,MATCH($B586,Vinos!$A$2:$A$301,0))="","",$H586*INDEX(Vinos!$K$2:$K$301,MATCH($B586,Vinos!$A$2:$A$301,0))),""))</f>
        <v/>
      </c>
      <c r="M586" s="21">
        <f>IF(OR($A586="",$B586=""),"",SUMIFS($H$2:$H$2001,$A$2:$A$2001,$A586,$B$2:$B$2001,$B586))</f>
        <v/>
      </c>
      <c r="N586" s="20">
        <f>IF($M586="","",IF($M586&lt;=0,"Sin stock: reponer ya",IF($M586&lt;IFERROR(N(INDEX(Vinos!$N$2:$N$301,MATCH($B586,Vinos!$A$2:$A$301,0))),0),"Bajo mínimo: reponer","OK")))</f>
        <v/>
      </c>
      <c r="O586" s="14" t="n"/>
      <c r="P586" s="14" t="n"/>
      <c r="Q586" s="20">
        <f>IF($B586="","",IFERROR(INDEX(Vinos!$C$2:$C$301,MATCH($B586,Vinos!$A$2:$A$301,0)),""))</f>
        <v/>
      </c>
      <c r="R586" s="20">
        <f>IF(OR($A586="",$A586&lt;&gt;'Resumen del inventario'!$C$3,$N586="",$N586="OK"),"",IF(COUNTIFS($A$2:$A586,$A586,$B$2:$B586,$B586)=1,1,""))</f>
        <v/>
      </c>
      <c r="S586" s="20">
        <f>IF($R586=1,COUNTIF($R$2:$R586,1),"")</f>
        <v/>
      </c>
    </row>
    <row r="587">
      <c r="A587" s="19" t="n"/>
      <c r="B587" s="14" t="n"/>
      <c r="C587" s="20">
        <f>IF($B587="","",IFERROR(INDEX(Vinos!$B$2:$B$301,MATCH($B587,Vinos!$A$2:$A$301,0)),"Código no cargado"))</f>
        <v/>
      </c>
      <c r="D587" s="14" t="n"/>
      <c r="E587" s="14" t="n"/>
      <c r="F587" s="18" t="n"/>
      <c r="G587" s="18" t="n"/>
      <c r="H587" s="21">
        <f>IF(AND($F587="",$G587=""),"",N($F587)*IFERROR(N(INDEX(Vinos!$H$2:$H$301,MATCH($B587,Vinos!$A$2:$A$301,0))),0)+N($G587))</f>
        <v/>
      </c>
      <c r="I587" s="18" t="n"/>
      <c r="J587" s="21">
        <f>IF(OR($H587="",$I587=""),"",$H587-$I587)</f>
        <v/>
      </c>
      <c r="K587" s="16">
        <f>IF($H587="","",IFERROR(IF(INDEX(Vinos!$J$2:$J$301,MATCH($B587,Vinos!$A$2:$A$301,0))="","",$H587*INDEX(Vinos!$J$2:$J$301,MATCH($B587,Vinos!$A$2:$A$301,0))),""))</f>
        <v/>
      </c>
      <c r="L587" s="16">
        <f>IF($H587="","",IFERROR(IF(INDEX(Vinos!$K$2:$K$301,MATCH($B587,Vinos!$A$2:$A$301,0))="","",$H587*INDEX(Vinos!$K$2:$K$301,MATCH($B587,Vinos!$A$2:$A$301,0))),""))</f>
        <v/>
      </c>
      <c r="M587" s="21">
        <f>IF(OR($A587="",$B587=""),"",SUMIFS($H$2:$H$2001,$A$2:$A$2001,$A587,$B$2:$B$2001,$B587))</f>
        <v/>
      </c>
      <c r="N587" s="20">
        <f>IF($M587="","",IF($M587&lt;=0,"Sin stock: reponer ya",IF($M587&lt;IFERROR(N(INDEX(Vinos!$N$2:$N$301,MATCH($B587,Vinos!$A$2:$A$301,0))),0),"Bajo mínimo: reponer","OK")))</f>
        <v/>
      </c>
      <c r="O587" s="14" t="n"/>
      <c r="P587" s="14" t="n"/>
      <c r="Q587" s="20">
        <f>IF($B587="","",IFERROR(INDEX(Vinos!$C$2:$C$301,MATCH($B587,Vinos!$A$2:$A$301,0)),""))</f>
        <v/>
      </c>
      <c r="R587" s="20">
        <f>IF(OR($A587="",$A587&lt;&gt;'Resumen del inventario'!$C$3,$N587="",$N587="OK"),"",IF(COUNTIFS($A$2:$A587,$A587,$B$2:$B587,$B587)=1,1,""))</f>
        <v/>
      </c>
      <c r="S587" s="20">
        <f>IF($R587=1,COUNTIF($R$2:$R587,1),"")</f>
        <v/>
      </c>
    </row>
    <row r="588">
      <c r="A588" s="19" t="n"/>
      <c r="B588" s="14" t="n"/>
      <c r="C588" s="20">
        <f>IF($B588="","",IFERROR(INDEX(Vinos!$B$2:$B$301,MATCH($B588,Vinos!$A$2:$A$301,0)),"Código no cargado"))</f>
        <v/>
      </c>
      <c r="D588" s="14" t="n"/>
      <c r="E588" s="14" t="n"/>
      <c r="F588" s="18" t="n"/>
      <c r="G588" s="18" t="n"/>
      <c r="H588" s="21">
        <f>IF(AND($F588="",$G588=""),"",N($F588)*IFERROR(N(INDEX(Vinos!$H$2:$H$301,MATCH($B588,Vinos!$A$2:$A$301,0))),0)+N($G588))</f>
        <v/>
      </c>
      <c r="I588" s="18" t="n"/>
      <c r="J588" s="21">
        <f>IF(OR($H588="",$I588=""),"",$H588-$I588)</f>
        <v/>
      </c>
      <c r="K588" s="16">
        <f>IF($H588="","",IFERROR(IF(INDEX(Vinos!$J$2:$J$301,MATCH($B588,Vinos!$A$2:$A$301,0))="","",$H588*INDEX(Vinos!$J$2:$J$301,MATCH($B588,Vinos!$A$2:$A$301,0))),""))</f>
        <v/>
      </c>
      <c r="L588" s="16">
        <f>IF($H588="","",IFERROR(IF(INDEX(Vinos!$K$2:$K$301,MATCH($B588,Vinos!$A$2:$A$301,0))="","",$H588*INDEX(Vinos!$K$2:$K$301,MATCH($B588,Vinos!$A$2:$A$301,0))),""))</f>
        <v/>
      </c>
      <c r="M588" s="21">
        <f>IF(OR($A588="",$B588=""),"",SUMIFS($H$2:$H$2001,$A$2:$A$2001,$A588,$B$2:$B$2001,$B588))</f>
        <v/>
      </c>
      <c r="N588" s="20">
        <f>IF($M588="","",IF($M588&lt;=0,"Sin stock: reponer ya",IF($M588&lt;IFERROR(N(INDEX(Vinos!$N$2:$N$301,MATCH($B588,Vinos!$A$2:$A$301,0))),0),"Bajo mínimo: reponer","OK")))</f>
        <v/>
      </c>
      <c r="O588" s="14" t="n"/>
      <c r="P588" s="14" t="n"/>
      <c r="Q588" s="20">
        <f>IF($B588="","",IFERROR(INDEX(Vinos!$C$2:$C$301,MATCH($B588,Vinos!$A$2:$A$301,0)),""))</f>
        <v/>
      </c>
      <c r="R588" s="20">
        <f>IF(OR($A588="",$A588&lt;&gt;'Resumen del inventario'!$C$3,$N588="",$N588="OK"),"",IF(COUNTIFS($A$2:$A588,$A588,$B$2:$B588,$B588)=1,1,""))</f>
        <v/>
      </c>
      <c r="S588" s="20">
        <f>IF($R588=1,COUNTIF($R$2:$R588,1),"")</f>
        <v/>
      </c>
    </row>
    <row r="589">
      <c r="A589" s="19" t="n"/>
      <c r="B589" s="14" t="n"/>
      <c r="C589" s="20">
        <f>IF($B589="","",IFERROR(INDEX(Vinos!$B$2:$B$301,MATCH($B589,Vinos!$A$2:$A$301,0)),"Código no cargado"))</f>
        <v/>
      </c>
      <c r="D589" s="14" t="n"/>
      <c r="E589" s="14" t="n"/>
      <c r="F589" s="18" t="n"/>
      <c r="G589" s="18" t="n"/>
      <c r="H589" s="21">
        <f>IF(AND($F589="",$G589=""),"",N($F589)*IFERROR(N(INDEX(Vinos!$H$2:$H$301,MATCH($B589,Vinos!$A$2:$A$301,0))),0)+N($G589))</f>
        <v/>
      </c>
      <c r="I589" s="18" t="n"/>
      <c r="J589" s="21">
        <f>IF(OR($H589="",$I589=""),"",$H589-$I589)</f>
        <v/>
      </c>
      <c r="K589" s="16">
        <f>IF($H589="","",IFERROR(IF(INDEX(Vinos!$J$2:$J$301,MATCH($B589,Vinos!$A$2:$A$301,0))="","",$H589*INDEX(Vinos!$J$2:$J$301,MATCH($B589,Vinos!$A$2:$A$301,0))),""))</f>
        <v/>
      </c>
      <c r="L589" s="16">
        <f>IF($H589="","",IFERROR(IF(INDEX(Vinos!$K$2:$K$301,MATCH($B589,Vinos!$A$2:$A$301,0))="","",$H589*INDEX(Vinos!$K$2:$K$301,MATCH($B589,Vinos!$A$2:$A$301,0))),""))</f>
        <v/>
      </c>
      <c r="M589" s="21">
        <f>IF(OR($A589="",$B589=""),"",SUMIFS($H$2:$H$2001,$A$2:$A$2001,$A589,$B$2:$B$2001,$B589))</f>
        <v/>
      </c>
      <c r="N589" s="20">
        <f>IF($M589="","",IF($M589&lt;=0,"Sin stock: reponer ya",IF($M589&lt;IFERROR(N(INDEX(Vinos!$N$2:$N$301,MATCH($B589,Vinos!$A$2:$A$301,0))),0),"Bajo mínimo: reponer","OK")))</f>
        <v/>
      </c>
      <c r="O589" s="14" t="n"/>
      <c r="P589" s="14" t="n"/>
      <c r="Q589" s="20">
        <f>IF($B589="","",IFERROR(INDEX(Vinos!$C$2:$C$301,MATCH($B589,Vinos!$A$2:$A$301,0)),""))</f>
        <v/>
      </c>
      <c r="R589" s="20">
        <f>IF(OR($A589="",$A589&lt;&gt;'Resumen del inventario'!$C$3,$N589="",$N589="OK"),"",IF(COUNTIFS($A$2:$A589,$A589,$B$2:$B589,$B589)=1,1,""))</f>
        <v/>
      </c>
      <c r="S589" s="20">
        <f>IF($R589=1,COUNTIF($R$2:$R589,1),"")</f>
        <v/>
      </c>
    </row>
    <row r="590">
      <c r="A590" s="19" t="n"/>
      <c r="B590" s="14" t="n"/>
      <c r="C590" s="20">
        <f>IF($B590="","",IFERROR(INDEX(Vinos!$B$2:$B$301,MATCH($B590,Vinos!$A$2:$A$301,0)),"Código no cargado"))</f>
        <v/>
      </c>
      <c r="D590" s="14" t="n"/>
      <c r="E590" s="14" t="n"/>
      <c r="F590" s="18" t="n"/>
      <c r="G590" s="18" t="n"/>
      <c r="H590" s="21">
        <f>IF(AND($F590="",$G590=""),"",N($F590)*IFERROR(N(INDEX(Vinos!$H$2:$H$301,MATCH($B590,Vinos!$A$2:$A$301,0))),0)+N($G590))</f>
        <v/>
      </c>
      <c r="I590" s="18" t="n"/>
      <c r="J590" s="21">
        <f>IF(OR($H590="",$I590=""),"",$H590-$I590)</f>
        <v/>
      </c>
      <c r="K590" s="16">
        <f>IF($H590="","",IFERROR(IF(INDEX(Vinos!$J$2:$J$301,MATCH($B590,Vinos!$A$2:$A$301,0))="","",$H590*INDEX(Vinos!$J$2:$J$301,MATCH($B590,Vinos!$A$2:$A$301,0))),""))</f>
        <v/>
      </c>
      <c r="L590" s="16">
        <f>IF($H590="","",IFERROR(IF(INDEX(Vinos!$K$2:$K$301,MATCH($B590,Vinos!$A$2:$A$301,0))="","",$H590*INDEX(Vinos!$K$2:$K$301,MATCH($B590,Vinos!$A$2:$A$301,0))),""))</f>
        <v/>
      </c>
      <c r="M590" s="21">
        <f>IF(OR($A590="",$B590=""),"",SUMIFS($H$2:$H$2001,$A$2:$A$2001,$A590,$B$2:$B$2001,$B590))</f>
        <v/>
      </c>
      <c r="N590" s="20">
        <f>IF($M590="","",IF($M590&lt;=0,"Sin stock: reponer ya",IF($M590&lt;IFERROR(N(INDEX(Vinos!$N$2:$N$301,MATCH($B590,Vinos!$A$2:$A$301,0))),0),"Bajo mínimo: reponer","OK")))</f>
        <v/>
      </c>
      <c r="O590" s="14" t="n"/>
      <c r="P590" s="14" t="n"/>
      <c r="Q590" s="20">
        <f>IF($B590="","",IFERROR(INDEX(Vinos!$C$2:$C$301,MATCH($B590,Vinos!$A$2:$A$301,0)),""))</f>
        <v/>
      </c>
      <c r="R590" s="20">
        <f>IF(OR($A590="",$A590&lt;&gt;'Resumen del inventario'!$C$3,$N590="",$N590="OK"),"",IF(COUNTIFS($A$2:$A590,$A590,$B$2:$B590,$B590)=1,1,""))</f>
        <v/>
      </c>
      <c r="S590" s="20">
        <f>IF($R590=1,COUNTIF($R$2:$R590,1),"")</f>
        <v/>
      </c>
    </row>
    <row r="591">
      <c r="A591" s="19" t="n"/>
      <c r="B591" s="14" t="n"/>
      <c r="C591" s="20">
        <f>IF($B591="","",IFERROR(INDEX(Vinos!$B$2:$B$301,MATCH($B591,Vinos!$A$2:$A$301,0)),"Código no cargado"))</f>
        <v/>
      </c>
      <c r="D591" s="14" t="n"/>
      <c r="E591" s="14" t="n"/>
      <c r="F591" s="18" t="n"/>
      <c r="G591" s="18" t="n"/>
      <c r="H591" s="21">
        <f>IF(AND($F591="",$G591=""),"",N($F591)*IFERROR(N(INDEX(Vinos!$H$2:$H$301,MATCH($B591,Vinos!$A$2:$A$301,0))),0)+N($G591))</f>
        <v/>
      </c>
      <c r="I591" s="18" t="n"/>
      <c r="J591" s="21">
        <f>IF(OR($H591="",$I591=""),"",$H591-$I591)</f>
        <v/>
      </c>
      <c r="K591" s="16">
        <f>IF($H591="","",IFERROR(IF(INDEX(Vinos!$J$2:$J$301,MATCH($B591,Vinos!$A$2:$A$301,0))="","",$H591*INDEX(Vinos!$J$2:$J$301,MATCH($B591,Vinos!$A$2:$A$301,0))),""))</f>
        <v/>
      </c>
      <c r="L591" s="16">
        <f>IF($H591="","",IFERROR(IF(INDEX(Vinos!$K$2:$K$301,MATCH($B591,Vinos!$A$2:$A$301,0))="","",$H591*INDEX(Vinos!$K$2:$K$301,MATCH($B591,Vinos!$A$2:$A$301,0))),""))</f>
        <v/>
      </c>
      <c r="M591" s="21">
        <f>IF(OR($A591="",$B591=""),"",SUMIFS($H$2:$H$2001,$A$2:$A$2001,$A591,$B$2:$B$2001,$B591))</f>
        <v/>
      </c>
      <c r="N591" s="20">
        <f>IF($M591="","",IF($M591&lt;=0,"Sin stock: reponer ya",IF($M591&lt;IFERROR(N(INDEX(Vinos!$N$2:$N$301,MATCH($B591,Vinos!$A$2:$A$301,0))),0),"Bajo mínimo: reponer","OK")))</f>
        <v/>
      </c>
      <c r="O591" s="14" t="n"/>
      <c r="P591" s="14" t="n"/>
      <c r="Q591" s="20">
        <f>IF($B591="","",IFERROR(INDEX(Vinos!$C$2:$C$301,MATCH($B591,Vinos!$A$2:$A$301,0)),""))</f>
        <v/>
      </c>
      <c r="R591" s="20">
        <f>IF(OR($A591="",$A591&lt;&gt;'Resumen del inventario'!$C$3,$N591="",$N591="OK"),"",IF(COUNTIFS($A$2:$A591,$A591,$B$2:$B591,$B591)=1,1,""))</f>
        <v/>
      </c>
      <c r="S591" s="20">
        <f>IF($R591=1,COUNTIF($R$2:$R591,1),"")</f>
        <v/>
      </c>
    </row>
    <row r="592">
      <c r="A592" s="19" t="n"/>
      <c r="B592" s="14" t="n"/>
      <c r="C592" s="20">
        <f>IF($B592="","",IFERROR(INDEX(Vinos!$B$2:$B$301,MATCH($B592,Vinos!$A$2:$A$301,0)),"Código no cargado"))</f>
        <v/>
      </c>
      <c r="D592" s="14" t="n"/>
      <c r="E592" s="14" t="n"/>
      <c r="F592" s="18" t="n"/>
      <c r="G592" s="18" t="n"/>
      <c r="H592" s="21">
        <f>IF(AND($F592="",$G592=""),"",N($F592)*IFERROR(N(INDEX(Vinos!$H$2:$H$301,MATCH($B592,Vinos!$A$2:$A$301,0))),0)+N($G592))</f>
        <v/>
      </c>
      <c r="I592" s="18" t="n"/>
      <c r="J592" s="21">
        <f>IF(OR($H592="",$I592=""),"",$H592-$I592)</f>
        <v/>
      </c>
      <c r="K592" s="16">
        <f>IF($H592="","",IFERROR(IF(INDEX(Vinos!$J$2:$J$301,MATCH($B592,Vinos!$A$2:$A$301,0))="","",$H592*INDEX(Vinos!$J$2:$J$301,MATCH($B592,Vinos!$A$2:$A$301,0))),""))</f>
        <v/>
      </c>
      <c r="L592" s="16">
        <f>IF($H592="","",IFERROR(IF(INDEX(Vinos!$K$2:$K$301,MATCH($B592,Vinos!$A$2:$A$301,0))="","",$H592*INDEX(Vinos!$K$2:$K$301,MATCH($B592,Vinos!$A$2:$A$301,0))),""))</f>
        <v/>
      </c>
      <c r="M592" s="21">
        <f>IF(OR($A592="",$B592=""),"",SUMIFS($H$2:$H$2001,$A$2:$A$2001,$A592,$B$2:$B$2001,$B592))</f>
        <v/>
      </c>
      <c r="N592" s="20">
        <f>IF($M592="","",IF($M592&lt;=0,"Sin stock: reponer ya",IF($M592&lt;IFERROR(N(INDEX(Vinos!$N$2:$N$301,MATCH($B592,Vinos!$A$2:$A$301,0))),0),"Bajo mínimo: reponer","OK")))</f>
        <v/>
      </c>
      <c r="O592" s="14" t="n"/>
      <c r="P592" s="14" t="n"/>
      <c r="Q592" s="20">
        <f>IF($B592="","",IFERROR(INDEX(Vinos!$C$2:$C$301,MATCH($B592,Vinos!$A$2:$A$301,0)),""))</f>
        <v/>
      </c>
      <c r="R592" s="20">
        <f>IF(OR($A592="",$A592&lt;&gt;'Resumen del inventario'!$C$3,$N592="",$N592="OK"),"",IF(COUNTIFS($A$2:$A592,$A592,$B$2:$B592,$B592)=1,1,""))</f>
        <v/>
      </c>
      <c r="S592" s="20">
        <f>IF($R592=1,COUNTIF($R$2:$R592,1),"")</f>
        <v/>
      </c>
    </row>
    <row r="593">
      <c r="A593" s="19" t="n"/>
      <c r="B593" s="14" t="n"/>
      <c r="C593" s="20">
        <f>IF($B593="","",IFERROR(INDEX(Vinos!$B$2:$B$301,MATCH($B593,Vinos!$A$2:$A$301,0)),"Código no cargado"))</f>
        <v/>
      </c>
      <c r="D593" s="14" t="n"/>
      <c r="E593" s="14" t="n"/>
      <c r="F593" s="18" t="n"/>
      <c r="G593" s="18" t="n"/>
      <c r="H593" s="21">
        <f>IF(AND($F593="",$G593=""),"",N($F593)*IFERROR(N(INDEX(Vinos!$H$2:$H$301,MATCH($B593,Vinos!$A$2:$A$301,0))),0)+N($G593))</f>
        <v/>
      </c>
      <c r="I593" s="18" t="n"/>
      <c r="J593" s="21">
        <f>IF(OR($H593="",$I593=""),"",$H593-$I593)</f>
        <v/>
      </c>
      <c r="K593" s="16">
        <f>IF($H593="","",IFERROR(IF(INDEX(Vinos!$J$2:$J$301,MATCH($B593,Vinos!$A$2:$A$301,0))="","",$H593*INDEX(Vinos!$J$2:$J$301,MATCH($B593,Vinos!$A$2:$A$301,0))),""))</f>
        <v/>
      </c>
      <c r="L593" s="16">
        <f>IF($H593="","",IFERROR(IF(INDEX(Vinos!$K$2:$K$301,MATCH($B593,Vinos!$A$2:$A$301,0))="","",$H593*INDEX(Vinos!$K$2:$K$301,MATCH($B593,Vinos!$A$2:$A$301,0))),""))</f>
        <v/>
      </c>
      <c r="M593" s="21">
        <f>IF(OR($A593="",$B593=""),"",SUMIFS($H$2:$H$2001,$A$2:$A$2001,$A593,$B$2:$B$2001,$B593))</f>
        <v/>
      </c>
      <c r="N593" s="20">
        <f>IF($M593="","",IF($M593&lt;=0,"Sin stock: reponer ya",IF($M593&lt;IFERROR(N(INDEX(Vinos!$N$2:$N$301,MATCH($B593,Vinos!$A$2:$A$301,0))),0),"Bajo mínimo: reponer","OK")))</f>
        <v/>
      </c>
      <c r="O593" s="14" t="n"/>
      <c r="P593" s="14" t="n"/>
      <c r="Q593" s="20">
        <f>IF($B593="","",IFERROR(INDEX(Vinos!$C$2:$C$301,MATCH($B593,Vinos!$A$2:$A$301,0)),""))</f>
        <v/>
      </c>
      <c r="R593" s="20">
        <f>IF(OR($A593="",$A593&lt;&gt;'Resumen del inventario'!$C$3,$N593="",$N593="OK"),"",IF(COUNTIFS($A$2:$A593,$A593,$B$2:$B593,$B593)=1,1,""))</f>
        <v/>
      </c>
      <c r="S593" s="20">
        <f>IF($R593=1,COUNTIF($R$2:$R593,1),"")</f>
        <v/>
      </c>
    </row>
    <row r="594">
      <c r="A594" s="19" t="n"/>
      <c r="B594" s="14" t="n"/>
      <c r="C594" s="20">
        <f>IF($B594="","",IFERROR(INDEX(Vinos!$B$2:$B$301,MATCH($B594,Vinos!$A$2:$A$301,0)),"Código no cargado"))</f>
        <v/>
      </c>
      <c r="D594" s="14" t="n"/>
      <c r="E594" s="14" t="n"/>
      <c r="F594" s="18" t="n"/>
      <c r="G594" s="18" t="n"/>
      <c r="H594" s="21">
        <f>IF(AND($F594="",$G594=""),"",N($F594)*IFERROR(N(INDEX(Vinos!$H$2:$H$301,MATCH($B594,Vinos!$A$2:$A$301,0))),0)+N($G594))</f>
        <v/>
      </c>
      <c r="I594" s="18" t="n"/>
      <c r="J594" s="21">
        <f>IF(OR($H594="",$I594=""),"",$H594-$I594)</f>
        <v/>
      </c>
      <c r="K594" s="16">
        <f>IF($H594="","",IFERROR(IF(INDEX(Vinos!$J$2:$J$301,MATCH($B594,Vinos!$A$2:$A$301,0))="","",$H594*INDEX(Vinos!$J$2:$J$301,MATCH($B594,Vinos!$A$2:$A$301,0))),""))</f>
        <v/>
      </c>
      <c r="L594" s="16">
        <f>IF($H594="","",IFERROR(IF(INDEX(Vinos!$K$2:$K$301,MATCH($B594,Vinos!$A$2:$A$301,0))="","",$H594*INDEX(Vinos!$K$2:$K$301,MATCH($B594,Vinos!$A$2:$A$301,0))),""))</f>
        <v/>
      </c>
      <c r="M594" s="21">
        <f>IF(OR($A594="",$B594=""),"",SUMIFS($H$2:$H$2001,$A$2:$A$2001,$A594,$B$2:$B$2001,$B594))</f>
        <v/>
      </c>
      <c r="N594" s="20">
        <f>IF($M594="","",IF($M594&lt;=0,"Sin stock: reponer ya",IF($M594&lt;IFERROR(N(INDEX(Vinos!$N$2:$N$301,MATCH($B594,Vinos!$A$2:$A$301,0))),0),"Bajo mínimo: reponer","OK")))</f>
        <v/>
      </c>
      <c r="O594" s="14" t="n"/>
      <c r="P594" s="14" t="n"/>
      <c r="Q594" s="20">
        <f>IF($B594="","",IFERROR(INDEX(Vinos!$C$2:$C$301,MATCH($B594,Vinos!$A$2:$A$301,0)),""))</f>
        <v/>
      </c>
      <c r="R594" s="20">
        <f>IF(OR($A594="",$A594&lt;&gt;'Resumen del inventario'!$C$3,$N594="",$N594="OK"),"",IF(COUNTIFS($A$2:$A594,$A594,$B$2:$B594,$B594)=1,1,""))</f>
        <v/>
      </c>
      <c r="S594" s="20">
        <f>IF($R594=1,COUNTIF($R$2:$R594,1),"")</f>
        <v/>
      </c>
    </row>
    <row r="595">
      <c r="A595" s="19" t="n"/>
      <c r="B595" s="14" t="n"/>
      <c r="C595" s="20">
        <f>IF($B595="","",IFERROR(INDEX(Vinos!$B$2:$B$301,MATCH($B595,Vinos!$A$2:$A$301,0)),"Código no cargado"))</f>
        <v/>
      </c>
      <c r="D595" s="14" t="n"/>
      <c r="E595" s="14" t="n"/>
      <c r="F595" s="18" t="n"/>
      <c r="G595" s="18" t="n"/>
      <c r="H595" s="21">
        <f>IF(AND($F595="",$G595=""),"",N($F595)*IFERROR(N(INDEX(Vinos!$H$2:$H$301,MATCH($B595,Vinos!$A$2:$A$301,0))),0)+N($G595))</f>
        <v/>
      </c>
      <c r="I595" s="18" t="n"/>
      <c r="J595" s="21">
        <f>IF(OR($H595="",$I595=""),"",$H595-$I595)</f>
        <v/>
      </c>
      <c r="K595" s="16">
        <f>IF($H595="","",IFERROR(IF(INDEX(Vinos!$J$2:$J$301,MATCH($B595,Vinos!$A$2:$A$301,0))="","",$H595*INDEX(Vinos!$J$2:$J$301,MATCH($B595,Vinos!$A$2:$A$301,0))),""))</f>
        <v/>
      </c>
      <c r="L595" s="16">
        <f>IF($H595="","",IFERROR(IF(INDEX(Vinos!$K$2:$K$301,MATCH($B595,Vinos!$A$2:$A$301,0))="","",$H595*INDEX(Vinos!$K$2:$K$301,MATCH($B595,Vinos!$A$2:$A$301,0))),""))</f>
        <v/>
      </c>
      <c r="M595" s="21">
        <f>IF(OR($A595="",$B595=""),"",SUMIFS($H$2:$H$2001,$A$2:$A$2001,$A595,$B$2:$B$2001,$B595))</f>
        <v/>
      </c>
      <c r="N595" s="20">
        <f>IF($M595="","",IF($M595&lt;=0,"Sin stock: reponer ya",IF($M595&lt;IFERROR(N(INDEX(Vinos!$N$2:$N$301,MATCH($B595,Vinos!$A$2:$A$301,0))),0),"Bajo mínimo: reponer","OK")))</f>
        <v/>
      </c>
      <c r="O595" s="14" t="n"/>
      <c r="P595" s="14" t="n"/>
      <c r="Q595" s="20">
        <f>IF($B595="","",IFERROR(INDEX(Vinos!$C$2:$C$301,MATCH($B595,Vinos!$A$2:$A$301,0)),""))</f>
        <v/>
      </c>
      <c r="R595" s="20">
        <f>IF(OR($A595="",$A595&lt;&gt;'Resumen del inventario'!$C$3,$N595="",$N595="OK"),"",IF(COUNTIFS($A$2:$A595,$A595,$B$2:$B595,$B595)=1,1,""))</f>
        <v/>
      </c>
      <c r="S595" s="20">
        <f>IF($R595=1,COUNTIF($R$2:$R595,1),"")</f>
        <v/>
      </c>
    </row>
    <row r="596">
      <c r="A596" s="19" t="n"/>
      <c r="B596" s="14" t="n"/>
      <c r="C596" s="20">
        <f>IF($B596="","",IFERROR(INDEX(Vinos!$B$2:$B$301,MATCH($B596,Vinos!$A$2:$A$301,0)),"Código no cargado"))</f>
        <v/>
      </c>
      <c r="D596" s="14" t="n"/>
      <c r="E596" s="14" t="n"/>
      <c r="F596" s="18" t="n"/>
      <c r="G596" s="18" t="n"/>
      <c r="H596" s="21">
        <f>IF(AND($F596="",$G596=""),"",N($F596)*IFERROR(N(INDEX(Vinos!$H$2:$H$301,MATCH($B596,Vinos!$A$2:$A$301,0))),0)+N($G596))</f>
        <v/>
      </c>
      <c r="I596" s="18" t="n"/>
      <c r="J596" s="21">
        <f>IF(OR($H596="",$I596=""),"",$H596-$I596)</f>
        <v/>
      </c>
      <c r="K596" s="16">
        <f>IF($H596="","",IFERROR(IF(INDEX(Vinos!$J$2:$J$301,MATCH($B596,Vinos!$A$2:$A$301,0))="","",$H596*INDEX(Vinos!$J$2:$J$301,MATCH($B596,Vinos!$A$2:$A$301,0))),""))</f>
        <v/>
      </c>
      <c r="L596" s="16">
        <f>IF($H596="","",IFERROR(IF(INDEX(Vinos!$K$2:$K$301,MATCH($B596,Vinos!$A$2:$A$301,0))="","",$H596*INDEX(Vinos!$K$2:$K$301,MATCH($B596,Vinos!$A$2:$A$301,0))),""))</f>
        <v/>
      </c>
      <c r="M596" s="21">
        <f>IF(OR($A596="",$B596=""),"",SUMIFS($H$2:$H$2001,$A$2:$A$2001,$A596,$B$2:$B$2001,$B596))</f>
        <v/>
      </c>
      <c r="N596" s="20">
        <f>IF($M596="","",IF($M596&lt;=0,"Sin stock: reponer ya",IF($M596&lt;IFERROR(N(INDEX(Vinos!$N$2:$N$301,MATCH($B596,Vinos!$A$2:$A$301,0))),0),"Bajo mínimo: reponer","OK")))</f>
        <v/>
      </c>
      <c r="O596" s="14" t="n"/>
      <c r="P596" s="14" t="n"/>
      <c r="Q596" s="20">
        <f>IF($B596="","",IFERROR(INDEX(Vinos!$C$2:$C$301,MATCH($B596,Vinos!$A$2:$A$301,0)),""))</f>
        <v/>
      </c>
      <c r="R596" s="20">
        <f>IF(OR($A596="",$A596&lt;&gt;'Resumen del inventario'!$C$3,$N596="",$N596="OK"),"",IF(COUNTIFS($A$2:$A596,$A596,$B$2:$B596,$B596)=1,1,""))</f>
        <v/>
      </c>
      <c r="S596" s="20">
        <f>IF($R596=1,COUNTIF($R$2:$R596,1),"")</f>
        <v/>
      </c>
    </row>
    <row r="597">
      <c r="A597" s="19" t="n"/>
      <c r="B597" s="14" t="n"/>
      <c r="C597" s="20">
        <f>IF($B597="","",IFERROR(INDEX(Vinos!$B$2:$B$301,MATCH($B597,Vinos!$A$2:$A$301,0)),"Código no cargado"))</f>
        <v/>
      </c>
      <c r="D597" s="14" t="n"/>
      <c r="E597" s="14" t="n"/>
      <c r="F597" s="18" t="n"/>
      <c r="G597" s="18" t="n"/>
      <c r="H597" s="21">
        <f>IF(AND($F597="",$G597=""),"",N($F597)*IFERROR(N(INDEX(Vinos!$H$2:$H$301,MATCH($B597,Vinos!$A$2:$A$301,0))),0)+N($G597))</f>
        <v/>
      </c>
      <c r="I597" s="18" t="n"/>
      <c r="J597" s="21">
        <f>IF(OR($H597="",$I597=""),"",$H597-$I597)</f>
        <v/>
      </c>
      <c r="K597" s="16">
        <f>IF($H597="","",IFERROR(IF(INDEX(Vinos!$J$2:$J$301,MATCH($B597,Vinos!$A$2:$A$301,0))="","",$H597*INDEX(Vinos!$J$2:$J$301,MATCH($B597,Vinos!$A$2:$A$301,0))),""))</f>
        <v/>
      </c>
      <c r="L597" s="16">
        <f>IF($H597="","",IFERROR(IF(INDEX(Vinos!$K$2:$K$301,MATCH($B597,Vinos!$A$2:$A$301,0))="","",$H597*INDEX(Vinos!$K$2:$K$301,MATCH($B597,Vinos!$A$2:$A$301,0))),""))</f>
        <v/>
      </c>
      <c r="M597" s="21">
        <f>IF(OR($A597="",$B597=""),"",SUMIFS($H$2:$H$2001,$A$2:$A$2001,$A597,$B$2:$B$2001,$B597))</f>
        <v/>
      </c>
      <c r="N597" s="20">
        <f>IF($M597="","",IF($M597&lt;=0,"Sin stock: reponer ya",IF($M597&lt;IFERROR(N(INDEX(Vinos!$N$2:$N$301,MATCH($B597,Vinos!$A$2:$A$301,0))),0),"Bajo mínimo: reponer","OK")))</f>
        <v/>
      </c>
      <c r="O597" s="14" t="n"/>
      <c r="P597" s="14" t="n"/>
      <c r="Q597" s="20">
        <f>IF($B597="","",IFERROR(INDEX(Vinos!$C$2:$C$301,MATCH($B597,Vinos!$A$2:$A$301,0)),""))</f>
        <v/>
      </c>
      <c r="R597" s="20">
        <f>IF(OR($A597="",$A597&lt;&gt;'Resumen del inventario'!$C$3,$N597="",$N597="OK"),"",IF(COUNTIFS($A$2:$A597,$A597,$B$2:$B597,$B597)=1,1,""))</f>
        <v/>
      </c>
      <c r="S597" s="20">
        <f>IF($R597=1,COUNTIF($R$2:$R597,1),"")</f>
        <v/>
      </c>
    </row>
    <row r="598">
      <c r="A598" s="19" t="n"/>
      <c r="B598" s="14" t="n"/>
      <c r="C598" s="20">
        <f>IF($B598="","",IFERROR(INDEX(Vinos!$B$2:$B$301,MATCH($B598,Vinos!$A$2:$A$301,0)),"Código no cargado"))</f>
        <v/>
      </c>
      <c r="D598" s="14" t="n"/>
      <c r="E598" s="14" t="n"/>
      <c r="F598" s="18" t="n"/>
      <c r="G598" s="18" t="n"/>
      <c r="H598" s="21">
        <f>IF(AND($F598="",$G598=""),"",N($F598)*IFERROR(N(INDEX(Vinos!$H$2:$H$301,MATCH($B598,Vinos!$A$2:$A$301,0))),0)+N($G598))</f>
        <v/>
      </c>
      <c r="I598" s="18" t="n"/>
      <c r="J598" s="21">
        <f>IF(OR($H598="",$I598=""),"",$H598-$I598)</f>
        <v/>
      </c>
      <c r="K598" s="16">
        <f>IF($H598="","",IFERROR(IF(INDEX(Vinos!$J$2:$J$301,MATCH($B598,Vinos!$A$2:$A$301,0))="","",$H598*INDEX(Vinos!$J$2:$J$301,MATCH($B598,Vinos!$A$2:$A$301,0))),""))</f>
        <v/>
      </c>
      <c r="L598" s="16">
        <f>IF($H598="","",IFERROR(IF(INDEX(Vinos!$K$2:$K$301,MATCH($B598,Vinos!$A$2:$A$301,0))="","",$H598*INDEX(Vinos!$K$2:$K$301,MATCH($B598,Vinos!$A$2:$A$301,0))),""))</f>
        <v/>
      </c>
      <c r="M598" s="21">
        <f>IF(OR($A598="",$B598=""),"",SUMIFS($H$2:$H$2001,$A$2:$A$2001,$A598,$B$2:$B$2001,$B598))</f>
        <v/>
      </c>
      <c r="N598" s="20">
        <f>IF($M598="","",IF($M598&lt;=0,"Sin stock: reponer ya",IF($M598&lt;IFERROR(N(INDEX(Vinos!$N$2:$N$301,MATCH($B598,Vinos!$A$2:$A$301,0))),0),"Bajo mínimo: reponer","OK")))</f>
        <v/>
      </c>
      <c r="O598" s="14" t="n"/>
      <c r="P598" s="14" t="n"/>
      <c r="Q598" s="20">
        <f>IF($B598="","",IFERROR(INDEX(Vinos!$C$2:$C$301,MATCH($B598,Vinos!$A$2:$A$301,0)),""))</f>
        <v/>
      </c>
      <c r="R598" s="20">
        <f>IF(OR($A598="",$A598&lt;&gt;'Resumen del inventario'!$C$3,$N598="",$N598="OK"),"",IF(COUNTIFS($A$2:$A598,$A598,$B$2:$B598,$B598)=1,1,""))</f>
        <v/>
      </c>
      <c r="S598" s="20">
        <f>IF($R598=1,COUNTIF($R$2:$R598,1),"")</f>
        <v/>
      </c>
    </row>
    <row r="599">
      <c r="A599" s="19" t="n"/>
      <c r="B599" s="14" t="n"/>
      <c r="C599" s="20">
        <f>IF($B599="","",IFERROR(INDEX(Vinos!$B$2:$B$301,MATCH($B599,Vinos!$A$2:$A$301,0)),"Código no cargado"))</f>
        <v/>
      </c>
      <c r="D599" s="14" t="n"/>
      <c r="E599" s="14" t="n"/>
      <c r="F599" s="18" t="n"/>
      <c r="G599" s="18" t="n"/>
      <c r="H599" s="21">
        <f>IF(AND($F599="",$G599=""),"",N($F599)*IFERROR(N(INDEX(Vinos!$H$2:$H$301,MATCH($B599,Vinos!$A$2:$A$301,0))),0)+N($G599))</f>
        <v/>
      </c>
      <c r="I599" s="18" t="n"/>
      <c r="J599" s="21">
        <f>IF(OR($H599="",$I599=""),"",$H599-$I599)</f>
        <v/>
      </c>
      <c r="K599" s="16">
        <f>IF($H599="","",IFERROR(IF(INDEX(Vinos!$J$2:$J$301,MATCH($B599,Vinos!$A$2:$A$301,0))="","",$H599*INDEX(Vinos!$J$2:$J$301,MATCH($B599,Vinos!$A$2:$A$301,0))),""))</f>
        <v/>
      </c>
      <c r="L599" s="16">
        <f>IF($H599="","",IFERROR(IF(INDEX(Vinos!$K$2:$K$301,MATCH($B599,Vinos!$A$2:$A$301,0))="","",$H599*INDEX(Vinos!$K$2:$K$301,MATCH($B599,Vinos!$A$2:$A$301,0))),""))</f>
        <v/>
      </c>
      <c r="M599" s="21">
        <f>IF(OR($A599="",$B599=""),"",SUMIFS($H$2:$H$2001,$A$2:$A$2001,$A599,$B$2:$B$2001,$B599))</f>
        <v/>
      </c>
      <c r="N599" s="20">
        <f>IF($M599="","",IF($M599&lt;=0,"Sin stock: reponer ya",IF($M599&lt;IFERROR(N(INDEX(Vinos!$N$2:$N$301,MATCH($B599,Vinos!$A$2:$A$301,0))),0),"Bajo mínimo: reponer","OK")))</f>
        <v/>
      </c>
      <c r="O599" s="14" t="n"/>
      <c r="P599" s="14" t="n"/>
      <c r="Q599" s="20">
        <f>IF($B599="","",IFERROR(INDEX(Vinos!$C$2:$C$301,MATCH($B599,Vinos!$A$2:$A$301,0)),""))</f>
        <v/>
      </c>
      <c r="R599" s="20">
        <f>IF(OR($A599="",$A599&lt;&gt;'Resumen del inventario'!$C$3,$N599="",$N599="OK"),"",IF(COUNTIFS($A$2:$A599,$A599,$B$2:$B599,$B599)=1,1,""))</f>
        <v/>
      </c>
      <c r="S599" s="20">
        <f>IF($R599=1,COUNTIF($R$2:$R599,1),"")</f>
        <v/>
      </c>
    </row>
    <row r="600">
      <c r="A600" s="19" t="n"/>
      <c r="B600" s="14" t="n"/>
      <c r="C600" s="20">
        <f>IF($B600="","",IFERROR(INDEX(Vinos!$B$2:$B$301,MATCH($B600,Vinos!$A$2:$A$301,0)),"Código no cargado"))</f>
        <v/>
      </c>
      <c r="D600" s="14" t="n"/>
      <c r="E600" s="14" t="n"/>
      <c r="F600" s="18" t="n"/>
      <c r="G600" s="18" t="n"/>
      <c r="H600" s="21">
        <f>IF(AND($F600="",$G600=""),"",N($F600)*IFERROR(N(INDEX(Vinos!$H$2:$H$301,MATCH($B600,Vinos!$A$2:$A$301,0))),0)+N($G600))</f>
        <v/>
      </c>
      <c r="I600" s="18" t="n"/>
      <c r="J600" s="21">
        <f>IF(OR($H600="",$I600=""),"",$H600-$I600)</f>
        <v/>
      </c>
      <c r="K600" s="16">
        <f>IF($H600="","",IFERROR(IF(INDEX(Vinos!$J$2:$J$301,MATCH($B600,Vinos!$A$2:$A$301,0))="","",$H600*INDEX(Vinos!$J$2:$J$301,MATCH($B600,Vinos!$A$2:$A$301,0))),""))</f>
        <v/>
      </c>
      <c r="L600" s="16">
        <f>IF($H600="","",IFERROR(IF(INDEX(Vinos!$K$2:$K$301,MATCH($B600,Vinos!$A$2:$A$301,0))="","",$H600*INDEX(Vinos!$K$2:$K$301,MATCH($B600,Vinos!$A$2:$A$301,0))),""))</f>
        <v/>
      </c>
      <c r="M600" s="21">
        <f>IF(OR($A600="",$B600=""),"",SUMIFS($H$2:$H$2001,$A$2:$A$2001,$A600,$B$2:$B$2001,$B600))</f>
        <v/>
      </c>
      <c r="N600" s="20">
        <f>IF($M600="","",IF($M600&lt;=0,"Sin stock: reponer ya",IF($M600&lt;IFERROR(N(INDEX(Vinos!$N$2:$N$301,MATCH($B600,Vinos!$A$2:$A$301,0))),0),"Bajo mínimo: reponer","OK")))</f>
        <v/>
      </c>
      <c r="O600" s="14" t="n"/>
      <c r="P600" s="14" t="n"/>
      <c r="Q600" s="20">
        <f>IF($B600="","",IFERROR(INDEX(Vinos!$C$2:$C$301,MATCH($B600,Vinos!$A$2:$A$301,0)),""))</f>
        <v/>
      </c>
      <c r="R600" s="20">
        <f>IF(OR($A600="",$A600&lt;&gt;'Resumen del inventario'!$C$3,$N600="",$N600="OK"),"",IF(COUNTIFS($A$2:$A600,$A600,$B$2:$B600,$B600)=1,1,""))</f>
        <v/>
      </c>
      <c r="S600" s="20">
        <f>IF($R600=1,COUNTIF($R$2:$R600,1),"")</f>
        <v/>
      </c>
    </row>
    <row r="601">
      <c r="A601" s="19" t="n"/>
      <c r="B601" s="14" t="n"/>
      <c r="C601" s="20">
        <f>IF($B601="","",IFERROR(INDEX(Vinos!$B$2:$B$301,MATCH($B601,Vinos!$A$2:$A$301,0)),"Código no cargado"))</f>
        <v/>
      </c>
      <c r="D601" s="14" t="n"/>
      <c r="E601" s="14" t="n"/>
      <c r="F601" s="18" t="n"/>
      <c r="G601" s="18" t="n"/>
      <c r="H601" s="21">
        <f>IF(AND($F601="",$G601=""),"",N($F601)*IFERROR(N(INDEX(Vinos!$H$2:$H$301,MATCH($B601,Vinos!$A$2:$A$301,0))),0)+N($G601))</f>
        <v/>
      </c>
      <c r="I601" s="18" t="n"/>
      <c r="J601" s="21">
        <f>IF(OR($H601="",$I601=""),"",$H601-$I601)</f>
        <v/>
      </c>
      <c r="K601" s="16">
        <f>IF($H601="","",IFERROR(IF(INDEX(Vinos!$J$2:$J$301,MATCH($B601,Vinos!$A$2:$A$301,0))="","",$H601*INDEX(Vinos!$J$2:$J$301,MATCH($B601,Vinos!$A$2:$A$301,0))),""))</f>
        <v/>
      </c>
      <c r="L601" s="16">
        <f>IF($H601="","",IFERROR(IF(INDEX(Vinos!$K$2:$K$301,MATCH($B601,Vinos!$A$2:$A$301,0))="","",$H601*INDEX(Vinos!$K$2:$K$301,MATCH($B601,Vinos!$A$2:$A$301,0))),""))</f>
        <v/>
      </c>
      <c r="M601" s="21">
        <f>IF(OR($A601="",$B601=""),"",SUMIFS($H$2:$H$2001,$A$2:$A$2001,$A601,$B$2:$B$2001,$B601))</f>
        <v/>
      </c>
      <c r="N601" s="20">
        <f>IF($M601="","",IF($M601&lt;=0,"Sin stock: reponer ya",IF($M601&lt;IFERROR(N(INDEX(Vinos!$N$2:$N$301,MATCH($B601,Vinos!$A$2:$A$301,0))),0),"Bajo mínimo: reponer","OK")))</f>
        <v/>
      </c>
      <c r="O601" s="14" t="n"/>
      <c r="P601" s="14" t="n"/>
      <c r="Q601" s="20">
        <f>IF($B601="","",IFERROR(INDEX(Vinos!$C$2:$C$301,MATCH($B601,Vinos!$A$2:$A$301,0)),""))</f>
        <v/>
      </c>
      <c r="R601" s="20">
        <f>IF(OR($A601="",$A601&lt;&gt;'Resumen del inventario'!$C$3,$N601="",$N601="OK"),"",IF(COUNTIFS($A$2:$A601,$A601,$B$2:$B601,$B601)=1,1,""))</f>
        <v/>
      </c>
      <c r="S601" s="20">
        <f>IF($R601=1,COUNTIF($R$2:$R601,1),"")</f>
        <v/>
      </c>
    </row>
    <row r="602">
      <c r="A602" s="19" t="n"/>
      <c r="B602" s="14" t="n"/>
      <c r="C602" s="20">
        <f>IF($B602="","",IFERROR(INDEX(Vinos!$B$2:$B$301,MATCH($B602,Vinos!$A$2:$A$301,0)),"Código no cargado"))</f>
        <v/>
      </c>
      <c r="D602" s="14" t="n"/>
      <c r="E602" s="14" t="n"/>
      <c r="F602" s="18" t="n"/>
      <c r="G602" s="18" t="n"/>
      <c r="H602" s="21">
        <f>IF(AND($F602="",$G602=""),"",N($F602)*IFERROR(N(INDEX(Vinos!$H$2:$H$301,MATCH($B602,Vinos!$A$2:$A$301,0))),0)+N($G602))</f>
        <v/>
      </c>
      <c r="I602" s="18" t="n"/>
      <c r="J602" s="21">
        <f>IF(OR($H602="",$I602=""),"",$H602-$I602)</f>
        <v/>
      </c>
      <c r="K602" s="16">
        <f>IF($H602="","",IFERROR(IF(INDEX(Vinos!$J$2:$J$301,MATCH($B602,Vinos!$A$2:$A$301,0))="","",$H602*INDEX(Vinos!$J$2:$J$301,MATCH($B602,Vinos!$A$2:$A$301,0))),""))</f>
        <v/>
      </c>
      <c r="L602" s="16">
        <f>IF($H602="","",IFERROR(IF(INDEX(Vinos!$K$2:$K$301,MATCH($B602,Vinos!$A$2:$A$301,0))="","",$H602*INDEX(Vinos!$K$2:$K$301,MATCH($B602,Vinos!$A$2:$A$301,0))),""))</f>
        <v/>
      </c>
      <c r="M602" s="21">
        <f>IF(OR($A602="",$B602=""),"",SUMIFS($H$2:$H$2001,$A$2:$A$2001,$A602,$B$2:$B$2001,$B602))</f>
        <v/>
      </c>
      <c r="N602" s="20">
        <f>IF($M602="","",IF($M602&lt;=0,"Sin stock: reponer ya",IF($M602&lt;IFERROR(N(INDEX(Vinos!$N$2:$N$301,MATCH($B602,Vinos!$A$2:$A$301,0))),0),"Bajo mínimo: reponer","OK")))</f>
        <v/>
      </c>
      <c r="O602" s="14" t="n"/>
      <c r="P602" s="14" t="n"/>
      <c r="Q602" s="20">
        <f>IF($B602="","",IFERROR(INDEX(Vinos!$C$2:$C$301,MATCH($B602,Vinos!$A$2:$A$301,0)),""))</f>
        <v/>
      </c>
      <c r="R602" s="20">
        <f>IF(OR($A602="",$A602&lt;&gt;'Resumen del inventario'!$C$3,$N602="",$N602="OK"),"",IF(COUNTIFS($A$2:$A602,$A602,$B$2:$B602,$B602)=1,1,""))</f>
        <v/>
      </c>
      <c r="S602" s="20">
        <f>IF($R602=1,COUNTIF($R$2:$R602,1),"")</f>
        <v/>
      </c>
    </row>
    <row r="603">
      <c r="A603" s="19" t="n"/>
      <c r="B603" s="14" t="n"/>
      <c r="C603" s="20">
        <f>IF($B603="","",IFERROR(INDEX(Vinos!$B$2:$B$301,MATCH($B603,Vinos!$A$2:$A$301,0)),"Código no cargado"))</f>
        <v/>
      </c>
      <c r="D603" s="14" t="n"/>
      <c r="E603" s="14" t="n"/>
      <c r="F603" s="18" t="n"/>
      <c r="G603" s="18" t="n"/>
      <c r="H603" s="21">
        <f>IF(AND($F603="",$G603=""),"",N($F603)*IFERROR(N(INDEX(Vinos!$H$2:$H$301,MATCH($B603,Vinos!$A$2:$A$301,0))),0)+N($G603))</f>
        <v/>
      </c>
      <c r="I603" s="18" t="n"/>
      <c r="J603" s="21">
        <f>IF(OR($H603="",$I603=""),"",$H603-$I603)</f>
        <v/>
      </c>
      <c r="K603" s="16">
        <f>IF($H603="","",IFERROR(IF(INDEX(Vinos!$J$2:$J$301,MATCH($B603,Vinos!$A$2:$A$301,0))="","",$H603*INDEX(Vinos!$J$2:$J$301,MATCH($B603,Vinos!$A$2:$A$301,0))),""))</f>
        <v/>
      </c>
      <c r="L603" s="16">
        <f>IF($H603="","",IFERROR(IF(INDEX(Vinos!$K$2:$K$301,MATCH($B603,Vinos!$A$2:$A$301,0))="","",$H603*INDEX(Vinos!$K$2:$K$301,MATCH($B603,Vinos!$A$2:$A$301,0))),""))</f>
        <v/>
      </c>
      <c r="M603" s="21">
        <f>IF(OR($A603="",$B603=""),"",SUMIFS($H$2:$H$2001,$A$2:$A$2001,$A603,$B$2:$B$2001,$B603))</f>
        <v/>
      </c>
      <c r="N603" s="20">
        <f>IF($M603="","",IF($M603&lt;=0,"Sin stock: reponer ya",IF($M603&lt;IFERROR(N(INDEX(Vinos!$N$2:$N$301,MATCH($B603,Vinos!$A$2:$A$301,0))),0),"Bajo mínimo: reponer","OK")))</f>
        <v/>
      </c>
      <c r="O603" s="14" t="n"/>
      <c r="P603" s="14" t="n"/>
      <c r="Q603" s="20">
        <f>IF($B603="","",IFERROR(INDEX(Vinos!$C$2:$C$301,MATCH($B603,Vinos!$A$2:$A$301,0)),""))</f>
        <v/>
      </c>
      <c r="R603" s="20">
        <f>IF(OR($A603="",$A603&lt;&gt;'Resumen del inventario'!$C$3,$N603="",$N603="OK"),"",IF(COUNTIFS($A$2:$A603,$A603,$B$2:$B603,$B603)=1,1,""))</f>
        <v/>
      </c>
      <c r="S603" s="20">
        <f>IF($R603=1,COUNTIF($R$2:$R603,1),"")</f>
        <v/>
      </c>
    </row>
    <row r="604">
      <c r="A604" s="19" t="n"/>
      <c r="B604" s="14" t="n"/>
      <c r="C604" s="20">
        <f>IF($B604="","",IFERROR(INDEX(Vinos!$B$2:$B$301,MATCH($B604,Vinos!$A$2:$A$301,0)),"Código no cargado"))</f>
        <v/>
      </c>
      <c r="D604" s="14" t="n"/>
      <c r="E604" s="14" t="n"/>
      <c r="F604" s="18" t="n"/>
      <c r="G604" s="18" t="n"/>
      <c r="H604" s="21">
        <f>IF(AND($F604="",$G604=""),"",N($F604)*IFERROR(N(INDEX(Vinos!$H$2:$H$301,MATCH($B604,Vinos!$A$2:$A$301,0))),0)+N($G604))</f>
        <v/>
      </c>
      <c r="I604" s="18" t="n"/>
      <c r="J604" s="21">
        <f>IF(OR($H604="",$I604=""),"",$H604-$I604)</f>
        <v/>
      </c>
      <c r="K604" s="16">
        <f>IF($H604="","",IFERROR(IF(INDEX(Vinos!$J$2:$J$301,MATCH($B604,Vinos!$A$2:$A$301,0))="","",$H604*INDEX(Vinos!$J$2:$J$301,MATCH($B604,Vinos!$A$2:$A$301,0))),""))</f>
        <v/>
      </c>
      <c r="L604" s="16">
        <f>IF($H604="","",IFERROR(IF(INDEX(Vinos!$K$2:$K$301,MATCH($B604,Vinos!$A$2:$A$301,0))="","",$H604*INDEX(Vinos!$K$2:$K$301,MATCH($B604,Vinos!$A$2:$A$301,0))),""))</f>
        <v/>
      </c>
      <c r="M604" s="21">
        <f>IF(OR($A604="",$B604=""),"",SUMIFS($H$2:$H$2001,$A$2:$A$2001,$A604,$B$2:$B$2001,$B604))</f>
        <v/>
      </c>
      <c r="N604" s="20">
        <f>IF($M604="","",IF($M604&lt;=0,"Sin stock: reponer ya",IF($M604&lt;IFERROR(N(INDEX(Vinos!$N$2:$N$301,MATCH($B604,Vinos!$A$2:$A$301,0))),0),"Bajo mínimo: reponer","OK")))</f>
        <v/>
      </c>
      <c r="O604" s="14" t="n"/>
      <c r="P604" s="14" t="n"/>
      <c r="Q604" s="20">
        <f>IF($B604="","",IFERROR(INDEX(Vinos!$C$2:$C$301,MATCH($B604,Vinos!$A$2:$A$301,0)),""))</f>
        <v/>
      </c>
      <c r="R604" s="20">
        <f>IF(OR($A604="",$A604&lt;&gt;'Resumen del inventario'!$C$3,$N604="",$N604="OK"),"",IF(COUNTIFS($A$2:$A604,$A604,$B$2:$B604,$B604)=1,1,""))</f>
        <v/>
      </c>
      <c r="S604" s="20">
        <f>IF($R604=1,COUNTIF($R$2:$R604,1),"")</f>
        <v/>
      </c>
    </row>
    <row r="605">
      <c r="A605" s="19" t="n"/>
      <c r="B605" s="14" t="n"/>
      <c r="C605" s="20">
        <f>IF($B605="","",IFERROR(INDEX(Vinos!$B$2:$B$301,MATCH($B605,Vinos!$A$2:$A$301,0)),"Código no cargado"))</f>
        <v/>
      </c>
      <c r="D605" s="14" t="n"/>
      <c r="E605" s="14" t="n"/>
      <c r="F605" s="18" t="n"/>
      <c r="G605" s="18" t="n"/>
      <c r="H605" s="21">
        <f>IF(AND($F605="",$G605=""),"",N($F605)*IFERROR(N(INDEX(Vinos!$H$2:$H$301,MATCH($B605,Vinos!$A$2:$A$301,0))),0)+N($G605))</f>
        <v/>
      </c>
      <c r="I605" s="18" t="n"/>
      <c r="J605" s="21">
        <f>IF(OR($H605="",$I605=""),"",$H605-$I605)</f>
        <v/>
      </c>
      <c r="K605" s="16">
        <f>IF($H605="","",IFERROR(IF(INDEX(Vinos!$J$2:$J$301,MATCH($B605,Vinos!$A$2:$A$301,0))="","",$H605*INDEX(Vinos!$J$2:$J$301,MATCH($B605,Vinos!$A$2:$A$301,0))),""))</f>
        <v/>
      </c>
      <c r="L605" s="16">
        <f>IF($H605="","",IFERROR(IF(INDEX(Vinos!$K$2:$K$301,MATCH($B605,Vinos!$A$2:$A$301,0))="","",$H605*INDEX(Vinos!$K$2:$K$301,MATCH($B605,Vinos!$A$2:$A$301,0))),""))</f>
        <v/>
      </c>
      <c r="M605" s="21">
        <f>IF(OR($A605="",$B605=""),"",SUMIFS($H$2:$H$2001,$A$2:$A$2001,$A605,$B$2:$B$2001,$B605))</f>
        <v/>
      </c>
      <c r="N605" s="20">
        <f>IF($M605="","",IF($M605&lt;=0,"Sin stock: reponer ya",IF($M605&lt;IFERROR(N(INDEX(Vinos!$N$2:$N$301,MATCH($B605,Vinos!$A$2:$A$301,0))),0),"Bajo mínimo: reponer","OK")))</f>
        <v/>
      </c>
      <c r="O605" s="14" t="n"/>
      <c r="P605" s="14" t="n"/>
      <c r="Q605" s="20">
        <f>IF($B605="","",IFERROR(INDEX(Vinos!$C$2:$C$301,MATCH($B605,Vinos!$A$2:$A$301,0)),""))</f>
        <v/>
      </c>
      <c r="R605" s="20">
        <f>IF(OR($A605="",$A605&lt;&gt;'Resumen del inventario'!$C$3,$N605="",$N605="OK"),"",IF(COUNTIFS($A$2:$A605,$A605,$B$2:$B605,$B605)=1,1,""))</f>
        <v/>
      </c>
      <c r="S605" s="20">
        <f>IF($R605=1,COUNTIF($R$2:$R605,1),"")</f>
        <v/>
      </c>
    </row>
    <row r="606">
      <c r="A606" s="19" t="n"/>
      <c r="B606" s="14" t="n"/>
      <c r="C606" s="20">
        <f>IF($B606="","",IFERROR(INDEX(Vinos!$B$2:$B$301,MATCH($B606,Vinos!$A$2:$A$301,0)),"Código no cargado"))</f>
        <v/>
      </c>
      <c r="D606" s="14" t="n"/>
      <c r="E606" s="14" t="n"/>
      <c r="F606" s="18" t="n"/>
      <c r="G606" s="18" t="n"/>
      <c r="H606" s="21">
        <f>IF(AND($F606="",$G606=""),"",N($F606)*IFERROR(N(INDEX(Vinos!$H$2:$H$301,MATCH($B606,Vinos!$A$2:$A$301,0))),0)+N($G606))</f>
        <v/>
      </c>
      <c r="I606" s="18" t="n"/>
      <c r="J606" s="21">
        <f>IF(OR($H606="",$I606=""),"",$H606-$I606)</f>
        <v/>
      </c>
      <c r="K606" s="16">
        <f>IF($H606="","",IFERROR(IF(INDEX(Vinos!$J$2:$J$301,MATCH($B606,Vinos!$A$2:$A$301,0))="","",$H606*INDEX(Vinos!$J$2:$J$301,MATCH($B606,Vinos!$A$2:$A$301,0))),""))</f>
        <v/>
      </c>
      <c r="L606" s="16">
        <f>IF($H606="","",IFERROR(IF(INDEX(Vinos!$K$2:$K$301,MATCH($B606,Vinos!$A$2:$A$301,0))="","",$H606*INDEX(Vinos!$K$2:$K$301,MATCH($B606,Vinos!$A$2:$A$301,0))),""))</f>
        <v/>
      </c>
      <c r="M606" s="21">
        <f>IF(OR($A606="",$B606=""),"",SUMIFS($H$2:$H$2001,$A$2:$A$2001,$A606,$B$2:$B$2001,$B606))</f>
        <v/>
      </c>
      <c r="N606" s="20">
        <f>IF($M606="","",IF($M606&lt;=0,"Sin stock: reponer ya",IF($M606&lt;IFERROR(N(INDEX(Vinos!$N$2:$N$301,MATCH($B606,Vinos!$A$2:$A$301,0))),0),"Bajo mínimo: reponer","OK")))</f>
        <v/>
      </c>
      <c r="O606" s="14" t="n"/>
      <c r="P606" s="14" t="n"/>
      <c r="Q606" s="20">
        <f>IF($B606="","",IFERROR(INDEX(Vinos!$C$2:$C$301,MATCH($B606,Vinos!$A$2:$A$301,0)),""))</f>
        <v/>
      </c>
      <c r="R606" s="20">
        <f>IF(OR($A606="",$A606&lt;&gt;'Resumen del inventario'!$C$3,$N606="",$N606="OK"),"",IF(COUNTIFS($A$2:$A606,$A606,$B$2:$B606,$B606)=1,1,""))</f>
        <v/>
      </c>
      <c r="S606" s="20">
        <f>IF($R606=1,COUNTIF($R$2:$R606,1),"")</f>
        <v/>
      </c>
    </row>
    <row r="607">
      <c r="A607" s="19" t="n"/>
      <c r="B607" s="14" t="n"/>
      <c r="C607" s="20">
        <f>IF($B607="","",IFERROR(INDEX(Vinos!$B$2:$B$301,MATCH($B607,Vinos!$A$2:$A$301,0)),"Código no cargado"))</f>
        <v/>
      </c>
      <c r="D607" s="14" t="n"/>
      <c r="E607" s="14" t="n"/>
      <c r="F607" s="18" t="n"/>
      <c r="G607" s="18" t="n"/>
      <c r="H607" s="21">
        <f>IF(AND($F607="",$G607=""),"",N($F607)*IFERROR(N(INDEX(Vinos!$H$2:$H$301,MATCH($B607,Vinos!$A$2:$A$301,0))),0)+N($G607))</f>
        <v/>
      </c>
      <c r="I607" s="18" t="n"/>
      <c r="J607" s="21">
        <f>IF(OR($H607="",$I607=""),"",$H607-$I607)</f>
        <v/>
      </c>
      <c r="K607" s="16">
        <f>IF($H607="","",IFERROR(IF(INDEX(Vinos!$J$2:$J$301,MATCH($B607,Vinos!$A$2:$A$301,0))="","",$H607*INDEX(Vinos!$J$2:$J$301,MATCH($B607,Vinos!$A$2:$A$301,0))),""))</f>
        <v/>
      </c>
      <c r="L607" s="16">
        <f>IF($H607="","",IFERROR(IF(INDEX(Vinos!$K$2:$K$301,MATCH($B607,Vinos!$A$2:$A$301,0))="","",$H607*INDEX(Vinos!$K$2:$K$301,MATCH($B607,Vinos!$A$2:$A$301,0))),""))</f>
        <v/>
      </c>
      <c r="M607" s="21">
        <f>IF(OR($A607="",$B607=""),"",SUMIFS($H$2:$H$2001,$A$2:$A$2001,$A607,$B$2:$B$2001,$B607))</f>
        <v/>
      </c>
      <c r="N607" s="20">
        <f>IF($M607="","",IF($M607&lt;=0,"Sin stock: reponer ya",IF($M607&lt;IFERROR(N(INDEX(Vinos!$N$2:$N$301,MATCH($B607,Vinos!$A$2:$A$301,0))),0),"Bajo mínimo: reponer","OK")))</f>
        <v/>
      </c>
      <c r="O607" s="14" t="n"/>
      <c r="P607" s="14" t="n"/>
      <c r="Q607" s="20">
        <f>IF($B607="","",IFERROR(INDEX(Vinos!$C$2:$C$301,MATCH($B607,Vinos!$A$2:$A$301,0)),""))</f>
        <v/>
      </c>
      <c r="R607" s="20">
        <f>IF(OR($A607="",$A607&lt;&gt;'Resumen del inventario'!$C$3,$N607="",$N607="OK"),"",IF(COUNTIFS($A$2:$A607,$A607,$B$2:$B607,$B607)=1,1,""))</f>
        <v/>
      </c>
      <c r="S607" s="20">
        <f>IF($R607=1,COUNTIF($R$2:$R607,1),"")</f>
        <v/>
      </c>
    </row>
    <row r="608">
      <c r="A608" s="19" t="n"/>
      <c r="B608" s="14" t="n"/>
      <c r="C608" s="20">
        <f>IF($B608="","",IFERROR(INDEX(Vinos!$B$2:$B$301,MATCH($B608,Vinos!$A$2:$A$301,0)),"Código no cargado"))</f>
        <v/>
      </c>
      <c r="D608" s="14" t="n"/>
      <c r="E608" s="14" t="n"/>
      <c r="F608" s="18" t="n"/>
      <c r="G608" s="18" t="n"/>
      <c r="H608" s="21">
        <f>IF(AND($F608="",$G608=""),"",N($F608)*IFERROR(N(INDEX(Vinos!$H$2:$H$301,MATCH($B608,Vinos!$A$2:$A$301,0))),0)+N($G608))</f>
        <v/>
      </c>
      <c r="I608" s="18" t="n"/>
      <c r="J608" s="21">
        <f>IF(OR($H608="",$I608=""),"",$H608-$I608)</f>
        <v/>
      </c>
      <c r="K608" s="16">
        <f>IF($H608="","",IFERROR(IF(INDEX(Vinos!$J$2:$J$301,MATCH($B608,Vinos!$A$2:$A$301,0))="","",$H608*INDEX(Vinos!$J$2:$J$301,MATCH($B608,Vinos!$A$2:$A$301,0))),""))</f>
        <v/>
      </c>
      <c r="L608" s="16">
        <f>IF($H608="","",IFERROR(IF(INDEX(Vinos!$K$2:$K$301,MATCH($B608,Vinos!$A$2:$A$301,0))="","",$H608*INDEX(Vinos!$K$2:$K$301,MATCH($B608,Vinos!$A$2:$A$301,0))),""))</f>
        <v/>
      </c>
      <c r="M608" s="21">
        <f>IF(OR($A608="",$B608=""),"",SUMIFS($H$2:$H$2001,$A$2:$A$2001,$A608,$B$2:$B$2001,$B608))</f>
        <v/>
      </c>
      <c r="N608" s="20">
        <f>IF($M608="","",IF($M608&lt;=0,"Sin stock: reponer ya",IF($M608&lt;IFERROR(N(INDEX(Vinos!$N$2:$N$301,MATCH($B608,Vinos!$A$2:$A$301,0))),0),"Bajo mínimo: reponer","OK")))</f>
        <v/>
      </c>
      <c r="O608" s="14" t="n"/>
      <c r="P608" s="14" t="n"/>
      <c r="Q608" s="20">
        <f>IF($B608="","",IFERROR(INDEX(Vinos!$C$2:$C$301,MATCH($B608,Vinos!$A$2:$A$301,0)),""))</f>
        <v/>
      </c>
      <c r="R608" s="20">
        <f>IF(OR($A608="",$A608&lt;&gt;'Resumen del inventario'!$C$3,$N608="",$N608="OK"),"",IF(COUNTIFS($A$2:$A608,$A608,$B$2:$B608,$B608)=1,1,""))</f>
        <v/>
      </c>
      <c r="S608" s="20">
        <f>IF($R608=1,COUNTIF($R$2:$R608,1),"")</f>
        <v/>
      </c>
    </row>
    <row r="609">
      <c r="A609" s="19" t="n"/>
      <c r="B609" s="14" t="n"/>
      <c r="C609" s="20">
        <f>IF($B609="","",IFERROR(INDEX(Vinos!$B$2:$B$301,MATCH($B609,Vinos!$A$2:$A$301,0)),"Código no cargado"))</f>
        <v/>
      </c>
      <c r="D609" s="14" t="n"/>
      <c r="E609" s="14" t="n"/>
      <c r="F609" s="18" t="n"/>
      <c r="G609" s="18" t="n"/>
      <c r="H609" s="21">
        <f>IF(AND($F609="",$G609=""),"",N($F609)*IFERROR(N(INDEX(Vinos!$H$2:$H$301,MATCH($B609,Vinos!$A$2:$A$301,0))),0)+N($G609))</f>
        <v/>
      </c>
      <c r="I609" s="18" t="n"/>
      <c r="J609" s="21">
        <f>IF(OR($H609="",$I609=""),"",$H609-$I609)</f>
        <v/>
      </c>
      <c r="K609" s="16">
        <f>IF($H609="","",IFERROR(IF(INDEX(Vinos!$J$2:$J$301,MATCH($B609,Vinos!$A$2:$A$301,0))="","",$H609*INDEX(Vinos!$J$2:$J$301,MATCH($B609,Vinos!$A$2:$A$301,0))),""))</f>
        <v/>
      </c>
      <c r="L609" s="16">
        <f>IF($H609="","",IFERROR(IF(INDEX(Vinos!$K$2:$K$301,MATCH($B609,Vinos!$A$2:$A$301,0))="","",$H609*INDEX(Vinos!$K$2:$K$301,MATCH($B609,Vinos!$A$2:$A$301,0))),""))</f>
        <v/>
      </c>
      <c r="M609" s="21">
        <f>IF(OR($A609="",$B609=""),"",SUMIFS($H$2:$H$2001,$A$2:$A$2001,$A609,$B$2:$B$2001,$B609))</f>
        <v/>
      </c>
      <c r="N609" s="20">
        <f>IF($M609="","",IF($M609&lt;=0,"Sin stock: reponer ya",IF($M609&lt;IFERROR(N(INDEX(Vinos!$N$2:$N$301,MATCH($B609,Vinos!$A$2:$A$301,0))),0),"Bajo mínimo: reponer","OK")))</f>
        <v/>
      </c>
      <c r="O609" s="14" t="n"/>
      <c r="P609" s="14" t="n"/>
      <c r="Q609" s="20">
        <f>IF($B609="","",IFERROR(INDEX(Vinos!$C$2:$C$301,MATCH($B609,Vinos!$A$2:$A$301,0)),""))</f>
        <v/>
      </c>
      <c r="R609" s="20">
        <f>IF(OR($A609="",$A609&lt;&gt;'Resumen del inventario'!$C$3,$N609="",$N609="OK"),"",IF(COUNTIFS($A$2:$A609,$A609,$B$2:$B609,$B609)=1,1,""))</f>
        <v/>
      </c>
      <c r="S609" s="20">
        <f>IF($R609=1,COUNTIF($R$2:$R609,1),"")</f>
        <v/>
      </c>
    </row>
    <row r="610">
      <c r="A610" s="19" t="n"/>
      <c r="B610" s="14" t="n"/>
      <c r="C610" s="20">
        <f>IF($B610="","",IFERROR(INDEX(Vinos!$B$2:$B$301,MATCH($B610,Vinos!$A$2:$A$301,0)),"Código no cargado"))</f>
        <v/>
      </c>
      <c r="D610" s="14" t="n"/>
      <c r="E610" s="14" t="n"/>
      <c r="F610" s="18" t="n"/>
      <c r="G610" s="18" t="n"/>
      <c r="H610" s="21">
        <f>IF(AND($F610="",$G610=""),"",N($F610)*IFERROR(N(INDEX(Vinos!$H$2:$H$301,MATCH($B610,Vinos!$A$2:$A$301,0))),0)+N($G610))</f>
        <v/>
      </c>
      <c r="I610" s="18" t="n"/>
      <c r="J610" s="21">
        <f>IF(OR($H610="",$I610=""),"",$H610-$I610)</f>
        <v/>
      </c>
      <c r="K610" s="16">
        <f>IF($H610="","",IFERROR(IF(INDEX(Vinos!$J$2:$J$301,MATCH($B610,Vinos!$A$2:$A$301,0))="","",$H610*INDEX(Vinos!$J$2:$J$301,MATCH($B610,Vinos!$A$2:$A$301,0))),""))</f>
        <v/>
      </c>
      <c r="L610" s="16">
        <f>IF($H610="","",IFERROR(IF(INDEX(Vinos!$K$2:$K$301,MATCH($B610,Vinos!$A$2:$A$301,0))="","",$H610*INDEX(Vinos!$K$2:$K$301,MATCH($B610,Vinos!$A$2:$A$301,0))),""))</f>
        <v/>
      </c>
      <c r="M610" s="21">
        <f>IF(OR($A610="",$B610=""),"",SUMIFS($H$2:$H$2001,$A$2:$A$2001,$A610,$B$2:$B$2001,$B610))</f>
        <v/>
      </c>
      <c r="N610" s="20">
        <f>IF($M610="","",IF($M610&lt;=0,"Sin stock: reponer ya",IF($M610&lt;IFERROR(N(INDEX(Vinos!$N$2:$N$301,MATCH($B610,Vinos!$A$2:$A$301,0))),0),"Bajo mínimo: reponer","OK")))</f>
        <v/>
      </c>
      <c r="O610" s="14" t="n"/>
      <c r="P610" s="14" t="n"/>
      <c r="Q610" s="20">
        <f>IF($B610="","",IFERROR(INDEX(Vinos!$C$2:$C$301,MATCH($B610,Vinos!$A$2:$A$301,0)),""))</f>
        <v/>
      </c>
      <c r="R610" s="20">
        <f>IF(OR($A610="",$A610&lt;&gt;'Resumen del inventario'!$C$3,$N610="",$N610="OK"),"",IF(COUNTIFS($A$2:$A610,$A610,$B$2:$B610,$B610)=1,1,""))</f>
        <v/>
      </c>
      <c r="S610" s="20">
        <f>IF($R610=1,COUNTIF($R$2:$R610,1),"")</f>
        <v/>
      </c>
    </row>
    <row r="611">
      <c r="A611" s="19" t="n"/>
      <c r="B611" s="14" t="n"/>
      <c r="C611" s="20">
        <f>IF($B611="","",IFERROR(INDEX(Vinos!$B$2:$B$301,MATCH($B611,Vinos!$A$2:$A$301,0)),"Código no cargado"))</f>
        <v/>
      </c>
      <c r="D611" s="14" t="n"/>
      <c r="E611" s="14" t="n"/>
      <c r="F611" s="18" t="n"/>
      <c r="G611" s="18" t="n"/>
      <c r="H611" s="21">
        <f>IF(AND($F611="",$G611=""),"",N($F611)*IFERROR(N(INDEX(Vinos!$H$2:$H$301,MATCH($B611,Vinos!$A$2:$A$301,0))),0)+N($G611))</f>
        <v/>
      </c>
      <c r="I611" s="18" t="n"/>
      <c r="J611" s="21">
        <f>IF(OR($H611="",$I611=""),"",$H611-$I611)</f>
        <v/>
      </c>
      <c r="K611" s="16">
        <f>IF($H611="","",IFERROR(IF(INDEX(Vinos!$J$2:$J$301,MATCH($B611,Vinos!$A$2:$A$301,0))="","",$H611*INDEX(Vinos!$J$2:$J$301,MATCH($B611,Vinos!$A$2:$A$301,0))),""))</f>
        <v/>
      </c>
      <c r="L611" s="16">
        <f>IF($H611="","",IFERROR(IF(INDEX(Vinos!$K$2:$K$301,MATCH($B611,Vinos!$A$2:$A$301,0))="","",$H611*INDEX(Vinos!$K$2:$K$301,MATCH($B611,Vinos!$A$2:$A$301,0))),""))</f>
        <v/>
      </c>
      <c r="M611" s="21">
        <f>IF(OR($A611="",$B611=""),"",SUMIFS($H$2:$H$2001,$A$2:$A$2001,$A611,$B$2:$B$2001,$B611))</f>
        <v/>
      </c>
      <c r="N611" s="20">
        <f>IF($M611="","",IF($M611&lt;=0,"Sin stock: reponer ya",IF($M611&lt;IFERROR(N(INDEX(Vinos!$N$2:$N$301,MATCH($B611,Vinos!$A$2:$A$301,0))),0),"Bajo mínimo: reponer","OK")))</f>
        <v/>
      </c>
      <c r="O611" s="14" t="n"/>
      <c r="P611" s="14" t="n"/>
      <c r="Q611" s="20">
        <f>IF($B611="","",IFERROR(INDEX(Vinos!$C$2:$C$301,MATCH($B611,Vinos!$A$2:$A$301,0)),""))</f>
        <v/>
      </c>
      <c r="R611" s="20">
        <f>IF(OR($A611="",$A611&lt;&gt;'Resumen del inventario'!$C$3,$N611="",$N611="OK"),"",IF(COUNTIFS($A$2:$A611,$A611,$B$2:$B611,$B611)=1,1,""))</f>
        <v/>
      </c>
      <c r="S611" s="20">
        <f>IF($R611=1,COUNTIF($R$2:$R611,1),"")</f>
        <v/>
      </c>
    </row>
    <row r="612">
      <c r="A612" s="19" t="n"/>
      <c r="B612" s="14" t="n"/>
      <c r="C612" s="20">
        <f>IF($B612="","",IFERROR(INDEX(Vinos!$B$2:$B$301,MATCH($B612,Vinos!$A$2:$A$301,0)),"Código no cargado"))</f>
        <v/>
      </c>
      <c r="D612" s="14" t="n"/>
      <c r="E612" s="14" t="n"/>
      <c r="F612" s="18" t="n"/>
      <c r="G612" s="18" t="n"/>
      <c r="H612" s="21">
        <f>IF(AND($F612="",$G612=""),"",N($F612)*IFERROR(N(INDEX(Vinos!$H$2:$H$301,MATCH($B612,Vinos!$A$2:$A$301,0))),0)+N($G612))</f>
        <v/>
      </c>
      <c r="I612" s="18" t="n"/>
      <c r="J612" s="21">
        <f>IF(OR($H612="",$I612=""),"",$H612-$I612)</f>
        <v/>
      </c>
      <c r="K612" s="16">
        <f>IF($H612="","",IFERROR(IF(INDEX(Vinos!$J$2:$J$301,MATCH($B612,Vinos!$A$2:$A$301,0))="","",$H612*INDEX(Vinos!$J$2:$J$301,MATCH($B612,Vinos!$A$2:$A$301,0))),""))</f>
        <v/>
      </c>
      <c r="L612" s="16">
        <f>IF($H612="","",IFERROR(IF(INDEX(Vinos!$K$2:$K$301,MATCH($B612,Vinos!$A$2:$A$301,0))="","",$H612*INDEX(Vinos!$K$2:$K$301,MATCH($B612,Vinos!$A$2:$A$301,0))),""))</f>
        <v/>
      </c>
      <c r="M612" s="21">
        <f>IF(OR($A612="",$B612=""),"",SUMIFS($H$2:$H$2001,$A$2:$A$2001,$A612,$B$2:$B$2001,$B612))</f>
        <v/>
      </c>
      <c r="N612" s="20">
        <f>IF($M612="","",IF($M612&lt;=0,"Sin stock: reponer ya",IF($M612&lt;IFERROR(N(INDEX(Vinos!$N$2:$N$301,MATCH($B612,Vinos!$A$2:$A$301,0))),0),"Bajo mínimo: reponer","OK")))</f>
        <v/>
      </c>
      <c r="O612" s="14" t="n"/>
      <c r="P612" s="14" t="n"/>
      <c r="Q612" s="20">
        <f>IF($B612="","",IFERROR(INDEX(Vinos!$C$2:$C$301,MATCH($B612,Vinos!$A$2:$A$301,0)),""))</f>
        <v/>
      </c>
      <c r="R612" s="20">
        <f>IF(OR($A612="",$A612&lt;&gt;'Resumen del inventario'!$C$3,$N612="",$N612="OK"),"",IF(COUNTIFS($A$2:$A612,$A612,$B$2:$B612,$B612)=1,1,""))</f>
        <v/>
      </c>
      <c r="S612" s="20">
        <f>IF($R612=1,COUNTIF($R$2:$R612,1),"")</f>
        <v/>
      </c>
    </row>
    <row r="613">
      <c r="A613" s="19" t="n"/>
      <c r="B613" s="14" t="n"/>
      <c r="C613" s="20">
        <f>IF($B613="","",IFERROR(INDEX(Vinos!$B$2:$B$301,MATCH($B613,Vinos!$A$2:$A$301,0)),"Código no cargado"))</f>
        <v/>
      </c>
      <c r="D613" s="14" t="n"/>
      <c r="E613" s="14" t="n"/>
      <c r="F613" s="18" t="n"/>
      <c r="G613" s="18" t="n"/>
      <c r="H613" s="21">
        <f>IF(AND($F613="",$G613=""),"",N($F613)*IFERROR(N(INDEX(Vinos!$H$2:$H$301,MATCH($B613,Vinos!$A$2:$A$301,0))),0)+N($G613))</f>
        <v/>
      </c>
      <c r="I613" s="18" t="n"/>
      <c r="J613" s="21">
        <f>IF(OR($H613="",$I613=""),"",$H613-$I613)</f>
        <v/>
      </c>
      <c r="K613" s="16">
        <f>IF($H613="","",IFERROR(IF(INDEX(Vinos!$J$2:$J$301,MATCH($B613,Vinos!$A$2:$A$301,0))="","",$H613*INDEX(Vinos!$J$2:$J$301,MATCH($B613,Vinos!$A$2:$A$301,0))),""))</f>
        <v/>
      </c>
      <c r="L613" s="16">
        <f>IF($H613="","",IFERROR(IF(INDEX(Vinos!$K$2:$K$301,MATCH($B613,Vinos!$A$2:$A$301,0))="","",$H613*INDEX(Vinos!$K$2:$K$301,MATCH($B613,Vinos!$A$2:$A$301,0))),""))</f>
        <v/>
      </c>
      <c r="M613" s="21">
        <f>IF(OR($A613="",$B613=""),"",SUMIFS($H$2:$H$2001,$A$2:$A$2001,$A613,$B$2:$B$2001,$B613))</f>
        <v/>
      </c>
      <c r="N613" s="20">
        <f>IF($M613="","",IF($M613&lt;=0,"Sin stock: reponer ya",IF($M613&lt;IFERROR(N(INDEX(Vinos!$N$2:$N$301,MATCH($B613,Vinos!$A$2:$A$301,0))),0),"Bajo mínimo: reponer","OK")))</f>
        <v/>
      </c>
      <c r="O613" s="14" t="n"/>
      <c r="P613" s="14" t="n"/>
      <c r="Q613" s="20">
        <f>IF($B613="","",IFERROR(INDEX(Vinos!$C$2:$C$301,MATCH($B613,Vinos!$A$2:$A$301,0)),""))</f>
        <v/>
      </c>
      <c r="R613" s="20">
        <f>IF(OR($A613="",$A613&lt;&gt;'Resumen del inventario'!$C$3,$N613="",$N613="OK"),"",IF(COUNTIFS($A$2:$A613,$A613,$B$2:$B613,$B613)=1,1,""))</f>
        <v/>
      </c>
      <c r="S613" s="20">
        <f>IF($R613=1,COUNTIF($R$2:$R613,1),"")</f>
        <v/>
      </c>
    </row>
    <row r="614">
      <c r="A614" s="19" t="n"/>
      <c r="B614" s="14" t="n"/>
      <c r="C614" s="20">
        <f>IF($B614="","",IFERROR(INDEX(Vinos!$B$2:$B$301,MATCH($B614,Vinos!$A$2:$A$301,0)),"Código no cargado"))</f>
        <v/>
      </c>
      <c r="D614" s="14" t="n"/>
      <c r="E614" s="14" t="n"/>
      <c r="F614" s="18" t="n"/>
      <c r="G614" s="18" t="n"/>
      <c r="H614" s="21">
        <f>IF(AND($F614="",$G614=""),"",N($F614)*IFERROR(N(INDEX(Vinos!$H$2:$H$301,MATCH($B614,Vinos!$A$2:$A$301,0))),0)+N($G614))</f>
        <v/>
      </c>
      <c r="I614" s="18" t="n"/>
      <c r="J614" s="21">
        <f>IF(OR($H614="",$I614=""),"",$H614-$I614)</f>
        <v/>
      </c>
      <c r="K614" s="16">
        <f>IF($H614="","",IFERROR(IF(INDEX(Vinos!$J$2:$J$301,MATCH($B614,Vinos!$A$2:$A$301,0))="","",$H614*INDEX(Vinos!$J$2:$J$301,MATCH($B614,Vinos!$A$2:$A$301,0))),""))</f>
        <v/>
      </c>
      <c r="L614" s="16">
        <f>IF($H614="","",IFERROR(IF(INDEX(Vinos!$K$2:$K$301,MATCH($B614,Vinos!$A$2:$A$301,0))="","",$H614*INDEX(Vinos!$K$2:$K$301,MATCH($B614,Vinos!$A$2:$A$301,0))),""))</f>
        <v/>
      </c>
      <c r="M614" s="21">
        <f>IF(OR($A614="",$B614=""),"",SUMIFS($H$2:$H$2001,$A$2:$A$2001,$A614,$B$2:$B$2001,$B614))</f>
        <v/>
      </c>
      <c r="N614" s="20">
        <f>IF($M614="","",IF($M614&lt;=0,"Sin stock: reponer ya",IF($M614&lt;IFERROR(N(INDEX(Vinos!$N$2:$N$301,MATCH($B614,Vinos!$A$2:$A$301,0))),0),"Bajo mínimo: reponer","OK")))</f>
        <v/>
      </c>
      <c r="O614" s="14" t="n"/>
      <c r="P614" s="14" t="n"/>
      <c r="Q614" s="20">
        <f>IF($B614="","",IFERROR(INDEX(Vinos!$C$2:$C$301,MATCH($B614,Vinos!$A$2:$A$301,0)),""))</f>
        <v/>
      </c>
      <c r="R614" s="20">
        <f>IF(OR($A614="",$A614&lt;&gt;'Resumen del inventario'!$C$3,$N614="",$N614="OK"),"",IF(COUNTIFS($A$2:$A614,$A614,$B$2:$B614,$B614)=1,1,""))</f>
        <v/>
      </c>
      <c r="S614" s="20">
        <f>IF($R614=1,COUNTIF($R$2:$R614,1),"")</f>
        <v/>
      </c>
    </row>
    <row r="615">
      <c r="A615" s="19" t="n"/>
      <c r="B615" s="14" t="n"/>
      <c r="C615" s="20">
        <f>IF($B615="","",IFERROR(INDEX(Vinos!$B$2:$B$301,MATCH($B615,Vinos!$A$2:$A$301,0)),"Código no cargado"))</f>
        <v/>
      </c>
      <c r="D615" s="14" t="n"/>
      <c r="E615" s="14" t="n"/>
      <c r="F615" s="18" t="n"/>
      <c r="G615" s="18" t="n"/>
      <c r="H615" s="21">
        <f>IF(AND($F615="",$G615=""),"",N($F615)*IFERROR(N(INDEX(Vinos!$H$2:$H$301,MATCH($B615,Vinos!$A$2:$A$301,0))),0)+N($G615))</f>
        <v/>
      </c>
      <c r="I615" s="18" t="n"/>
      <c r="J615" s="21">
        <f>IF(OR($H615="",$I615=""),"",$H615-$I615)</f>
        <v/>
      </c>
      <c r="K615" s="16">
        <f>IF($H615="","",IFERROR(IF(INDEX(Vinos!$J$2:$J$301,MATCH($B615,Vinos!$A$2:$A$301,0))="","",$H615*INDEX(Vinos!$J$2:$J$301,MATCH($B615,Vinos!$A$2:$A$301,0))),""))</f>
        <v/>
      </c>
      <c r="L615" s="16">
        <f>IF($H615="","",IFERROR(IF(INDEX(Vinos!$K$2:$K$301,MATCH($B615,Vinos!$A$2:$A$301,0))="","",$H615*INDEX(Vinos!$K$2:$K$301,MATCH($B615,Vinos!$A$2:$A$301,0))),""))</f>
        <v/>
      </c>
      <c r="M615" s="21">
        <f>IF(OR($A615="",$B615=""),"",SUMIFS($H$2:$H$2001,$A$2:$A$2001,$A615,$B$2:$B$2001,$B615))</f>
        <v/>
      </c>
      <c r="N615" s="20">
        <f>IF($M615="","",IF($M615&lt;=0,"Sin stock: reponer ya",IF($M615&lt;IFERROR(N(INDEX(Vinos!$N$2:$N$301,MATCH($B615,Vinos!$A$2:$A$301,0))),0),"Bajo mínimo: reponer","OK")))</f>
        <v/>
      </c>
      <c r="O615" s="14" t="n"/>
      <c r="P615" s="14" t="n"/>
      <c r="Q615" s="20">
        <f>IF($B615="","",IFERROR(INDEX(Vinos!$C$2:$C$301,MATCH($B615,Vinos!$A$2:$A$301,0)),""))</f>
        <v/>
      </c>
      <c r="R615" s="20">
        <f>IF(OR($A615="",$A615&lt;&gt;'Resumen del inventario'!$C$3,$N615="",$N615="OK"),"",IF(COUNTIFS($A$2:$A615,$A615,$B$2:$B615,$B615)=1,1,""))</f>
        <v/>
      </c>
      <c r="S615" s="20">
        <f>IF($R615=1,COUNTIF($R$2:$R615,1),"")</f>
        <v/>
      </c>
    </row>
    <row r="616">
      <c r="A616" s="19" t="n"/>
      <c r="B616" s="14" t="n"/>
      <c r="C616" s="20">
        <f>IF($B616="","",IFERROR(INDEX(Vinos!$B$2:$B$301,MATCH($B616,Vinos!$A$2:$A$301,0)),"Código no cargado"))</f>
        <v/>
      </c>
      <c r="D616" s="14" t="n"/>
      <c r="E616" s="14" t="n"/>
      <c r="F616" s="18" t="n"/>
      <c r="G616" s="18" t="n"/>
      <c r="H616" s="21">
        <f>IF(AND($F616="",$G616=""),"",N($F616)*IFERROR(N(INDEX(Vinos!$H$2:$H$301,MATCH($B616,Vinos!$A$2:$A$301,0))),0)+N($G616))</f>
        <v/>
      </c>
      <c r="I616" s="18" t="n"/>
      <c r="J616" s="21">
        <f>IF(OR($H616="",$I616=""),"",$H616-$I616)</f>
        <v/>
      </c>
      <c r="K616" s="16">
        <f>IF($H616="","",IFERROR(IF(INDEX(Vinos!$J$2:$J$301,MATCH($B616,Vinos!$A$2:$A$301,0))="","",$H616*INDEX(Vinos!$J$2:$J$301,MATCH($B616,Vinos!$A$2:$A$301,0))),""))</f>
        <v/>
      </c>
      <c r="L616" s="16">
        <f>IF($H616="","",IFERROR(IF(INDEX(Vinos!$K$2:$K$301,MATCH($B616,Vinos!$A$2:$A$301,0))="","",$H616*INDEX(Vinos!$K$2:$K$301,MATCH($B616,Vinos!$A$2:$A$301,0))),""))</f>
        <v/>
      </c>
      <c r="M616" s="21">
        <f>IF(OR($A616="",$B616=""),"",SUMIFS($H$2:$H$2001,$A$2:$A$2001,$A616,$B$2:$B$2001,$B616))</f>
        <v/>
      </c>
      <c r="N616" s="20">
        <f>IF($M616="","",IF($M616&lt;=0,"Sin stock: reponer ya",IF($M616&lt;IFERROR(N(INDEX(Vinos!$N$2:$N$301,MATCH($B616,Vinos!$A$2:$A$301,0))),0),"Bajo mínimo: reponer","OK")))</f>
        <v/>
      </c>
      <c r="O616" s="14" t="n"/>
      <c r="P616" s="14" t="n"/>
      <c r="Q616" s="20">
        <f>IF($B616="","",IFERROR(INDEX(Vinos!$C$2:$C$301,MATCH($B616,Vinos!$A$2:$A$301,0)),""))</f>
        <v/>
      </c>
      <c r="R616" s="20">
        <f>IF(OR($A616="",$A616&lt;&gt;'Resumen del inventario'!$C$3,$N616="",$N616="OK"),"",IF(COUNTIFS($A$2:$A616,$A616,$B$2:$B616,$B616)=1,1,""))</f>
        <v/>
      </c>
      <c r="S616" s="20">
        <f>IF($R616=1,COUNTIF($R$2:$R616,1),"")</f>
        <v/>
      </c>
    </row>
    <row r="617">
      <c r="A617" s="19" t="n"/>
      <c r="B617" s="14" t="n"/>
      <c r="C617" s="20">
        <f>IF($B617="","",IFERROR(INDEX(Vinos!$B$2:$B$301,MATCH($B617,Vinos!$A$2:$A$301,0)),"Código no cargado"))</f>
        <v/>
      </c>
      <c r="D617" s="14" t="n"/>
      <c r="E617" s="14" t="n"/>
      <c r="F617" s="18" t="n"/>
      <c r="G617" s="18" t="n"/>
      <c r="H617" s="21">
        <f>IF(AND($F617="",$G617=""),"",N($F617)*IFERROR(N(INDEX(Vinos!$H$2:$H$301,MATCH($B617,Vinos!$A$2:$A$301,0))),0)+N($G617))</f>
        <v/>
      </c>
      <c r="I617" s="18" t="n"/>
      <c r="J617" s="21">
        <f>IF(OR($H617="",$I617=""),"",$H617-$I617)</f>
        <v/>
      </c>
      <c r="K617" s="16">
        <f>IF($H617="","",IFERROR(IF(INDEX(Vinos!$J$2:$J$301,MATCH($B617,Vinos!$A$2:$A$301,0))="","",$H617*INDEX(Vinos!$J$2:$J$301,MATCH($B617,Vinos!$A$2:$A$301,0))),""))</f>
        <v/>
      </c>
      <c r="L617" s="16">
        <f>IF($H617="","",IFERROR(IF(INDEX(Vinos!$K$2:$K$301,MATCH($B617,Vinos!$A$2:$A$301,0))="","",$H617*INDEX(Vinos!$K$2:$K$301,MATCH($B617,Vinos!$A$2:$A$301,0))),""))</f>
        <v/>
      </c>
      <c r="M617" s="21">
        <f>IF(OR($A617="",$B617=""),"",SUMIFS($H$2:$H$2001,$A$2:$A$2001,$A617,$B$2:$B$2001,$B617))</f>
        <v/>
      </c>
      <c r="N617" s="20">
        <f>IF($M617="","",IF($M617&lt;=0,"Sin stock: reponer ya",IF($M617&lt;IFERROR(N(INDEX(Vinos!$N$2:$N$301,MATCH($B617,Vinos!$A$2:$A$301,0))),0),"Bajo mínimo: reponer","OK")))</f>
        <v/>
      </c>
      <c r="O617" s="14" t="n"/>
      <c r="P617" s="14" t="n"/>
      <c r="Q617" s="20">
        <f>IF($B617="","",IFERROR(INDEX(Vinos!$C$2:$C$301,MATCH($B617,Vinos!$A$2:$A$301,0)),""))</f>
        <v/>
      </c>
      <c r="R617" s="20">
        <f>IF(OR($A617="",$A617&lt;&gt;'Resumen del inventario'!$C$3,$N617="",$N617="OK"),"",IF(COUNTIFS($A$2:$A617,$A617,$B$2:$B617,$B617)=1,1,""))</f>
        <v/>
      </c>
      <c r="S617" s="20">
        <f>IF($R617=1,COUNTIF($R$2:$R617,1),"")</f>
        <v/>
      </c>
    </row>
    <row r="618">
      <c r="A618" s="19" t="n"/>
      <c r="B618" s="14" t="n"/>
      <c r="C618" s="20">
        <f>IF($B618="","",IFERROR(INDEX(Vinos!$B$2:$B$301,MATCH($B618,Vinos!$A$2:$A$301,0)),"Código no cargado"))</f>
        <v/>
      </c>
      <c r="D618" s="14" t="n"/>
      <c r="E618" s="14" t="n"/>
      <c r="F618" s="18" t="n"/>
      <c r="G618" s="18" t="n"/>
      <c r="H618" s="21">
        <f>IF(AND($F618="",$G618=""),"",N($F618)*IFERROR(N(INDEX(Vinos!$H$2:$H$301,MATCH($B618,Vinos!$A$2:$A$301,0))),0)+N($G618))</f>
        <v/>
      </c>
      <c r="I618" s="18" t="n"/>
      <c r="J618" s="21">
        <f>IF(OR($H618="",$I618=""),"",$H618-$I618)</f>
        <v/>
      </c>
      <c r="K618" s="16">
        <f>IF($H618="","",IFERROR(IF(INDEX(Vinos!$J$2:$J$301,MATCH($B618,Vinos!$A$2:$A$301,0))="","",$H618*INDEX(Vinos!$J$2:$J$301,MATCH($B618,Vinos!$A$2:$A$301,0))),""))</f>
        <v/>
      </c>
      <c r="L618" s="16">
        <f>IF($H618="","",IFERROR(IF(INDEX(Vinos!$K$2:$K$301,MATCH($B618,Vinos!$A$2:$A$301,0))="","",$H618*INDEX(Vinos!$K$2:$K$301,MATCH($B618,Vinos!$A$2:$A$301,0))),""))</f>
        <v/>
      </c>
      <c r="M618" s="21">
        <f>IF(OR($A618="",$B618=""),"",SUMIFS($H$2:$H$2001,$A$2:$A$2001,$A618,$B$2:$B$2001,$B618))</f>
        <v/>
      </c>
      <c r="N618" s="20">
        <f>IF($M618="","",IF($M618&lt;=0,"Sin stock: reponer ya",IF($M618&lt;IFERROR(N(INDEX(Vinos!$N$2:$N$301,MATCH($B618,Vinos!$A$2:$A$301,0))),0),"Bajo mínimo: reponer","OK")))</f>
        <v/>
      </c>
      <c r="O618" s="14" t="n"/>
      <c r="P618" s="14" t="n"/>
      <c r="Q618" s="20">
        <f>IF($B618="","",IFERROR(INDEX(Vinos!$C$2:$C$301,MATCH($B618,Vinos!$A$2:$A$301,0)),""))</f>
        <v/>
      </c>
      <c r="R618" s="20">
        <f>IF(OR($A618="",$A618&lt;&gt;'Resumen del inventario'!$C$3,$N618="",$N618="OK"),"",IF(COUNTIFS($A$2:$A618,$A618,$B$2:$B618,$B618)=1,1,""))</f>
        <v/>
      </c>
      <c r="S618" s="20">
        <f>IF($R618=1,COUNTIF($R$2:$R618,1),"")</f>
        <v/>
      </c>
    </row>
    <row r="619">
      <c r="A619" s="19" t="n"/>
      <c r="B619" s="14" t="n"/>
      <c r="C619" s="20">
        <f>IF($B619="","",IFERROR(INDEX(Vinos!$B$2:$B$301,MATCH($B619,Vinos!$A$2:$A$301,0)),"Código no cargado"))</f>
        <v/>
      </c>
      <c r="D619" s="14" t="n"/>
      <c r="E619" s="14" t="n"/>
      <c r="F619" s="18" t="n"/>
      <c r="G619" s="18" t="n"/>
      <c r="H619" s="21">
        <f>IF(AND($F619="",$G619=""),"",N($F619)*IFERROR(N(INDEX(Vinos!$H$2:$H$301,MATCH($B619,Vinos!$A$2:$A$301,0))),0)+N($G619))</f>
        <v/>
      </c>
      <c r="I619" s="18" t="n"/>
      <c r="J619" s="21">
        <f>IF(OR($H619="",$I619=""),"",$H619-$I619)</f>
        <v/>
      </c>
      <c r="K619" s="16">
        <f>IF($H619="","",IFERROR(IF(INDEX(Vinos!$J$2:$J$301,MATCH($B619,Vinos!$A$2:$A$301,0))="","",$H619*INDEX(Vinos!$J$2:$J$301,MATCH($B619,Vinos!$A$2:$A$301,0))),""))</f>
        <v/>
      </c>
      <c r="L619" s="16">
        <f>IF($H619="","",IFERROR(IF(INDEX(Vinos!$K$2:$K$301,MATCH($B619,Vinos!$A$2:$A$301,0))="","",$H619*INDEX(Vinos!$K$2:$K$301,MATCH($B619,Vinos!$A$2:$A$301,0))),""))</f>
        <v/>
      </c>
      <c r="M619" s="21">
        <f>IF(OR($A619="",$B619=""),"",SUMIFS($H$2:$H$2001,$A$2:$A$2001,$A619,$B$2:$B$2001,$B619))</f>
        <v/>
      </c>
      <c r="N619" s="20">
        <f>IF($M619="","",IF($M619&lt;=0,"Sin stock: reponer ya",IF($M619&lt;IFERROR(N(INDEX(Vinos!$N$2:$N$301,MATCH($B619,Vinos!$A$2:$A$301,0))),0),"Bajo mínimo: reponer","OK")))</f>
        <v/>
      </c>
      <c r="O619" s="14" t="n"/>
      <c r="P619" s="14" t="n"/>
      <c r="Q619" s="20">
        <f>IF($B619="","",IFERROR(INDEX(Vinos!$C$2:$C$301,MATCH($B619,Vinos!$A$2:$A$301,0)),""))</f>
        <v/>
      </c>
      <c r="R619" s="20">
        <f>IF(OR($A619="",$A619&lt;&gt;'Resumen del inventario'!$C$3,$N619="",$N619="OK"),"",IF(COUNTIFS($A$2:$A619,$A619,$B$2:$B619,$B619)=1,1,""))</f>
        <v/>
      </c>
      <c r="S619" s="20">
        <f>IF($R619=1,COUNTIF($R$2:$R619,1),"")</f>
        <v/>
      </c>
    </row>
    <row r="620">
      <c r="A620" s="19" t="n"/>
      <c r="B620" s="14" t="n"/>
      <c r="C620" s="20">
        <f>IF($B620="","",IFERROR(INDEX(Vinos!$B$2:$B$301,MATCH($B620,Vinos!$A$2:$A$301,0)),"Código no cargado"))</f>
        <v/>
      </c>
      <c r="D620" s="14" t="n"/>
      <c r="E620" s="14" t="n"/>
      <c r="F620" s="18" t="n"/>
      <c r="G620" s="18" t="n"/>
      <c r="H620" s="21">
        <f>IF(AND($F620="",$G620=""),"",N($F620)*IFERROR(N(INDEX(Vinos!$H$2:$H$301,MATCH($B620,Vinos!$A$2:$A$301,0))),0)+N($G620))</f>
        <v/>
      </c>
      <c r="I620" s="18" t="n"/>
      <c r="J620" s="21">
        <f>IF(OR($H620="",$I620=""),"",$H620-$I620)</f>
        <v/>
      </c>
      <c r="K620" s="16">
        <f>IF($H620="","",IFERROR(IF(INDEX(Vinos!$J$2:$J$301,MATCH($B620,Vinos!$A$2:$A$301,0))="","",$H620*INDEX(Vinos!$J$2:$J$301,MATCH($B620,Vinos!$A$2:$A$301,0))),""))</f>
        <v/>
      </c>
      <c r="L620" s="16">
        <f>IF($H620="","",IFERROR(IF(INDEX(Vinos!$K$2:$K$301,MATCH($B620,Vinos!$A$2:$A$301,0))="","",$H620*INDEX(Vinos!$K$2:$K$301,MATCH($B620,Vinos!$A$2:$A$301,0))),""))</f>
        <v/>
      </c>
      <c r="M620" s="21">
        <f>IF(OR($A620="",$B620=""),"",SUMIFS($H$2:$H$2001,$A$2:$A$2001,$A620,$B$2:$B$2001,$B620))</f>
        <v/>
      </c>
      <c r="N620" s="20">
        <f>IF($M620="","",IF($M620&lt;=0,"Sin stock: reponer ya",IF($M620&lt;IFERROR(N(INDEX(Vinos!$N$2:$N$301,MATCH($B620,Vinos!$A$2:$A$301,0))),0),"Bajo mínimo: reponer","OK")))</f>
        <v/>
      </c>
      <c r="O620" s="14" t="n"/>
      <c r="P620" s="14" t="n"/>
      <c r="Q620" s="20">
        <f>IF($B620="","",IFERROR(INDEX(Vinos!$C$2:$C$301,MATCH($B620,Vinos!$A$2:$A$301,0)),""))</f>
        <v/>
      </c>
      <c r="R620" s="20">
        <f>IF(OR($A620="",$A620&lt;&gt;'Resumen del inventario'!$C$3,$N620="",$N620="OK"),"",IF(COUNTIFS($A$2:$A620,$A620,$B$2:$B620,$B620)=1,1,""))</f>
        <v/>
      </c>
      <c r="S620" s="20">
        <f>IF($R620=1,COUNTIF($R$2:$R620,1),"")</f>
        <v/>
      </c>
    </row>
    <row r="621">
      <c r="A621" s="19" t="n"/>
      <c r="B621" s="14" t="n"/>
      <c r="C621" s="20">
        <f>IF($B621="","",IFERROR(INDEX(Vinos!$B$2:$B$301,MATCH($B621,Vinos!$A$2:$A$301,0)),"Código no cargado"))</f>
        <v/>
      </c>
      <c r="D621" s="14" t="n"/>
      <c r="E621" s="14" t="n"/>
      <c r="F621" s="18" t="n"/>
      <c r="G621" s="18" t="n"/>
      <c r="H621" s="21">
        <f>IF(AND($F621="",$G621=""),"",N($F621)*IFERROR(N(INDEX(Vinos!$H$2:$H$301,MATCH($B621,Vinos!$A$2:$A$301,0))),0)+N($G621))</f>
        <v/>
      </c>
      <c r="I621" s="18" t="n"/>
      <c r="J621" s="21">
        <f>IF(OR($H621="",$I621=""),"",$H621-$I621)</f>
        <v/>
      </c>
      <c r="K621" s="16">
        <f>IF($H621="","",IFERROR(IF(INDEX(Vinos!$J$2:$J$301,MATCH($B621,Vinos!$A$2:$A$301,0))="","",$H621*INDEX(Vinos!$J$2:$J$301,MATCH($B621,Vinos!$A$2:$A$301,0))),""))</f>
        <v/>
      </c>
      <c r="L621" s="16">
        <f>IF($H621="","",IFERROR(IF(INDEX(Vinos!$K$2:$K$301,MATCH($B621,Vinos!$A$2:$A$301,0))="","",$H621*INDEX(Vinos!$K$2:$K$301,MATCH($B621,Vinos!$A$2:$A$301,0))),""))</f>
        <v/>
      </c>
      <c r="M621" s="21">
        <f>IF(OR($A621="",$B621=""),"",SUMIFS($H$2:$H$2001,$A$2:$A$2001,$A621,$B$2:$B$2001,$B621))</f>
        <v/>
      </c>
      <c r="N621" s="20">
        <f>IF($M621="","",IF($M621&lt;=0,"Sin stock: reponer ya",IF($M621&lt;IFERROR(N(INDEX(Vinos!$N$2:$N$301,MATCH($B621,Vinos!$A$2:$A$301,0))),0),"Bajo mínimo: reponer","OK")))</f>
        <v/>
      </c>
      <c r="O621" s="14" t="n"/>
      <c r="P621" s="14" t="n"/>
      <c r="Q621" s="20">
        <f>IF($B621="","",IFERROR(INDEX(Vinos!$C$2:$C$301,MATCH($B621,Vinos!$A$2:$A$301,0)),""))</f>
        <v/>
      </c>
      <c r="R621" s="20">
        <f>IF(OR($A621="",$A621&lt;&gt;'Resumen del inventario'!$C$3,$N621="",$N621="OK"),"",IF(COUNTIFS($A$2:$A621,$A621,$B$2:$B621,$B621)=1,1,""))</f>
        <v/>
      </c>
      <c r="S621" s="20">
        <f>IF($R621=1,COUNTIF($R$2:$R621,1),"")</f>
        <v/>
      </c>
    </row>
    <row r="622">
      <c r="A622" s="19" t="n"/>
      <c r="B622" s="14" t="n"/>
      <c r="C622" s="20">
        <f>IF($B622="","",IFERROR(INDEX(Vinos!$B$2:$B$301,MATCH($B622,Vinos!$A$2:$A$301,0)),"Código no cargado"))</f>
        <v/>
      </c>
      <c r="D622" s="14" t="n"/>
      <c r="E622" s="14" t="n"/>
      <c r="F622" s="18" t="n"/>
      <c r="G622" s="18" t="n"/>
      <c r="H622" s="21">
        <f>IF(AND($F622="",$G622=""),"",N($F622)*IFERROR(N(INDEX(Vinos!$H$2:$H$301,MATCH($B622,Vinos!$A$2:$A$301,0))),0)+N($G622))</f>
        <v/>
      </c>
      <c r="I622" s="18" t="n"/>
      <c r="J622" s="21">
        <f>IF(OR($H622="",$I622=""),"",$H622-$I622)</f>
        <v/>
      </c>
      <c r="K622" s="16">
        <f>IF($H622="","",IFERROR(IF(INDEX(Vinos!$J$2:$J$301,MATCH($B622,Vinos!$A$2:$A$301,0))="","",$H622*INDEX(Vinos!$J$2:$J$301,MATCH($B622,Vinos!$A$2:$A$301,0))),""))</f>
        <v/>
      </c>
      <c r="L622" s="16">
        <f>IF($H622="","",IFERROR(IF(INDEX(Vinos!$K$2:$K$301,MATCH($B622,Vinos!$A$2:$A$301,0))="","",$H622*INDEX(Vinos!$K$2:$K$301,MATCH($B622,Vinos!$A$2:$A$301,0))),""))</f>
        <v/>
      </c>
      <c r="M622" s="21">
        <f>IF(OR($A622="",$B622=""),"",SUMIFS($H$2:$H$2001,$A$2:$A$2001,$A622,$B$2:$B$2001,$B622))</f>
        <v/>
      </c>
      <c r="N622" s="20">
        <f>IF($M622="","",IF($M622&lt;=0,"Sin stock: reponer ya",IF($M622&lt;IFERROR(N(INDEX(Vinos!$N$2:$N$301,MATCH($B622,Vinos!$A$2:$A$301,0))),0),"Bajo mínimo: reponer","OK")))</f>
        <v/>
      </c>
      <c r="O622" s="14" t="n"/>
      <c r="P622" s="14" t="n"/>
      <c r="Q622" s="20">
        <f>IF($B622="","",IFERROR(INDEX(Vinos!$C$2:$C$301,MATCH($B622,Vinos!$A$2:$A$301,0)),""))</f>
        <v/>
      </c>
      <c r="R622" s="20">
        <f>IF(OR($A622="",$A622&lt;&gt;'Resumen del inventario'!$C$3,$N622="",$N622="OK"),"",IF(COUNTIFS($A$2:$A622,$A622,$B$2:$B622,$B622)=1,1,""))</f>
        <v/>
      </c>
      <c r="S622" s="20">
        <f>IF($R622=1,COUNTIF($R$2:$R622,1),"")</f>
        <v/>
      </c>
    </row>
    <row r="623">
      <c r="A623" s="19" t="n"/>
      <c r="B623" s="14" t="n"/>
      <c r="C623" s="20">
        <f>IF($B623="","",IFERROR(INDEX(Vinos!$B$2:$B$301,MATCH($B623,Vinos!$A$2:$A$301,0)),"Código no cargado"))</f>
        <v/>
      </c>
      <c r="D623" s="14" t="n"/>
      <c r="E623" s="14" t="n"/>
      <c r="F623" s="18" t="n"/>
      <c r="G623" s="18" t="n"/>
      <c r="H623" s="21">
        <f>IF(AND($F623="",$G623=""),"",N($F623)*IFERROR(N(INDEX(Vinos!$H$2:$H$301,MATCH($B623,Vinos!$A$2:$A$301,0))),0)+N($G623))</f>
        <v/>
      </c>
      <c r="I623" s="18" t="n"/>
      <c r="J623" s="21">
        <f>IF(OR($H623="",$I623=""),"",$H623-$I623)</f>
        <v/>
      </c>
      <c r="K623" s="16">
        <f>IF($H623="","",IFERROR(IF(INDEX(Vinos!$J$2:$J$301,MATCH($B623,Vinos!$A$2:$A$301,0))="","",$H623*INDEX(Vinos!$J$2:$J$301,MATCH($B623,Vinos!$A$2:$A$301,0))),""))</f>
        <v/>
      </c>
      <c r="L623" s="16">
        <f>IF($H623="","",IFERROR(IF(INDEX(Vinos!$K$2:$K$301,MATCH($B623,Vinos!$A$2:$A$301,0))="","",$H623*INDEX(Vinos!$K$2:$K$301,MATCH($B623,Vinos!$A$2:$A$301,0))),""))</f>
        <v/>
      </c>
      <c r="M623" s="21">
        <f>IF(OR($A623="",$B623=""),"",SUMIFS($H$2:$H$2001,$A$2:$A$2001,$A623,$B$2:$B$2001,$B623))</f>
        <v/>
      </c>
      <c r="N623" s="20">
        <f>IF($M623="","",IF($M623&lt;=0,"Sin stock: reponer ya",IF($M623&lt;IFERROR(N(INDEX(Vinos!$N$2:$N$301,MATCH($B623,Vinos!$A$2:$A$301,0))),0),"Bajo mínimo: reponer","OK")))</f>
        <v/>
      </c>
      <c r="O623" s="14" t="n"/>
      <c r="P623" s="14" t="n"/>
      <c r="Q623" s="20">
        <f>IF($B623="","",IFERROR(INDEX(Vinos!$C$2:$C$301,MATCH($B623,Vinos!$A$2:$A$301,0)),""))</f>
        <v/>
      </c>
      <c r="R623" s="20">
        <f>IF(OR($A623="",$A623&lt;&gt;'Resumen del inventario'!$C$3,$N623="",$N623="OK"),"",IF(COUNTIFS($A$2:$A623,$A623,$B$2:$B623,$B623)=1,1,""))</f>
        <v/>
      </c>
      <c r="S623" s="20">
        <f>IF($R623=1,COUNTIF($R$2:$R623,1),"")</f>
        <v/>
      </c>
    </row>
    <row r="624">
      <c r="A624" s="19" t="n"/>
      <c r="B624" s="14" t="n"/>
      <c r="C624" s="20">
        <f>IF($B624="","",IFERROR(INDEX(Vinos!$B$2:$B$301,MATCH($B624,Vinos!$A$2:$A$301,0)),"Código no cargado"))</f>
        <v/>
      </c>
      <c r="D624" s="14" t="n"/>
      <c r="E624" s="14" t="n"/>
      <c r="F624" s="18" t="n"/>
      <c r="G624" s="18" t="n"/>
      <c r="H624" s="21">
        <f>IF(AND($F624="",$G624=""),"",N($F624)*IFERROR(N(INDEX(Vinos!$H$2:$H$301,MATCH($B624,Vinos!$A$2:$A$301,0))),0)+N($G624))</f>
        <v/>
      </c>
      <c r="I624" s="18" t="n"/>
      <c r="J624" s="21">
        <f>IF(OR($H624="",$I624=""),"",$H624-$I624)</f>
        <v/>
      </c>
      <c r="K624" s="16">
        <f>IF($H624="","",IFERROR(IF(INDEX(Vinos!$J$2:$J$301,MATCH($B624,Vinos!$A$2:$A$301,0))="","",$H624*INDEX(Vinos!$J$2:$J$301,MATCH($B624,Vinos!$A$2:$A$301,0))),""))</f>
        <v/>
      </c>
      <c r="L624" s="16">
        <f>IF($H624="","",IFERROR(IF(INDEX(Vinos!$K$2:$K$301,MATCH($B624,Vinos!$A$2:$A$301,0))="","",$H624*INDEX(Vinos!$K$2:$K$301,MATCH($B624,Vinos!$A$2:$A$301,0))),""))</f>
        <v/>
      </c>
      <c r="M624" s="21">
        <f>IF(OR($A624="",$B624=""),"",SUMIFS($H$2:$H$2001,$A$2:$A$2001,$A624,$B$2:$B$2001,$B624))</f>
        <v/>
      </c>
      <c r="N624" s="20">
        <f>IF($M624="","",IF($M624&lt;=0,"Sin stock: reponer ya",IF($M624&lt;IFERROR(N(INDEX(Vinos!$N$2:$N$301,MATCH($B624,Vinos!$A$2:$A$301,0))),0),"Bajo mínimo: reponer","OK")))</f>
        <v/>
      </c>
      <c r="O624" s="14" t="n"/>
      <c r="P624" s="14" t="n"/>
      <c r="Q624" s="20">
        <f>IF($B624="","",IFERROR(INDEX(Vinos!$C$2:$C$301,MATCH($B624,Vinos!$A$2:$A$301,0)),""))</f>
        <v/>
      </c>
      <c r="R624" s="20">
        <f>IF(OR($A624="",$A624&lt;&gt;'Resumen del inventario'!$C$3,$N624="",$N624="OK"),"",IF(COUNTIFS($A$2:$A624,$A624,$B$2:$B624,$B624)=1,1,""))</f>
        <v/>
      </c>
      <c r="S624" s="20">
        <f>IF($R624=1,COUNTIF($R$2:$R624,1),"")</f>
        <v/>
      </c>
    </row>
    <row r="625">
      <c r="A625" s="19" t="n"/>
      <c r="B625" s="14" t="n"/>
      <c r="C625" s="20">
        <f>IF($B625="","",IFERROR(INDEX(Vinos!$B$2:$B$301,MATCH($B625,Vinos!$A$2:$A$301,0)),"Código no cargado"))</f>
        <v/>
      </c>
      <c r="D625" s="14" t="n"/>
      <c r="E625" s="14" t="n"/>
      <c r="F625" s="18" t="n"/>
      <c r="G625" s="18" t="n"/>
      <c r="H625" s="21">
        <f>IF(AND($F625="",$G625=""),"",N($F625)*IFERROR(N(INDEX(Vinos!$H$2:$H$301,MATCH($B625,Vinos!$A$2:$A$301,0))),0)+N($G625))</f>
        <v/>
      </c>
      <c r="I625" s="18" t="n"/>
      <c r="J625" s="21">
        <f>IF(OR($H625="",$I625=""),"",$H625-$I625)</f>
        <v/>
      </c>
      <c r="K625" s="16">
        <f>IF($H625="","",IFERROR(IF(INDEX(Vinos!$J$2:$J$301,MATCH($B625,Vinos!$A$2:$A$301,0))="","",$H625*INDEX(Vinos!$J$2:$J$301,MATCH($B625,Vinos!$A$2:$A$301,0))),""))</f>
        <v/>
      </c>
      <c r="L625" s="16">
        <f>IF($H625="","",IFERROR(IF(INDEX(Vinos!$K$2:$K$301,MATCH($B625,Vinos!$A$2:$A$301,0))="","",$H625*INDEX(Vinos!$K$2:$K$301,MATCH($B625,Vinos!$A$2:$A$301,0))),""))</f>
        <v/>
      </c>
      <c r="M625" s="21">
        <f>IF(OR($A625="",$B625=""),"",SUMIFS($H$2:$H$2001,$A$2:$A$2001,$A625,$B$2:$B$2001,$B625))</f>
        <v/>
      </c>
      <c r="N625" s="20">
        <f>IF($M625="","",IF($M625&lt;=0,"Sin stock: reponer ya",IF($M625&lt;IFERROR(N(INDEX(Vinos!$N$2:$N$301,MATCH($B625,Vinos!$A$2:$A$301,0))),0),"Bajo mínimo: reponer","OK")))</f>
        <v/>
      </c>
      <c r="O625" s="14" t="n"/>
      <c r="P625" s="14" t="n"/>
      <c r="Q625" s="20">
        <f>IF($B625="","",IFERROR(INDEX(Vinos!$C$2:$C$301,MATCH($B625,Vinos!$A$2:$A$301,0)),""))</f>
        <v/>
      </c>
      <c r="R625" s="20">
        <f>IF(OR($A625="",$A625&lt;&gt;'Resumen del inventario'!$C$3,$N625="",$N625="OK"),"",IF(COUNTIFS($A$2:$A625,$A625,$B$2:$B625,$B625)=1,1,""))</f>
        <v/>
      </c>
      <c r="S625" s="20">
        <f>IF($R625=1,COUNTIF($R$2:$R625,1),"")</f>
        <v/>
      </c>
    </row>
    <row r="626">
      <c r="A626" s="19" t="n"/>
      <c r="B626" s="14" t="n"/>
      <c r="C626" s="20">
        <f>IF($B626="","",IFERROR(INDEX(Vinos!$B$2:$B$301,MATCH($B626,Vinos!$A$2:$A$301,0)),"Código no cargado"))</f>
        <v/>
      </c>
      <c r="D626" s="14" t="n"/>
      <c r="E626" s="14" t="n"/>
      <c r="F626" s="18" t="n"/>
      <c r="G626" s="18" t="n"/>
      <c r="H626" s="21">
        <f>IF(AND($F626="",$G626=""),"",N($F626)*IFERROR(N(INDEX(Vinos!$H$2:$H$301,MATCH($B626,Vinos!$A$2:$A$301,0))),0)+N($G626))</f>
        <v/>
      </c>
      <c r="I626" s="18" t="n"/>
      <c r="J626" s="21">
        <f>IF(OR($H626="",$I626=""),"",$H626-$I626)</f>
        <v/>
      </c>
      <c r="K626" s="16">
        <f>IF($H626="","",IFERROR(IF(INDEX(Vinos!$J$2:$J$301,MATCH($B626,Vinos!$A$2:$A$301,0))="","",$H626*INDEX(Vinos!$J$2:$J$301,MATCH($B626,Vinos!$A$2:$A$301,0))),""))</f>
        <v/>
      </c>
      <c r="L626" s="16">
        <f>IF($H626="","",IFERROR(IF(INDEX(Vinos!$K$2:$K$301,MATCH($B626,Vinos!$A$2:$A$301,0))="","",$H626*INDEX(Vinos!$K$2:$K$301,MATCH($B626,Vinos!$A$2:$A$301,0))),""))</f>
        <v/>
      </c>
      <c r="M626" s="21">
        <f>IF(OR($A626="",$B626=""),"",SUMIFS($H$2:$H$2001,$A$2:$A$2001,$A626,$B$2:$B$2001,$B626))</f>
        <v/>
      </c>
      <c r="N626" s="20">
        <f>IF($M626="","",IF($M626&lt;=0,"Sin stock: reponer ya",IF($M626&lt;IFERROR(N(INDEX(Vinos!$N$2:$N$301,MATCH($B626,Vinos!$A$2:$A$301,0))),0),"Bajo mínimo: reponer","OK")))</f>
        <v/>
      </c>
      <c r="O626" s="14" t="n"/>
      <c r="P626" s="14" t="n"/>
      <c r="Q626" s="20">
        <f>IF($B626="","",IFERROR(INDEX(Vinos!$C$2:$C$301,MATCH($B626,Vinos!$A$2:$A$301,0)),""))</f>
        <v/>
      </c>
      <c r="R626" s="20">
        <f>IF(OR($A626="",$A626&lt;&gt;'Resumen del inventario'!$C$3,$N626="",$N626="OK"),"",IF(COUNTIFS($A$2:$A626,$A626,$B$2:$B626,$B626)=1,1,""))</f>
        <v/>
      </c>
      <c r="S626" s="20">
        <f>IF($R626=1,COUNTIF($R$2:$R626,1),"")</f>
        <v/>
      </c>
    </row>
    <row r="627">
      <c r="A627" s="19" t="n"/>
      <c r="B627" s="14" t="n"/>
      <c r="C627" s="20">
        <f>IF($B627="","",IFERROR(INDEX(Vinos!$B$2:$B$301,MATCH($B627,Vinos!$A$2:$A$301,0)),"Código no cargado"))</f>
        <v/>
      </c>
      <c r="D627" s="14" t="n"/>
      <c r="E627" s="14" t="n"/>
      <c r="F627" s="18" t="n"/>
      <c r="G627" s="18" t="n"/>
      <c r="H627" s="21">
        <f>IF(AND($F627="",$G627=""),"",N($F627)*IFERROR(N(INDEX(Vinos!$H$2:$H$301,MATCH($B627,Vinos!$A$2:$A$301,0))),0)+N($G627))</f>
        <v/>
      </c>
      <c r="I627" s="18" t="n"/>
      <c r="J627" s="21">
        <f>IF(OR($H627="",$I627=""),"",$H627-$I627)</f>
        <v/>
      </c>
      <c r="K627" s="16">
        <f>IF($H627="","",IFERROR(IF(INDEX(Vinos!$J$2:$J$301,MATCH($B627,Vinos!$A$2:$A$301,0))="","",$H627*INDEX(Vinos!$J$2:$J$301,MATCH($B627,Vinos!$A$2:$A$301,0))),""))</f>
        <v/>
      </c>
      <c r="L627" s="16">
        <f>IF($H627="","",IFERROR(IF(INDEX(Vinos!$K$2:$K$301,MATCH($B627,Vinos!$A$2:$A$301,0))="","",$H627*INDEX(Vinos!$K$2:$K$301,MATCH($B627,Vinos!$A$2:$A$301,0))),""))</f>
        <v/>
      </c>
      <c r="M627" s="21">
        <f>IF(OR($A627="",$B627=""),"",SUMIFS($H$2:$H$2001,$A$2:$A$2001,$A627,$B$2:$B$2001,$B627))</f>
        <v/>
      </c>
      <c r="N627" s="20">
        <f>IF($M627="","",IF($M627&lt;=0,"Sin stock: reponer ya",IF($M627&lt;IFERROR(N(INDEX(Vinos!$N$2:$N$301,MATCH($B627,Vinos!$A$2:$A$301,0))),0),"Bajo mínimo: reponer","OK")))</f>
        <v/>
      </c>
      <c r="O627" s="14" t="n"/>
      <c r="P627" s="14" t="n"/>
      <c r="Q627" s="20">
        <f>IF($B627="","",IFERROR(INDEX(Vinos!$C$2:$C$301,MATCH($B627,Vinos!$A$2:$A$301,0)),""))</f>
        <v/>
      </c>
      <c r="R627" s="20">
        <f>IF(OR($A627="",$A627&lt;&gt;'Resumen del inventario'!$C$3,$N627="",$N627="OK"),"",IF(COUNTIFS($A$2:$A627,$A627,$B$2:$B627,$B627)=1,1,""))</f>
        <v/>
      </c>
      <c r="S627" s="20">
        <f>IF($R627=1,COUNTIF($R$2:$R627,1),"")</f>
        <v/>
      </c>
    </row>
    <row r="628">
      <c r="A628" s="19" t="n"/>
      <c r="B628" s="14" t="n"/>
      <c r="C628" s="20">
        <f>IF($B628="","",IFERROR(INDEX(Vinos!$B$2:$B$301,MATCH($B628,Vinos!$A$2:$A$301,0)),"Código no cargado"))</f>
        <v/>
      </c>
      <c r="D628" s="14" t="n"/>
      <c r="E628" s="14" t="n"/>
      <c r="F628" s="18" t="n"/>
      <c r="G628" s="18" t="n"/>
      <c r="H628" s="21">
        <f>IF(AND($F628="",$G628=""),"",N($F628)*IFERROR(N(INDEX(Vinos!$H$2:$H$301,MATCH($B628,Vinos!$A$2:$A$301,0))),0)+N($G628))</f>
        <v/>
      </c>
      <c r="I628" s="18" t="n"/>
      <c r="J628" s="21">
        <f>IF(OR($H628="",$I628=""),"",$H628-$I628)</f>
        <v/>
      </c>
      <c r="K628" s="16">
        <f>IF($H628="","",IFERROR(IF(INDEX(Vinos!$J$2:$J$301,MATCH($B628,Vinos!$A$2:$A$301,0))="","",$H628*INDEX(Vinos!$J$2:$J$301,MATCH($B628,Vinos!$A$2:$A$301,0))),""))</f>
        <v/>
      </c>
      <c r="L628" s="16">
        <f>IF($H628="","",IFERROR(IF(INDEX(Vinos!$K$2:$K$301,MATCH($B628,Vinos!$A$2:$A$301,0))="","",$H628*INDEX(Vinos!$K$2:$K$301,MATCH($B628,Vinos!$A$2:$A$301,0))),""))</f>
        <v/>
      </c>
      <c r="M628" s="21">
        <f>IF(OR($A628="",$B628=""),"",SUMIFS($H$2:$H$2001,$A$2:$A$2001,$A628,$B$2:$B$2001,$B628))</f>
        <v/>
      </c>
      <c r="N628" s="20">
        <f>IF($M628="","",IF($M628&lt;=0,"Sin stock: reponer ya",IF($M628&lt;IFERROR(N(INDEX(Vinos!$N$2:$N$301,MATCH($B628,Vinos!$A$2:$A$301,0))),0),"Bajo mínimo: reponer","OK")))</f>
        <v/>
      </c>
      <c r="O628" s="14" t="n"/>
      <c r="P628" s="14" t="n"/>
      <c r="Q628" s="20">
        <f>IF($B628="","",IFERROR(INDEX(Vinos!$C$2:$C$301,MATCH($B628,Vinos!$A$2:$A$301,0)),""))</f>
        <v/>
      </c>
      <c r="R628" s="20">
        <f>IF(OR($A628="",$A628&lt;&gt;'Resumen del inventario'!$C$3,$N628="",$N628="OK"),"",IF(COUNTIFS($A$2:$A628,$A628,$B$2:$B628,$B628)=1,1,""))</f>
        <v/>
      </c>
      <c r="S628" s="20">
        <f>IF($R628=1,COUNTIF($R$2:$R628,1),"")</f>
        <v/>
      </c>
    </row>
    <row r="629">
      <c r="A629" s="19" t="n"/>
      <c r="B629" s="14" t="n"/>
      <c r="C629" s="20">
        <f>IF($B629="","",IFERROR(INDEX(Vinos!$B$2:$B$301,MATCH($B629,Vinos!$A$2:$A$301,0)),"Código no cargado"))</f>
        <v/>
      </c>
      <c r="D629" s="14" t="n"/>
      <c r="E629" s="14" t="n"/>
      <c r="F629" s="18" t="n"/>
      <c r="G629" s="18" t="n"/>
      <c r="H629" s="21">
        <f>IF(AND($F629="",$G629=""),"",N($F629)*IFERROR(N(INDEX(Vinos!$H$2:$H$301,MATCH($B629,Vinos!$A$2:$A$301,0))),0)+N($G629))</f>
        <v/>
      </c>
      <c r="I629" s="18" t="n"/>
      <c r="J629" s="21">
        <f>IF(OR($H629="",$I629=""),"",$H629-$I629)</f>
        <v/>
      </c>
      <c r="K629" s="16">
        <f>IF($H629="","",IFERROR(IF(INDEX(Vinos!$J$2:$J$301,MATCH($B629,Vinos!$A$2:$A$301,0))="","",$H629*INDEX(Vinos!$J$2:$J$301,MATCH($B629,Vinos!$A$2:$A$301,0))),""))</f>
        <v/>
      </c>
      <c r="L629" s="16">
        <f>IF($H629="","",IFERROR(IF(INDEX(Vinos!$K$2:$K$301,MATCH($B629,Vinos!$A$2:$A$301,0))="","",$H629*INDEX(Vinos!$K$2:$K$301,MATCH($B629,Vinos!$A$2:$A$301,0))),""))</f>
        <v/>
      </c>
      <c r="M629" s="21">
        <f>IF(OR($A629="",$B629=""),"",SUMIFS($H$2:$H$2001,$A$2:$A$2001,$A629,$B$2:$B$2001,$B629))</f>
        <v/>
      </c>
      <c r="N629" s="20">
        <f>IF($M629="","",IF($M629&lt;=0,"Sin stock: reponer ya",IF($M629&lt;IFERROR(N(INDEX(Vinos!$N$2:$N$301,MATCH($B629,Vinos!$A$2:$A$301,0))),0),"Bajo mínimo: reponer","OK")))</f>
        <v/>
      </c>
      <c r="O629" s="14" t="n"/>
      <c r="P629" s="14" t="n"/>
      <c r="Q629" s="20">
        <f>IF($B629="","",IFERROR(INDEX(Vinos!$C$2:$C$301,MATCH($B629,Vinos!$A$2:$A$301,0)),""))</f>
        <v/>
      </c>
      <c r="R629" s="20">
        <f>IF(OR($A629="",$A629&lt;&gt;'Resumen del inventario'!$C$3,$N629="",$N629="OK"),"",IF(COUNTIFS($A$2:$A629,$A629,$B$2:$B629,$B629)=1,1,""))</f>
        <v/>
      </c>
      <c r="S629" s="20">
        <f>IF($R629=1,COUNTIF($R$2:$R629,1),"")</f>
        <v/>
      </c>
    </row>
    <row r="630">
      <c r="A630" s="19" t="n"/>
      <c r="B630" s="14" t="n"/>
      <c r="C630" s="20">
        <f>IF($B630="","",IFERROR(INDEX(Vinos!$B$2:$B$301,MATCH($B630,Vinos!$A$2:$A$301,0)),"Código no cargado"))</f>
        <v/>
      </c>
      <c r="D630" s="14" t="n"/>
      <c r="E630" s="14" t="n"/>
      <c r="F630" s="18" t="n"/>
      <c r="G630" s="18" t="n"/>
      <c r="H630" s="21">
        <f>IF(AND($F630="",$G630=""),"",N($F630)*IFERROR(N(INDEX(Vinos!$H$2:$H$301,MATCH($B630,Vinos!$A$2:$A$301,0))),0)+N($G630))</f>
        <v/>
      </c>
      <c r="I630" s="18" t="n"/>
      <c r="J630" s="21">
        <f>IF(OR($H630="",$I630=""),"",$H630-$I630)</f>
        <v/>
      </c>
      <c r="K630" s="16">
        <f>IF($H630="","",IFERROR(IF(INDEX(Vinos!$J$2:$J$301,MATCH($B630,Vinos!$A$2:$A$301,0))="","",$H630*INDEX(Vinos!$J$2:$J$301,MATCH($B630,Vinos!$A$2:$A$301,0))),""))</f>
        <v/>
      </c>
      <c r="L630" s="16">
        <f>IF($H630="","",IFERROR(IF(INDEX(Vinos!$K$2:$K$301,MATCH($B630,Vinos!$A$2:$A$301,0))="","",$H630*INDEX(Vinos!$K$2:$K$301,MATCH($B630,Vinos!$A$2:$A$301,0))),""))</f>
        <v/>
      </c>
      <c r="M630" s="21">
        <f>IF(OR($A630="",$B630=""),"",SUMIFS($H$2:$H$2001,$A$2:$A$2001,$A630,$B$2:$B$2001,$B630))</f>
        <v/>
      </c>
      <c r="N630" s="20">
        <f>IF($M630="","",IF($M630&lt;=0,"Sin stock: reponer ya",IF($M630&lt;IFERROR(N(INDEX(Vinos!$N$2:$N$301,MATCH($B630,Vinos!$A$2:$A$301,0))),0),"Bajo mínimo: reponer","OK")))</f>
        <v/>
      </c>
      <c r="O630" s="14" t="n"/>
      <c r="P630" s="14" t="n"/>
      <c r="Q630" s="20">
        <f>IF($B630="","",IFERROR(INDEX(Vinos!$C$2:$C$301,MATCH($B630,Vinos!$A$2:$A$301,0)),""))</f>
        <v/>
      </c>
      <c r="R630" s="20">
        <f>IF(OR($A630="",$A630&lt;&gt;'Resumen del inventario'!$C$3,$N630="",$N630="OK"),"",IF(COUNTIFS($A$2:$A630,$A630,$B$2:$B630,$B630)=1,1,""))</f>
        <v/>
      </c>
      <c r="S630" s="20">
        <f>IF($R630=1,COUNTIF($R$2:$R630,1),"")</f>
        <v/>
      </c>
    </row>
    <row r="631">
      <c r="A631" s="19" t="n"/>
      <c r="B631" s="14" t="n"/>
      <c r="C631" s="20">
        <f>IF($B631="","",IFERROR(INDEX(Vinos!$B$2:$B$301,MATCH($B631,Vinos!$A$2:$A$301,0)),"Código no cargado"))</f>
        <v/>
      </c>
      <c r="D631" s="14" t="n"/>
      <c r="E631" s="14" t="n"/>
      <c r="F631" s="18" t="n"/>
      <c r="G631" s="18" t="n"/>
      <c r="H631" s="21">
        <f>IF(AND($F631="",$G631=""),"",N($F631)*IFERROR(N(INDEX(Vinos!$H$2:$H$301,MATCH($B631,Vinos!$A$2:$A$301,0))),0)+N($G631))</f>
        <v/>
      </c>
      <c r="I631" s="18" t="n"/>
      <c r="J631" s="21">
        <f>IF(OR($H631="",$I631=""),"",$H631-$I631)</f>
        <v/>
      </c>
      <c r="K631" s="16">
        <f>IF($H631="","",IFERROR(IF(INDEX(Vinos!$J$2:$J$301,MATCH($B631,Vinos!$A$2:$A$301,0))="","",$H631*INDEX(Vinos!$J$2:$J$301,MATCH($B631,Vinos!$A$2:$A$301,0))),""))</f>
        <v/>
      </c>
      <c r="L631" s="16">
        <f>IF($H631="","",IFERROR(IF(INDEX(Vinos!$K$2:$K$301,MATCH($B631,Vinos!$A$2:$A$301,0))="","",$H631*INDEX(Vinos!$K$2:$K$301,MATCH($B631,Vinos!$A$2:$A$301,0))),""))</f>
        <v/>
      </c>
      <c r="M631" s="21">
        <f>IF(OR($A631="",$B631=""),"",SUMIFS($H$2:$H$2001,$A$2:$A$2001,$A631,$B$2:$B$2001,$B631))</f>
        <v/>
      </c>
      <c r="N631" s="20">
        <f>IF($M631="","",IF($M631&lt;=0,"Sin stock: reponer ya",IF($M631&lt;IFERROR(N(INDEX(Vinos!$N$2:$N$301,MATCH($B631,Vinos!$A$2:$A$301,0))),0),"Bajo mínimo: reponer","OK")))</f>
        <v/>
      </c>
      <c r="O631" s="14" t="n"/>
      <c r="P631" s="14" t="n"/>
      <c r="Q631" s="20">
        <f>IF($B631="","",IFERROR(INDEX(Vinos!$C$2:$C$301,MATCH($B631,Vinos!$A$2:$A$301,0)),""))</f>
        <v/>
      </c>
      <c r="R631" s="20">
        <f>IF(OR($A631="",$A631&lt;&gt;'Resumen del inventario'!$C$3,$N631="",$N631="OK"),"",IF(COUNTIFS($A$2:$A631,$A631,$B$2:$B631,$B631)=1,1,""))</f>
        <v/>
      </c>
      <c r="S631" s="20">
        <f>IF($R631=1,COUNTIF($R$2:$R631,1),"")</f>
        <v/>
      </c>
    </row>
    <row r="632">
      <c r="A632" s="19" t="n"/>
      <c r="B632" s="14" t="n"/>
      <c r="C632" s="20">
        <f>IF($B632="","",IFERROR(INDEX(Vinos!$B$2:$B$301,MATCH($B632,Vinos!$A$2:$A$301,0)),"Código no cargado"))</f>
        <v/>
      </c>
      <c r="D632" s="14" t="n"/>
      <c r="E632" s="14" t="n"/>
      <c r="F632" s="18" t="n"/>
      <c r="G632" s="18" t="n"/>
      <c r="H632" s="21">
        <f>IF(AND($F632="",$G632=""),"",N($F632)*IFERROR(N(INDEX(Vinos!$H$2:$H$301,MATCH($B632,Vinos!$A$2:$A$301,0))),0)+N($G632))</f>
        <v/>
      </c>
      <c r="I632" s="18" t="n"/>
      <c r="J632" s="21">
        <f>IF(OR($H632="",$I632=""),"",$H632-$I632)</f>
        <v/>
      </c>
      <c r="K632" s="16">
        <f>IF($H632="","",IFERROR(IF(INDEX(Vinos!$J$2:$J$301,MATCH($B632,Vinos!$A$2:$A$301,0))="","",$H632*INDEX(Vinos!$J$2:$J$301,MATCH($B632,Vinos!$A$2:$A$301,0))),""))</f>
        <v/>
      </c>
      <c r="L632" s="16">
        <f>IF($H632="","",IFERROR(IF(INDEX(Vinos!$K$2:$K$301,MATCH($B632,Vinos!$A$2:$A$301,0))="","",$H632*INDEX(Vinos!$K$2:$K$301,MATCH($B632,Vinos!$A$2:$A$301,0))),""))</f>
        <v/>
      </c>
      <c r="M632" s="21">
        <f>IF(OR($A632="",$B632=""),"",SUMIFS($H$2:$H$2001,$A$2:$A$2001,$A632,$B$2:$B$2001,$B632))</f>
        <v/>
      </c>
      <c r="N632" s="20">
        <f>IF($M632="","",IF($M632&lt;=0,"Sin stock: reponer ya",IF($M632&lt;IFERROR(N(INDEX(Vinos!$N$2:$N$301,MATCH($B632,Vinos!$A$2:$A$301,0))),0),"Bajo mínimo: reponer","OK")))</f>
        <v/>
      </c>
      <c r="O632" s="14" t="n"/>
      <c r="P632" s="14" t="n"/>
      <c r="Q632" s="20">
        <f>IF($B632="","",IFERROR(INDEX(Vinos!$C$2:$C$301,MATCH($B632,Vinos!$A$2:$A$301,0)),""))</f>
        <v/>
      </c>
      <c r="R632" s="20">
        <f>IF(OR($A632="",$A632&lt;&gt;'Resumen del inventario'!$C$3,$N632="",$N632="OK"),"",IF(COUNTIFS($A$2:$A632,$A632,$B$2:$B632,$B632)=1,1,""))</f>
        <v/>
      </c>
      <c r="S632" s="20">
        <f>IF($R632=1,COUNTIF($R$2:$R632,1),"")</f>
        <v/>
      </c>
    </row>
    <row r="633">
      <c r="A633" s="19" t="n"/>
      <c r="B633" s="14" t="n"/>
      <c r="C633" s="20">
        <f>IF($B633="","",IFERROR(INDEX(Vinos!$B$2:$B$301,MATCH($B633,Vinos!$A$2:$A$301,0)),"Código no cargado"))</f>
        <v/>
      </c>
      <c r="D633" s="14" t="n"/>
      <c r="E633" s="14" t="n"/>
      <c r="F633" s="18" t="n"/>
      <c r="G633" s="18" t="n"/>
      <c r="H633" s="21">
        <f>IF(AND($F633="",$G633=""),"",N($F633)*IFERROR(N(INDEX(Vinos!$H$2:$H$301,MATCH($B633,Vinos!$A$2:$A$301,0))),0)+N($G633))</f>
        <v/>
      </c>
      <c r="I633" s="18" t="n"/>
      <c r="J633" s="21">
        <f>IF(OR($H633="",$I633=""),"",$H633-$I633)</f>
        <v/>
      </c>
      <c r="K633" s="16">
        <f>IF($H633="","",IFERROR(IF(INDEX(Vinos!$J$2:$J$301,MATCH($B633,Vinos!$A$2:$A$301,0))="","",$H633*INDEX(Vinos!$J$2:$J$301,MATCH($B633,Vinos!$A$2:$A$301,0))),""))</f>
        <v/>
      </c>
      <c r="L633" s="16">
        <f>IF($H633="","",IFERROR(IF(INDEX(Vinos!$K$2:$K$301,MATCH($B633,Vinos!$A$2:$A$301,0))="","",$H633*INDEX(Vinos!$K$2:$K$301,MATCH($B633,Vinos!$A$2:$A$301,0))),""))</f>
        <v/>
      </c>
      <c r="M633" s="21">
        <f>IF(OR($A633="",$B633=""),"",SUMIFS($H$2:$H$2001,$A$2:$A$2001,$A633,$B$2:$B$2001,$B633))</f>
        <v/>
      </c>
      <c r="N633" s="20">
        <f>IF($M633="","",IF($M633&lt;=0,"Sin stock: reponer ya",IF($M633&lt;IFERROR(N(INDEX(Vinos!$N$2:$N$301,MATCH($B633,Vinos!$A$2:$A$301,0))),0),"Bajo mínimo: reponer","OK")))</f>
        <v/>
      </c>
      <c r="O633" s="14" t="n"/>
      <c r="P633" s="14" t="n"/>
      <c r="Q633" s="20">
        <f>IF($B633="","",IFERROR(INDEX(Vinos!$C$2:$C$301,MATCH($B633,Vinos!$A$2:$A$301,0)),""))</f>
        <v/>
      </c>
      <c r="R633" s="20">
        <f>IF(OR($A633="",$A633&lt;&gt;'Resumen del inventario'!$C$3,$N633="",$N633="OK"),"",IF(COUNTIFS($A$2:$A633,$A633,$B$2:$B633,$B633)=1,1,""))</f>
        <v/>
      </c>
      <c r="S633" s="20">
        <f>IF($R633=1,COUNTIF($R$2:$R633,1),"")</f>
        <v/>
      </c>
    </row>
    <row r="634">
      <c r="A634" s="19" t="n"/>
      <c r="B634" s="14" t="n"/>
      <c r="C634" s="20">
        <f>IF($B634="","",IFERROR(INDEX(Vinos!$B$2:$B$301,MATCH($B634,Vinos!$A$2:$A$301,0)),"Código no cargado"))</f>
        <v/>
      </c>
      <c r="D634" s="14" t="n"/>
      <c r="E634" s="14" t="n"/>
      <c r="F634" s="18" t="n"/>
      <c r="G634" s="18" t="n"/>
      <c r="H634" s="21">
        <f>IF(AND($F634="",$G634=""),"",N($F634)*IFERROR(N(INDEX(Vinos!$H$2:$H$301,MATCH($B634,Vinos!$A$2:$A$301,0))),0)+N($G634))</f>
        <v/>
      </c>
      <c r="I634" s="18" t="n"/>
      <c r="J634" s="21">
        <f>IF(OR($H634="",$I634=""),"",$H634-$I634)</f>
        <v/>
      </c>
      <c r="K634" s="16">
        <f>IF($H634="","",IFERROR(IF(INDEX(Vinos!$J$2:$J$301,MATCH($B634,Vinos!$A$2:$A$301,0))="","",$H634*INDEX(Vinos!$J$2:$J$301,MATCH($B634,Vinos!$A$2:$A$301,0))),""))</f>
        <v/>
      </c>
      <c r="L634" s="16">
        <f>IF($H634="","",IFERROR(IF(INDEX(Vinos!$K$2:$K$301,MATCH($B634,Vinos!$A$2:$A$301,0))="","",$H634*INDEX(Vinos!$K$2:$K$301,MATCH($B634,Vinos!$A$2:$A$301,0))),""))</f>
        <v/>
      </c>
      <c r="M634" s="21">
        <f>IF(OR($A634="",$B634=""),"",SUMIFS($H$2:$H$2001,$A$2:$A$2001,$A634,$B$2:$B$2001,$B634))</f>
        <v/>
      </c>
      <c r="N634" s="20">
        <f>IF($M634="","",IF($M634&lt;=0,"Sin stock: reponer ya",IF($M634&lt;IFERROR(N(INDEX(Vinos!$N$2:$N$301,MATCH($B634,Vinos!$A$2:$A$301,0))),0),"Bajo mínimo: reponer","OK")))</f>
        <v/>
      </c>
      <c r="O634" s="14" t="n"/>
      <c r="P634" s="14" t="n"/>
      <c r="Q634" s="20">
        <f>IF($B634="","",IFERROR(INDEX(Vinos!$C$2:$C$301,MATCH($B634,Vinos!$A$2:$A$301,0)),""))</f>
        <v/>
      </c>
      <c r="R634" s="20">
        <f>IF(OR($A634="",$A634&lt;&gt;'Resumen del inventario'!$C$3,$N634="",$N634="OK"),"",IF(COUNTIFS($A$2:$A634,$A634,$B$2:$B634,$B634)=1,1,""))</f>
        <v/>
      </c>
      <c r="S634" s="20">
        <f>IF($R634=1,COUNTIF($R$2:$R634,1),"")</f>
        <v/>
      </c>
    </row>
    <row r="635">
      <c r="A635" s="19" t="n"/>
      <c r="B635" s="14" t="n"/>
      <c r="C635" s="20">
        <f>IF($B635="","",IFERROR(INDEX(Vinos!$B$2:$B$301,MATCH($B635,Vinos!$A$2:$A$301,0)),"Código no cargado"))</f>
        <v/>
      </c>
      <c r="D635" s="14" t="n"/>
      <c r="E635" s="14" t="n"/>
      <c r="F635" s="18" t="n"/>
      <c r="G635" s="18" t="n"/>
      <c r="H635" s="21">
        <f>IF(AND($F635="",$G635=""),"",N($F635)*IFERROR(N(INDEX(Vinos!$H$2:$H$301,MATCH($B635,Vinos!$A$2:$A$301,0))),0)+N($G635))</f>
        <v/>
      </c>
      <c r="I635" s="18" t="n"/>
      <c r="J635" s="21">
        <f>IF(OR($H635="",$I635=""),"",$H635-$I635)</f>
        <v/>
      </c>
      <c r="K635" s="16">
        <f>IF($H635="","",IFERROR(IF(INDEX(Vinos!$J$2:$J$301,MATCH($B635,Vinos!$A$2:$A$301,0))="","",$H635*INDEX(Vinos!$J$2:$J$301,MATCH($B635,Vinos!$A$2:$A$301,0))),""))</f>
        <v/>
      </c>
      <c r="L635" s="16">
        <f>IF($H635="","",IFERROR(IF(INDEX(Vinos!$K$2:$K$301,MATCH($B635,Vinos!$A$2:$A$301,0))="","",$H635*INDEX(Vinos!$K$2:$K$301,MATCH($B635,Vinos!$A$2:$A$301,0))),""))</f>
        <v/>
      </c>
      <c r="M635" s="21">
        <f>IF(OR($A635="",$B635=""),"",SUMIFS($H$2:$H$2001,$A$2:$A$2001,$A635,$B$2:$B$2001,$B635))</f>
        <v/>
      </c>
      <c r="N635" s="20">
        <f>IF($M635="","",IF($M635&lt;=0,"Sin stock: reponer ya",IF($M635&lt;IFERROR(N(INDEX(Vinos!$N$2:$N$301,MATCH($B635,Vinos!$A$2:$A$301,0))),0),"Bajo mínimo: reponer","OK")))</f>
        <v/>
      </c>
      <c r="O635" s="14" t="n"/>
      <c r="P635" s="14" t="n"/>
      <c r="Q635" s="20">
        <f>IF($B635="","",IFERROR(INDEX(Vinos!$C$2:$C$301,MATCH($B635,Vinos!$A$2:$A$301,0)),""))</f>
        <v/>
      </c>
      <c r="R635" s="20">
        <f>IF(OR($A635="",$A635&lt;&gt;'Resumen del inventario'!$C$3,$N635="",$N635="OK"),"",IF(COUNTIFS($A$2:$A635,$A635,$B$2:$B635,$B635)=1,1,""))</f>
        <v/>
      </c>
      <c r="S635" s="20">
        <f>IF($R635=1,COUNTIF($R$2:$R635,1),"")</f>
        <v/>
      </c>
    </row>
    <row r="636">
      <c r="A636" s="19" t="n"/>
      <c r="B636" s="14" t="n"/>
      <c r="C636" s="20">
        <f>IF($B636="","",IFERROR(INDEX(Vinos!$B$2:$B$301,MATCH($B636,Vinos!$A$2:$A$301,0)),"Código no cargado"))</f>
        <v/>
      </c>
      <c r="D636" s="14" t="n"/>
      <c r="E636" s="14" t="n"/>
      <c r="F636" s="18" t="n"/>
      <c r="G636" s="18" t="n"/>
      <c r="H636" s="21">
        <f>IF(AND($F636="",$G636=""),"",N($F636)*IFERROR(N(INDEX(Vinos!$H$2:$H$301,MATCH($B636,Vinos!$A$2:$A$301,0))),0)+N($G636))</f>
        <v/>
      </c>
      <c r="I636" s="18" t="n"/>
      <c r="J636" s="21">
        <f>IF(OR($H636="",$I636=""),"",$H636-$I636)</f>
        <v/>
      </c>
      <c r="K636" s="16">
        <f>IF($H636="","",IFERROR(IF(INDEX(Vinos!$J$2:$J$301,MATCH($B636,Vinos!$A$2:$A$301,0))="","",$H636*INDEX(Vinos!$J$2:$J$301,MATCH($B636,Vinos!$A$2:$A$301,0))),""))</f>
        <v/>
      </c>
      <c r="L636" s="16">
        <f>IF($H636="","",IFERROR(IF(INDEX(Vinos!$K$2:$K$301,MATCH($B636,Vinos!$A$2:$A$301,0))="","",$H636*INDEX(Vinos!$K$2:$K$301,MATCH($B636,Vinos!$A$2:$A$301,0))),""))</f>
        <v/>
      </c>
      <c r="M636" s="21">
        <f>IF(OR($A636="",$B636=""),"",SUMIFS($H$2:$H$2001,$A$2:$A$2001,$A636,$B$2:$B$2001,$B636))</f>
        <v/>
      </c>
      <c r="N636" s="20">
        <f>IF($M636="","",IF($M636&lt;=0,"Sin stock: reponer ya",IF($M636&lt;IFERROR(N(INDEX(Vinos!$N$2:$N$301,MATCH($B636,Vinos!$A$2:$A$301,0))),0),"Bajo mínimo: reponer","OK")))</f>
        <v/>
      </c>
      <c r="O636" s="14" t="n"/>
      <c r="P636" s="14" t="n"/>
      <c r="Q636" s="20">
        <f>IF($B636="","",IFERROR(INDEX(Vinos!$C$2:$C$301,MATCH($B636,Vinos!$A$2:$A$301,0)),""))</f>
        <v/>
      </c>
      <c r="R636" s="20">
        <f>IF(OR($A636="",$A636&lt;&gt;'Resumen del inventario'!$C$3,$N636="",$N636="OK"),"",IF(COUNTIFS($A$2:$A636,$A636,$B$2:$B636,$B636)=1,1,""))</f>
        <v/>
      </c>
      <c r="S636" s="20">
        <f>IF($R636=1,COUNTIF($R$2:$R636,1),"")</f>
        <v/>
      </c>
    </row>
    <row r="637">
      <c r="A637" s="19" t="n"/>
      <c r="B637" s="14" t="n"/>
      <c r="C637" s="20">
        <f>IF($B637="","",IFERROR(INDEX(Vinos!$B$2:$B$301,MATCH($B637,Vinos!$A$2:$A$301,0)),"Código no cargado"))</f>
        <v/>
      </c>
      <c r="D637" s="14" t="n"/>
      <c r="E637" s="14" t="n"/>
      <c r="F637" s="18" t="n"/>
      <c r="G637" s="18" t="n"/>
      <c r="H637" s="21">
        <f>IF(AND($F637="",$G637=""),"",N($F637)*IFERROR(N(INDEX(Vinos!$H$2:$H$301,MATCH($B637,Vinos!$A$2:$A$301,0))),0)+N($G637))</f>
        <v/>
      </c>
      <c r="I637" s="18" t="n"/>
      <c r="J637" s="21">
        <f>IF(OR($H637="",$I637=""),"",$H637-$I637)</f>
        <v/>
      </c>
      <c r="K637" s="16">
        <f>IF($H637="","",IFERROR(IF(INDEX(Vinos!$J$2:$J$301,MATCH($B637,Vinos!$A$2:$A$301,0))="","",$H637*INDEX(Vinos!$J$2:$J$301,MATCH($B637,Vinos!$A$2:$A$301,0))),""))</f>
        <v/>
      </c>
      <c r="L637" s="16">
        <f>IF($H637="","",IFERROR(IF(INDEX(Vinos!$K$2:$K$301,MATCH($B637,Vinos!$A$2:$A$301,0))="","",$H637*INDEX(Vinos!$K$2:$K$301,MATCH($B637,Vinos!$A$2:$A$301,0))),""))</f>
        <v/>
      </c>
      <c r="M637" s="21">
        <f>IF(OR($A637="",$B637=""),"",SUMIFS($H$2:$H$2001,$A$2:$A$2001,$A637,$B$2:$B$2001,$B637))</f>
        <v/>
      </c>
      <c r="N637" s="20">
        <f>IF($M637="","",IF($M637&lt;=0,"Sin stock: reponer ya",IF($M637&lt;IFERROR(N(INDEX(Vinos!$N$2:$N$301,MATCH($B637,Vinos!$A$2:$A$301,0))),0),"Bajo mínimo: reponer","OK")))</f>
        <v/>
      </c>
      <c r="O637" s="14" t="n"/>
      <c r="P637" s="14" t="n"/>
      <c r="Q637" s="20">
        <f>IF($B637="","",IFERROR(INDEX(Vinos!$C$2:$C$301,MATCH($B637,Vinos!$A$2:$A$301,0)),""))</f>
        <v/>
      </c>
      <c r="R637" s="20">
        <f>IF(OR($A637="",$A637&lt;&gt;'Resumen del inventario'!$C$3,$N637="",$N637="OK"),"",IF(COUNTIFS($A$2:$A637,$A637,$B$2:$B637,$B637)=1,1,""))</f>
        <v/>
      </c>
      <c r="S637" s="20">
        <f>IF($R637=1,COUNTIF($R$2:$R637,1),"")</f>
        <v/>
      </c>
    </row>
    <row r="638">
      <c r="A638" s="19" t="n"/>
      <c r="B638" s="14" t="n"/>
      <c r="C638" s="20">
        <f>IF($B638="","",IFERROR(INDEX(Vinos!$B$2:$B$301,MATCH($B638,Vinos!$A$2:$A$301,0)),"Código no cargado"))</f>
        <v/>
      </c>
      <c r="D638" s="14" t="n"/>
      <c r="E638" s="14" t="n"/>
      <c r="F638" s="18" t="n"/>
      <c r="G638" s="18" t="n"/>
      <c r="H638" s="21">
        <f>IF(AND($F638="",$G638=""),"",N($F638)*IFERROR(N(INDEX(Vinos!$H$2:$H$301,MATCH($B638,Vinos!$A$2:$A$301,0))),0)+N($G638))</f>
        <v/>
      </c>
      <c r="I638" s="18" t="n"/>
      <c r="J638" s="21">
        <f>IF(OR($H638="",$I638=""),"",$H638-$I638)</f>
        <v/>
      </c>
      <c r="K638" s="16">
        <f>IF($H638="","",IFERROR(IF(INDEX(Vinos!$J$2:$J$301,MATCH($B638,Vinos!$A$2:$A$301,0))="","",$H638*INDEX(Vinos!$J$2:$J$301,MATCH($B638,Vinos!$A$2:$A$301,0))),""))</f>
        <v/>
      </c>
      <c r="L638" s="16">
        <f>IF($H638="","",IFERROR(IF(INDEX(Vinos!$K$2:$K$301,MATCH($B638,Vinos!$A$2:$A$301,0))="","",$H638*INDEX(Vinos!$K$2:$K$301,MATCH($B638,Vinos!$A$2:$A$301,0))),""))</f>
        <v/>
      </c>
      <c r="M638" s="21">
        <f>IF(OR($A638="",$B638=""),"",SUMIFS($H$2:$H$2001,$A$2:$A$2001,$A638,$B$2:$B$2001,$B638))</f>
        <v/>
      </c>
      <c r="N638" s="20">
        <f>IF($M638="","",IF($M638&lt;=0,"Sin stock: reponer ya",IF($M638&lt;IFERROR(N(INDEX(Vinos!$N$2:$N$301,MATCH($B638,Vinos!$A$2:$A$301,0))),0),"Bajo mínimo: reponer","OK")))</f>
        <v/>
      </c>
      <c r="O638" s="14" t="n"/>
      <c r="P638" s="14" t="n"/>
      <c r="Q638" s="20">
        <f>IF($B638="","",IFERROR(INDEX(Vinos!$C$2:$C$301,MATCH($B638,Vinos!$A$2:$A$301,0)),""))</f>
        <v/>
      </c>
      <c r="R638" s="20">
        <f>IF(OR($A638="",$A638&lt;&gt;'Resumen del inventario'!$C$3,$N638="",$N638="OK"),"",IF(COUNTIFS($A$2:$A638,$A638,$B$2:$B638,$B638)=1,1,""))</f>
        <v/>
      </c>
      <c r="S638" s="20">
        <f>IF($R638=1,COUNTIF($R$2:$R638,1),"")</f>
        <v/>
      </c>
    </row>
    <row r="639">
      <c r="A639" s="19" t="n"/>
      <c r="B639" s="14" t="n"/>
      <c r="C639" s="20">
        <f>IF($B639="","",IFERROR(INDEX(Vinos!$B$2:$B$301,MATCH($B639,Vinos!$A$2:$A$301,0)),"Código no cargado"))</f>
        <v/>
      </c>
      <c r="D639" s="14" t="n"/>
      <c r="E639" s="14" t="n"/>
      <c r="F639" s="18" t="n"/>
      <c r="G639" s="18" t="n"/>
      <c r="H639" s="21">
        <f>IF(AND($F639="",$G639=""),"",N($F639)*IFERROR(N(INDEX(Vinos!$H$2:$H$301,MATCH($B639,Vinos!$A$2:$A$301,0))),0)+N($G639))</f>
        <v/>
      </c>
      <c r="I639" s="18" t="n"/>
      <c r="J639" s="21">
        <f>IF(OR($H639="",$I639=""),"",$H639-$I639)</f>
        <v/>
      </c>
      <c r="K639" s="16">
        <f>IF($H639="","",IFERROR(IF(INDEX(Vinos!$J$2:$J$301,MATCH($B639,Vinos!$A$2:$A$301,0))="","",$H639*INDEX(Vinos!$J$2:$J$301,MATCH($B639,Vinos!$A$2:$A$301,0))),""))</f>
        <v/>
      </c>
      <c r="L639" s="16">
        <f>IF($H639="","",IFERROR(IF(INDEX(Vinos!$K$2:$K$301,MATCH($B639,Vinos!$A$2:$A$301,0))="","",$H639*INDEX(Vinos!$K$2:$K$301,MATCH($B639,Vinos!$A$2:$A$301,0))),""))</f>
        <v/>
      </c>
      <c r="M639" s="21">
        <f>IF(OR($A639="",$B639=""),"",SUMIFS($H$2:$H$2001,$A$2:$A$2001,$A639,$B$2:$B$2001,$B639))</f>
        <v/>
      </c>
      <c r="N639" s="20">
        <f>IF($M639="","",IF($M639&lt;=0,"Sin stock: reponer ya",IF($M639&lt;IFERROR(N(INDEX(Vinos!$N$2:$N$301,MATCH($B639,Vinos!$A$2:$A$301,0))),0),"Bajo mínimo: reponer","OK")))</f>
        <v/>
      </c>
      <c r="O639" s="14" t="n"/>
      <c r="P639" s="14" t="n"/>
      <c r="Q639" s="20">
        <f>IF($B639="","",IFERROR(INDEX(Vinos!$C$2:$C$301,MATCH($B639,Vinos!$A$2:$A$301,0)),""))</f>
        <v/>
      </c>
      <c r="R639" s="20">
        <f>IF(OR($A639="",$A639&lt;&gt;'Resumen del inventario'!$C$3,$N639="",$N639="OK"),"",IF(COUNTIFS($A$2:$A639,$A639,$B$2:$B639,$B639)=1,1,""))</f>
        <v/>
      </c>
      <c r="S639" s="20">
        <f>IF($R639=1,COUNTIF($R$2:$R639,1),"")</f>
        <v/>
      </c>
    </row>
    <row r="640">
      <c r="A640" s="19" t="n"/>
      <c r="B640" s="14" t="n"/>
      <c r="C640" s="20">
        <f>IF($B640="","",IFERROR(INDEX(Vinos!$B$2:$B$301,MATCH($B640,Vinos!$A$2:$A$301,0)),"Código no cargado"))</f>
        <v/>
      </c>
      <c r="D640" s="14" t="n"/>
      <c r="E640" s="14" t="n"/>
      <c r="F640" s="18" t="n"/>
      <c r="G640" s="18" t="n"/>
      <c r="H640" s="21">
        <f>IF(AND($F640="",$G640=""),"",N($F640)*IFERROR(N(INDEX(Vinos!$H$2:$H$301,MATCH($B640,Vinos!$A$2:$A$301,0))),0)+N($G640))</f>
        <v/>
      </c>
      <c r="I640" s="18" t="n"/>
      <c r="J640" s="21">
        <f>IF(OR($H640="",$I640=""),"",$H640-$I640)</f>
        <v/>
      </c>
      <c r="K640" s="16">
        <f>IF($H640="","",IFERROR(IF(INDEX(Vinos!$J$2:$J$301,MATCH($B640,Vinos!$A$2:$A$301,0))="","",$H640*INDEX(Vinos!$J$2:$J$301,MATCH($B640,Vinos!$A$2:$A$301,0))),""))</f>
        <v/>
      </c>
      <c r="L640" s="16">
        <f>IF($H640="","",IFERROR(IF(INDEX(Vinos!$K$2:$K$301,MATCH($B640,Vinos!$A$2:$A$301,0))="","",$H640*INDEX(Vinos!$K$2:$K$301,MATCH($B640,Vinos!$A$2:$A$301,0))),""))</f>
        <v/>
      </c>
      <c r="M640" s="21">
        <f>IF(OR($A640="",$B640=""),"",SUMIFS($H$2:$H$2001,$A$2:$A$2001,$A640,$B$2:$B$2001,$B640))</f>
        <v/>
      </c>
      <c r="N640" s="20">
        <f>IF($M640="","",IF($M640&lt;=0,"Sin stock: reponer ya",IF($M640&lt;IFERROR(N(INDEX(Vinos!$N$2:$N$301,MATCH($B640,Vinos!$A$2:$A$301,0))),0),"Bajo mínimo: reponer","OK")))</f>
        <v/>
      </c>
      <c r="O640" s="14" t="n"/>
      <c r="P640" s="14" t="n"/>
      <c r="Q640" s="20">
        <f>IF($B640="","",IFERROR(INDEX(Vinos!$C$2:$C$301,MATCH($B640,Vinos!$A$2:$A$301,0)),""))</f>
        <v/>
      </c>
      <c r="R640" s="20">
        <f>IF(OR($A640="",$A640&lt;&gt;'Resumen del inventario'!$C$3,$N640="",$N640="OK"),"",IF(COUNTIFS($A$2:$A640,$A640,$B$2:$B640,$B640)=1,1,""))</f>
        <v/>
      </c>
      <c r="S640" s="20">
        <f>IF($R640=1,COUNTIF($R$2:$R640,1),"")</f>
        <v/>
      </c>
    </row>
    <row r="641">
      <c r="A641" s="19" t="n"/>
      <c r="B641" s="14" t="n"/>
      <c r="C641" s="20">
        <f>IF($B641="","",IFERROR(INDEX(Vinos!$B$2:$B$301,MATCH($B641,Vinos!$A$2:$A$301,0)),"Código no cargado"))</f>
        <v/>
      </c>
      <c r="D641" s="14" t="n"/>
      <c r="E641" s="14" t="n"/>
      <c r="F641" s="18" t="n"/>
      <c r="G641" s="18" t="n"/>
      <c r="H641" s="21">
        <f>IF(AND($F641="",$G641=""),"",N($F641)*IFERROR(N(INDEX(Vinos!$H$2:$H$301,MATCH($B641,Vinos!$A$2:$A$301,0))),0)+N($G641))</f>
        <v/>
      </c>
      <c r="I641" s="18" t="n"/>
      <c r="J641" s="21">
        <f>IF(OR($H641="",$I641=""),"",$H641-$I641)</f>
        <v/>
      </c>
      <c r="K641" s="16">
        <f>IF($H641="","",IFERROR(IF(INDEX(Vinos!$J$2:$J$301,MATCH($B641,Vinos!$A$2:$A$301,0))="","",$H641*INDEX(Vinos!$J$2:$J$301,MATCH($B641,Vinos!$A$2:$A$301,0))),""))</f>
        <v/>
      </c>
      <c r="L641" s="16">
        <f>IF($H641="","",IFERROR(IF(INDEX(Vinos!$K$2:$K$301,MATCH($B641,Vinos!$A$2:$A$301,0))="","",$H641*INDEX(Vinos!$K$2:$K$301,MATCH($B641,Vinos!$A$2:$A$301,0))),""))</f>
        <v/>
      </c>
      <c r="M641" s="21">
        <f>IF(OR($A641="",$B641=""),"",SUMIFS($H$2:$H$2001,$A$2:$A$2001,$A641,$B$2:$B$2001,$B641))</f>
        <v/>
      </c>
      <c r="N641" s="20">
        <f>IF($M641="","",IF($M641&lt;=0,"Sin stock: reponer ya",IF($M641&lt;IFERROR(N(INDEX(Vinos!$N$2:$N$301,MATCH($B641,Vinos!$A$2:$A$301,0))),0),"Bajo mínimo: reponer","OK")))</f>
        <v/>
      </c>
      <c r="O641" s="14" t="n"/>
      <c r="P641" s="14" t="n"/>
      <c r="Q641" s="20">
        <f>IF($B641="","",IFERROR(INDEX(Vinos!$C$2:$C$301,MATCH($B641,Vinos!$A$2:$A$301,0)),""))</f>
        <v/>
      </c>
      <c r="R641" s="20">
        <f>IF(OR($A641="",$A641&lt;&gt;'Resumen del inventario'!$C$3,$N641="",$N641="OK"),"",IF(COUNTIFS($A$2:$A641,$A641,$B$2:$B641,$B641)=1,1,""))</f>
        <v/>
      </c>
      <c r="S641" s="20">
        <f>IF($R641=1,COUNTIF($R$2:$R641,1),"")</f>
        <v/>
      </c>
    </row>
    <row r="642">
      <c r="A642" s="19" t="n"/>
      <c r="B642" s="14" t="n"/>
      <c r="C642" s="20">
        <f>IF($B642="","",IFERROR(INDEX(Vinos!$B$2:$B$301,MATCH($B642,Vinos!$A$2:$A$301,0)),"Código no cargado"))</f>
        <v/>
      </c>
      <c r="D642" s="14" t="n"/>
      <c r="E642" s="14" t="n"/>
      <c r="F642" s="18" t="n"/>
      <c r="G642" s="18" t="n"/>
      <c r="H642" s="21">
        <f>IF(AND($F642="",$G642=""),"",N($F642)*IFERROR(N(INDEX(Vinos!$H$2:$H$301,MATCH($B642,Vinos!$A$2:$A$301,0))),0)+N($G642))</f>
        <v/>
      </c>
      <c r="I642" s="18" t="n"/>
      <c r="J642" s="21">
        <f>IF(OR($H642="",$I642=""),"",$H642-$I642)</f>
        <v/>
      </c>
      <c r="K642" s="16">
        <f>IF($H642="","",IFERROR(IF(INDEX(Vinos!$J$2:$J$301,MATCH($B642,Vinos!$A$2:$A$301,0))="","",$H642*INDEX(Vinos!$J$2:$J$301,MATCH($B642,Vinos!$A$2:$A$301,0))),""))</f>
        <v/>
      </c>
      <c r="L642" s="16">
        <f>IF($H642="","",IFERROR(IF(INDEX(Vinos!$K$2:$K$301,MATCH($B642,Vinos!$A$2:$A$301,0))="","",$H642*INDEX(Vinos!$K$2:$K$301,MATCH($B642,Vinos!$A$2:$A$301,0))),""))</f>
        <v/>
      </c>
      <c r="M642" s="21">
        <f>IF(OR($A642="",$B642=""),"",SUMIFS($H$2:$H$2001,$A$2:$A$2001,$A642,$B$2:$B$2001,$B642))</f>
        <v/>
      </c>
      <c r="N642" s="20">
        <f>IF($M642="","",IF($M642&lt;=0,"Sin stock: reponer ya",IF($M642&lt;IFERROR(N(INDEX(Vinos!$N$2:$N$301,MATCH($B642,Vinos!$A$2:$A$301,0))),0),"Bajo mínimo: reponer","OK")))</f>
        <v/>
      </c>
      <c r="O642" s="14" t="n"/>
      <c r="P642" s="14" t="n"/>
      <c r="Q642" s="20">
        <f>IF($B642="","",IFERROR(INDEX(Vinos!$C$2:$C$301,MATCH($B642,Vinos!$A$2:$A$301,0)),""))</f>
        <v/>
      </c>
      <c r="R642" s="20">
        <f>IF(OR($A642="",$A642&lt;&gt;'Resumen del inventario'!$C$3,$N642="",$N642="OK"),"",IF(COUNTIFS($A$2:$A642,$A642,$B$2:$B642,$B642)=1,1,""))</f>
        <v/>
      </c>
      <c r="S642" s="20">
        <f>IF($R642=1,COUNTIF($R$2:$R642,1),"")</f>
        <v/>
      </c>
    </row>
    <row r="643">
      <c r="A643" s="19" t="n"/>
      <c r="B643" s="14" t="n"/>
      <c r="C643" s="20">
        <f>IF($B643="","",IFERROR(INDEX(Vinos!$B$2:$B$301,MATCH($B643,Vinos!$A$2:$A$301,0)),"Código no cargado"))</f>
        <v/>
      </c>
      <c r="D643" s="14" t="n"/>
      <c r="E643" s="14" t="n"/>
      <c r="F643" s="18" t="n"/>
      <c r="G643" s="18" t="n"/>
      <c r="H643" s="21">
        <f>IF(AND($F643="",$G643=""),"",N($F643)*IFERROR(N(INDEX(Vinos!$H$2:$H$301,MATCH($B643,Vinos!$A$2:$A$301,0))),0)+N($G643))</f>
        <v/>
      </c>
      <c r="I643" s="18" t="n"/>
      <c r="J643" s="21">
        <f>IF(OR($H643="",$I643=""),"",$H643-$I643)</f>
        <v/>
      </c>
      <c r="K643" s="16">
        <f>IF($H643="","",IFERROR(IF(INDEX(Vinos!$J$2:$J$301,MATCH($B643,Vinos!$A$2:$A$301,0))="","",$H643*INDEX(Vinos!$J$2:$J$301,MATCH($B643,Vinos!$A$2:$A$301,0))),""))</f>
        <v/>
      </c>
      <c r="L643" s="16">
        <f>IF($H643="","",IFERROR(IF(INDEX(Vinos!$K$2:$K$301,MATCH($B643,Vinos!$A$2:$A$301,0))="","",$H643*INDEX(Vinos!$K$2:$K$301,MATCH($B643,Vinos!$A$2:$A$301,0))),""))</f>
        <v/>
      </c>
      <c r="M643" s="21">
        <f>IF(OR($A643="",$B643=""),"",SUMIFS($H$2:$H$2001,$A$2:$A$2001,$A643,$B$2:$B$2001,$B643))</f>
        <v/>
      </c>
      <c r="N643" s="20">
        <f>IF($M643="","",IF($M643&lt;=0,"Sin stock: reponer ya",IF($M643&lt;IFERROR(N(INDEX(Vinos!$N$2:$N$301,MATCH($B643,Vinos!$A$2:$A$301,0))),0),"Bajo mínimo: reponer","OK")))</f>
        <v/>
      </c>
      <c r="O643" s="14" t="n"/>
      <c r="P643" s="14" t="n"/>
      <c r="Q643" s="20">
        <f>IF($B643="","",IFERROR(INDEX(Vinos!$C$2:$C$301,MATCH($B643,Vinos!$A$2:$A$301,0)),""))</f>
        <v/>
      </c>
      <c r="R643" s="20">
        <f>IF(OR($A643="",$A643&lt;&gt;'Resumen del inventario'!$C$3,$N643="",$N643="OK"),"",IF(COUNTIFS($A$2:$A643,$A643,$B$2:$B643,$B643)=1,1,""))</f>
        <v/>
      </c>
      <c r="S643" s="20">
        <f>IF($R643=1,COUNTIF($R$2:$R643,1),"")</f>
        <v/>
      </c>
    </row>
    <row r="644">
      <c r="A644" s="19" t="n"/>
      <c r="B644" s="14" t="n"/>
      <c r="C644" s="20">
        <f>IF($B644="","",IFERROR(INDEX(Vinos!$B$2:$B$301,MATCH($B644,Vinos!$A$2:$A$301,0)),"Código no cargado"))</f>
        <v/>
      </c>
      <c r="D644" s="14" t="n"/>
      <c r="E644" s="14" t="n"/>
      <c r="F644" s="18" t="n"/>
      <c r="G644" s="18" t="n"/>
      <c r="H644" s="21">
        <f>IF(AND($F644="",$G644=""),"",N($F644)*IFERROR(N(INDEX(Vinos!$H$2:$H$301,MATCH($B644,Vinos!$A$2:$A$301,0))),0)+N($G644))</f>
        <v/>
      </c>
      <c r="I644" s="18" t="n"/>
      <c r="J644" s="21">
        <f>IF(OR($H644="",$I644=""),"",$H644-$I644)</f>
        <v/>
      </c>
      <c r="K644" s="16">
        <f>IF($H644="","",IFERROR(IF(INDEX(Vinos!$J$2:$J$301,MATCH($B644,Vinos!$A$2:$A$301,0))="","",$H644*INDEX(Vinos!$J$2:$J$301,MATCH($B644,Vinos!$A$2:$A$301,0))),""))</f>
        <v/>
      </c>
      <c r="L644" s="16">
        <f>IF($H644="","",IFERROR(IF(INDEX(Vinos!$K$2:$K$301,MATCH($B644,Vinos!$A$2:$A$301,0))="","",$H644*INDEX(Vinos!$K$2:$K$301,MATCH($B644,Vinos!$A$2:$A$301,0))),""))</f>
        <v/>
      </c>
      <c r="M644" s="21">
        <f>IF(OR($A644="",$B644=""),"",SUMIFS($H$2:$H$2001,$A$2:$A$2001,$A644,$B$2:$B$2001,$B644))</f>
        <v/>
      </c>
      <c r="N644" s="20">
        <f>IF($M644="","",IF($M644&lt;=0,"Sin stock: reponer ya",IF($M644&lt;IFERROR(N(INDEX(Vinos!$N$2:$N$301,MATCH($B644,Vinos!$A$2:$A$301,0))),0),"Bajo mínimo: reponer","OK")))</f>
        <v/>
      </c>
      <c r="O644" s="14" t="n"/>
      <c r="P644" s="14" t="n"/>
      <c r="Q644" s="20">
        <f>IF($B644="","",IFERROR(INDEX(Vinos!$C$2:$C$301,MATCH($B644,Vinos!$A$2:$A$301,0)),""))</f>
        <v/>
      </c>
      <c r="R644" s="20">
        <f>IF(OR($A644="",$A644&lt;&gt;'Resumen del inventario'!$C$3,$N644="",$N644="OK"),"",IF(COUNTIFS($A$2:$A644,$A644,$B$2:$B644,$B644)=1,1,""))</f>
        <v/>
      </c>
      <c r="S644" s="20">
        <f>IF($R644=1,COUNTIF($R$2:$R644,1),"")</f>
        <v/>
      </c>
    </row>
    <row r="645">
      <c r="A645" s="19" t="n"/>
      <c r="B645" s="14" t="n"/>
      <c r="C645" s="20">
        <f>IF($B645="","",IFERROR(INDEX(Vinos!$B$2:$B$301,MATCH($B645,Vinos!$A$2:$A$301,0)),"Código no cargado"))</f>
        <v/>
      </c>
      <c r="D645" s="14" t="n"/>
      <c r="E645" s="14" t="n"/>
      <c r="F645" s="18" t="n"/>
      <c r="G645" s="18" t="n"/>
      <c r="H645" s="21">
        <f>IF(AND($F645="",$G645=""),"",N($F645)*IFERROR(N(INDEX(Vinos!$H$2:$H$301,MATCH($B645,Vinos!$A$2:$A$301,0))),0)+N($G645))</f>
        <v/>
      </c>
      <c r="I645" s="18" t="n"/>
      <c r="J645" s="21">
        <f>IF(OR($H645="",$I645=""),"",$H645-$I645)</f>
        <v/>
      </c>
      <c r="K645" s="16">
        <f>IF($H645="","",IFERROR(IF(INDEX(Vinos!$J$2:$J$301,MATCH($B645,Vinos!$A$2:$A$301,0))="","",$H645*INDEX(Vinos!$J$2:$J$301,MATCH($B645,Vinos!$A$2:$A$301,0))),""))</f>
        <v/>
      </c>
      <c r="L645" s="16">
        <f>IF($H645="","",IFERROR(IF(INDEX(Vinos!$K$2:$K$301,MATCH($B645,Vinos!$A$2:$A$301,0))="","",$H645*INDEX(Vinos!$K$2:$K$301,MATCH($B645,Vinos!$A$2:$A$301,0))),""))</f>
        <v/>
      </c>
      <c r="M645" s="21">
        <f>IF(OR($A645="",$B645=""),"",SUMIFS($H$2:$H$2001,$A$2:$A$2001,$A645,$B$2:$B$2001,$B645))</f>
        <v/>
      </c>
      <c r="N645" s="20">
        <f>IF($M645="","",IF($M645&lt;=0,"Sin stock: reponer ya",IF($M645&lt;IFERROR(N(INDEX(Vinos!$N$2:$N$301,MATCH($B645,Vinos!$A$2:$A$301,0))),0),"Bajo mínimo: reponer","OK")))</f>
        <v/>
      </c>
      <c r="O645" s="14" t="n"/>
      <c r="P645" s="14" t="n"/>
      <c r="Q645" s="20">
        <f>IF($B645="","",IFERROR(INDEX(Vinos!$C$2:$C$301,MATCH($B645,Vinos!$A$2:$A$301,0)),""))</f>
        <v/>
      </c>
      <c r="R645" s="20">
        <f>IF(OR($A645="",$A645&lt;&gt;'Resumen del inventario'!$C$3,$N645="",$N645="OK"),"",IF(COUNTIFS($A$2:$A645,$A645,$B$2:$B645,$B645)=1,1,""))</f>
        <v/>
      </c>
      <c r="S645" s="20">
        <f>IF($R645=1,COUNTIF($R$2:$R645,1),"")</f>
        <v/>
      </c>
    </row>
    <row r="646">
      <c r="A646" s="19" t="n"/>
      <c r="B646" s="14" t="n"/>
      <c r="C646" s="20">
        <f>IF($B646="","",IFERROR(INDEX(Vinos!$B$2:$B$301,MATCH($B646,Vinos!$A$2:$A$301,0)),"Código no cargado"))</f>
        <v/>
      </c>
      <c r="D646" s="14" t="n"/>
      <c r="E646" s="14" t="n"/>
      <c r="F646" s="18" t="n"/>
      <c r="G646" s="18" t="n"/>
      <c r="H646" s="21">
        <f>IF(AND($F646="",$G646=""),"",N($F646)*IFERROR(N(INDEX(Vinos!$H$2:$H$301,MATCH($B646,Vinos!$A$2:$A$301,0))),0)+N($G646))</f>
        <v/>
      </c>
      <c r="I646" s="18" t="n"/>
      <c r="J646" s="21">
        <f>IF(OR($H646="",$I646=""),"",$H646-$I646)</f>
        <v/>
      </c>
      <c r="K646" s="16">
        <f>IF($H646="","",IFERROR(IF(INDEX(Vinos!$J$2:$J$301,MATCH($B646,Vinos!$A$2:$A$301,0))="","",$H646*INDEX(Vinos!$J$2:$J$301,MATCH($B646,Vinos!$A$2:$A$301,0))),""))</f>
        <v/>
      </c>
      <c r="L646" s="16">
        <f>IF($H646="","",IFERROR(IF(INDEX(Vinos!$K$2:$K$301,MATCH($B646,Vinos!$A$2:$A$301,0))="","",$H646*INDEX(Vinos!$K$2:$K$301,MATCH($B646,Vinos!$A$2:$A$301,0))),""))</f>
        <v/>
      </c>
      <c r="M646" s="21">
        <f>IF(OR($A646="",$B646=""),"",SUMIFS($H$2:$H$2001,$A$2:$A$2001,$A646,$B$2:$B$2001,$B646))</f>
        <v/>
      </c>
      <c r="N646" s="20">
        <f>IF($M646="","",IF($M646&lt;=0,"Sin stock: reponer ya",IF($M646&lt;IFERROR(N(INDEX(Vinos!$N$2:$N$301,MATCH($B646,Vinos!$A$2:$A$301,0))),0),"Bajo mínimo: reponer","OK")))</f>
        <v/>
      </c>
      <c r="O646" s="14" t="n"/>
      <c r="P646" s="14" t="n"/>
      <c r="Q646" s="20">
        <f>IF($B646="","",IFERROR(INDEX(Vinos!$C$2:$C$301,MATCH($B646,Vinos!$A$2:$A$301,0)),""))</f>
        <v/>
      </c>
      <c r="R646" s="20">
        <f>IF(OR($A646="",$A646&lt;&gt;'Resumen del inventario'!$C$3,$N646="",$N646="OK"),"",IF(COUNTIFS($A$2:$A646,$A646,$B$2:$B646,$B646)=1,1,""))</f>
        <v/>
      </c>
      <c r="S646" s="20">
        <f>IF($R646=1,COUNTIF($R$2:$R646,1),"")</f>
        <v/>
      </c>
    </row>
    <row r="647">
      <c r="A647" s="19" t="n"/>
      <c r="B647" s="14" t="n"/>
      <c r="C647" s="20">
        <f>IF($B647="","",IFERROR(INDEX(Vinos!$B$2:$B$301,MATCH($B647,Vinos!$A$2:$A$301,0)),"Código no cargado"))</f>
        <v/>
      </c>
      <c r="D647" s="14" t="n"/>
      <c r="E647" s="14" t="n"/>
      <c r="F647" s="18" t="n"/>
      <c r="G647" s="18" t="n"/>
      <c r="H647" s="21">
        <f>IF(AND($F647="",$G647=""),"",N($F647)*IFERROR(N(INDEX(Vinos!$H$2:$H$301,MATCH($B647,Vinos!$A$2:$A$301,0))),0)+N($G647))</f>
        <v/>
      </c>
      <c r="I647" s="18" t="n"/>
      <c r="J647" s="21">
        <f>IF(OR($H647="",$I647=""),"",$H647-$I647)</f>
        <v/>
      </c>
      <c r="K647" s="16">
        <f>IF($H647="","",IFERROR(IF(INDEX(Vinos!$J$2:$J$301,MATCH($B647,Vinos!$A$2:$A$301,0))="","",$H647*INDEX(Vinos!$J$2:$J$301,MATCH($B647,Vinos!$A$2:$A$301,0))),""))</f>
        <v/>
      </c>
      <c r="L647" s="16">
        <f>IF($H647="","",IFERROR(IF(INDEX(Vinos!$K$2:$K$301,MATCH($B647,Vinos!$A$2:$A$301,0))="","",$H647*INDEX(Vinos!$K$2:$K$301,MATCH($B647,Vinos!$A$2:$A$301,0))),""))</f>
        <v/>
      </c>
      <c r="M647" s="21">
        <f>IF(OR($A647="",$B647=""),"",SUMIFS($H$2:$H$2001,$A$2:$A$2001,$A647,$B$2:$B$2001,$B647))</f>
        <v/>
      </c>
      <c r="N647" s="20">
        <f>IF($M647="","",IF($M647&lt;=0,"Sin stock: reponer ya",IF($M647&lt;IFERROR(N(INDEX(Vinos!$N$2:$N$301,MATCH($B647,Vinos!$A$2:$A$301,0))),0),"Bajo mínimo: reponer","OK")))</f>
        <v/>
      </c>
      <c r="O647" s="14" t="n"/>
      <c r="P647" s="14" t="n"/>
      <c r="Q647" s="20">
        <f>IF($B647="","",IFERROR(INDEX(Vinos!$C$2:$C$301,MATCH($B647,Vinos!$A$2:$A$301,0)),""))</f>
        <v/>
      </c>
      <c r="R647" s="20">
        <f>IF(OR($A647="",$A647&lt;&gt;'Resumen del inventario'!$C$3,$N647="",$N647="OK"),"",IF(COUNTIFS($A$2:$A647,$A647,$B$2:$B647,$B647)=1,1,""))</f>
        <v/>
      </c>
      <c r="S647" s="20">
        <f>IF($R647=1,COUNTIF($R$2:$R647,1),"")</f>
        <v/>
      </c>
    </row>
    <row r="648">
      <c r="A648" s="19" t="n"/>
      <c r="B648" s="14" t="n"/>
      <c r="C648" s="20">
        <f>IF($B648="","",IFERROR(INDEX(Vinos!$B$2:$B$301,MATCH($B648,Vinos!$A$2:$A$301,0)),"Código no cargado"))</f>
        <v/>
      </c>
      <c r="D648" s="14" t="n"/>
      <c r="E648" s="14" t="n"/>
      <c r="F648" s="18" t="n"/>
      <c r="G648" s="18" t="n"/>
      <c r="H648" s="21">
        <f>IF(AND($F648="",$G648=""),"",N($F648)*IFERROR(N(INDEX(Vinos!$H$2:$H$301,MATCH($B648,Vinos!$A$2:$A$301,0))),0)+N($G648))</f>
        <v/>
      </c>
      <c r="I648" s="18" t="n"/>
      <c r="J648" s="21">
        <f>IF(OR($H648="",$I648=""),"",$H648-$I648)</f>
        <v/>
      </c>
      <c r="K648" s="16">
        <f>IF($H648="","",IFERROR(IF(INDEX(Vinos!$J$2:$J$301,MATCH($B648,Vinos!$A$2:$A$301,0))="","",$H648*INDEX(Vinos!$J$2:$J$301,MATCH($B648,Vinos!$A$2:$A$301,0))),""))</f>
        <v/>
      </c>
      <c r="L648" s="16">
        <f>IF($H648="","",IFERROR(IF(INDEX(Vinos!$K$2:$K$301,MATCH($B648,Vinos!$A$2:$A$301,0))="","",$H648*INDEX(Vinos!$K$2:$K$301,MATCH($B648,Vinos!$A$2:$A$301,0))),""))</f>
        <v/>
      </c>
      <c r="M648" s="21">
        <f>IF(OR($A648="",$B648=""),"",SUMIFS($H$2:$H$2001,$A$2:$A$2001,$A648,$B$2:$B$2001,$B648))</f>
        <v/>
      </c>
      <c r="N648" s="20">
        <f>IF($M648="","",IF($M648&lt;=0,"Sin stock: reponer ya",IF($M648&lt;IFERROR(N(INDEX(Vinos!$N$2:$N$301,MATCH($B648,Vinos!$A$2:$A$301,0))),0),"Bajo mínimo: reponer","OK")))</f>
        <v/>
      </c>
      <c r="O648" s="14" t="n"/>
      <c r="P648" s="14" t="n"/>
      <c r="Q648" s="20">
        <f>IF($B648="","",IFERROR(INDEX(Vinos!$C$2:$C$301,MATCH($B648,Vinos!$A$2:$A$301,0)),""))</f>
        <v/>
      </c>
      <c r="R648" s="20">
        <f>IF(OR($A648="",$A648&lt;&gt;'Resumen del inventario'!$C$3,$N648="",$N648="OK"),"",IF(COUNTIFS($A$2:$A648,$A648,$B$2:$B648,$B648)=1,1,""))</f>
        <v/>
      </c>
      <c r="S648" s="20">
        <f>IF($R648=1,COUNTIF($R$2:$R648,1),"")</f>
        <v/>
      </c>
    </row>
    <row r="649">
      <c r="A649" s="19" t="n"/>
      <c r="B649" s="14" t="n"/>
      <c r="C649" s="20">
        <f>IF($B649="","",IFERROR(INDEX(Vinos!$B$2:$B$301,MATCH($B649,Vinos!$A$2:$A$301,0)),"Código no cargado"))</f>
        <v/>
      </c>
      <c r="D649" s="14" t="n"/>
      <c r="E649" s="14" t="n"/>
      <c r="F649" s="18" t="n"/>
      <c r="G649" s="18" t="n"/>
      <c r="H649" s="21">
        <f>IF(AND($F649="",$G649=""),"",N($F649)*IFERROR(N(INDEX(Vinos!$H$2:$H$301,MATCH($B649,Vinos!$A$2:$A$301,0))),0)+N($G649))</f>
        <v/>
      </c>
      <c r="I649" s="18" t="n"/>
      <c r="J649" s="21">
        <f>IF(OR($H649="",$I649=""),"",$H649-$I649)</f>
        <v/>
      </c>
      <c r="K649" s="16">
        <f>IF($H649="","",IFERROR(IF(INDEX(Vinos!$J$2:$J$301,MATCH($B649,Vinos!$A$2:$A$301,0))="","",$H649*INDEX(Vinos!$J$2:$J$301,MATCH($B649,Vinos!$A$2:$A$301,0))),""))</f>
        <v/>
      </c>
      <c r="L649" s="16">
        <f>IF($H649="","",IFERROR(IF(INDEX(Vinos!$K$2:$K$301,MATCH($B649,Vinos!$A$2:$A$301,0))="","",$H649*INDEX(Vinos!$K$2:$K$301,MATCH($B649,Vinos!$A$2:$A$301,0))),""))</f>
        <v/>
      </c>
      <c r="M649" s="21">
        <f>IF(OR($A649="",$B649=""),"",SUMIFS($H$2:$H$2001,$A$2:$A$2001,$A649,$B$2:$B$2001,$B649))</f>
        <v/>
      </c>
      <c r="N649" s="20">
        <f>IF($M649="","",IF($M649&lt;=0,"Sin stock: reponer ya",IF($M649&lt;IFERROR(N(INDEX(Vinos!$N$2:$N$301,MATCH($B649,Vinos!$A$2:$A$301,0))),0),"Bajo mínimo: reponer","OK")))</f>
        <v/>
      </c>
      <c r="O649" s="14" t="n"/>
      <c r="P649" s="14" t="n"/>
      <c r="Q649" s="20">
        <f>IF($B649="","",IFERROR(INDEX(Vinos!$C$2:$C$301,MATCH($B649,Vinos!$A$2:$A$301,0)),""))</f>
        <v/>
      </c>
      <c r="R649" s="20">
        <f>IF(OR($A649="",$A649&lt;&gt;'Resumen del inventario'!$C$3,$N649="",$N649="OK"),"",IF(COUNTIFS($A$2:$A649,$A649,$B$2:$B649,$B649)=1,1,""))</f>
        <v/>
      </c>
      <c r="S649" s="20">
        <f>IF($R649=1,COUNTIF($R$2:$R649,1),"")</f>
        <v/>
      </c>
    </row>
    <row r="650">
      <c r="A650" s="19" t="n"/>
      <c r="B650" s="14" t="n"/>
      <c r="C650" s="20">
        <f>IF($B650="","",IFERROR(INDEX(Vinos!$B$2:$B$301,MATCH($B650,Vinos!$A$2:$A$301,0)),"Código no cargado"))</f>
        <v/>
      </c>
      <c r="D650" s="14" t="n"/>
      <c r="E650" s="14" t="n"/>
      <c r="F650" s="18" t="n"/>
      <c r="G650" s="18" t="n"/>
      <c r="H650" s="21">
        <f>IF(AND($F650="",$G650=""),"",N($F650)*IFERROR(N(INDEX(Vinos!$H$2:$H$301,MATCH($B650,Vinos!$A$2:$A$301,0))),0)+N($G650))</f>
        <v/>
      </c>
      <c r="I650" s="18" t="n"/>
      <c r="J650" s="21">
        <f>IF(OR($H650="",$I650=""),"",$H650-$I650)</f>
        <v/>
      </c>
      <c r="K650" s="16">
        <f>IF($H650="","",IFERROR(IF(INDEX(Vinos!$J$2:$J$301,MATCH($B650,Vinos!$A$2:$A$301,0))="","",$H650*INDEX(Vinos!$J$2:$J$301,MATCH($B650,Vinos!$A$2:$A$301,0))),""))</f>
        <v/>
      </c>
      <c r="L650" s="16">
        <f>IF($H650="","",IFERROR(IF(INDEX(Vinos!$K$2:$K$301,MATCH($B650,Vinos!$A$2:$A$301,0))="","",$H650*INDEX(Vinos!$K$2:$K$301,MATCH($B650,Vinos!$A$2:$A$301,0))),""))</f>
        <v/>
      </c>
      <c r="M650" s="21">
        <f>IF(OR($A650="",$B650=""),"",SUMIFS($H$2:$H$2001,$A$2:$A$2001,$A650,$B$2:$B$2001,$B650))</f>
        <v/>
      </c>
      <c r="N650" s="20">
        <f>IF($M650="","",IF($M650&lt;=0,"Sin stock: reponer ya",IF($M650&lt;IFERROR(N(INDEX(Vinos!$N$2:$N$301,MATCH($B650,Vinos!$A$2:$A$301,0))),0),"Bajo mínimo: reponer","OK")))</f>
        <v/>
      </c>
      <c r="O650" s="14" t="n"/>
      <c r="P650" s="14" t="n"/>
      <c r="Q650" s="20">
        <f>IF($B650="","",IFERROR(INDEX(Vinos!$C$2:$C$301,MATCH($B650,Vinos!$A$2:$A$301,0)),""))</f>
        <v/>
      </c>
      <c r="R650" s="20">
        <f>IF(OR($A650="",$A650&lt;&gt;'Resumen del inventario'!$C$3,$N650="",$N650="OK"),"",IF(COUNTIFS($A$2:$A650,$A650,$B$2:$B650,$B650)=1,1,""))</f>
        <v/>
      </c>
      <c r="S650" s="20">
        <f>IF($R650=1,COUNTIF($R$2:$R650,1),"")</f>
        <v/>
      </c>
    </row>
    <row r="651">
      <c r="A651" s="19" t="n"/>
      <c r="B651" s="14" t="n"/>
      <c r="C651" s="20">
        <f>IF($B651="","",IFERROR(INDEX(Vinos!$B$2:$B$301,MATCH($B651,Vinos!$A$2:$A$301,0)),"Código no cargado"))</f>
        <v/>
      </c>
      <c r="D651" s="14" t="n"/>
      <c r="E651" s="14" t="n"/>
      <c r="F651" s="18" t="n"/>
      <c r="G651" s="18" t="n"/>
      <c r="H651" s="21">
        <f>IF(AND($F651="",$G651=""),"",N($F651)*IFERROR(N(INDEX(Vinos!$H$2:$H$301,MATCH($B651,Vinos!$A$2:$A$301,0))),0)+N($G651))</f>
        <v/>
      </c>
      <c r="I651" s="18" t="n"/>
      <c r="J651" s="21">
        <f>IF(OR($H651="",$I651=""),"",$H651-$I651)</f>
        <v/>
      </c>
      <c r="K651" s="16">
        <f>IF($H651="","",IFERROR(IF(INDEX(Vinos!$J$2:$J$301,MATCH($B651,Vinos!$A$2:$A$301,0))="","",$H651*INDEX(Vinos!$J$2:$J$301,MATCH($B651,Vinos!$A$2:$A$301,0))),""))</f>
        <v/>
      </c>
      <c r="L651" s="16">
        <f>IF($H651="","",IFERROR(IF(INDEX(Vinos!$K$2:$K$301,MATCH($B651,Vinos!$A$2:$A$301,0))="","",$H651*INDEX(Vinos!$K$2:$K$301,MATCH($B651,Vinos!$A$2:$A$301,0))),""))</f>
        <v/>
      </c>
      <c r="M651" s="21">
        <f>IF(OR($A651="",$B651=""),"",SUMIFS($H$2:$H$2001,$A$2:$A$2001,$A651,$B$2:$B$2001,$B651))</f>
        <v/>
      </c>
      <c r="N651" s="20">
        <f>IF($M651="","",IF($M651&lt;=0,"Sin stock: reponer ya",IF($M651&lt;IFERROR(N(INDEX(Vinos!$N$2:$N$301,MATCH($B651,Vinos!$A$2:$A$301,0))),0),"Bajo mínimo: reponer","OK")))</f>
        <v/>
      </c>
      <c r="O651" s="14" t="n"/>
      <c r="P651" s="14" t="n"/>
      <c r="Q651" s="20">
        <f>IF($B651="","",IFERROR(INDEX(Vinos!$C$2:$C$301,MATCH($B651,Vinos!$A$2:$A$301,0)),""))</f>
        <v/>
      </c>
      <c r="R651" s="20">
        <f>IF(OR($A651="",$A651&lt;&gt;'Resumen del inventario'!$C$3,$N651="",$N651="OK"),"",IF(COUNTIFS($A$2:$A651,$A651,$B$2:$B651,$B651)=1,1,""))</f>
        <v/>
      </c>
      <c r="S651" s="20">
        <f>IF($R651=1,COUNTIF($R$2:$R651,1),"")</f>
        <v/>
      </c>
    </row>
    <row r="652">
      <c r="A652" s="19" t="n"/>
      <c r="B652" s="14" t="n"/>
      <c r="C652" s="20">
        <f>IF($B652="","",IFERROR(INDEX(Vinos!$B$2:$B$301,MATCH($B652,Vinos!$A$2:$A$301,0)),"Código no cargado"))</f>
        <v/>
      </c>
      <c r="D652" s="14" t="n"/>
      <c r="E652" s="14" t="n"/>
      <c r="F652" s="18" t="n"/>
      <c r="G652" s="18" t="n"/>
      <c r="H652" s="21">
        <f>IF(AND($F652="",$G652=""),"",N($F652)*IFERROR(N(INDEX(Vinos!$H$2:$H$301,MATCH($B652,Vinos!$A$2:$A$301,0))),0)+N($G652))</f>
        <v/>
      </c>
      <c r="I652" s="18" t="n"/>
      <c r="J652" s="21">
        <f>IF(OR($H652="",$I652=""),"",$H652-$I652)</f>
        <v/>
      </c>
      <c r="K652" s="16">
        <f>IF($H652="","",IFERROR(IF(INDEX(Vinos!$J$2:$J$301,MATCH($B652,Vinos!$A$2:$A$301,0))="","",$H652*INDEX(Vinos!$J$2:$J$301,MATCH($B652,Vinos!$A$2:$A$301,0))),""))</f>
        <v/>
      </c>
      <c r="L652" s="16">
        <f>IF($H652="","",IFERROR(IF(INDEX(Vinos!$K$2:$K$301,MATCH($B652,Vinos!$A$2:$A$301,0))="","",$H652*INDEX(Vinos!$K$2:$K$301,MATCH($B652,Vinos!$A$2:$A$301,0))),""))</f>
        <v/>
      </c>
      <c r="M652" s="21">
        <f>IF(OR($A652="",$B652=""),"",SUMIFS($H$2:$H$2001,$A$2:$A$2001,$A652,$B$2:$B$2001,$B652))</f>
        <v/>
      </c>
      <c r="N652" s="20">
        <f>IF($M652="","",IF($M652&lt;=0,"Sin stock: reponer ya",IF($M652&lt;IFERROR(N(INDEX(Vinos!$N$2:$N$301,MATCH($B652,Vinos!$A$2:$A$301,0))),0),"Bajo mínimo: reponer","OK")))</f>
        <v/>
      </c>
      <c r="O652" s="14" t="n"/>
      <c r="P652" s="14" t="n"/>
      <c r="Q652" s="20">
        <f>IF($B652="","",IFERROR(INDEX(Vinos!$C$2:$C$301,MATCH($B652,Vinos!$A$2:$A$301,0)),""))</f>
        <v/>
      </c>
      <c r="R652" s="20">
        <f>IF(OR($A652="",$A652&lt;&gt;'Resumen del inventario'!$C$3,$N652="",$N652="OK"),"",IF(COUNTIFS($A$2:$A652,$A652,$B$2:$B652,$B652)=1,1,""))</f>
        <v/>
      </c>
      <c r="S652" s="20">
        <f>IF($R652=1,COUNTIF($R$2:$R652,1),"")</f>
        <v/>
      </c>
    </row>
    <row r="653">
      <c r="A653" s="19" t="n"/>
      <c r="B653" s="14" t="n"/>
      <c r="C653" s="20">
        <f>IF($B653="","",IFERROR(INDEX(Vinos!$B$2:$B$301,MATCH($B653,Vinos!$A$2:$A$301,0)),"Código no cargado"))</f>
        <v/>
      </c>
      <c r="D653" s="14" t="n"/>
      <c r="E653" s="14" t="n"/>
      <c r="F653" s="18" t="n"/>
      <c r="G653" s="18" t="n"/>
      <c r="H653" s="21">
        <f>IF(AND($F653="",$G653=""),"",N($F653)*IFERROR(N(INDEX(Vinos!$H$2:$H$301,MATCH($B653,Vinos!$A$2:$A$301,0))),0)+N($G653))</f>
        <v/>
      </c>
      <c r="I653" s="18" t="n"/>
      <c r="J653" s="21">
        <f>IF(OR($H653="",$I653=""),"",$H653-$I653)</f>
        <v/>
      </c>
      <c r="K653" s="16">
        <f>IF($H653="","",IFERROR(IF(INDEX(Vinos!$J$2:$J$301,MATCH($B653,Vinos!$A$2:$A$301,0))="","",$H653*INDEX(Vinos!$J$2:$J$301,MATCH($B653,Vinos!$A$2:$A$301,0))),""))</f>
        <v/>
      </c>
      <c r="L653" s="16">
        <f>IF($H653="","",IFERROR(IF(INDEX(Vinos!$K$2:$K$301,MATCH($B653,Vinos!$A$2:$A$301,0))="","",$H653*INDEX(Vinos!$K$2:$K$301,MATCH($B653,Vinos!$A$2:$A$301,0))),""))</f>
        <v/>
      </c>
      <c r="M653" s="21">
        <f>IF(OR($A653="",$B653=""),"",SUMIFS($H$2:$H$2001,$A$2:$A$2001,$A653,$B$2:$B$2001,$B653))</f>
        <v/>
      </c>
      <c r="N653" s="20">
        <f>IF($M653="","",IF($M653&lt;=0,"Sin stock: reponer ya",IF($M653&lt;IFERROR(N(INDEX(Vinos!$N$2:$N$301,MATCH($B653,Vinos!$A$2:$A$301,0))),0),"Bajo mínimo: reponer","OK")))</f>
        <v/>
      </c>
      <c r="O653" s="14" t="n"/>
      <c r="P653" s="14" t="n"/>
      <c r="Q653" s="20">
        <f>IF($B653="","",IFERROR(INDEX(Vinos!$C$2:$C$301,MATCH($B653,Vinos!$A$2:$A$301,0)),""))</f>
        <v/>
      </c>
      <c r="R653" s="20">
        <f>IF(OR($A653="",$A653&lt;&gt;'Resumen del inventario'!$C$3,$N653="",$N653="OK"),"",IF(COUNTIFS($A$2:$A653,$A653,$B$2:$B653,$B653)=1,1,""))</f>
        <v/>
      </c>
      <c r="S653" s="20">
        <f>IF($R653=1,COUNTIF($R$2:$R653,1),"")</f>
        <v/>
      </c>
    </row>
    <row r="654">
      <c r="A654" s="19" t="n"/>
      <c r="B654" s="14" t="n"/>
      <c r="C654" s="20">
        <f>IF($B654="","",IFERROR(INDEX(Vinos!$B$2:$B$301,MATCH($B654,Vinos!$A$2:$A$301,0)),"Código no cargado"))</f>
        <v/>
      </c>
      <c r="D654" s="14" t="n"/>
      <c r="E654" s="14" t="n"/>
      <c r="F654" s="18" t="n"/>
      <c r="G654" s="18" t="n"/>
      <c r="H654" s="21">
        <f>IF(AND($F654="",$G654=""),"",N($F654)*IFERROR(N(INDEX(Vinos!$H$2:$H$301,MATCH($B654,Vinos!$A$2:$A$301,0))),0)+N($G654))</f>
        <v/>
      </c>
      <c r="I654" s="18" t="n"/>
      <c r="J654" s="21">
        <f>IF(OR($H654="",$I654=""),"",$H654-$I654)</f>
        <v/>
      </c>
      <c r="K654" s="16">
        <f>IF($H654="","",IFERROR(IF(INDEX(Vinos!$J$2:$J$301,MATCH($B654,Vinos!$A$2:$A$301,0))="","",$H654*INDEX(Vinos!$J$2:$J$301,MATCH($B654,Vinos!$A$2:$A$301,0))),""))</f>
        <v/>
      </c>
      <c r="L654" s="16">
        <f>IF($H654="","",IFERROR(IF(INDEX(Vinos!$K$2:$K$301,MATCH($B654,Vinos!$A$2:$A$301,0))="","",$H654*INDEX(Vinos!$K$2:$K$301,MATCH($B654,Vinos!$A$2:$A$301,0))),""))</f>
        <v/>
      </c>
      <c r="M654" s="21">
        <f>IF(OR($A654="",$B654=""),"",SUMIFS($H$2:$H$2001,$A$2:$A$2001,$A654,$B$2:$B$2001,$B654))</f>
        <v/>
      </c>
      <c r="N654" s="20">
        <f>IF($M654="","",IF($M654&lt;=0,"Sin stock: reponer ya",IF($M654&lt;IFERROR(N(INDEX(Vinos!$N$2:$N$301,MATCH($B654,Vinos!$A$2:$A$301,0))),0),"Bajo mínimo: reponer","OK")))</f>
        <v/>
      </c>
      <c r="O654" s="14" t="n"/>
      <c r="P654" s="14" t="n"/>
      <c r="Q654" s="20">
        <f>IF($B654="","",IFERROR(INDEX(Vinos!$C$2:$C$301,MATCH($B654,Vinos!$A$2:$A$301,0)),""))</f>
        <v/>
      </c>
      <c r="R654" s="20">
        <f>IF(OR($A654="",$A654&lt;&gt;'Resumen del inventario'!$C$3,$N654="",$N654="OK"),"",IF(COUNTIFS($A$2:$A654,$A654,$B$2:$B654,$B654)=1,1,""))</f>
        <v/>
      </c>
      <c r="S654" s="20">
        <f>IF($R654=1,COUNTIF($R$2:$R654,1),"")</f>
        <v/>
      </c>
    </row>
    <row r="655">
      <c r="A655" s="19" t="n"/>
      <c r="B655" s="14" t="n"/>
      <c r="C655" s="20">
        <f>IF($B655="","",IFERROR(INDEX(Vinos!$B$2:$B$301,MATCH($B655,Vinos!$A$2:$A$301,0)),"Código no cargado"))</f>
        <v/>
      </c>
      <c r="D655" s="14" t="n"/>
      <c r="E655" s="14" t="n"/>
      <c r="F655" s="18" t="n"/>
      <c r="G655" s="18" t="n"/>
      <c r="H655" s="21">
        <f>IF(AND($F655="",$G655=""),"",N($F655)*IFERROR(N(INDEX(Vinos!$H$2:$H$301,MATCH($B655,Vinos!$A$2:$A$301,0))),0)+N($G655))</f>
        <v/>
      </c>
      <c r="I655" s="18" t="n"/>
      <c r="J655" s="21">
        <f>IF(OR($H655="",$I655=""),"",$H655-$I655)</f>
        <v/>
      </c>
      <c r="K655" s="16">
        <f>IF($H655="","",IFERROR(IF(INDEX(Vinos!$J$2:$J$301,MATCH($B655,Vinos!$A$2:$A$301,0))="","",$H655*INDEX(Vinos!$J$2:$J$301,MATCH($B655,Vinos!$A$2:$A$301,0))),""))</f>
        <v/>
      </c>
      <c r="L655" s="16">
        <f>IF($H655="","",IFERROR(IF(INDEX(Vinos!$K$2:$K$301,MATCH($B655,Vinos!$A$2:$A$301,0))="","",$H655*INDEX(Vinos!$K$2:$K$301,MATCH($B655,Vinos!$A$2:$A$301,0))),""))</f>
        <v/>
      </c>
      <c r="M655" s="21">
        <f>IF(OR($A655="",$B655=""),"",SUMIFS($H$2:$H$2001,$A$2:$A$2001,$A655,$B$2:$B$2001,$B655))</f>
        <v/>
      </c>
      <c r="N655" s="20">
        <f>IF($M655="","",IF($M655&lt;=0,"Sin stock: reponer ya",IF($M655&lt;IFERROR(N(INDEX(Vinos!$N$2:$N$301,MATCH($B655,Vinos!$A$2:$A$301,0))),0),"Bajo mínimo: reponer","OK")))</f>
        <v/>
      </c>
      <c r="O655" s="14" t="n"/>
      <c r="P655" s="14" t="n"/>
      <c r="Q655" s="20">
        <f>IF($B655="","",IFERROR(INDEX(Vinos!$C$2:$C$301,MATCH($B655,Vinos!$A$2:$A$301,0)),""))</f>
        <v/>
      </c>
      <c r="R655" s="20">
        <f>IF(OR($A655="",$A655&lt;&gt;'Resumen del inventario'!$C$3,$N655="",$N655="OK"),"",IF(COUNTIFS($A$2:$A655,$A655,$B$2:$B655,$B655)=1,1,""))</f>
        <v/>
      </c>
      <c r="S655" s="20">
        <f>IF($R655=1,COUNTIF($R$2:$R655,1),"")</f>
        <v/>
      </c>
    </row>
    <row r="656">
      <c r="A656" s="19" t="n"/>
      <c r="B656" s="14" t="n"/>
      <c r="C656" s="20">
        <f>IF($B656="","",IFERROR(INDEX(Vinos!$B$2:$B$301,MATCH($B656,Vinos!$A$2:$A$301,0)),"Código no cargado"))</f>
        <v/>
      </c>
      <c r="D656" s="14" t="n"/>
      <c r="E656" s="14" t="n"/>
      <c r="F656" s="18" t="n"/>
      <c r="G656" s="18" t="n"/>
      <c r="H656" s="21">
        <f>IF(AND($F656="",$G656=""),"",N($F656)*IFERROR(N(INDEX(Vinos!$H$2:$H$301,MATCH($B656,Vinos!$A$2:$A$301,0))),0)+N($G656))</f>
        <v/>
      </c>
      <c r="I656" s="18" t="n"/>
      <c r="J656" s="21">
        <f>IF(OR($H656="",$I656=""),"",$H656-$I656)</f>
        <v/>
      </c>
      <c r="K656" s="16">
        <f>IF($H656="","",IFERROR(IF(INDEX(Vinos!$J$2:$J$301,MATCH($B656,Vinos!$A$2:$A$301,0))="","",$H656*INDEX(Vinos!$J$2:$J$301,MATCH($B656,Vinos!$A$2:$A$301,0))),""))</f>
        <v/>
      </c>
      <c r="L656" s="16">
        <f>IF($H656="","",IFERROR(IF(INDEX(Vinos!$K$2:$K$301,MATCH($B656,Vinos!$A$2:$A$301,0))="","",$H656*INDEX(Vinos!$K$2:$K$301,MATCH($B656,Vinos!$A$2:$A$301,0))),""))</f>
        <v/>
      </c>
      <c r="M656" s="21">
        <f>IF(OR($A656="",$B656=""),"",SUMIFS($H$2:$H$2001,$A$2:$A$2001,$A656,$B$2:$B$2001,$B656))</f>
        <v/>
      </c>
      <c r="N656" s="20">
        <f>IF($M656="","",IF($M656&lt;=0,"Sin stock: reponer ya",IF($M656&lt;IFERROR(N(INDEX(Vinos!$N$2:$N$301,MATCH($B656,Vinos!$A$2:$A$301,0))),0),"Bajo mínimo: reponer","OK")))</f>
        <v/>
      </c>
      <c r="O656" s="14" t="n"/>
      <c r="P656" s="14" t="n"/>
      <c r="Q656" s="20">
        <f>IF($B656="","",IFERROR(INDEX(Vinos!$C$2:$C$301,MATCH($B656,Vinos!$A$2:$A$301,0)),""))</f>
        <v/>
      </c>
      <c r="R656" s="20">
        <f>IF(OR($A656="",$A656&lt;&gt;'Resumen del inventario'!$C$3,$N656="",$N656="OK"),"",IF(COUNTIFS($A$2:$A656,$A656,$B$2:$B656,$B656)=1,1,""))</f>
        <v/>
      </c>
      <c r="S656" s="20">
        <f>IF($R656=1,COUNTIF($R$2:$R656,1),"")</f>
        <v/>
      </c>
    </row>
    <row r="657">
      <c r="A657" s="19" t="n"/>
      <c r="B657" s="14" t="n"/>
      <c r="C657" s="20">
        <f>IF($B657="","",IFERROR(INDEX(Vinos!$B$2:$B$301,MATCH($B657,Vinos!$A$2:$A$301,0)),"Código no cargado"))</f>
        <v/>
      </c>
      <c r="D657" s="14" t="n"/>
      <c r="E657" s="14" t="n"/>
      <c r="F657" s="18" t="n"/>
      <c r="G657" s="18" t="n"/>
      <c r="H657" s="21">
        <f>IF(AND($F657="",$G657=""),"",N($F657)*IFERROR(N(INDEX(Vinos!$H$2:$H$301,MATCH($B657,Vinos!$A$2:$A$301,0))),0)+N($G657))</f>
        <v/>
      </c>
      <c r="I657" s="18" t="n"/>
      <c r="J657" s="21">
        <f>IF(OR($H657="",$I657=""),"",$H657-$I657)</f>
        <v/>
      </c>
      <c r="K657" s="16">
        <f>IF($H657="","",IFERROR(IF(INDEX(Vinos!$J$2:$J$301,MATCH($B657,Vinos!$A$2:$A$301,0))="","",$H657*INDEX(Vinos!$J$2:$J$301,MATCH($B657,Vinos!$A$2:$A$301,0))),""))</f>
        <v/>
      </c>
      <c r="L657" s="16">
        <f>IF($H657="","",IFERROR(IF(INDEX(Vinos!$K$2:$K$301,MATCH($B657,Vinos!$A$2:$A$301,0))="","",$H657*INDEX(Vinos!$K$2:$K$301,MATCH($B657,Vinos!$A$2:$A$301,0))),""))</f>
        <v/>
      </c>
      <c r="M657" s="21">
        <f>IF(OR($A657="",$B657=""),"",SUMIFS($H$2:$H$2001,$A$2:$A$2001,$A657,$B$2:$B$2001,$B657))</f>
        <v/>
      </c>
      <c r="N657" s="20">
        <f>IF($M657="","",IF($M657&lt;=0,"Sin stock: reponer ya",IF($M657&lt;IFERROR(N(INDEX(Vinos!$N$2:$N$301,MATCH($B657,Vinos!$A$2:$A$301,0))),0),"Bajo mínimo: reponer","OK")))</f>
        <v/>
      </c>
      <c r="O657" s="14" t="n"/>
      <c r="P657" s="14" t="n"/>
      <c r="Q657" s="20">
        <f>IF($B657="","",IFERROR(INDEX(Vinos!$C$2:$C$301,MATCH($B657,Vinos!$A$2:$A$301,0)),""))</f>
        <v/>
      </c>
      <c r="R657" s="20">
        <f>IF(OR($A657="",$A657&lt;&gt;'Resumen del inventario'!$C$3,$N657="",$N657="OK"),"",IF(COUNTIFS($A$2:$A657,$A657,$B$2:$B657,$B657)=1,1,""))</f>
        <v/>
      </c>
      <c r="S657" s="20">
        <f>IF($R657=1,COUNTIF($R$2:$R657,1),"")</f>
        <v/>
      </c>
    </row>
    <row r="658">
      <c r="A658" s="19" t="n"/>
      <c r="B658" s="14" t="n"/>
      <c r="C658" s="20">
        <f>IF($B658="","",IFERROR(INDEX(Vinos!$B$2:$B$301,MATCH($B658,Vinos!$A$2:$A$301,0)),"Código no cargado"))</f>
        <v/>
      </c>
      <c r="D658" s="14" t="n"/>
      <c r="E658" s="14" t="n"/>
      <c r="F658" s="18" t="n"/>
      <c r="G658" s="18" t="n"/>
      <c r="H658" s="21">
        <f>IF(AND($F658="",$G658=""),"",N($F658)*IFERROR(N(INDEX(Vinos!$H$2:$H$301,MATCH($B658,Vinos!$A$2:$A$301,0))),0)+N($G658))</f>
        <v/>
      </c>
      <c r="I658" s="18" t="n"/>
      <c r="J658" s="21">
        <f>IF(OR($H658="",$I658=""),"",$H658-$I658)</f>
        <v/>
      </c>
      <c r="K658" s="16">
        <f>IF($H658="","",IFERROR(IF(INDEX(Vinos!$J$2:$J$301,MATCH($B658,Vinos!$A$2:$A$301,0))="","",$H658*INDEX(Vinos!$J$2:$J$301,MATCH($B658,Vinos!$A$2:$A$301,0))),""))</f>
        <v/>
      </c>
      <c r="L658" s="16">
        <f>IF($H658="","",IFERROR(IF(INDEX(Vinos!$K$2:$K$301,MATCH($B658,Vinos!$A$2:$A$301,0))="","",$H658*INDEX(Vinos!$K$2:$K$301,MATCH($B658,Vinos!$A$2:$A$301,0))),""))</f>
        <v/>
      </c>
      <c r="M658" s="21">
        <f>IF(OR($A658="",$B658=""),"",SUMIFS($H$2:$H$2001,$A$2:$A$2001,$A658,$B$2:$B$2001,$B658))</f>
        <v/>
      </c>
      <c r="N658" s="20">
        <f>IF($M658="","",IF($M658&lt;=0,"Sin stock: reponer ya",IF($M658&lt;IFERROR(N(INDEX(Vinos!$N$2:$N$301,MATCH($B658,Vinos!$A$2:$A$301,0))),0),"Bajo mínimo: reponer","OK")))</f>
        <v/>
      </c>
      <c r="O658" s="14" t="n"/>
      <c r="P658" s="14" t="n"/>
      <c r="Q658" s="20">
        <f>IF($B658="","",IFERROR(INDEX(Vinos!$C$2:$C$301,MATCH($B658,Vinos!$A$2:$A$301,0)),""))</f>
        <v/>
      </c>
      <c r="R658" s="20">
        <f>IF(OR($A658="",$A658&lt;&gt;'Resumen del inventario'!$C$3,$N658="",$N658="OK"),"",IF(COUNTIFS($A$2:$A658,$A658,$B$2:$B658,$B658)=1,1,""))</f>
        <v/>
      </c>
      <c r="S658" s="20">
        <f>IF($R658=1,COUNTIF($R$2:$R658,1),"")</f>
        <v/>
      </c>
    </row>
    <row r="659">
      <c r="A659" s="19" t="n"/>
      <c r="B659" s="14" t="n"/>
      <c r="C659" s="20">
        <f>IF($B659="","",IFERROR(INDEX(Vinos!$B$2:$B$301,MATCH($B659,Vinos!$A$2:$A$301,0)),"Código no cargado"))</f>
        <v/>
      </c>
      <c r="D659" s="14" t="n"/>
      <c r="E659" s="14" t="n"/>
      <c r="F659" s="18" t="n"/>
      <c r="G659" s="18" t="n"/>
      <c r="H659" s="21">
        <f>IF(AND($F659="",$G659=""),"",N($F659)*IFERROR(N(INDEX(Vinos!$H$2:$H$301,MATCH($B659,Vinos!$A$2:$A$301,0))),0)+N($G659))</f>
        <v/>
      </c>
      <c r="I659" s="18" t="n"/>
      <c r="J659" s="21">
        <f>IF(OR($H659="",$I659=""),"",$H659-$I659)</f>
        <v/>
      </c>
      <c r="K659" s="16">
        <f>IF($H659="","",IFERROR(IF(INDEX(Vinos!$J$2:$J$301,MATCH($B659,Vinos!$A$2:$A$301,0))="","",$H659*INDEX(Vinos!$J$2:$J$301,MATCH($B659,Vinos!$A$2:$A$301,0))),""))</f>
        <v/>
      </c>
      <c r="L659" s="16">
        <f>IF($H659="","",IFERROR(IF(INDEX(Vinos!$K$2:$K$301,MATCH($B659,Vinos!$A$2:$A$301,0))="","",$H659*INDEX(Vinos!$K$2:$K$301,MATCH($B659,Vinos!$A$2:$A$301,0))),""))</f>
        <v/>
      </c>
      <c r="M659" s="21">
        <f>IF(OR($A659="",$B659=""),"",SUMIFS($H$2:$H$2001,$A$2:$A$2001,$A659,$B$2:$B$2001,$B659))</f>
        <v/>
      </c>
      <c r="N659" s="20">
        <f>IF($M659="","",IF($M659&lt;=0,"Sin stock: reponer ya",IF($M659&lt;IFERROR(N(INDEX(Vinos!$N$2:$N$301,MATCH($B659,Vinos!$A$2:$A$301,0))),0),"Bajo mínimo: reponer","OK")))</f>
        <v/>
      </c>
      <c r="O659" s="14" t="n"/>
      <c r="P659" s="14" t="n"/>
      <c r="Q659" s="20">
        <f>IF($B659="","",IFERROR(INDEX(Vinos!$C$2:$C$301,MATCH($B659,Vinos!$A$2:$A$301,0)),""))</f>
        <v/>
      </c>
      <c r="R659" s="20">
        <f>IF(OR($A659="",$A659&lt;&gt;'Resumen del inventario'!$C$3,$N659="",$N659="OK"),"",IF(COUNTIFS($A$2:$A659,$A659,$B$2:$B659,$B659)=1,1,""))</f>
        <v/>
      </c>
      <c r="S659" s="20">
        <f>IF($R659=1,COUNTIF($R$2:$R659,1),"")</f>
        <v/>
      </c>
    </row>
    <row r="660">
      <c r="A660" s="19" t="n"/>
      <c r="B660" s="14" t="n"/>
      <c r="C660" s="20">
        <f>IF($B660="","",IFERROR(INDEX(Vinos!$B$2:$B$301,MATCH($B660,Vinos!$A$2:$A$301,0)),"Código no cargado"))</f>
        <v/>
      </c>
      <c r="D660" s="14" t="n"/>
      <c r="E660" s="14" t="n"/>
      <c r="F660" s="18" t="n"/>
      <c r="G660" s="18" t="n"/>
      <c r="H660" s="21">
        <f>IF(AND($F660="",$G660=""),"",N($F660)*IFERROR(N(INDEX(Vinos!$H$2:$H$301,MATCH($B660,Vinos!$A$2:$A$301,0))),0)+N($G660))</f>
        <v/>
      </c>
      <c r="I660" s="18" t="n"/>
      <c r="J660" s="21">
        <f>IF(OR($H660="",$I660=""),"",$H660-$I660)</f>
        <v/>
      </c>
      <c r="K660" s="16">
        <f>IF($H660="","",IFERROR(IF(INDEX(Vinos!$J$2:$J$301,MATCH($B660,Vinos!$A$2:$A$301,0))="","",$H660*INDEX(Vinos!$J$2:$J$301,MATCH($B660,Vinos!$A$2:$A$301,0))),""))</f>
        <v/>
      </c>
      <c r="L660" s="16">
        <f>IF($H660="","",IFERROR(IF(INDEX(Vinos!$K$2:$K$301,MATCH($B660,Vinos!$A$2:$A$301,0))="","",$H660*INDEX(Vinos!$K$2:$K$301,MATCH($B660,Vinos!$A$2:$A$301,0))),""))</f>
        <v/>
      </c>
      <c r="M660" s="21">
        <f>IF(OR($A660="",$B660=""),"",SUMIFS($H$2:$H$2001,$A$2:$A$2001,$A660,$B$2:$B$2001,$B660))</f>
        <v/>
      </c>
      <c r="N660" s="20">
        <f>IF($M660="","",IF($M660&lt;=0,"Sin stock: reponer ya",IF($M660&lt;IFERROR(N(INDEX(Vinos!$N$2:$N$301,MATCH($B660,Vinos!$A$2:$A$301,0))),0),"Bajo mínimo: reponer","OK")))</f>
        <v/>
      </c>
      <c r="O660" s="14" t="n"/>
      <c r="P660" s="14" t="n"/>
      <c r="Q660" s="20">
        <f>IF($B660="","",IFERROR(INDEX(Vinos!$C$2:$C$301,MATCH($B660,Vinos!$A$2:$A$301,0)),""))</f>
        <v/>
      </c>
      <c r="R660" s="20">
        <f>IF(OR($A660="",$A660&lt;&gt;'Resumen del inventario'!$C$3,$N660="",$N660="OK"),"",IF(COUNTIFS($A$2:$A660,$A660,$B$2:$B660,$B660)=1,1,""))</f>
        <v/>
      </c>
      <c r="S660" s="20">
        <f>IF($R660=1,COUNTIF($R$2:$R660,1),"")</f>
        <v/>
      </c>
    </row>
    <row r="661">
      <c r="A661" s="19" t="n"/>
      <c r="B661" s="14" t="n"/>
      <c r="C661" s="20">
        <f>IF($B661="","",IFERROR(INDEX(Vinos!$B$2:$B$301,MATCH($B661,Vinos!$A$2:$A$301,0)),"Código no cargado"))</f>
        <v/>
      </c>
      <c r="D661" s="14" t="n"/>
      <c r="E661" s="14" t="n"/>
      <c r="F661" s="18" t="n"/>
      <c r="G661" s="18" t="n"/>
      <c r="H661" s="21">
        <f>IF(AND($F661="",$G661=""),"",N($F661)*IFERROR(N(INDEX(Vinos!$H$2:$H$301,MATCH($B661,Vinos!$A$2:$A$301,0))),0)+N($G661))</f>
        <v/>
      </c>
      <c r="I661" s="18" t="n"/>
      <c r="J661" s="21">
        <f>IF(OR($H661="",$I661=""),"",$H661-$I661)</f>
        <v/>
      </c>
      <c r="K661" s="16">
        <f>IF($H661="","",IFERROR(IF(INDEX(Vinos!$J$2:$J$301,MATCH($B661,Vinos!$A$2:$A$301,0))="","",$H661*INDEX(Vinos!$J$2:$J$301,MATCH($B661,Vinos!$A$2:$A$301,0))),""))</f>
        <v/>
      </c>
      <c r="L661" s="16">
        <f>IF($H661="","",IFERROR(IF(INDEX(Vinos!$K$2:$K$301,MATCH($B661,Vinos!$A$2:$A$301,0))="","",$H661*INDEX(Vinos!$K$2:$K$301,MATCH($B661,Vinos!$A$2:$A$301,0))),""))</f>
        <v/>
      </c>
      <c r="M661" s="21">
        <f>IF(OR($A661="",$B661=""),"",SUMIFS($H$2:$H$2001,$A$2:$A$2001,$A661,$B$2:$B$2001,$B661))</f>
        <v/>
      </c>
      <c r="N661" s="20">
        <f>IF($M661="","",IF($M661&lt;=0,"Sin stock: reponer ya",IF($M661&lt;IFERROR(N(INDEX(Vinos!$N$2:$N$301,MATCH($B661,Vinos!$A$2:$A$301,0))),0),"Bajo mínimo: reponer","OK")))</f>
        <v/>
      </c>
      <c r="O661" s="14" t="n"/>
      <c r="P661" s="14" t="n"/>
      <c r="Q661" s="20">
        <f>IF($B661="","",IFERROR(INDEX(Vinos!$C$2:$C$301,MATCH($B661,Vinos!$A$2:$A$301,0)),""))</f>
        <v/>
      </c>
      <c r="R661" s="20">
        <f>IF(OR($A661="",$A661&lt;&gt;'Resumen del inventario'!$C$3,$N661="",$N661="OK"),"",IF(COUNTIFS($A$2:$A661,$A661,$B$2:$B661,$B661)=1,1,""))</f>
        <v/>
      </c>
      <c r="S661" s="20">
        <f>IF($R661=1,COUNTIF($R$2:$R661,1),"")</f>
        <v/>
      </c>
    </row>
    <row r="662">
      <c r="A662" s="19" t="n"/>
      <c r="B662" s="14" t="n"/>
      <c r="C662" s="20">
        <f>IF($B662="","",IFERROR(INDEX(Vinos!$B$2:$B$301,MATCH($B662,Vinos!$A$2:$A$301,0)),"Código no cargado"))</f>
        <v/>
      </c>
      <c r="D662" s="14" t="n"/>
      <c r="E662" s="14" t="n"/>
      <c r="F662" s="18" t="n"/>
      <c r="G662" s="18" t="n"/>
      <c r="H662" s="21">
        <f>IF(AND($F662="",$G662=""),"",N($F662)*IFERROR(N(INDEX(Vinos!$H$2:$H$301,MATCH($B662,Vinos!$A$2:$A$301,0))),0)+N($G662))</f>
        <v/>
      </c>
      <c r="I662" s="18" t="n"/>
      <c r="J662" s="21">
        <f>IF(OR($H662="",$I662=""),"",$H662-$I662)</f>
        <v/>
      </c>
      <c r="K662" s="16">
        <f>IF($H662="","",IFERROR(IF(INDEX(Vinos!$J$2:$J$301,MATCH($B662,Vinos!$A$2:$A$301,0))="","",$H662*INDEX(Vinos!$J$2:$J$301,MATCH($B662,Vinos!$A$2:$A$301,0))),""))</f>
        <v/>
      </c>
      <c r="L662" s="16">
        <f>IF($H662="","",IFERROR(IF(INDEX(Vinos!$K$2:$K$301,MATCH($B662,Vinos!$A$2:$A$301,0))="","",$H662*INDEX(Vinos!$K$2:$K$301,MATCH($B662,Vinos!$A$2:$A$301,0))),""))</f>
        <v/>
      </c>
      <c r="M662" s="21">
        <f>IF(OR($A662="",$B662=""),"",SUMIFS($H$2:$H$2001,$A$2:$A$2001,$A662,$B$2:$B$2001,$B662))</f>
        <v/>
      </c>
      <c r="N662" s="20">
        <f>IF($M662="","",IF($M662&lt;=0,"Sin stock: reponer ya",IF($M662&lt;IFERROR(N(INDEX(Vinos!$N$2:$N$301,MATCH($B662,Vinos!$A$2:$A$301,0))),0),"Bajo mínimo: reponer","OK")))</f>
        <v/>
      </c>
      <c r="O662" s="14" t="n"/>
      <c r="P662" s="14" t="n"/>
      <c r="Q662" s="20">
        <f>IF($B662="","",IFERROR(INDEX(Vinos!$C$2:$C$301,MATCH($B662,Vinos!$A$2:$A$301,0)),""))</f>
        <v/>
      </c>
      <c r="R662" s="20">
        <f>IF(OR($A662="",$A662&lt;&gt;'Resumen del inventario'!$C$3,$N662="",$N662="OK"),"",IF(COUNTIFS($A$2:$A662,$A662,$B$2:$B662,$B662)=1,1,""))</f>
        <v/>
      </c>
      <c r="S662" s="20">
        <f>IF($R662=1,COUNTIF($R$2:$R662,1),"")</f>
        <v/>
      </c>
    </row>
    <row r="663">
      <c r="A663" s="19" t="n"/>
      <c r="B663" s="14" t="n"/>
      <c r="C663" s="20">
        <f>IF($B663="","",IFERROR(INDEX(Vinos!$B$2:$B$301,MATCH($B663,Vinos!$A$2:$A$301,0)),"Código no cargado"))</f>
        <v/>
      </c>
      <c r="D663" s="14" t="n"/>
      <c r="E663" s="14" t="n"/>
      <c r="F663" s="18" t="n"/>
      <c r="G663" s="18" t="n"/>
      <c r="H663" s="21">
        <f>IF(AND($F663="",$G663=""),"",N($F663)*IFERROR(N(INDEX(Vinos!$H$2:$H$301,MATCH($B663,Vinos!$A$2:$A$301,0))),0)+N($G663))</f>
        <v/>
      </c>
      <c r="I663" s="18" t="n"/>
      <c r="J663" s="21">
        <f>IF(OR($H663="",$I663=""),"",$H663-$I663)</f>
        <v/>
      </c>
      <c r="K663" s="16">
        <f>IF($H663="","",IFERROR(IF(INDEX(Vinos!$J$2:$J$301,MATCH($B663,Vinos!$A$2:$A$301,0))="","",$H663*INDEX(Vinos!$J$2:$J$301,MATCH($B663,Vinos!$A$2:$A$301,0))),""))</f>
        <v/>
      </c>
      <c r="L663" s="16">
        <f>IF($H663="","",IFERROR(IF(INDEX(Vinos!$K$2:$K$301,MATCH($B663,Vinos!$A$2:$A$301,0))="","",$H663*INDEX(Vinos!$K$2:$K$301,MATCH($B663,Vinos!$A$2:$A$301,0))),""))</f>
        <v/>
      </c>
      <c r="M663" s="21">
        <f>IF(OR($A663="",$B663=""),"",SUMIFS($H$2:$H$2001,$A$2:$A$2001,$A663,$B$2:$B$2001,$B663))</f>
        <v/>
      </c>
      <c r="N663" s="20">
        <f>IF($M663="","",IF($M663&lt;=0,"Sin stock: reponer ya",IF($M663&lt;IFERROR(N(INDEX(Vinos!$N$2:$N$301,MATCH($B663,Vinos!$A$2:$A$301,0))),0),"Bajo mínimo: reponer","OK")))</f>
        <v/>
      </c>
      <c r="O663" s="14" t="n"/>
      <c r="P663" s="14" t="n"/>
      <c r="Q663" s="20">
        <f>IF($B663="","",IFERROR(INDEX(Vinos!$C$2:$C$301,MATCH($B663,Vinos!$A$2:$A$301,0)),""))</f>
        <v/>
      </c>
      <c r="R663" s="20">
        <f>IF(OR($A663="",$A663&lt;&gt;'Resumen del inventario'!$C$3,$N663="",$N663="OK"),"",IF(COUNTIFS($A$2:$A663,$A663,$B$2:$B663,$B663)=1,1,""))</f>
        <v/>
      </c>
      <c r="S663" s="20">
        <f>IF($R663=1,COUNTIF($R$2:$R663,1),"")</f>
        <v/>
      </c>
    </row>
    <row r="664">
      <c r="A664" s="19" t="n"/>
      <c r="B664" s="14" t="n"/>
      <c r="C664" s="20">
        <f>IF($B664="","",IFERROR(INDEX(Vinos!$B$2:$B$301,MATCH($B664,Vinos!$A$2:$A$301,0)),"Código no cargado"))</f>
        <v/>
      </c>
      <c r="D664" s="14" t="n"/>
      <c r="E664" s="14" t="n"/>
      <c r="F664" s="18" t="n"/>
      <c r="G664" s="18" t="n"/>
      <c r="H664" s="21">
        <f>IF(AND($F664="",$G664=""),"",N($F664)*IFERROR(N(INDEX(Vinos!$H$2:$H$301,MATCH($B664,Vinos!$A$2:$A$301,0))),0)+N($G664))</f>
        <v/>
      </c>
      <c r="I664" s="18" t="n"/>
      <c r="J664" s="21">
        <f>IF(OR($H664="",$I664=""),"",$H664-$I664)</f>
        <v/>
      </c>
      <c r="K664" s="16">
        <f>IF($H664="","",IFERROR(IF(INDEX(Vinos!$J$2:$J$301,MATCH($B664,Vinos!$A$2:$A$301,0))="","",$H664*INDEX(Vinos!$J$2:$J$301,MATCH($B664,Vinos!$A$2:$A$301,0))),""))</f>
        <v/>
      </c>
      <c r="L664" s="16">
        <f>IF($H664="","",IFERROR(IF(INDEX(Vinos!$K$2:$K$301,MATCH($B664,Vinos!$A$2:$A$301,0))="","",$H664*INDEX(Vinos!$K$2:$K$301,MATCH($B664,Vinos!$A$2:$A$301,0))),""))</f>
        <v/>
      </c>
      <c r="M664" s="21">
        <f>IF(OR($A664="",$B664=""),"",SUMIFS($H$2:$H$2001,$A$2:$A$2001,$A664,$B$2:$B$2001,$B664))</f>
        <v/>
      </c>
      <c r="N664" s="20">
        <f>IF($M664="","",IF($M664&lt;=0,"Sin stock: reponer ya",IF($M664&lt;IFERROR(N(INDEX(Vinos!$N$2:$N$301,MATCH($B664,Vinos!$A$2:$A$301,0))),0),"Bajo mínimo: reponer","OK")))</f>
        <v/>
      </c>
      <c r="O664" s="14" t="n"/>
      <c r="P664" s="14" t="n"/>
      <c r="Q664" s="20">
        <f>IF($B664="","",IFERROR(INDEX(Vinos!$C$2:$C$301,MATCH($B664,Vinos!$A$2:$A$301,0)),""))</f>
        <v/>
      </c>
      <c r="R664" s="20">
        <f>IF(OR($A664="",$A664&lt;&gt;'Resumen del inventario'!$C$3,$N664="",$N664="OK"),"",IF(COUNTIFS($A$2:$A664,$A664,$B$2:$B664,$B664)=1,1,""))</f>
        <v/>
      </c>
      <c r="S664" s="20">
        <f>IF($R664=1,COUNTIF($R$2:$R664,1),"")</f>
        <v/>
      </c>
    </row>
    <row r="665">
      <c r="A665" s="19" t="n"/>
      <c r="B665" s="14" t="n"/>
      <c r="C665" s="20">
        <f>IF($B665="","",IFERROR(INDEX(Vinos!$B$2:$B$301,MATCH($B665,Vinos!$A$2:$A$301,0)),"Código no cargado"))</f>
        <v/>
      </c>
      <c r="D665" s="14" t="n"/>
      <c r="E665" s="14" t="n"/>
      <c r="F665" s="18" t="n"/>
      <c r="G665" s="18" t="n"/>
      <c r="H665" s="21">
        <f>IF(AND($F665="",$G665=""),"",N($F665)*IFERROR(N(INDEX(Vinos!$H$2:$H$301,MATCH($B665,Vinos!$A$2:$A$301,0))),0)+N($G665))</f>
        <v/>
      </c>
      <c r="I665" s="18" t="n"/>
      <c r="J665" s="21">
        <f>IF(OR($H665="",$I665=""),"",$H665-$I665)</f>
        <v/>
      </c>
      <c r="K665" s="16">
        <f>IF($H665="","",IFERROR(IF(INDEX(Vinos!$J$2:$J$301,MATCH($B665,Vinos!$A$2:$A$301,0))="","",$H665*INDEX(Vinos!$J$2:$J$301,MATCH($B665,Vinos!$A$2:$A$301,0))),""))</f>
        <v/>
      </c>
      <c r="L665" s="16">
        <f>IF($H665="","",IFERROR(IF(INDEX(Vinos!$K$2:$K$301,MATCH($B665,Vinos!$A$2:$A$301,0))="","",$H665*INDEX(Vinos!$K$2:$K$301,MATCH($B665,Vinos!$A$2:$A$301,0))),""))</f>
        <v/>
      </c>
      <c r="M665" s="21">
        <f>IF(OR($A665="",$B665=""),"",SUMIFS($H$2:$H$2001,$A$2:$A$2001,$A665,$B$2:$B$2001,$B665))</f>
        <v/>
      </c>
      <c r="N665" s="20">
        <f>IF($M665="","",IF($M665&lt;=0,"Sin stock: reponer ya",IF($M665&lt;IFERROR(N(INDEX(Vinos!$N$2:$N$301,MATCH($B665,Vinos!$A$2:$A$301,0))),0),"Bajo mínimo: reponer","OK")))</f>
        <v/>
      </c>
      <c r="O665" s="14" t="n"/>
      <c r="P665" s="14" t="n"/>
      <c r="Q665" s="20">
        <f>IF($B665="","",IFERROR(INDEX(Vinos!$C$2:$C$301,MATCH($B665,Vinos!$A$2:$A$301,0)),""))</f>
        <v/>
      </c>
      <c r="R665" s="20">
        <f>IF(OR($A665="",$A665&lt;&gt;'Resumen del inventario'!$C$3,$N665="",$N665="OK"),"",IF(COUNTIFS($A$2:$A665,$A665,$B$2:$B665,$B665)=1,1,""))</f>
        <v/>
      </c>
      <c r="S665" s="20">
        <f>IF($R665=1,COUNTIF($R$2:$R665,1),"")</f>
        <v/>
      </c>
    </row>
    <row r="666">
      <c r="A666" s="19" t="n"/>
      <c r="B666" s="14" t="n"/>
      <c r="C666" s="20">
        <f>IF($B666="","",IFERROR(INDEX(Vinos!$B$2:$B$301,MATCH($B666,Vinos!$A$2:$A$301,0)),"Código no cargado"))</f>
        <v/>
      </c>
      <c r="D666" s="14" t="n"/>
      <c r="E666" s="14" t="n"/>
      <c r="F666" s="18" t="n"/>
      <c r="G666" s="18" t="n"/>
      <c r="H666" s="21">
        <f>IF(AND($F666="",$G666=""),"",N($F666)*IFERROR(N(INDEX(Vinos!$H$2:$H$301,MATCH($B666,Vinos!$A$2:$A$301,0))),0)+N($G666))</f>
        <v/>
      </c>
      <c r="I666" s="18" t="n"/>
      <c r="J666" s="21">
        <f>IF(OR($H666="",$I666=""),"",$H666-$I666)</f>
        <v/>
      </c>
      <c r="K666" s="16">
        <f>IF($H666="","",IFERROR(IF(INDEX(Vinos!$J$2:$J$301,MATCH($B666,Vinos!$A$2:$A$301,0))="","",$H666*INDEX(Vinos!$J$2:$J$301,MATCH($B666,Vinos!$A$2:$A$301,0))),""))</f>
        <v/>
      </c>
      <c r="L666" s="16">
        <f>IF($H666="","",IFERROR(IF(INDEX(Vinos!$K$2:$K$301,MATCH($B666,Vinos!$A$2:$A$301,0))="","",$H666*INDEX(Vinos!$K$2:$K$301,MATCH($B666,Vinos!$A$2:$A$301,0))),""))</f>
        <v/>
      </c>
      <c r="M666" s="21">
        <f>IF(OR($A666="",$B666=""),"",SUMIFS($H$2:$H$2001,$A$2:$A$2001,$A666,$B$2:$B$2001,$B666))</f>
        <v/>
      </c>
      <c r="N666" s="20">
        <f>IF($M666="","",IF($M666&lt;=0,"Sin stock: reponer ya",IF($M666&lt;IFERROR(N(INDEX(Vinos!$N$2:$N$301,MATCH($B666,Vinos!$A$2:$A$301,0))),0),"Bajo mínimo: reponer","OK")))</f>
        <v/>
      </c>
      <c r="O666" s="14" t="n"/>
      <c r="P666" s="14" t="n"/>
      <c r="Q666" s="20">
        <f>IF($B666="","",IFERROR(INDEX(Vinos!$C$2:$C$301,MATCH($B666,Vinos!$A$2:$A$301,0)),""))</f>
        <v/>
      </c>
      <c r="R666" s="20">
        <f>IF(OR($A666="",$A666&lt;&gt;'Resumen del inventario'!$C$3,$N666="",$N666="OK"),"",IF(COUNTIFS($A$2:$A666,$A666,$B$2:$B666,$B666)=1,1,""))</f>
        <v/>
      </c>
      <c r="S666" s="20">
        <f>IF($R666=1,COUNTIF($R$2:$R666,1),"")</f>
        <v/>
      </c>
    </row>
    <row r="667">
      <c r="A667" s="19" t="n"/>
      <c r="B667" s="14" t="n"/>
      <c r="C667" s="20">
        <f>IF($B667="","",IFERROR(INDEX(Vinos!$B$2:$B$301,MATCH($B667,Vinos!$A$2:$A$301,0)),"Código no cargado"))</f>
        <v/>
      </c>
      <c r="D667" s="14" t="n"/>
      <c r="E667" s="14" t="n"/>
      <c r="F667" s="18" t="n"/>
      <c r="G667" s="18" t="n"/>
      <c r="H667" s="21">
        <f>IF(AND($F667="",$G667=""),"",N($F667)*IFERROR(N(INDEX(Vinos!$H$2:$H$301,MATCH($B667,Vinos!$A$2:$A$301,0))),0)+N($G667))</f>
        <v/>
      </c>
      <c r="I667" s="18" t="n"/>
      <c r="J667" s="21">
        <f>IF(OR($H667="",$I667=""),"",$H667-$I667)</f>
        <v/>
      </c>
      <c r="K667" s="16">
        <f>IF($H667="","",IFERROR(IF(INDEX(Vinos!$J$2:$J$301,MATCH($B667,Vinos!$A$2:$A$301,0))="","",$H667*INDEX(Vinos!$J$2:$J$301,MATCH($B667,Vinos!$A$2:$A$301,0))),""))</f>
        <v/>
      </c>
      <c r="L667" s="16">
        <f>IF($H667="","",IFERROR(IF(INDEX(Vinos!$K$2:$K$301,MATCH($B667,Vinos!$A$2:$A$301,0))="","",$H667*INDEX(Vinos!$K$2:$K$301,MATCH($B667,Vinos!$A$2:$A$301,0))),""))</f>
        <v/>
      </c>
      <c r="M667" s="21">
        <f>IF(OR($A667="",$B667=""),"",SUMIFS($H$2:$H$2001,$A$2:$A$2001,$A667,$B$2:$B$2001,$B667))</f>
        <v/>
      </c>
      <c r="N667" s="20">
        <f>IF($M667="","",IF($M667&lt;=0,"Sin stock: reponer ya",IF($M667&lt;IFERROR(N(INDEX(Vinos!$N$2:$N$301,MATCH($B667,Vinos!$A$2:$A$301,0))),0),"Bajo mínimo: reponer","OK")))</f>
        <v/>
      </c>
      <c r="O667" s="14" t="n"/>
      <c r="P667" s="14" t="n"/>
      <c r="Q667" s="20">
        <f>IF($B667="","",IFERROR(INDEX(Vinos!$C$2:$C$301,MATCH($B667,Vinos!$A$2:$A$301,0)),""))</f>
        <v/>
      </c>
      <c r="R667" s="20">
        <f>IF(OR($A667="",$A667&lt;&gt;'Resumen del inventario'!$C$3,$N667="",$N667="OK"),"",IF(COUNTIFS($A$2:$A667,$A667,$B$2:$B667,$B667)=1,1,""))</f>
        <v/>
      </c>
      <c r="S667" s="20">
        <f>IF($R667=1,COUNTIF($R$2:$R667,1),"")</f>
        <v/>
      </c>
    </row>
    <row r="668">
      <c r="A668" s="19" t="n"/>
      <c r="B668" s="14" t="n"/>
      <c r="C668" s="20">
        <f>IF($B668="","",IFERROR(INDEX(Vinos!$B$2:$B$301,MATCH($B668,Vinos!$A$2:$A$301,0)),"Código no cargado"))</f>
        <v/>
      </c>
      <c r="D668" s="14" t="n"/>
      <c r="E668" s="14" t="n"/>
      <c r="F668" s="18" t="n"/>
      <c r="G668" s="18" t="n"/>
      <c r="H668" s="21">
        <f>IF(AND($F668="",$G668=""),"",N($F668)*IFERROR(N(INDEX(Vinos!$H$2:$H$301,MATCH($B668,Vinos!$A$2:$A$301,0))),0)+N($G668))</f>
        <v/>
      </c>
      <c r="I668" s="18" t="n"/>
      <c r="J668" s="21">
        <f>IF(OR($H668="",$I668=""),"",$H668-$I668)</f>
        <v/>
      </c>
      <c r="K668" s="16">
        <f>IF($H668="","",IFERROR(IF(INDEX(Vinos!$J$2:$J$301,MATCH($B668,Vinos!$A$2:$A$301,0))="","",$H668*INDEX(Vinos!$J$2:$J$301,MATCH($B668,Vinos!$A$2:$A$301,0))),""))</f>
        <v/>
      </c>
      <c r="L668" s="16">
        <f>IF($H668="","",IFERROR(IF(INDEX(Vinos!$K$2:$K$301,MATCH($B668,Vinos!$A$2:$A$301,0))="","",$H668*INDEX(Vinos!$K$2:$K$301,MATCH($B668,Vinos!$A$2:$A$301,0))),""))</f>
        <v/>
      </c>
      <c r="M668" s="21">
        <f>IF(OR($A668="",$B668=""),"",SUMIFS($H$2:$H$2001,$A$2:$A$2001,$A668,$B$2:$B$2001,$B668))</f>
        <v/>
      </c>
      <c r="N668" s="20">
        <f>IF($M668="","",IF($M668&lt;=0,"Sin stock: reponer ya",IF($M668&lt;IFERROR(N(INDEX(Vinos!$N$2:$N$301,MATCH($B668,Vinos!$A$2:$A$301,0))),0),"Bajo mínimo: reponer","OK")))</f>
        <v/>
      </c>
      <c r="O668" s="14" t="n"/>
      <c r="P668" s="14" t="n"/>
      <c r="Q668" s="20">
        <f>IF($B668="","",IFERROR(INDEX(Vinos!$C$2:$C$301,MATCH($B668,Vinos!$A$2:$A$301,0)),""))</f>
        <v/>
      </c>
      <c r="R668" s="20">
        <f>IF(OR($A668="",$A668&lt;&gt;'Resumen del inventario'!$C$3,$N668="",$N668="OK"),"",IF(COUNTIFS($A$2:$A668,$A668,$B$2:$B668,$B668)=1,1,""))</f>
        <v/>
      </c>
      <c r="S668" s="20">
        <f>IF($R668=1,COUNTIF($R$2:$R668,1),"")</f>
        <v/>
      </c>
    </row>
    <row r="669">
      <c r="A669" s="19" t="n"/>
      <c r="B669" s="14" t="n"/>
      <c r="C669" s="20">
        <f>IF($B669="","",IFERROR(INDEX(Vinos!$B$2:$B$301,MATCH($B669,Vinos!$A$2:$A$301,0)),"Código no cargado"))</f>
        <v/>
      </c>
      <c r="D669" s="14" t="n"/>
      <c r="E669" s="14" t="n"/>
      <c r="F669" s="18" t="n"/>
      <c r="G669" s="18" t="n"/>
      <c r="H669" s="21">
        <f>IF(AND($F669="",$G669=""),"",N($F669)*IFERROR(N(INDEX(Vinos!$H$2:$H$301,MATCH($B669,Vinos!$A$2:$A$301,0))),0)+N($G669))</f>
        <v/>
      </c>
      <c r="I669" s="18" t="n"/>
      <c r="J669" s="21">
        <f>IF(OR($H669="",$I669=""),"",$H669-$I669)</f>
        <v/>
      </c>
      <c r="K669" s="16">
        <f>IF($H669="","",IFERROR(IF(INDEX(Vinos!$J$2:$J$301,MATCH($B669,Vinos!$A$2:$A$301,0))="","",$H669*INDEX(Vinos!$J$2:$J$301,MATCH($B669,Vinos!$A$2:$A$301,0))),""))</f>
        <v/>
      </c>
      <c r="L669" s="16">
        <f>IF($H669="","",IFERROR(IF(INDEX(Vinos!$K$2:$K$301,MATCH($B669,Vinos!$A$2:$A$301,0))="","",$H669*INDEX(Vinos!$K$2:$K$301,MATCH($B669,Vinos!$A$2:$A$301,0))),""))</f>
        <v/>
      </c>
      <c r="M669" s="21">
        <f>IF(OR($A669="",$B669=""),"",SUMIFS($H$2:$H$2001,$A$2:$A$2001,$A669,$B$2:$B$2001,$B669))</f>
        <v/>
      </c>
      <c r="N669" s="20">
        <f>IF($M669="","",IF($M669&lt;=0,"Sin stock: reponer ya",IF($M669&lt;IFERROR(N(INDEX(Vinos!$N$2:$N$301,MATCH($B669,Vinos!$A$2:$A$301,0))),0),"Bajo mínimo: reponer","OK")))</f>
        <v/>
      </c>
      <c r="O669" s="14" t="n"/>
      <c r="P669" s="14" t="n"/>
      <c r="Q669" s="20">
        <f>IF($B669="","",IFERROR(INDEX(Vinos!$C$2:$C$301,MATCH($B669,Vinos!$A$2:$A$301,0)),""))</f>
        <v/>
      </c>
      <c r="R669" s="20">
        <f>IF(OR($A669="",$A669&lt;&gt;'Resumen del inventario'!$C$3,$N669="",$N669="OK"),"",IF(COUNTIFS($A$2:$A669,$A669,$B$2:$B669,$B669)=1,1,""))</f>
        <v/>
      </c>
      <c r="S669" s="20">
        <f>IF($R669=1,COUNTIF($R$2:$R669,1),"")</f>
        <v/>
      </c>
    </row>
    <row r="670">
      <c r="A670" s="19" t="n"/>
      <c r="B670" s="14" t="n"/>
      <c r="C670" s="20">
        <f>IF($B670="","",IFERROR(INDEX(Vinos!$B$2:$B$301,MATCH($B670,Vinos!$A$2:$A$301,0)),"Código no cargado"))</f>
        <v/>
      </c>
      <c r="D670" s="14" t="n"/>
      <c r="E670" s="14" t="n"/>
      <c r="F670" s="18" t="n"/>
      <c r="G670" s="18" t="n"/>
      <c r="H670" s="21">
        <f>IF(AND($F670="",$G670=""),"",N($F670)*IFERROR(N(INDEX(Vinos!$H$2:$H$301,MATCH($B670,Vinos!$A$2:$A$301,0))),0)+N($G670))</f>
        <v/>
      </c>
      <c r="I670" s="18" t="n"/>
      <c r="J670" s="21">
        <f>IF(OR($H670="",$I670=""),"",$H670-$I670)</f>
        <v/>
      </c>
      <c r="K670" s="16">
        <f>IF($H670="","",IFERROR(IF(INDEX(Vinos!$J$2:$J$301,MATCH($B670,Vinos!$A$2:$A$301,0))="","",$H670*INDEX(Vinos!$J$2:$J$301,MATCH($B670,Vinos!$A$2:$A$301,0))),""))</f>
        <v/>
      </c>
      <c r="L670" s="16">
        <f>IF($H670="","",IFERROR(IF(INDEX(Vinos!$K$2:$K$301,MATCH($B670,Vinos!$A$2:$A$301,0))="","",$H670*INDEX(Vinos!$K$2:$K$301,MATCH($B670,Vinos!$A$2:$A$301,0))),""))</f>
        <v/>
      </c>
      <c r="M670" s="21">
        <f>IF(OR($A670="",$B670=""),"",SUMIFS($H$2:$H$2001,$A$2:$A$2001,$A670,$B$2:$B$2001,$B670))</f>
        <v/>
      </c>
      <c r="N670" s="20">
        <f>IF($M670="","",IF($M670&lt;=0,"Sin stock: reponer ya",IF($M670&lt;IFERROR(N(INDEX(Vinos!$N$2:$N$301,MATCH($B670,Vinos!$A$2:$A$301,0))),0),"Bajo mínimo: reponer","OK")))</f>
        <v/>
      </c>
      <c r="O670" s="14" t="n"/>
      <c r="P670" s="14" t="n"/>
      <c r="Q670" s="20">
        <f>IF($B670="","",IFERROR(INDEX(Vinos!$C$2:$C$301,MATCH($B670,Vinos!$A$2:$A$301,0)),""))</f>
        <v/>
      </c>
      <c r="R670" s="20">
        <f>IF(OR($A670="",$A670&lt;&gt;'Resumen del inventario'!$C$3,$N670="",$N670="OK"),"",IF(COUNTIFS($A$2:$A670,$A670,$B$2:$B670,$B670)=1,1,""))</f>
        <v/>
      </c>
      <c r="S670" s="20">
        <f>IF($R670=1,COUNTIF($R$2:$R670,1),"")</f>
        <v/>
      </c>
    </row>
    <row r="671">
      <c r="A671" s="19" t="n"/>
      <c r="B671" s="14" t="n"/>
      <c r="C671" s="20">
        <f>IF($B671="","",IFERROR(INDEX(Vinos!$B$2:$B$301,MATCH($B671,Vinos!$A$2:$A$301,0)),"Código no cargado"))</f>
        <v/>
      </c>
      <c r="D671" s="14" t="n"/>
      <c r="E671" s="14" t="n"/>
      <c r="F671" s="18" t="n"/>
      <c r="G671" s="18" t="n"/>
      <c r="H671" s="21">
        <f>IF(AND($F671="",$G671=""),"",N($F671)*IFERROR(N(INDEX(Vinos!$H$2:$H$301,MATCH($B671,Vinos!$A$2:$A$301,0))),0)+N($G671))</f>
        <v/>
      </c>
      <c r="I671" s="18" t="n"/>
      <c r="J671" s="21">
        <f>IF(OR($H671="",$I671=""),"",$H671-$I671)</f>
        <v/>
      </c>
      <c r="K671" s="16">
        <f>IF($H671="","",IFERROR(IF(INDEX(Vinos!$J$2:$J$301,MATCH($B671,Vinos!$A$2:$A$301,0))="","",$H671*INDEX(Vinos!$J$2:$J$301,MATCH($B671,Vinos!$A$2:$A$301,0))),""))</f>
        <v/>
      </c>
      <c r="L671" s="16">
        <f>IF($H671="","",IFERROR(IF(INDEX(Vinos!$K$2:$K$301,MATCH($B671,Vinos!$A$2:$A$301,0))="","",$H671*INDEX(Vinos!$K$2:$K$301,MATCH($B671,Vinos!$A$2:$A$301,0))),""))</f>
        <v/>
      </c>
      <c r="M671" s="21">
        <f>IF(OR($A671="",$B671=""),"",SUMIFS($H$2:$H$2001,$A$2:$A$2001,$A671,$B$2:$B$2001,$B671))</f>
        <v/>
      </c>
      <c r="N671" s="20">
        <f>IF($M671="","",IF($M671&lt;=0,"Sin stock: reponer ya",IF($M671&lt;IFERROR(N(INDEX(Vinos!$N$2:$N$301,MATCH($B671,Vinos!$A$2:$A$301,0))),0),"Bajo mínimo: reponer","OK")))</f>
        <v/>
      </c>
      <c r="O671" s="14" t="n"/>
      <c r="P671" s="14" t="n"/>
      <c r="Q671" s="20">
        <f>IF($B671="","",IFERROR(INDEX(Vinos!$C$2:$C$301,MATCH($B671,Vinos!$A$2:$A$301,0)),""))</f>
        <v/>
      </c>
      <c r="R671" s="20">
        <f>IF(OR($A671="",$A671&lt;&gt;'Resumen del inventario'!$C$3,$N671="",$N671="OK"),"",IF(COUNTIFS($A$2:$A671,$A671,$B$2:$B671,$B671)=1,1,""))</f>
        <v/>
      </c>
      <c r="S671" s="20">
        <f>IF($R671=1,COUNTIF($R$2:$R671,1),"")</f>
        <v/>
      </c>
    </row>
    <row r="672">
      <c r="A672" s="19" t="n"/>
      <c r="B672" s="14" t="n"/>
      <c r="C672" s="20">
        <f>IF($B672="","",IFERROR(INDEX(Vinos!$B$2:$B$301,MATCH($B672,Vinos!$A$2:$A$301,0)),"Código no cargado"))</f>
        <v/>
      </c>
      <c r="D672" s="14" t="n"/>
      <c r="E672" s="14" t="n"/>
      <c r="F672" s="18" t="n"/>
      <c r="G672" s="18" t="n"/>
      <c r="H672" s="21">
        <f>IF(AND($F672="",$G672=""),"",N($F672)*IFERROR(N(INDEX(Vinos!$H$2:$H$301,MATCH($B672,Vinos!$A$2:$A$301,0))),0)+N($G672))</f>
        <v/>
      </c>
      <c r="I672" s="18" t="n"/>
      <c r="J672" s="21">
        <f>IF(OR($H672="",$I672=""),"",$H672-$I672)</f>
        <v/>
      </c>
      <c r="K672" s="16">
        <f>IF($H672="","",IFERROR(IF(INDEX(Vinos!$J$2:$J$301,MATCH($B672,Vinos!$A$2:$A$301,0))="","",$H672*INDEX(Vinos!$J$2:$J$301,MATCH($B672,Vinos!$A$2:$A$301,0))),""))</f>
        <v/>
      </c>
      <c r="L672" s="16">
        <f>IF($H672="","",IFERROR(IF(INDEX(Vinos!$K$2:$K$301,MATCH($B672,Vinos!$A$2:$A$301,0))="","",$H672*INDEX(Vinos!$K$2:$K$301,MATCH($B672,Vinos!$A$2:$A$301,0))),""))</f>
        <v/>
      </c>
      <c r="M672" s="21">
        <f>IF(OR($A672="",$B672=""),"",SUMIFS($H$2:$H$2001,$A$2:$A$2001,$A672,$B$2:$B$2001,$B672))</f>
        <v/>
      </c>
      <c r="N672" s="20">
        <f>IF($M672="","",IF($M672&lt;=0,"Sin stock: reponer ya",IF($M672&lt;IFERROR(N(INDEX(Vinos!$N$2:$N$301,MATCH($B672,Vinos!$A$2:$A$301,0))),0),"Bajo mínimo: reponer","OK")))</f>
        <v/>
      </c>
      <c r="O672" s="14" t="n"/>
      <c r="P672" s="14" t="n"/>
      <c r="Q672" s="20">
        <f>IF($B672="","",IFERROR(INDEX(Vinos!$C$2:$C$301,MATCH($B672,Vinos!$A$2:$A$301,0)),""))</f>
        <v/>
      </c>
      <c r="R672" s="20">
        <f>IF(OR($A672="",$A672&lt;&gt;'Resumen del inventario'!$C$3,$N672="",$N672="OK"),"",IF(COUNTIFS($A$2:$A672,$A672,$B$2:$B672,$B672)=1,1,""))</f>
        <v/>
      </c>
      <c r="S672" s="20">
        <f>IF($R672=1,COUNTIF($R$2:$R672,1),"")</f>
        <v/>
      </c>
    </row>
    <row r="673">
      <c r="A673" s="19" t="n"/>
      <c r="B673" s="14" t="n"/>
      <c r="C673" s="20">
        <f>IF($B673="","",IFERROR(INDEX(Vinos!$B$2:$B$301,MATCH($B673,Vinos!$A$2:$A$301,0)),"Código no cargado"))</f>
        <v/>
      </c>
      <c r="D673" s="14" t="n"/>
      <c r="E673" s="14" t="n"/>
      <c r="F673" s="18" t="n"/>
      <c r="G673" s="18" t="n"/>
      <c r="H673" s="21">
        <f>IF(AND($F673="",$G673=""),"",N($F673)*IFERROR(N(INDEX(Vinos!$H$2:$H$301,MATCH($B673,Vinos!$A$2:$A$301,0))),0)+N($G673))</f>
        <v/>
      </c>
      <c r="I673" s="18" t="n"/>
      <c r="J673" s="21">
        <f>IF(OR($H673="",$I673=""),"",$H673-$I673)</f>
        <v/>
      </c>
      <c r="K673" s="16">
        <f>IF($H673="","",IFERROR(IF(INDEX(Vinos!$J$2:$J$301,MATCH($B673,Vinos!$A$2:$A$301,0))="","",$H673*INDEX(Vinos!$J$2:$J$301,MATCH($B673,Vinos!$A$2:$A$301,0))),""))</f>
        <v/>
      </c>
      <c r="L673" s="16">
        <f>IF($H673="","",IFERROR(IF(INDEX(Vinos!$K$2:$K$301,MATCH($B673,Vinos!$A$2:$A$301,0))="","",$H673*INDEX(Vinos!$K$2:$K$301,MATCH($B673,Vinos!$A$2:$A$301,0))),""))</f>
        <v/>
      </c>
      <c r="M673" s="21">
        <f>IF(OR($A673="",$B673=""),"",SUMIFS($H$2:$H$2001,$A$2:$A$2001,$A673,$B$2:$B$2001,$B673))</f>
        <v/>
      </c>
      <c r="N673" s="20">
        <f>IF($M673="","",IF($M673&lt;=0,"Sin stock: reponer ya",IF($M673&lt;IFERROR(N(INDEX(Vinos!$N$2:$N$301,MATCH($B673,Vinos!$A$2:$A$301,0))),0),"Bajo mínimo: reponer","OK")))</f>
        <v/>
      </c>
      <c r="O673" s="14" t="n"/>
      <c r="P673" s="14" t="n"/>
      <c r="Q673" s="20">
        <f>IF($B673="","",IFERROR(INDEX(Vinos!$C$2:$C$301,MATCH($B673,Vinos!$A$2:$A$301,0)),""))</f>
        <v/>
      </c>
      <c r="R673" s="20">
        <f>IF(OR($A673="",$A673&lt;&gt;'Resumen del inventario'!$C$3,$N673="",$N673="OK"),"",IF(COUNTIFS($A$2:$A673,$A673,$B$2:$B673,$B673)=1,1,""))</f>
        <v/>
      </c>
      <c r="S673" s="20">
        <f>IF($R673=1,COUNTIF($R$2:$R673,1),"")</f>
        <v/>
      </c>
    </row>
    <row r="674">
      <c r="A674" s="19" t="n"/>
      <c r="B674" s="14" t="n"/>
      <c r="C674" s="20">
        <f>IF($B674="","",IFERROR(INDEX(Vinos!$B$2:$B$301,MATCH($B674,Vinos!$A$2:$A$301,0)),"Código no cargado"))</f>
        <v/>
      </c>
      <c r="D674" s="14" t="n"/>
      <c r="E674" s="14" t="n"/>
      <c r="F674" s="18" t="n"/>
      <c r="G674" s="18" t="n"/>
      <c r="H674" s="21">
        <f>IF(AND($F674="",$G674=""),"",N($F674)*IFERROR(N(INDEX(Vinos!$H$2:$H$301,MATCH($B674,Vinos!$A$2:$A$301,0))),0)+N($G674))</f>
        <v/>
      </c>
      <c r="I674" s="18" t="n"/>
      <c r="J674" s="21">
        <f>IF(OR($H674="",$I674=""),"",$H674-$I674)</f>
        <v/>
      </c>
      <c r="K674" s="16">
        <f>IF($H674="","",IFERROR(IF(INDEX(Vinos!$J$2:$J$301,MATCH($B674,Vinos!$A$2:$A$301,0))="","",$H674*INDEX(Vinos!$J$2:$J$301,MATCH($B674,Vinos!$A$2:$A$301,0))),""))</f>
        <v/>
      </c>
      <c r="L674" s="16">
        <f>IF($H674="","",IFERROR(IF(INDEX(Vinos!$K$2:$K$301,MATCH($B674,Vinos!$A$2:$A$301,0))="","",$H674*INDEX(Vinos!$K$2:$K$301,MATCH($B674,Vinos!$A$2:$A$301,0))),""))</f>
        <v/>
      </c>
      <c r="M674" s="21">
        <f>IF(OR($A674="",$B674=""),"",SUMIFS($H$2:$H$2001,$A$2:$A$2001,$A674,$B$2:$B$2001,$B674))</f>
        <v/>
      </c>
      <c r="N674" s="20">
        <f>IF($M674="","",IF($M674&lt;=0,"Sin stock: reponer ya",IF($M674&lt;IFERROR(N(INDEX(Vinos!$N$2:$N$301,MATCH($B674,Vinos!$A$2:$A$301,0))),0),"Bajo mínimo: reponer","OK")))</f>
        <v/>
      </c>
      <c r="O674" s="14" t="n"/>
      <c r="P674" s="14" t="n"/>
      <c r="Q674" s="20">
        <f>IF($B674="","",IFERROR(INDEX(Vinos!$C$2:$C$301,MATCH($B674,Vinos!$A$2:$A$301,0)),""))</f>
        <v/>
      </c>
      <c r="R674" s="20">
        <f>IF(OR($A674="",$A674&lt;&gt;'Resumen del inventario'!$C$3,$N674="",$N674="OK"),"",IF(COUNTIFS($A$2:$A674,$A674,$B$2:$B674,$B674)=1,1,""))</f>
        <v/>
      </c>
      <c r="S674" s="20">
        <f>IF($R674=1,COUNTIF($R$2:$R674,1),"")</f>
        <v/>
      </c>
    </row>
    <row r="675">
      <c r="A675" s="19" t="n"/>
      <c r="B675" s="14" t="n"/>
      <c r="C675" s="20">
        <f>IF($B675="","",IFERROR(INDEX(Vinos!$B$2:$B$301,MATCH($B675,Vinos!$A$2:$A$301,0)),"Código no cargado"))</f>
        <v/>
      </c>
      <c r="D675" s="14" t="n"/>
      <c r="E675" s="14" t="n"/>
      <c r="F675" s="18" t="n"/>
      <c r="G675" s="18" t="n"/>
      <c r="H675" s="21">
        <f>IF(AND($F675="",$G675=""),"",N($F675)*IFERROR(N(INDEX(Vinos!$H$2:$H$301,MATCH($B675,Vinos!$A$2:$A$301,0))),0)+N($G675))</f>
        <v/>
      </c>
      <c r="I675" s="18" t="n"/>
      <c r="J675" s="21">
        <f>IF(OR($H675="",$I675=""),"",$H675-$I675)</f>
        <v/>
      </c>
      <c r="K675" s="16">
        <f>IF($H675="","",IFERROR(IF(INDEX(Vinos!$J$2:$J$301,MATCH($B675,Vinos!$A$2:$A$301,0))="","",$H675*INDEX(Vinos!$J$2:$J$301,MATCH($B675,Vinos!$A$2:$A$301,0))),""))</f>
        <v/>
      </c>
      <c r="L675" s="16">
        <f>IF($H675="","",IFERROR(IF(INDEX(Vinos!$K$2:$K$301,MATCH($B675,Vinos!$A$2:$A$301,0))="","",$H675*INDEX(Vinos!$K$2:$K$301,MATCH($B675,Vinos!$A$2:$A$301,0))),""))</f>
        <v/>
      </c>
      <c r="M675" s="21">
        <f>IF(OR($A675="",$B675=""),"",SUMIFS($H$2:$H$2001,$A$2:$A$2001,$A675,$B$2:$B$2001,$B675))</f>
        <v/>
      </c>
      <c r="N675" s="20">
        <f>IF($M675="","",IF($M675&lt;=0,"Sin stock: reponer ya",IF($M675&lt;IFERROR(N(INDEX(Vinos!$N$2:$N$301,MATCH($B675,Vinos!$A$2:$A$301,0))),0),"Bajo mínimo: reponer","OK")))</f>
        <v/>
      </c>
      <c r="O675" s="14" t="n"/>
      <c r="P675" s="14" t="n"/>
      <c r="Q675" s="20">
        <f>IF($B675="","",IFERROR(INDEX(Vinos!$C$2:$C$301,MATCH($B675,Vinos!$A$2:$A$301,0)),""))</f>
        <v/>
      </c>
      <c r="R675" s="20">
        <f>IF(OR($A675="",$A675&lt;&gt;'Resumen del inventario'!$C$3,$N675="",$N675="OK"),"",IF(COUNTIFS($A$2:$A675,$A675,$B$2:$B675,$B675)=1,1,""))</f>
        <v/>
      </c>
      <c r="S675" s="20">
        <f>IF($R675=1,COUNTIF($R$2:$R675,1),"")</f>
        <v/>
      </c>
    </row>
    <row r="676">
      <c r="A676" s="19" t="n"/>
      <c r="B676" s="14" t="n"/>
      <c r="C676" s="20">
        <f>IF($B676="","",IFERROR(INDEX(Vinos!$B$2:$B$301,MATCH($B676,Vinos!$A$2:$A$301,0)),"Código no cargado"))</f>
        <v/>
      </c>
      <c r="D676" s="14" t="n"/>
      <c r="E676" s="14" t="n"/>
      <c r="F676" s="18" t="n"/>
      <c r="G676" s="18" t="n"/>
      <c r="H676" s="21">
        <f>IF(AND($F676="",$G676=""),"",N($F676)*IFERROR(N(INDEX(Vinos!$H$2:$H$301,MATCH($B676,Vinos!$A$2:$A$301,0))),0)+N($G676))</f>
        <v/>
      </c>
      <c r="I676" s="18" t="n"/>
      <c r="J676" s="21">
        <f>IF(OR($H676="",$I676=""),"",$H676-$I676)</f>
        <v/>
      </c>
      <c r="K676" s="16">
        <f>IF($H676="","",IFERROR(IF(INDEX(Vinos!$J$2:$J$301,MATCH($B676,Vinos!$A$2:$A$301,0))="","",$H676*INDEX(Vinos!$J$2:$J$301,MATCH($B676,Vinos!$A$2:$A$301,0))),""))</f>
        <v/>
      </c>
      <c r="L676" s="16">
        <f>IF($H676="","",IFERROR(IF(INDEX(Vinos!$K$2:$K$301,MATCH($B676,Vinos!$A$2:$A$301,0))="","",$H676*INDEX(Vinos!$K$2:$K$301,MATCH($B676,Vinos!$A$2:$A$301,0))),""))</f>
        <v/>
      </c>
      <c r="M676" s="21">
        <f>IF(OR($A676="",$B676=""),"",SUMIFS($H$2:$H$2001,$A$2:$A$2001,$A676,$B$2:$B$2001,$B676))</f>
        <v/>
      </c>
      <c r="N676" s="20">
        <f>IF($M676="","",IF($M676&lt;=0,"Sin stock: reponer ya",IF($M676&lt;IFERROR(N(INDEX(Vinos!$N$2:$N$301,MATCH($B676,Vinos!$A$2:$A$301,0))),0),"Bajo mínimo: reponer","OK")))</f>
        <v/>
      </c>
      <c r="O676" s="14" t="n"/>
      <c r="P676" s="14" t="n"/>
      <c r="Q676" s="20">
        <f>IF($B676="","",IFERROR(INDEX(Vinos!$C$2:$C$301,MATCH($B676,Vinos!$A$2:$A$301,0)),""))</f>
        <v/>
      </c>
      <c r="R676" s="20">
        <f>IF(OR($A676="",$A676&lt;&gt;'Resumen del inventario'!$C$3,$N676="",$N676="OK"),"",IF(COUNTIFS($A$2:$A676,$A676,$B$2:$B676,$B676)=1,1,""))</f>
        <v/>
      </c>
      <c r="S676" s="20">
        <f>IF($R676=1,COUNTIF($R$2:$R676,1),"")</f>
        <v/>
      </c>
    </row>
    <row r="677">
      <c r="A677" s="19" t="n"/>
      <c r="B677" s="14" t="n"/>
      <c r="C677" s="20">
        <f>IF($B677="","",IFERROR(INDEX(Vinos!$B$2:$B$301,MATCH($B677,Vinos!$A$2:$A$301,0)),"Código no cargado"))</f>
        <v/>
      </c>
      <c r="D677" s="14" t="n"/>
      <c r="E677" s="14" t="n"/>
      <c r="F677" s="18" t="n"/>
      <c r="G677" s="18" t="n"/>
      <c r="H677" s="21">
        <f>IF(AND($F677="",$G677=""),"",N($F677)*IFERROR(N(INDEX(Vinos!$H$2:$H$301,MATCH($B677,Vinos!$A$2:$A$301,0))),0)+N($G677))</f>
        <v/>
      </c>
      <c r="I677" s="18" t="n"/>
      <c r="J677" s="21">
        <f>IF(OR($H677="",$I677=""),"",$H677-$I677)</f>
        <v/>
      </c>
      <c r="K677" s="16">
        <f>IF($H677="","",IFERROR(IF(INDEX(Vinos!$J$2:$J$301,MATCH($B677,Vinos!$A$2:$A$301,0))="","",$H677*INDEX(Vinos!$J$2:$J$301,MATCH($B677,Vinos!$A$2:$A$301,0))),""))</f>
        <v/>
      </c>
      <c r="L677" s="16">
        <f>IF($H677="","",IFERROR(IF(INDEX(Vinos!$K$2:$K$301,MATCH($B677,Vinos!$A$2:$A$301,0))="","",$H677*INDEX(Vinos!$K$2:$K$301,MATCH($B677,Vinos!$A$2:$A$301,0))),""))</f>
        <v/>
      </c>
      <c r="M677" s="21">
        <f>IF(OR($A677="",$B677=""),"",SUMIFS($H$2:$H$2001,$A$2:$A$2001,$A677,$B$2:$B$2001,$B677))</f>
        <v/>
      </c>
      <c r="N677" s="20">
        <f>IF($M677="","",IF($M677&lt;=0,"Sin stock: reponer ya",IF($M677&lt;IFERROR(N(INDEX(Vinos!$N$2:$N$301,MATCH($B677,Vinos!$A$2:$A$301,0))),0),"Bajo mínimo: reponer","OK")))</f>
        <v/>
      </c>
      <c r="O677" s="14" t="n"/>
      <c r="P677" s="14" t="n"/>
      <c r="Q677" s="20">
        <f>IF($B677="","",IFERROR(INDEX(Vinos!$C$2:$C$301,MATCH($B677,Vinos!$A$2:$A$301,0)),""))</f>
        <v/>
      </c>
      <c r="R677" s="20">
        <f>IF(OR($A677="",$A677&lt;&gt;'Resumen del inventario'!$C$3,$N677="",$N677="OK"),"",IF(COUNTIFS($A$2:$A677,$A677,$B$2:$B677,$B677)=1,1,""))</f>
        <v/>
      </c>
      <c r="S677" s="20">
        <f>IF($R677=1,COUNTIF($R$2:$R677,1),"")</f>
        <v/>
      </c>
    </row>
    <row r="678">
      <c r="A678" s="19" t="n"/>
      <c r="B678" s="14" t="n"/>
      <c r="C678" s="20">
        <f>IF($B678="","",IFERROR(INDEX(Vinos!$B$2:$B$301,MATCH($B678,Vinos!$A$2:$A$301,0)),"Código no cargado"))</f>
        <v/>
      </c>
      <c r="D678" s="14" t="n"/>
      <c r="E678" s="14" t="n"/>
      <c r="F678" s="18" t="n"/>
      <c r="G678" s="18" t="n"/>
      <c r="H678" s="21">
        <f>IF(AND($F678="",$G678=""),"",N($F678)*IFERROR(N(INDEX(Vinos!$H$2:$H$301,MATCH($B678,Vinos!$A$2:$A$301,0))),0)+N($G678))</f>
        <v/>
      </c>
      <c r="I678" s="18" t="n"/>
      <c r="J678" s="21">
        <f>IF(OR($H678="",$I678=""),"",$H678-$I678)</f>
        <v/>
      </c>
      <c r="K678" s="16">
        <f>IF($H678="","",IFERROR(IF(INDEX(Vinos!$J$2:$J$301,MATCH($B678,Vinos!$A$2:$A$301,0))="","",$H678*INDEX(Vinos!$J$2:$J$301,MATCH($B678,Vinos!$A$2:$A$301,0))),""))</f>
        <v/>
      </c>
      <c r="L678" s="16">
        <f>IF($H678="","",IFERROR(IF(INDEX(Vinos!$K$2:$K$301,MATCH($B678,Vinos!$A$2:$A$301,0))="","",$H678*INDEX(Vinos!$K$2:$K$301,MATCH($B678,Vinos!$A$2:$A$301,0))),""))</f>
        <v/>
      </c>
      <c r="M678" s="21">
        <f>IF(OR($A678="",$B678=""),"",SUMIFS($H$2:$H$2001,$A$2:$A$2001,$A678,$B$2:$B$2001,$B678))</f>
        <v/>
      </c>
      <c r="N678" s="20">
        <f>IF($M678="","",IF($M678&lt;=0,"Sin stock: reponer ya",IF($M678&lt;IFERROR(N(INDEX(Vinos!$N$2:$N$301,MATCH($B678,Vinos!$A$2:$A$301,0))),0),"Bajo mínimo: reponer","OK")))</f>
        <v/>
      </c>
      <c r="O678" s="14" t="n"/>
      <c r="P678" s="14" t="n"/>
      <c r="Q678" s="20">
        <f>IF($B678="","",IFERROR(INDEX(Vinos!$C$2:$C$301,MATCH($B678,Vinos!$A$2:$A$301,0)),""))</f>
        <v/>
      </c>
      <c r="R678" s="20">
        <f>IF(OR($A678="",$A678&lt;&gt;'Resumen del inventario'!$C$3,$N678="",$N678="OK"),"",IF(COUNTIFS($A$2:$A678,$A678,$B$2:$B678,$B678)=1,1,""))</f>
        <v/>
      </c>
      <c r="S678" s="20">
        <f>IF($R678=1,COUNTIF($R$2:$R678,1),"")</f>
        <v/>
      </c>
    </row>
    <row r="679">
      <c r="A679" s="19" t="n"/>
      <c r="B679" s="14" t="n"/>
      <c r="C679" s="20">
        <f>IF($B679="","",IFERROR(INDEX(Vinos!$B$2:$B$301,MATCH($B679,Vinos!$A$2:$A$301,0)),"Código no cargado"))</f>
        <v/>
      </c>
      <c r="D679" s="14" t="n"/>
      <c r="E679" s="14" t="n"/>
      <c r="F679" s="18" t="n"/>
      <c r="G679" s="18" t="n"/>
      <c r="H679" s="21">
        <f>IF(AND($F679="",$G679=""),"",N($F679)*IFERROR(N(INDEX(Vinos!$H$2:$H$301,MATCH($B679,Vinos!$A$2:$A$301,0))),0)+N($G679))</f>
        <v/>
      </c>
      <c r="I679" s="18" t="n"/>
      <c r="J679" s="21">
        <f>IF(OR($H679="",$I679=""),"",$H679-$I679)</f>
        <v/>
      </c>
      <c r="K679" s="16">
        <f>IF($H679="","",IFERROR(IF(INDEX(Vinos!$J$2:$J$301,MATCH($B679,Vinos!$A$2:$A$301,0))="","",$H679*INDEX(Vinos!$J$2:$J$301,MATCH($B679,Vinos!$A$2:$A$301,0))),""))</f>
        <v/>
      </c>
      <c r="L679" s="16">
        <f>IF($H679="","",IFERROR(IF(INDEX(Vinos!$K$2:$K$301,MATCH($B679,Vinos!$A$2:$A$301,0))="","",$H679*INDEX(Vinos!$K$2:$K$301,MATCH($B679,Vinos!$A$2:$A$301,0))),""))</f>
        <v/>
      </c>
      <c r="M679" s="21">
        <f>IF(OR($A679="",$B679=""),"",SUMIFS($H$2:$H$2001,$A$2:$A$2001,$A679,$B$2:$B$2001,$B679))</f>
        <v/>
      </c>
      <c r="N679" s="20">
        <f>IF($M679="","",IF($M679&lt;=0,"Sin stock: reponer ya",IF($M679&lt;IFERROR(N(INDEX(Vinos!$N$2:$N$301,MATCH($B679,Vinos!$A$2:$A$301,0))),0),"Bajo mínimo: reponer","OK")))</f>
        <v/>
      </c>
      <c r="O679" s="14" t="n"/>
      <c r="P679" s="14" t="n"/>
      <c r="Q679" s="20">
        <f>IF($B679="","",IFERROR(INDEX(Vinos!$C$2:$C$301,MATCH($B679,Vinos!$A$2:$A$301,0)),""))</f>
        <v/>
      </c>
      <c r="R679" s="20">
        <f>IF(OR($A679="",$A679&lt;&gt;'Resumen del inventario'!$C$3,$N679="",$N679="OK"),"",IF(COUNTIFS($A$2:$A679,$A679,$B$2:$B679,$B679)=1,1,""))</f>
        <v/>
      </c>
      <c r="S679" s="20">
        <f>IF($R679=1,COUNTIF($R$2:$R679,1),"")</f>
        <v/>
      </c>
    </row>
    <row r="680">
      <c r="A680" s="19" t="n"/>
      <c r="B680" s="14" t="n"/>
      <c r="C680" s="20">
        <f>IF($B680="","",IFERROR(INDEX(Vinos!$B$2:$B$301,MATCH($B680,Vinos!$A$2:$A$301,0)),"Código no cargado"))</f>
        <v/>
      </c>
      <c r="D680" s="14" t="n"/>
      <c r="E680" s="14" t="n"/>
      <c r="F680" s="18" t="n"/>
      <c r="G680" s="18" t="n"/>
      <c r="H680" s="21">
        <f>IF(AND($F680="",$G680=""),"",N($F680)*IFERROR(N(INDEX(Vinos!$H$2:$H$301,MATCH($B680,Vinos!$A$2:$A$301,0))),0)+N($G680))</f>
        <v/>
      </c>
      <c r="I680" s="18" t="n"/>
      <c r="J680" s="21">
        <f>IF(OR($H680="",$I680=""),"",$H680-$I680)</f>
        <v/>
      </c>
      <c r="K680" s="16">
        <f>IF($H680="","",IFERROR(IF(INDEX(Vinos!$J$2:$J$301,MATCH($B680,Vinos!$A$2:$A$301,0))="","",$H680*INDEX(Vinos!$J$2:$J$301,MATCH($B680,Vinos!$A$2:$A$301,0))),""))</f>
        <v/>
      </c>
      <c r="L680" s="16">
        <f>IF($H680="","",IFERROR(IF(INDEX(Vinos!$K$2:$K$301,MATCH($B680,Vinos!$A$2:$A$301,0))="","",$H680*INDEX(Vinos!$K$2:$K$301,MATCH($B680,Vinos!$A$2:$A$301,0))),""))</f>
        <v/>
      </c>
      <c r="M680" s="21">
        <f>IF(OR($A680="",$B680=""),"",SUMIFS($H$2:$H$2001,$A$2:$A$2001,$A680,$B$2:$B$2001,$B680))</f>
        <v/>
      </c>
      <c r="N680" s="20">
        <f>IF($M680="","",IF($M680&lt;=0,"Sin stock: reponer ya",IF($M680&lt;IFERROR(N(INDEX(Vinos!$N$2:$N$301,MATCH($B680,Vinos!$A$2:$A$301,0))),0),"Bajo mínimo: reponer","OK")))</f>
        <v/>
      </c>
      <c r="O680" s="14" t="n"/>
      <c r="P680" s="14" t="n"/>
      <c r="Q680" s="20">
        <f>IF($B680="","",IFERROR(INDEX(Vinos!$C$2:$C$301,MATCH($B680,Vinos!$A$2:$A$301,0)),""))</f>
        <v/>
      </c>
      <c r="R680" s="20">
        <f>IF(OR($A680="",$A680&lt;&gt;'Resumen del inventario'!$C$3,$N680="",$N680="OK"),"",IF(COUNTIFS($A$2:$A680,$A680,$B$2:$B680,$B680)=1,1,""))</f>
        <v/>
      </c>
      <c r="S680" s="20">
        <f>IF($R680=1,COUNTIF($R$2:$R680,1),"")</f>
        <v/>
      </c>
    </row>
    <row r="681">
      <c r="A681" s="19" t="n"/>
      <c r="B681" s="14" t="n"/>
      <c r="C681" s="20">
        <f>IF($B681="","",IFERROR(INDEX(Vinos!$B$2:$B$301,MATCH($B681,Vinos!$A$2:$A$301,0)),"Código no cargado"))</f>
        <v/>
      </c>
      <c r="D681" s="14" t="n"/>
      <c r="E681" s="14" t="n"/>
      <c r="F681" s="18" t="n"/>
      <c r="G681" s="18" t="n"/>
      <c r="H681" s="21">
        <f>IF(AND($F681="",$G681=""),"",N($F681)*IFERROR(N(INDEX(Vinos!$H$2:$H$301,MATCH($B681,Vinos!$A$2:$A$301,0))),0)+N($G681))</f>
        <v/>
      </c>
      <c r="I681" s="18" t="n"/>
      <c r="J681" s="21">
        <f>IF(OR($H681="",$I681=""),"",$H681-$I681)</f>
        <v/>
      </c>
      <c r="K681" s="16">
        <f>IF($H681="","",IFERROR(IF(INDEX(Vinos!$J$2:$J$301,MATCH($B681,Vinos!$A$2:$A$301,0))="","",$H681*INDEX(Vinos!$J$2:$J$301,MATCH($B681,Vinos!$A$2:$A$301,0))),""))</f>
        <v/>
      </c>
      <c r="L681" s="16">
        <f>IF($H681="","",IFERROR(IF(INDEX(Vinos!$K$2:$K$301,MATCH($B681,Vinos!$A$2:$A$301,0))="","",$H681*INDEX(Vinos!$K$2:$K$301,MATCH($B681,Vinos!$A$2:$A$301,0))),""))</f>
        <v/>
      </c>
      <c r="M681" s="21">
        <f>IF(OR($A681="",$B681=""),"",SUMIFS($H$2:$H$2001,$A$2:$A$2001,$A681,$B$2:$B$2001,$B681))</f>
        <v/>
      </c>
      <c r="N681" s="20">
        <f>IF($M681="","",IF($M681&lt;=0,"Sin stock: reponer ya",IF($M681&lt;IFERROR(N(INDEX(Vinos!$N$2:$N$301,MATCH($B681,Vinos!$A$2:$A$301,0))),0),"Bajo mínimo: reponer","OK")))</f>
        <v/>
      </c>
      <c r="O681" s="14" t="n"/>
      <c r="P681" s="14" t="n"/>
      <c r="Q681" s="20">
        <f>IF($B681="","",IFERROR(INDEX(Vinos!$C$2:$C$301,MATCH($B681,Vinos!$A$2:$A$301,0)),""))</f>
        <v/>
      </c>
      <c r="R681" s="20">
        <f>IF(OR($A681="",$A681&lt;&gt;'Resumen del inventario'!$C$3,$N681="",$N681="OK"),"",IF(COUNTIFS($A$2:$A681,$A681,$B$2:$B681,$B681)=1,1,""))</f>
        <v/>
      </c>
      <c r="S681" s="20">
        <f>IF($R681=1,COUNTIF($R$2:$R681,1),"")</f>
        <v/>
      </c>
    </row>
    <row r="682">
      <c r="A682" s="19" t="n"/>
      <c r="B682" s="14" t="n"/>
      <c r="C682" s="20">
        <f>IF($B682="","",IFERROR(INDEX(Vinos!$B$2:$B$301,MATCH($B682,Vinos!$A$2:$A$301,0)),"Código no cargado"))</f>
        <v/>
      </c>
      <c r="D682" s="14" t="n"/>
      <c r="E682" s="14" t="n"/>
      <c r="F682" s="18" t="n"/>
      <c r="G682" s="18" t="n"/>
      <c r="H682" s="21">
        <f>IF(AND($F682="",$G682=""),"",N($F682)*IFERROR(N(INDEX(Vinos!$H$2:$H$301,MATCH($B682,Vinos!$A$2:$A$301,0))),0)+N($G682))</f>
        <v/>
      </c>
      <c r="I682" s="18" t="n"/>
      <c r="J682" s="21">
        <f>IF(OR($H682="",$I682=""),"",$H682-$I682)</f>
        <v/>
      </c>
      <c r="K682" s="16">
        <f>IF($H682="","",IFERROR(IF(INDEX(Vinos!$J$2:$J$301,MATCH($B682,Vinos!$A$2:$A$301,0))="","",$H682*INDEX(Vinos!$J$2:$J$301,MATCH($B682,Vinos!$A$2:$A$301,0))),""))</f>
        <v/>
      </c>
      <c r="L682" s="16">
        <f>IF($H682="","",IFERROR(IF(INDEX(Vinos!$K$2:$K$301,MATCH($B682,Vinos!$A$2:$A$301,0))="","",$H682*INDEX(Vinos!$K$2:$K$301,MATCH($B682,Vinos!$A$2:$A$301,0))),""))</f>
        <v/>
      </c>
      <c r="M682" s="21">
        <f>IF(OR($A682="",$B682=""),"",SUMIFS($H$2:$H$2001,$A$2:$A$2001,$A682,$B$2:$B$2001,$B682))</f>
        <v/>
      </c>
      <c r="N682" s="20">
        <f>IF($M682="","",IF($M682&lt;=0,"Sin stock: reponer ya",IF($M682&lt;IFERROR(N(INDEX(Vinos!$N$2:$N$301,MATCH($B682,Vinos!$A$2:$A$301,0))),0),"Bajo mínimo: reponer","OK")))</f>
        <v/>
      </c>
      <c r="O682" s="14" t="n"/>
      <c r="P682" s="14" t="n"/>
      <c r="Q682" s="20">
        <f>IF($B682="","",IFERROR(INDEX(Vinos!$C$2:$C$301,MATCH($B682,Vinos!$A$2:$A$301,0)),""))</f>
        <v/>
      </c>
      <c r="R682" s="20">
        <f>IF(OR($A682="",$A682&lt;&gt;'Resumen del inventario'!$C$3,$N682="",$N682="OK"),"",IF(COUNTIFS($A$2:$A682,$A682,$B$2:$B682,$B682)=1,1,""))</f>
        <v/>
      </c>
      <c r="S682" s="20">
        <f>IF($R682=1,COUNTIF($R$2:$R682,1),"")</f>
        <v/>
      </c>
    </row>
    <row r="683">
      <c r="A683" s="19" t="n"/>
      <c r="B683" s="14" t="n"/>
      <c r="C683" s="20">
        <f>IF($B683="","",IFERROR(INDEX(Vinos!$B$2:$B$301,MATCH($B683,Vinos!$A$2:$A$301,0)),"Código no cargado"))</f>
        <v/>
      </c>
      <c r="D683" s="14" t="n"/>
      <c r="E683" s="14" t="n"/>
      <c r="F683" s="18" t="n"/>
      <c r="G683" s="18" t="n"/>
      <c r="H683" s="21">
        <f>IF(AND($F683="",$G683=""),"",N($F683)*IFERROR(N(INDEX(Vinos!$H$2:$H$301,MATCH($B683,Vinos!$A$2:$A$301,0))),0)+N($G683))</f>
        <v/>
      </c>
      <c r="I683" s="18" t="n"/>
      <c r="J683" s="21">
        <f>IF(OR($H683="",$I683=""),"",$H683-$I683)</f>
        <v/>
      </c>
      <c r="K683" s="16">
        <f>IF($H683="","",IFERROR(IF(INDEX(Vinos!$J$2:$J$301,MATCH($B683,Vinos!$A$2:$A$301,0))="","",$H683*INDEX(Vinos!$J$2:$J$301,MATCH($B683,Vinos!$A$2:$A$301,0))),""))</f>
        <v/>
      </c>
      <c r="L683" s="16">
        <f>IF($H683="","",IFERROR(IF(INDEX(Vinos!$K$2:$K$301,MATCH($B683,Vinos!$A$2:$A$301,0))="","",$H683*INDEX(Vinos!$K$2:$K$301,MATCH($B683,Vinos!$A$2:$A$301,0))),""))</f>
        <v/>
      </c>
      <c r="M683" s="21">
        <f>IF(OR($A683="",$B683=""),"",SUMIFS($H$2:$H$2001,$A$2:$A$2001,$A683,$B$2:$B$2001,$B683))</f>
        <v/>
      </c>
      <c r="N683" s="20">
        <f>IF($M683="","",IF($M683&lt;=0,"Sin stock: reponer ya",IF($M683&lt;IFERROR(N(INDEX(Vinos!$N$2:$N$301,MATCH($B683,Vinos!$A$2:$A$301,0))),0),"Bajo mínimo: reponer","OK")))</f>
        <v/>
      </c>
      <c r="O683" s="14" t="n"/>
      <c r="P683" s="14" t="n"/>
      <c r="Q683" s="20">
        <f>IF($B683="","",IFERROR(INDEX(Vinos!$C$2:$C$301,MATCH($B683,Vinos!$A$2:$A$301,0)),""))</f>
        <v/>
      </c>
      <c r="R683" s="20">
        <f>IF(OR($A683="",$A683&lt;&gt;'Resumen del inventario'!$C$3,$N683="",$N683="OK"),"",IF(COUNTIFS($A$2:$A683,$A683,$B$2:$B683,$B683)=1,1,""))</f>
        <v/>
      </c>
      <c r="S683" s="20">
        <f>IF($R683=1,COUNTIF($R$2:$R683,1),"")</f>
        <v/>
      </c>
    </row>
    <row r="684">
      <c r="A684" s="19" t="n"/>
      <c r="B684" s="14" t="n"/>
      <c r="C684" s="20">
        <f>IF($B684="","",IFERROR(INDEX(Vinos!$B$2:$B$301,MATCH($B684,Vinos!$A$2:$A$301,0)),"Código no cargado"))</f>
        <v/>
      </c>
      <c r="D684" s="14" t="n"/>
      <c r="E684" s="14" t="n"/>
      <c r="F684" s="18" t="n"/>
      <c r="G684" s="18" t="n"/>
      <c r="H684" s="21">
        <f>IF(AND($F684="",$G684=""),"",N($F684)*IFERROR(N(INDEX(Vinos!$H$2:$H$301,MATCH($B684,Vinos!$A$2:$A$301,0))),0)+N($G684))</f>
        <v/>
      </c>
      <c r="I684" s="18" t="n"/>
      <c r="J684" s="21">
        <f>IF(OR($H684="",$I684=""),"",$H684-$I684)</f>
        <v/>
      </c>
      <c r="K684" s="16">
        <f>IF($H684="","",IFERROR(IF(INDEX(Vinos!$J$2:$J$301,MATCH($B684,Vinos!$A$2:$A$301,0))="","",$H684*INDEX(Vinos!$J$2:$J$301,MATCH($B684,Vinos!$A$2:$A$301,0))),""))</f>
        <v/>
      </c>
      <c r="L684" s="16">
        <f>IF($H684="","",IFERROR(IF(INDEX(Vinos!$K$2:$K$301,MATCH($B684,Vinos!$A$2:$A$301,0))="","",$H684*INDEX(Vinos!$K$2:$K$301,MATCH($B684,Vinos!$A$2:$A$301,0))),""))</f>
        <v/>
      </c>
      <c r="M684" s="21">
        <f>IF(OR($A684="",$B684=""),"",SUMIFS($H$2:$H$2001,$A$2:$A$2001,$A684,$B$2:$B$2001,$B684))</f>
        <v/>
      </c>
      <c r="N684" s="20">
        <f>IF($M684="","",IF($M684&lt;=0,"Sin stock: reponer ya",IF($M684&lt;IFERROR(N(INDEX(Vinos!$N$2:$N$301,MATCH($B684,Vinos!$A$2:$A$301,0))),0),"Bajo mínimo: reponer","OK")))</f>
        <v/>
      </c>
      <c r="O684" s="14" t="n"/>
      <c r="P684" s="14" t="n"/>
      <c r="Q684" s="20">
        <f>IF($B684="","",IFERROR(INDEX(Vinos!$C$2:$C$301,MATCH($B684,Vinos!$A$2:$A$301,0)),""))</f>
        <v/>
      </c>
      <c r="R684" s="20">
        <f>IF(OR($A684="",$A684&lt;&gt;'Resumen del inventario'!$C$3,$N684="",$N684="OK"),"",IF(COUNTIFS($A$2:$A684,$A684,$B$2:$B684,$B684)=1,1,""))</f>
        <v/>
      </c>
      <c r="S684" s="20">
        <f>IF($R684=1,COUNTIF($R$2:$R684,1),"")</f>
        <v/>
      </c>
    </row>
    <row r="685">
      <c r="A685" s="19" t="n"/>
      <c r="B685" s="14" t="n"/>
      <c r="C685" s="20">
        <f>IF($B685="","",IFERROR(INDEX(Vinos!$B$2:$B$301,MATCH($B685,Vinos!$A$2:$A$301,0)),"Código no cargado"))</f>
        <v/>
      </c>
      <c r="D685" s="14" t="n"/>
      <c r="E685" s="14" t="n"/>
      <c r="F685" s="18" t="n"/>
      <c r="G685" s="18" t="n"/>
      <c r="H685" s="21">
        <f>IF(AND($F685="",$G685=""),"",N($F685)*IFERROR(N(INDEX(Vinos!$H$2:$H$301,MATCH($B685,Vinos!$A$2:$A$301,0))),0)+N($G685))</f>
        <v/>
      </c>
      <c r="I685" s="18" t="n"/>
      <c r="J685" s="21">
        <f>IF(OR($H685="",$I685=""),"",$H685-$I685)</f>
        <v/>
      </c>
      <c r="K685" s="16">
        <f>IF($H685="","",IFERROR(IF(INDEX(Vinos!$J$2:$J$301,MATCH($B685,Vinos!$A$2:$A$301,0))="","",$H685*INDEX(Vinos!$J$2:$J$301,MATCH($B685,Vinos!$A$2:$A$301,0))),""))</f>
        <v/>
      </c>
      <c r="L685" s="16">
        <f>IF($H685="","",IFERROR(IF(INDEX(Vinos!$K$2:$K$301,MATCH($B685,Vinos!$A$2:$A$301,0))="","",$H685*INDEX(Vinos!$K$2:$K$301,MATCH($B685,Vinos!$A$2:$A$301,0))),""))</f>
        <v/>
      </c>
      <c r="M685" s="21">
        <f>IF(OR($A685="",$B685=""),"",SUMIFS($H$2:$H$2001,$A$2:$A$2001,$A685,$B$2:$B$2001,$B685))</f>
        <v/>
      </c>
      <c r="N685" s="20">
        <f>IF($M685="","",IF($M685&lt;=0,"Sin stock: reponer ya",IF($M685&lt;IFERROR(N(INDEX(Vinos!$N$2:$N$301,MATCH($B685,Vinos!$A$2:$A$301,0))),0),"Bajo mínimo: reponer","OK")))</f>
        <v/>
      </c>
      <c r="O685" s="14" t="n"/>
      <c r="P685" s="14" t="n"/>
      <c r="Q685" s="20">
        <f>IF($B685="","",IFERROR(INDEX(Vinos!$C$2:$C$301,MATCH($B685,Vinos!$A$2:$A$301,0)),""))</f>
        <v/>
      </c>
      <c r="R685" s="20">
        <f>IF(OR($A685="",$A685&lt;&gt;'Resumen del inventario'!$C$3,$N685="",$N685="OK"),"",IF(COUNTIFS($A$2:$A685,$A685,$B$2:$B685,$B685)=1,1,""))</f>
        <v/>
      </c>
      <c r="S685" s="20">
        <f>IF($R685=1,COUNTIF($R$2:$R685,1),"")</f>
        <v/>
      </c>
    </row>
    <row r="686">
      <c r="A686" s="19" t="n"/>
      <c r="B686" s="14" t="n"/>
      <c r="C686" s="20">
        <f>IF($B686="","",IFERROR(INDEX(Vinos!$B$2:$B$301,MATCH($B686,Vinos!$A$2:$A$301,0)),"Código no cargado"))</f>
        <v/>
      </c>
      <c r="D686" s="14" t="n"/>
      <c r="E686" s="14" t="n"/>
      <c r="F686" s="18" t="n"/>
      <c r="G686" s="18" t="n"/>
      <c r="H686" s="21">
        <f>IF(AND($F686="",$G686=""),"",N($F686)*IFERROR(N(INDEX(Vinos!$H$2:$H$301,MATCH($B686,Vinos!$A$2:$A$301,0))),0)+N($G686))</f>
        <v/>
      </c>
      <c r="I686" s="18" t="n"/>
      <c r="J686" s="21">
        <f>IF(OR($H686="",$I686=""),"",$H686-$I686)</f>
        <v/>
      </c>
      <c r="K686" s="16">
        <f>IF($H686="","",IFERROR(IF(INDEX(Vinos!$J$2:$J$301,MATCH($B686,Vinos!$A$2:$A$301,0))="","",$H686*INDEX(Vinos!$J$2:$J$301,MATCH($B686,Vinos!$A$2:$A$301,0))),""))</f>
        <v/>
      </c>
      <c r="L686" s="16">
        <f>IF($H686="","",IFERROR(IF(INDEX(Vinos!$K$2:$K$301,MATCH($B686,Vinos!$A$2:$A$301,0))="","",$H686*INDEX(Vinos!$K$2:$K$301,MATCH($B686,Vinos!$A$2:$A$301,0))),""))</f>
        <v/>
      </c>
      <c r="M686" s="21">
        <f>IF(OR($A686="",$B686=""),"",SUMIFS($H$2:$H$2001,$A$2:$A$2001,$A686,$B$2:$B$2001,$B686))</f>
        <v/>
      </c>
      <c r="N686" s="20">
        <f>IF($M686="","",IF($M686&lt;=0,"Sin stock: reponer ya",IF($M686&lt;IFERROR(N(INDEX(Vinos!$N$2:$N$301,MATCH($B686,Vinos!$A$2:$A$301,0))),0),"Bajo mínimo: reponer","OK")))</f>
        <v/>
      </c>
      <c r="O686" s="14" t="n"/>
      <c r="P686" s="14" t="n"/>
      <c r="Q686" s="20">
        <f>IF($B686="","",IFERROR(INDEX(Vinos!$C$2:$C$301,MATCH($B686,Vinos!$A$2:$A$301,0)),""))</f>
        <v/>
      </c>
      <c r="R686" s="20">
        <f>IF(OR($A686="",$A686&lt;&gt;'Resumen del inventario'!$C$3,$N686="",$N686="OK"),"",IF(COUNTIFS($A$2:$A686,$A686,$B$2:$B686,$B686)=1,1,""))</f>
        <v/>
      </c>
      <c r="S686" s="20">
        <f>IF($R686=1,COUNTIF($R$2:$R686,1),"")</f>
        <v/>
      </c>
    </row>
    <row r="687">
      <c r="A687" s="19" t="n"/>
      <c r="B687" s="14" t="n"/>
      <c r="C687" s="20">
        <f>IF($B687="","",IFERROR(INDEX(Vinos!$B$2:$B$301,MATCH($B687,Vinos!$A$2:$A$301,0)),"Código no cargado"))</f>
        <v/>
      </c>
      <c r="D687" s="14" t="n"/>
      <c r="E687" s="14" t="n"/>
      <c r="F687" s="18" t="n"/>
      <c r="G687" s="18" t="n"/>
      <c r="H687" s="21">
        <f>IF(AND($F687="",$G687=""),"",N($F687)*IFERROR(N(INDEX(Vinos!$H$2:$H$301,MATCH($B687,Vinos!$A$2:$A$301,0))),0)+N($G687))</f>
        <v/>
      </c>
      <c r="I687" s="18" t="n"/>
      <c r="J687" s="21">
        <f>IF(OR($H687="",$I687=""),"",$H687-$I687)</f>
        <v/>
      </c>
      <c r="K687" s="16">
        <f>IF($H687="","",IFERROR(IF(INDEX(Vinos!$J$2:$J$301,MATCH($B687,Vinos!$A$2:$A$301,0))="","",$H687*INDEX(Vinos!$J$2:$J$301,MATCH($B687,Vinos!$A$2:$A$301,0))),""))</f>
        <v/>
      </c>
      <c r="L687" s="16">
        <f>IF($H687="","",IFERROR(IF(INDEX(Vinos!$K$2:$K$301,MATCH($B687,Vinos!$A$2:$A$301,0))="","",$H687*INDEX(Vinos!$K$2:$K$301,MATCH($B687,Vinos!$A$2:$A$301,0))),""))</f>
        <v/>
      </c>
      <c r="M687" s="21">
        <f>IF(OR($A687="",$B687=""),"",SUMIFS($H$2:$H$2001,$A$2:$A$2001,$A687,$B$2:$B$2001,$B687))</f>
        <v/>
      </c>
      <c r="N687" s="20">
        <f>IF($M687="","",IF($M687&lt;=0,"Sin stock: reponer ya",IF($M687&lt;IFERROR(N(INDEX(Vinos!$N$2:$N$301,MATCH($B687,Vinos!$A$2:$A$301,0))),0),"Bajo mínimo: reponer","OK")))</f>
        <v/>
      </c>
      <c r="O687" s="14" t="n"/>
      <c r="P687" s="14" t="n"/>
      <c r="Q687" s="20">
        <f>IF($B687="","",IFERROR(INDEX(Vinos!$C$2:$C$301,MATCH($B687,Vinos!$A$2:$A$301,0)),""))</f>
        <v/>
      </c>
      <c r="R687" s="20">
        <f>IF(OR($A687="",$A687&lt;&gt;'Resumen del inventario'!$C$3,$N687="",$N687="OK"),"",IF(COUNTIFS($A$2:$A687,$A687,$B$2:$B687,$B687)=1,1,""))</f>
        <v/>
      </c>
      <c r="S687" s="20">
        <f>IF($R687=1,COUNTIF($R$2:$R687,1),"")</f>
        <v/>
      </c>
    </row>
    <row r="688">
      <c r="A688" s="19" t="n"/>
      <c r="B688" s="14" t="n"/>
      <c r="C688" s="20">
        <f>IF($B688="","",IFERROR(INDEX(Vinos!$B$2:$B$301,MATCH($B688,Vinos!$A$2:$A$301,0)),"Código no cargado"))</f>
        <v/>
      </c>
      <c r="D688" s="14" t="n"/>
      <c r="E688" s="14" t="n"/>
      <c r="F688" s="18" t="n"/>
      <c r="G688" s="18" t="n"/>
      <c r="H688" s="21">
        <f>IF(AND($F688="",$G688=""),"",N($F688)*IFERROR(N(INDEX(Vinos!$H$2:$H$301,MATCH($B688,Vinos!$A$2:$A$301,0))),0)+N($G688))</f>
        <v/>
      </c>
      <c r="I688" s="18" t="n"/>
      <c r="J688" s="21">
        <f>IF(OR($H688="",$I688=""),"",$H688-$I688)</f>
        <v/>
      </c>
      <c r="K688" s="16">
        <f>IF($H688="","",IFERROR(IF(INDEX(Vinos!$J$2:$J$301,MATCH($B688,Vinos!$A$2:$A$301,0))="","",$H688*INDEX(Vinos!$J$2:$J$301,MATCH($B688,Vinos!$A$2:$A$301,0))),""))</f>
        <v/>
      </c>
      <c r="L688" s="16">
        <f>IF($H688="","",IFERROR(IF(INDEX(Vinos!$K$2:$K$301,MATCH($B688,Vinos!$A$2:$A$301,0))="","",$H688*INDEX(Vinos!$K$2:$K$301,MATCH($B688,Vinos!$A$2:$A$301,0))),""))</f>
        <v/>
      </c>
      <c r="M688" s="21">
        <f>IF(OR($A688="",$B688=""),"",SUMIFS($H$2:$H$2001,$A$2:$A$2001,$A688,$B$2:$B$2001,$B688))</f>
        <v/>
      </c>
      <c r="N688" s="20">
        <f>IF($M688="","",IF($M688&lt;=0,"Sin stock: reponer ya",IF($M688&lt;IFERROR(N(INDEX(Vinos!$N$2:$N$301,MATCH($B688,Vinos!$A$2:$A$301,0))),0),"Bajo mínimo: reponer","OK")))</f>
        <v/>
      </c>
      <c r="O688" s="14" t="n"/>
      <c r="P688" s="14" t="n"/>
      <c r="Q688" s="20">
        <f>IF($B688="","",IFERROR(INDEX(Vinos!$C$2:$C$301,MATCH($B688,Vinos!$A$2:$A$301,0)),""))</f>
        <v/>
      </c>
      <c r="R688" s="20">
        <f>IF(OR($A688="",$A688&lt;&gt;'Resumen del inventario'!$C$3,$N688="",$N688="OK"),"",IF(COUNTIFS($A$2:$A688,$A688,$B$2:$B688,$B688)=1,1,""))</f>
        <v/>
      </c>
      <c r="S688" s="20">
        <f>IF($R688=1,COUNTIF($R$2:$R688,1),"")</f>
        <v/>
      </c>
    </row>
    <row r="689">
      <c r="A689" s="19" t="n"/>
      <c r="B689" s="14" t="n"/>
      <c r="C689" s="20">
        <f>IF($B689="","",IFERROR(INDEX(Vinos!$B$2:$B$301,MATCH($B689,Vinos!$A$2:$A$301,0)),"Código no cargado"))</f>
        <v/>
      </c>
      <c r="D689" s="14" t="n"/>
      <c r="E689" s="14" t="n"/>
      <c r="F689" s="18" t="n"/>
      <c r="G689" s="18" t="n"/>
      <c r="H689" s="21">
        <f>IF(AND($F689="",$G689=""),"",N($F689)*IFERROR(N(INDEX(Vinos!$H$2:$H$301,MATCH($B689,Vinos!$A$2:$A$301,0))),0)+N($G689))</f>
        <v/>
      </c>
      <c r="I689" s="18" t="n"/>
      <c r="J689" s="21">
        <f>IF(OR($H689="",$I689=""),"",$H689-$I689)</f>
        <v/>
      </c>
      <c r="K689" s="16">
        <f>IF($H689="","",IFERROR(IF(INDEX(Vinos!$J$2:$J$301,MATCH($B689,Vinos!$A$2:$A$301,0))="","",$H689*INDEX(Vinos!$J$2:$J$301,MATCH($B689,Vinos!$A$2:$A$301,0))),""))</f>
        <v/>
      </c>
      <c r="L689" s="16">
        <f>IF($H689="","",IFERROR(IF(INDEX(Vinos!$K$2:$K$301,MATCH($B689,Vinos!$A$2:$A$301,0))="","",$H689*INDEX(Vinos!$K$2:$K$301,MATCH($B689,Vinos!$A$2:$A$301,0))),""))</f>
        <v/>
      </c>
      <c r="M689" s="21">
        <f>IF(OR($A689="",$B689=""),"",SUMIFS($H$2:$H$2001,$A$2:$A$2001,$A689,$B$2:$B$2001,$B689))</f>
        <v/>
      </c>
      <c r="N689" s="20">
        <f>IF($M689="","",IF($M689&lt;=0,"Sin stock: reponer ya",IF($M689&lt;IFERROR(N(INDEX(Vinos!$N$2:$N$301,MATCH($B689,Vinos!$A$2:$A$301,0))),0),"Bajo mínimo: reponer","OK")))</f>
        <v/>
      </c>
      <c r="O689" s="14" t="n"/>
      <c r="P689" s="14" t="n"/>
      <c r="Q689" s="20">
        <f>IF($B689="","",IFERROR(INDEX(Vinos!$C$2:$C$301,MATCH($B689,Vinos!$A$2:$A$301,0)),""))</f>
        <v/>
      </c>
      <c r="R689" s="20">
        <f>IF(OR($A689="",$A689&lt;&gt;'Resumen del inventario'!$C$3,$N689="",$N689="OK"),"",IF(COUNTIFS($A$2:$A689,$A689,$B$2:$B689,$B689)=1,1,""))</f>
        <v/>
      </c>
      <c r="S689" s="20">
        <f>IF($R689=1,COUNTIF($R$2:$R689,1),"")</f>
        <v/>
      </c>
    </row>
    <row r="690">
      <c r="A690" s="19" t="n"/>
      <c r="B690" s="14" t="n"/>
      <c r="C690" s="20">
        <f>IF($B690="","",IFERROR(INDEX(Vinos!$B$2:$B$301,MATCH($B690,Vinos!$A$2:$A$301,0)),"Código no cargado"))</f>
        <v/>
      </c>
      <c r="D690" s="14" t="n"/>
      <c r="E690" s="14" t="n"/>
      <c r="F690" s="18" t="n"/>
      <c r="G690" s="18" t="n"/>
      <c r="H690" s="21">
        <f>IF(AND($F690="",$G690=""),"",N($F690)*IFERROR(N(INDEX(Vinos!$H$2:$H$301,MATCH($B690,Vinos!$A$2:$A$301,0))),0)+N($G690))</f>
        <v/>
      </c>
      <c r="I690" s="18" t="n"/>
      <c r="J690" s="21">
        <f>IF(OR($H690="",$I690=""),"",$H690-$I690)</f>
        <v/>
      </c>
      <c r="K690" s="16">
        <f>IF($H690="","",IFERROR(IF(INDEX(Vinos!$J$2:$J$301,MATCH($B690,Vinos!$A$2:$A$301,0))="","",$H690*INDEX(Vinos!$J$2:$J$301,MATCH($B690,Vinos!$A$2:$A$301,0))),""))</f>
        <v/>
      </c>
      <c r="L690" s="16">
        <f>IF($H690="","",IFERROR(IF(INDEX(Vinos!$K$2:$K$301,MATCH($B690,Vinos!$A$2:$A$301,0))="","",$H690*INDEX(Vinos!$K$2:$K$301,MATCH($B690,Vinos!$A$2:$A$301,0))),""))</f>
        <v/>
      </c>
      <c r="M690" s="21">
        <f>IF(OR($A690="",$B690=""),"",SUMIFS($H$2:$H$2001,$A$2:$A$2001,$A690,$B$2:$B$2001,$B690))</f>
        <v/>
      </c>
      <c r="N690" s="20">
        <f>IF($M690="","",IF($M690&lt;=0,"Sin stock: reponer ya",IF($M690&lt;IFERROR(N(INDEX(Vinos!$N$2:$N$301,MATCH($B690,Vinos!$A$2:$A$301,0))),0),"Bajo mínimo: reponer","OK")))</f>
        <v/>
      </c>
      <c r="O690" s="14" t="n"/>
      <c r="P690" s="14" t="n"/>
      <c r="Q690" s="20">
        <f>IF($B690="","",IFERROR(INDEX(Vinos!$C$2:$C$301,MATCH($B690,Vinos!$A$2:$A$301,0)),""))</f>
        <v/>
      </c>
      <c r="R690" s="20">
        <f>IF(OR($A690="",$A690&lt;&gt;'Resumen del inventario'!$C$3,$N690="",$N690="OK"),"",IF(COUNTIFS($A$2:$A690,$A690,$B$2:$B690,$B690)=1,1,""))</f>
        <v/>
      </c>
      <c r="S690" s="20">
        <f>IF($R690=1,COUNTIF($R$2:$R690,1),"")</f>
        <v/>
      </c>
    </row>
    <row r="691">
      <c r="A691" s="19" t="n"/>
      <c r="B691" s="14" t="n"/>
      <c r="C691" s="20">
        <f>IF($B691="","",IFERROR(INDEX(Vinos!$B$2:$B$301,MATCH($B691,Vinos!$A$2:$A$301,0)),"Código no cargado"))</f>
        <v/>
      </c>
      <c r="D691" s="14" t="n"/>
      <c r="E691" s="14" t="n"/>
      <c r="F691" s="18" t="n"/>
      <c r="G691" s="18" t="n"/>
      <c r="H691" s="21">
        <f>IF(AND($F691="",$G691=""),"",N($F691)*IFERROR(N(INDEX(Vinos!$H$2:$H$301,MATCH($B691,Vinos!$A$2:$A$301,0))),0)+N($G691))</f>
        <v/>
      </c>
      <c r="I691" s="18" t="n"/>
      <c r="J691" s="21">
        <f>IF(OR($H691="",$I691=""),"",$H691-$I691)</f>
        <v/>
      </c>
      <c r="K691" s="16">
        <f>IF($H691="","",IFERROR(IF(INDEX(Vinos!$J$2:$J$301,MATCH($B691,Vinos!$A$2:$A$301,0))="","",$H691*INDEX(Vinos!$J$2:$J$301,MATCH($B691,Vinos!$A$2:$A$301,0))),""))</f>
        <v/>
      </c>
      <c r="L691" s="16">
        <f>IF($H691="","",IFERROR(IF(INDEX(Vinos!$K$2:$K$301,MATCH($B691,Vinos!$A$2:$A$301,0))="","",$H691*INDEX(Vinos!$K$2:$K$301,MATCH($B691,Vinos!$A$2:$A$301,0))),""))</f>
        <v/>
      </c>
      <c r="M691" s="21">
        <f>IF(OR($A691="",$B691=""),"",SUMIFS($H$2:$H$2001,$A$2:$A$2001,$A691,$B$2:$B$2001,$B691))</f>
        <v/>
      </c>
      <c r="N691" s="20">
        <f>IF($M691="","",IF($M691&lt;=0,"Sin stock: reponer ya",IF($M691&lt;IFERROR(N(INDEX(Vinos!$N$2:$N$301,MATCH($B691,Vinos!$A$2:$A$301,0))),0),"Bajo mínimo: reponer","OK")))</f>
        <v/>
      </c>
      <c r="O691" s="14" t="n"/>
      <c r="P691" s="14" t="n"/>
      <c r="Q691" s="20">
        <f>IF($B691="","",IFERROR(INDEX(Vinos!$C$2:$C$301,MATCH($B691,Vinos!$A$2:$A$301,0)),""))</f>
        <v/>
      </c>
      <c r="R691" s="20">
        <f>IF(OR($A691="",$A691&lt;&gt;'Resumen del inventario'!$C$3,$N691="",$N691="OK"),"",IF(COUNTIFS($A$2:$A691,$A691,$B$2:$B691,$B691)=1,1,""))</f>
        <v/>
      </c>
      <c r="S691" s="20">
        <f>IF($R691=1,COUNTIF($R$2:$R691,1),"")</f>
        <v/>
      </c>
    </row>
    <row r="692">
      <c r="A692" s="19" t="n"/>
      <c r="B692" s="14" t="n"/>
      <c r="C692" s="20">
        <f>IF($B692="","",IFERROR(INDEX(Vinos!$B$2:$B$301,MATCH($B692,Vinos!$A$2:$A$301,0)),"Código no cargado"))</f>
        <v/>
      </c>
      <c r="D692" s="14" t="n"/>
      <c r="E692" s="14" t="n"/>
      <c r="F692" s="18" t="n"/>
      <c r="G692" s="18" t="n"/>
      <c r="H692" s="21">
        <f>IF(AND($F692="",$G692=""),"",N($F692)*IFERROR(N(INDEX(Vinos!$H$2:$H$301,MATCH($B692,Vinos!$A$2:$A$301,0))),0)+N($G692))</f>
        <v/>
      </c>
      <c r="I692" s="18" t="n"/>
      <c r="J692" s="21">
        <f>IF(OR($H692="",$I692=""),"",$H692-$I692)</f>
        <v/>
      </c>
      <c r="K692" s="16">
        <f>IF($H692="","",IFERROR(IF(INDEX(Vinos!$J$2:$J$301,MATCH($B692,Vinos!$A$2:$A$301,0))="","",$H692*INDEX(Vinos!$J$2:$J$301,MATCH($B692,Vinos!$A$2:$A$301,0))),""))</f>
        <v/>
      </c>
      <c r="L692" s="16">
        <f>IF($H692="","",IFERROR(IF(INDEX(Vinos!$K$2:$K$301,MATCH($B692,Vinos!$A$2:$A$301,0))="","",$H692*INDEX(Vinos!$K$2:$K$301,MATCH($B692,Vinos!$A$2:$A$301,0))),""))</f>
        <v/>
      </c>
      <c r="M692" s="21">
        <f>IF(OR($A692="",$B692=""),"",SUMIFS($H$2:$H$2001,$A$2:$A$2001,$A692,$B$2:$B$2001,$B692))</f>
        <v/>
      </c>
      <c r="N692" s="20">
        <f>IF($M692="","",IF($M692&lt;=0,"Sin stock: reponer ya",IF($M692&lt;IFERROR(N(INDEX(Vinos!$N$2:$N$301,MATCH($B692,Vinos!$A$2:$A$301,0))),0),"Bajo mínimo: reponer","OK")))</f>
        <v/>
      </c>
      <c r="O692" s="14" t="n"/>
      <c r="P692" s="14" t="n"/>
      <c r="Q692" s="20">
        <f>IF($B692="","",IFERROR(INDEX(Vinos!$C$2:$C$301,MATCH($B692,Vinos!$A$2:$A$301,0)),""))</f>
        <v/>
      </c>
      <c r="R692" s="20">
        <f>IF(OR($A692="",$A692&lt;&gt;'Resumen del inventario'!$C$3,$N692="",$N692="OK"),"",IF(COUNTIFS($A$2:$A692,$A692,$B$2:$B692,$B692)=1,1,""))</f>
        <v/>
      </c>
      <c r="S692" s="20">
        <f>IF($R692=1,COUNTIF($R$2:$R692,1),"")</f>
        <v/>
      </c>
    </row>
    <row r="693">
      <c r="A693" s="19" t="n"/>
      <c r="B693" s="14" t="n"/>
      <c r="C693" s="20">
        <f>IF($B693="","",IFERROR(INDEX(Vinos!$B$2:$B$301,MATCH($B693,Vinos!$A$2:$A$301,0)),"Código no cargado"))</f>
        <v/>
      </c>
      <c r="D693" s="14" t="n"/>
      <c r="E693" s="14" t="n"/>
      <c r="F693" s="18" t="n"/>
      <c r="G693" s="18" t="n"/>
      <c r="H693" s="21">
        <f>IF(AND($F693="",$G693=""),"",N($F693)*IFERROR(N(INDEX(Vinos!$H$2:$H$301,MATCH($B693,Vinos!$A$2:$A$301,0))),0)+N($G693))</f>
        <v/>
      </c>
      <c r="I693" s="18" t="n"/>
      <c r="J693" s="21">
        <f>IF(OR($H693="",$I693=""),"",$H693-$I693)</f>
        <v/>
      </c>
      <c r="K693" s="16">
        <f>IF($H693="","",IFERROR(IF(INDEX(Vinos!$J$2:$J$301,MATCH($B693,Vinos!$A$2:$A$301,0))="","",$H693*INDEX(Vinos!$J$2:$J$301,MATCH($B693,Vinos!$A$2:$A$301,0))),""))</f>
        <v/>
      </c>
      <c r="L693" s="16">
        <f>IF($H693="","",IFERROR(IF(INDEX(Vinos!$K$2:$K$301,MATCH($B693,Vinos!$A$2:$A$301,0))="","",$H693*INDEX(Vinos!$K$2:$K$301,MATCH($B693,Vinos!$A$2:$A$301,0))),""))</f>
        <v/>
      </c>
      <c r="M693" s="21">
        <f>IF(OR($A693="",$B693=""),"",SUMIFS($H$2:$H$2001,$A$2:$A$2001,$A693,$B$2:$B$2001,$B693))</f>
        <v/>
      </c>
      <c r="N693" s="20">
        <f>IF($M693="","",IF($M693&lt;=0,"Sin stock: reponer ya",IF($M693&lt;IFERROR(N(INDEX(Vinos!$N$2:$N$301,MATCH($B693,Vinos!$A$2:$A$301,0))),0),"Bajo mínimo: reponer","OK")))</f>
        <v/>
      </c>
      <c r="O693" s="14" t="n"/>
      <c r="P693" s="14" t="n"/>
      <c r="Q693" s="20">
        <f>IF($B693="","",IFERROR(INDEX(Vinos!$C$2:$C$301,MATCH($B693,Vinos!$A$2:$A$301,0)),""))</f>
        <v/>
      </c>
      <c r="R693" s="20">
        <f>IF(OR($A693="",$A693&lt;&gt;'Resumen del inventario'!$C$3,$N693="",$N693="OK"),"",IF(COUNTIFS($A$2:$A693,$A693,$B$2:$B693,$B693)=1,1,""))</f>
        <v/>
      </c>
      <c r="S693" s="20">
        <f>IF($R693=1,COUNTIF($R$2:$R693,1),"")</f>
        <v/>
      </c>
    </row>
    <row r="694">
      <c r="A694" s="19" t="n"/>
      <c r="B694" s="14" t="n"/>
      <c r="C694" s="20">
        <f>IF($B694="","",IFERROR(INDEX(Vinos!$B$2:$B$301,MATCH($B694,Vinos!$A$2:$A$301,0)),"Código no cargado"))</f>
        <v/>
      </c>
      <c r="D694" s="14" t="n"/>
      <c r="E694" s="14" t="n"/>
      <c r="F694" s="18" t="n"/>
      <c r="G694" s="18" t="n"/>
      <c r="H694" s="21">
        <f>IF(AND($F694="",$G694=""),"",N($F694)*IFERROR(N(INDEX(Vinos!$H$2:$H$301,MATCH($B694,Vinos!$A$2:$A$301,0))),0)+N($G694))</f>
        <v/>
      </c>
      <c r="I694" s="18" t="n"/>
      <c r="J694" s="21">
        <f>IF(OR($H694="",$I694=""),"",$H694-$I694)</f>
        <v/>
      </c>
      <c r="K694" s="16">
        <f>IF($H694="","",IFERROR(IF(INDEX(Vinos!$J$2:$J$301,MATCH($B694,Vinos!$A$2:$A$301,0))="","",$H694*INDEX(Vinos!$J$2:$J$301,MATCH($B694,Vinos!$A$2:$A$301,0))),""))</f>
        <v/>
      </c>
      <c r="L694" s="16">
        <f>IF($H694="","",IFERROR(IF(INDEX(Vinos!$K$2:$K$301,MATCH($B694,Vinos!$A$2:$A$301,0))="","",$H694*INDEX(Vinos!$K$2:$K$301,MATCH($B694,Vinos!$A$2:$A$301,0))),""))</f>
        <v/>
      </c>
      <c r="M694" s="21">
        <f>IF(OR($A694="",$B694=""),"",SUMIFS($H$2:$H$2001,$A$2:$A$2001,$A694,$B$2:$B$2001,$B694))</f>
        <v/>
      </c>
      <c r="N694" s="20">
        <f>IF($M694="","",IF($M694&lt;=0,"Sin stock: reponer ya",IF($M694&lt;IFERROR(N(INDEX(Vinos!$N$2:$N$301,MATCH($B694,Vinos!$A$2:$A$301,0))),0),"Bajo mínimo: reponer","OK")))</f>
        <v/>
      </c>
      <c r="O694" s="14" t="n"/>
      <c r="P694" s="14" t="n"/>
      <c r="Q694" s="20">
        <f>IF($B694="","",IFERROR(INDEX(Vinos!$C$2:$C$301,MATCH($B694,Vinos!$A$2:$A$301,0)),""))</f>
        <v/>
      </c>
      <c r="R694" s="20">
        <f>IF(OR($A694="",$A694&lt;&gt;'Resumen del inventario'!$C$3,$N694="",$N694="OK"),"",IF(COUNTIFS($A$2:$A694,$A694,$B$2:$B694,$B694)=1,1,""))</f>
        <v/>
      </c>
      <c r="S694" s="20">
        <f>IF($R694=1,COUNTIF($R$2:$R694,1),"")</f>
        <v/>
      </c>
    </row>
    <row r="695">
      <c r="A695" s="19" t="n"/>
      <c r="B695" s="14" t="n"/>
      <c r="C695" s="20">
        <f>IF($B695="","",IFERROR(INDEX(Vinos!$B$2:$B$301,MATCH($B695,Vinos!$A$2:$A$301,0)),"Código no cargado"))</f>
        <v/>
      </c>
      <c r="D695" s="14" t="n"/>
      <c r="E695" s="14" t="n"/>
      <c r="F695" s="18" t="n"/>
      <c r="G695" s="18" t="n"/>
      <c r="H695" s="21">
        <f>IF(AND($F695="",$G695=""),"",N($F695)*IFERROR(N(INDEX(Vinos!$H$2:$H$301,MATCH($B695,Vinos!$A$2:$A$301,0))),0)+N($G695))</f>
        <v/>
      </c>
      <c r="I695" s="18" t="n"/>
      <c r="J695" s="21">
        <f>IF(OR($H695="",$I695=""),"",$H695-$I695)</f>
        <v/>
      </c>
      <c r="K695" s="16">
        <f>IF($H695="","",IFERROR(IF(INDEX(Vinos!$J$2:$J$301,MATCH($B695,Vinos!$A$2:$A$301,0))="","",$H695*INDEX(Vinos!$J$2:$J$301,MATCH($B695,Vinos!$A$2:$A$301,0))),""))</f>
        <v/>
      </c>
      <c r="L695" s="16">
        <f>IF($H695="","",IFERROR(IF(INDEX(Vinos!$K$2:$K$301,MATCH($B695,Vinos!$A$2:$A$301,0))="","",$H695*INDEX(Vinos!$K$2:$K$301,MATCH($B695,Vinos!$A$2:$A$301,0))),""))</f>
        <v/>
      </c>
      <c r="M695" s="21">
        <f>IF(OR($A695="",$B695=""),"",SUMIFS($H$2:$H$2001,$A$2:$A$2001,$A695,$B$2:$B$2001,$B695))</f>
        <v/>
      </c>
      <c r="N695" s="20">
        <f>IF($M695="","",IF($M695&lt;=0,"Sin stock: reponer ya",IF($M695&lt;IFERROR(N(INDEX(Vinos!$N$2:$N$301,MATCH($B695,Vinos!$A$2:$A$301,0))),0),"Bajo mínimo: reponer","OK")))</f>
        <v/>
      </c>
      <c r="O695" s="14" t="n"/>
      <c r="P695" s="14" t="n"/>
      <c r="Q695" s="20">
        <f>IF($B695="","",IFERROR(INDEX(Vinos!$C$2:$C$301,MATCH($B695,Vinos!$A$2:$A$301,0)),""))</f>
        <v/>
      </c>
      <c r="R695" s="20">
        <f>IF(OR($A695="",$A695&lt;&gt;'Resumen del inventario'!$C$3,$N695="",$N695="OK"),"",IF(COUNTIFS($A$2:$A695,$A695,$B$2:$B695,$B695)=1,1,""))</f>
        <v/>
      </c>
      <c r="S695" s="20">
        <f>IF($R695=1,COUNTIF($R$2:$R695,1),"")</f>
        <v/>
      </c>
    </row>
    <row r="696">
      <c r="A696" s="19" t="n"/>
      <c r="B696" s="14" t="n"/>
      <c r="C696" s="20">
        <f>IF($B696="","",IFERROR(INDEX(Vinos!$B$2:$B$301,MATCH($B696,Vinos!$A$2:$A$301,0)),"Código no cargado"))</f>
        <v/>
      </c>
      <c r="D696" s="14" t="n"/>
      <c r="E696" s="14" t="n"/>
      <c r="F696" s="18" t="n"/>
      <c r="G696" s="18" t="n"/>
      <c r="H696" s="21">
        <f>IF(AND($F696="",$G696=""),"",N($F696)*IFERROR(N(INDEX(Vinos!$H$2:$H$301,MATCH($B696,Vinos!$A$2:$A$301,0))),0)+N($G696))</f>
        <v/>
      </c>
      <c r="I696" s="18" t="n"/>
      <c r="J696" s="21">
        <f>IF(OR($H696="",$I696=""),"",$H696-$I696)</f>
        <v/>
      </c>
      <c r="K696" s="16">
        <f>IF($H696="","",IFERROR(IF(INDEX(Vinos!$J$2:$J$301,MATCH($B696,Vinos!$A$2:$A$301,0))="","",$H696*INDEX(Vinos!$J$2:$J$301,MATCH($B696,Vinos!$A$2:$A$301,0))),""))</f>
        <v/>
      </c>
      <c r="L696" s="16">
        <f>IF($H696="","",IFERROR(IF(INDEX(Vinos!$K$2:$K$301,MATCH($B696,Vinos!$A$2:$A$301,0))="","",$H696*INDEX(Vinos!$K$2:$K$301,MATCH($B696,Vinos!$A$2:$A$301,0))),""))</f>
        <v/>
      </c>
      <c r="M696" s="21">
        <f>IF(OR($A696="",$B696=""),"",SUMIFS($H$2:$H$2001,$A$2:$A$2001,$A696,$B$2:$B$2001,$B696))</f>
        <v/>
      </c>
      <c r="N696" s="20">
        <f>IF($M696="","",IF($M696&lt;=0,"Sin stock: reponer ya",IF($M696&lt;IFERROR(N(INDEX(Vinos!$N$2:$N$301,MATCH($B696,Vinos!$A$2:$A$301,0))),0),"Bajo mínimo: reponer","OK")))</f>
        <v/>
      </c>
      <c r="O696" s="14" t="n"/>
      <c r="P696" s="14" t="n"/>
      <c r="Q696" s="20">
        <f>IF($B696="","",IFERROR(INDEX(Vinos!$C$2:$C$301,MATCH($B696,Vinos!$A$2:$A$301,0)),""))</f>
        <v/>
      </c>
      <c r="R696" s="20">
        <f>IF(OR($A696="",$A696&lt;&gt;'Resumen del inventario'!$C$3,$N696="",$N696="OK"),"",IF(COUNTIFS($A$2:$A696,$A696,$B$2:$B696,$B696)=1,1,""))</f>
        <v/>
      </c>
      <c r="S696" s="20">
        <f>IF($R696=1,COUNTIF($R$2:$R696,1),"")</f>
        <v/>
      </c>
    </row>
    <row r="697">
      <c r="A697" s="19" t="n"/>
      <c r="B697" s="14" t="n"/>
      <c r="C697" s="20">
        <f>IF($B697="","",IFERROR(INDEX(Vinos!$B$2:$B$301,MATCH($B697,Vinos!$A$2:$A$301,0)),"Código no cargado"))</f>
        <v/>
      </c>
      <c r="D697" s="14" t="n"/>
      <c r="E697" s="14" t="n"/>
      <c r="F697" s="18" t="n"/>
      <c r="G697" s="18" t="n"/>
      <c r="H697" s="21">
        <f>IF(AND($F697="",$G697=""),"",N($F697)*IFERROR(N(INDEX(Vinos!$H$2:$H$301,MATCH($B697,Vinos!$A$2:$A$301,0))),0)+N($G697))</f>
        <v/>
      </c>
      <c r="I697" s="18" t="n"/>
      <c r="J697" s="21">
        <f>IF(OR($H697="",$I697=""),"",$H697-$I697)</f>
        <v/>
      </c>
      <c r="K697" s="16">
        <f>IF($H697="","",IFERROR(IF(INDEX(Vinos!$J$2:$J$301,MATCH($B697,Vinos!$A$2:$A$301,0))="","",$H697*INDEX(Vinos!$J$2:$J$301,MATCH($B697,Vinos!$A$2:$A$301,0))),""))</f>
        <v/>
      </c>
      <c r="L697" s="16">
        <f>IF($H697="","",IFERROR(IF(INDEX(Vinos!$K$2:$K$301,MATCH($B697,Vinos!$A$2:$A$301,0))="","",$H697*INDEX(Vinos!$K$2:$K$301,MATCH($B697,Vinos!$A$2:$A$301,0))),""))</f>
        <v/>
      </c>
      <c r="M697" s="21">
        <f>IF(OR($A697="",$B697=""),"",SUMIFS($H$2:$H$2001,$A$2:$A$2001,$A697,$B$2:$B$2001,$B697))</f>
        <v/>
      </c>
      <c r="N697" s="20">
        <f>IF($M697="","",IF($M697&lt;=0,"Sin stock: reponer ya",IF($M697&lt;IFERROR(N(INDEX(Vinos!$N$2:$N$301,MATCH($B697,Vinos!$A$2:$A$301,0))),0),"Bajo mínimo: reponer","OK")))</f>
        <v/>
      </c>
      <c r="O697" s="14" t="n"/>
      <c r="P697" s="14" t="n"/>
      <c r="Q697" s="20">
        <f>IF($B697="","",IFERROR(INDEX(Vinos!$C$2:$C$301,MATCH($B697,Vinos!$A$2:$A$301,0)),""))</f>
        <v/>
      </c>
      <c r="R697" s="20">
        <f>IF(OR($A697="",$A697&lt;&gt;'Resumen del inventario'!$C$3,$N697="",$N697="OK"),"",IF(COUNTIFS($A$2:$A697,$A697,$B$2:$B697,$B697)=1,1,""))</f>
        <v/>
      </c>
      <c r="S697" s="20">
        <f>IF($R697=1,COUNTIF($R$2:$R697,1),"")</f>
        <v/>
      </c>
    </row>
    <row r="698">
      <c r="A698" s="19" t="n"/>
      <c r="B698" s="14" t="n"/>
      <c r="C698" s="20">
        <f>IF($B698="","",IFERROR(INDEX(Vinos!$B$2:$B$301,MATCH($B698,Vinos!$A$2:$A$301,0)),"Código no cargado"))</f>
        <v/>
      </c>
      <c r="D698" s="14" t="n"/>
      <c r="E698" s="14" t="n"/>
      <c r="F698" s="18" t="n"/>
      <c r="G698" s="18" t="n"/>
      <c r="H698" s="21">
        <f>IF(AND($F698="",$G698=""),"",N($F698)*IFERROR(N(INDEX(Vinos!$H$2:$H$301,MATCH($B698,Vinos!$A$2:$A$301,0))),0)+N($G698))</f>
        <v/>
      </c>
      <c r="I698" s="18" t="n"/>
      <c r="J698" s="21">
        <f>IF(OR($H698="",$I698=""),"",$H698-$I698)</f>
        <v/>
      </c>
      <c r="K698" s="16">
        <f>IF($H698="","",IFERROR(IF(INDEX(Vinos!$J$2:$J$301,MATCH($B698,Vinos!$A$2:$A$301,0))="","",$H698*INDEX(Vinos!$J$2:$J$301,MATCH($B698,Vinos!$A$2:$A$301,0))),""))</f>
        <v/>
      </c>
      <c r="L698" s="16">
        <f>IF($H698="","",IFERROR(IF(INDEX(Vinos!$K$2:$K$301,MATCH($B698,Vinos!$A$2:$A$301,0))="","",$H698*INDEX(Vinos!$K$2:$K$301,MATCH($B698,Vinos!$A$2:$A$301,0))),""))</f>
        <v/>
      </c>
      <c r="M698" s="21">
        <f>IF(OR($A698="",$B698=""),"",SUMIFS($H$2:$H$2001,$A$2:$A$2001,$A698,$B$2:$B$2001,$B698))</f>
        <v/>
      </c>
      <c r="N698" s="20">
        <f>IF($M698="","",IF($M698&lt;=0,"Sin stock: reponer ya",IF($M698&lt;IFERROR(N(INDEX(Vinos!$N$2:$N$301,MATCH($B698,Vinos!$A$2:$A$301,0))),0),"Bajo mínimo: reponer","OK")))</f>
        <v/>
      </c>
      <c r="O698" s="14" t="n"/>
      <c r="P698" s="14" t="n"/>
      <c r="Q698" s="20">
        <f>IF($B698="","",IFERROR(INDEX(Vinos!$C$2:$C$301,MATCH($B698,Vinos!$A$2:$A$301,0)),""))</f>
        <v/>
      </c>
      <c r="R698" s="20">
        <f>IF(OR($A698="",$A698&lt;&gt;'Resumen del inventario'!$C$3,$N698="",$N698="OK"),"",IF(COUNTIFS($A$2:$A698,$A698,$B$2:$B698,$B698)=1,1,""))</f>
        <v/>
      </c>
      <c r="S698" s="20">
        <f>IF($R698=1,COUNTIF($R$2:$R698,1),"")</f>
        <v/>
      </c>
    </row>
    <row r="699">
      <c r="A699" s="19" t="n"/>
      <c r="B699" s="14" t="n"/>
      <c r="C699" s="20">
        <f>IF($B699="","",IFERROR(INDEX(Vinos!$B$2:$B$301,MATCH($B699,Vinos!$A$2:$A$301,0)),"Código no cargado"))</f>
        <v/>
      </c>
      <c r="D699" s="14" t="n"/>
      <c r="E699" s="14" t="n"/>
      <c r="F699" s="18" t="n"/>
      <c r="G699" s="18" t="n"/>
      <c r="H699" s="21">
        <f>IF(AND($F699="",$G699=""),"",N($F699)*IFERROR(N(INDEX(Vinos!$H$2:$H$301,MATCH($B699,Vinos!$A$2:$A$301,0))),0)+N($G699))</f>
        <v/>
      </c>
      <c r="I699" s="18" t="n"/>
      <c r="J699" s="21">
        <f>IF(OR($H699="",$I699=""),"",$H699-$I699)</f>
        <v/>
      </c>
      <c r="K699" s="16">
        <f>IF($H699="","",IFERROR(IF(INDEX(Vinos!$J$2:$J$301,MATCH($B699,Vinos!$A$2:$A$301,0))="","",$H699*INDEX(Vinos!$J$2:$J$301,MATCH($B699,Vinos!$A$2:$A$301,0))),""))</f>
        <v/>
      </c>
      <c r="L699" s="16">
        <f>IF($H699="","",IFERROR(IF(INDEX(Vinos!$K$2:$K$301,MATCH($B699,Vinos!$A$2:$A$301,0))="","",$H699*INDEX(Vinos!$K$2:$K$301,MATCH($B699,Vinos!$A$2:$A$301,0))),""))</f>
        <v/>
      </c>
      <c r="M699" s="21">
        <f>IF(OR($A699="",$B699=""),"",SUMIFS($H$2:$H$2001,$A$2:$A$2001,$A699,$B$2:$B$2001,$B699))</f>
        <v/>
      </c>
      <c r="N699" s="20">
        <f>IF($M699="","",IF($M699&lt;=0,"Sin stock: reponer ya",IF($M699&lt;IFERROR(N(INDEX(Vinos!$N$2:$N$301,MATCH($B699,Vinos!$A$2:$A$301,0))),0),"Bajo mínimo: reponer","OK")))</f>
        <v/>
      </c>
      <c r="O699" s="14" t="n"/>
      <c r="P699" s="14" t="n"/>
      <c r="Q699" s="20">
        <f>IF($B699="","",IFERROR(INDEX(Vinos!$C$2:$C$301,MATCH($B699,Vinos!$A$2:$A$301,0)),""))</f>
        <v/>
      </c>
      <c r="R699" s="20">
        <f>IF(OR($A699="",$A699&lt;&gt;'Resumen del inventario'!$C$3,$N699="",$N699="OK"),"",IF(COUNTIFS($A$2:$A699,$A699,$B$2:$B699,$B699)=1,1,""))</f>
        <v/>
      </c>
      <c r="S699" s="20">
        <f>IF($R699=1,COUNTIF($R$2:$R699,1),"")</f>
        <v/>
      </c>
    </row>
    <row r="700">
      <c r="A700" s="19" t="n"/>
      <c r="B700" s="14" t="n"/>
      <c r="C700" s="20">
        <f>IF($B700="","",IFERROR(INDEX(Vinos!$B$2:$B$301,MATCH($B700,Vinos!$A$2:$A$301,0)),"Código no cargado"))</f>
        <v/>
      </c>
      <c r="D700" s="14" t="n"/>
      <c r="E700" s="14" t="n"/>
      <c r="F700" s="18" t="n"/>
      <c r="G700" s="18" t="n"/>
      <c r="H700" s="21">
        <f>IF(AND($F700="",$G700=""),"",N($F700)*IFERROR(N(INDEX(Vinos!$H$2:$H$301,MATCH($B700,Vinos!$A$2:$A$301,0))),0)+N($G700))</f>
        <v/>
      </c>
      <c r="I700" s="18" t="n"/>
      <c r="J700" s="21">
        <f>IF(OR($H700="",$I700=""),"",$H700-$I700)</f>
        <v/>
      </c>
      <c r="K700" s="16">
        <f>IF($H700="","",IFERROR(IF(INDEX(Vinos!$J$2:$J$301,MATCH($B700,Vinos!$A$2:$A$301,0))="","",$H700*INDEX(Vinos!$J$2:$J$301,MATCH($B700,Vinos!$A$2:$A$301,0))),""))</f>
        <v/>
      </c>
      <c r="L700" s="16">
        <f>IF($H700="","",IFERROR(IF(INDEX(Vinos!$K$2:$K$301,MATCH($B700,Vinos!$A$2:$A$301,0))="","",$H700*INDEX(Vinos!$K$2:$K$301,MATCH($B700,Vinos!$A$2:$A$301,0))),""))</f>
        <v/>
      </c>
      <c r="M700" s="21">
        <f>IF(OR($A700="",$B700=""),"",SUMIFS($H$2:$H$2001,$A$2:$A$2001,$A700,$B$2:$B$2001,$B700))</f>
        <v/>
      </c>
      <c r="N700" s="20">
        <f>IF($M700="","",IF($M700&lt;=0,"Sin stock: reponer ya",IF($M700&lt;IFERROR(N(INDEX(Vinos!$N$2:$N$301,MATCH($B700,Vinos!$A$2:$A$301,0))),0),"Bajo mínimo: reponer","OK")))</f>
        <v/>
      </c>
      <c r="O700" s="14" t="n"/>
      <c r="P700" s="14" t="n"/>
      <c r="Q700" s="20">
        <f>IF($B700="","",IFERROR(INDEX(Vinos!$C$2:$C$301,MATCH($B700,Vinos!$A$2:$A$301,0)),""))</f>
        <v/>
      </c>
      <c r="R700" s="20">
        <f>IF(OR($A700="",$A700&lt;&gt;'Resumen del inventario'!$C$3,$N700="",$N700="OK"),"",IF(COUNTIFS($A$2:$A700,$A700,$B$2:$B700,$B700)=1,1,""))</f>
        <v/>
      </c>
      <c r="S700" s="20">
        <f>IF($R700=1,COUNTIF($R$2:$R700,1),"")</f>
        <v/>
      </c>
    </row>
    <row r="701">
      <c r="A701" s="19" t="n"/>
      <c r="B701" s="14" t="n"/>
      <c r="C701" s="20">
        <f>IF($B701="","",IFERROR(INDEX(Vinos!$B$2:$B$301,MATCH($B701,Vinos!$A$2:$A$301,0)),"Código no cargado"))</f>
        <v/>
      </c>
      <c r="D701" s="14" t="n"/>
      <c r="E701" s="14" t="n"/>
      <c r="F701" s="18" t="n"/>
      <c r="G701" s="18" t="n"/>
      <c r="H701" s="21">
        <f>IF(AND($F701="",$G701=""),"",N($F701)*IFERROR(N(INDEX(Vinos!$H$2:$H$301,MATCH($B701,Vinos!$A$2:$A$301,0))),0)+N($G701))</f>
        <v/>
      </c>
      <c r="I701" s="18" t="n"/>
      <c r="J701" s="21">
        <f>IF(OR($H701="",$I701=""),"",$H701-$I701)</f>
        <v/>
      </c>
      <c r="K701" s="16">
        <f>IF($H701="","",IFERROR(IF(INDEX(Vinos!$J$2:$J$301,MATCH($B701,Vinos!$A$2:$A$301,0))="","",$H701*INDEX(Vinos!$J$2:$J$301,MATCH($B701,Vinos!$A$2:$A$301,0))),""))</f>
        <v/>
      </c>
      <c r="L701" s="16">
        <f>IF($H701="","",IFERROR(IF(INDEX(Vinos!$K$2:$K$301,MATCH($B701,Vinos!$A$2:$A$301,0))="","",$H701*INDEX(Vinos!$K$2:$K$301,MATCH($B701,Vinos!$A$2:$A$301,0))),""))</f>
        <v/>
      </c>
      <c r="M701" s="21">
        <f>IF(OR($A701="",$B701=""),"",SUMIFS($H$2:$H$2001,$A$2:$A$2001,$A701,$B$2:$B$2001,$B701))</f>
        <v/>
      </c>
      <c r="N701" s="20">
        <f>IF($M701="","",IF($M701&lt;=0,"Sin stock: reponer ya",IF($M701&lt;IFERROR(N(INDEX(Vinos!$N$2:$N$301,MATCH($B701,Vinos!$A$2:$A$301,0))),0),"Bajo mínimo: reponer","OK")))</f>
        <v/>
      </c>
      <c r="O701" s="14" t="n"/>
      <c r="P701" s="14" t="n"/>
      <c r="Q701" s="20">
        <f>IF($B701="","",IFERROR(INDEX(Vinos!$C$2:$C$301,MATCH($B701,Vinos!$A$2:$A$301,0)),""))</f>
        <v/>
      </c>
      <c r="R701" s="20">
        <f>IF(OR($A701="",$A701&lt;&gt;'Resumen del inventario'!$C$3,$N701="",$N701="OK"),"",IF(COUNTIFS($A$2:$A701,$A701,$B$2:$B701,$B701)=1,1,""))</f>
        <v/>
      </c>
      <c r="S701" s="20">
        <f>IF($R701=1,COUNTIF($R$2:$R701,1),"")</f>
        <v/>
      </c>
    </row>
    <row r="702">
      <c r="A702" s="19" t="n"/>
      <c r="B702" s="14" t="n"/>
      <c r="C702" s="20">
        <f>IF($B702="","",IFERROR(INDEX(Vinos!$B$2:$B$301,MATCH($B702,Vinos!$A$2:$A$301,0)),"Código no cargado"))</f>
        <v/>
      </c>
      <c r="D702" s="14" t="n"/>
      <c r="E702" s="14" t="n"/>
      <c r="F702" s="18" t="n"/>
      <c r="G702" s="18" t="n"/>
      <c r="H702" s="21">
        <f>IF(AND($F702="",$G702=""),"",N($F702)*IFERROR(N(INDEX(Vinos!$H$2:$H$301,MATCH($B702,Vinos!$A$2:$A$301,0))),0)+N($G702))</f>
        <v/>
      </c>
      <c r="I702" s="18" t="n"/>
      <c r="J702" s="21">
        <f>IF(OR($H702="",$I702=""),"",$H702-$I702)</f>
        <v/>
      </c>
      <c r="K702" s="16">
        <f>IF($H702="","",IFERROR(IF(INDEX(Vinos!$J$2:$J$301,MATCH($B702,Vinos!$A$2:$A$301,0))="","",$H702*INDEX(Vinos!$J$2:$J$301,MATCH($B702,Vinos!$A$2:$A$301,0))),""))</f>
        <v/>
      </c>
      <c r="L702" s="16">
        <f>IF($H702="","",IFERROR(IF(INDEX(Vinos!$K$2:$K$301,MATCH($B702,Vinos!$A$2:$A$301,0))="","",$H702*INDEX(Vinos!$K$2:$K$301,MATCH($B702,Vinos!$A$2:$A$301,0))),""))</f>
        <v/>
      </c>
      <c r="M702" s="21">
        <f>IF(OR($A702="",$B702=""),"",SUMIFS($H$2:$H$2001,$A$2:$A$2001,$A702,$B$2:$B$2001,$B702))</f>
        <v/>
      </c>
      <c r="N702" s="20">
        <f>IF($M702="","",IF($M702&lt;=0,"Sin stock: reponer ya",IF($M702&lt;IFERROR(N(INDEX(Vinos!$N$2:$N$301,MATCH($B702,Vinos!$A$2:$A$301,0))),0),"Bajo mínimo: reponer","OK")))</f>
        <v/>
      </c>
      <c r="O702" s="14" t="n"/>
      <c r="P702" s="14" t="n"/>
      <c r="Q702" s="20">
        <f>IF($B702="","",IFERROR(INDEX(Vinos!$C$2:$C$301,MATCH($B702,Vinos!$A$2:$A$301,0)),""))</f>
        <v/>
      </c>
      <c r="R702" s="20">
        <f>IF(OR($A702="",$A702&lt;&gt;'Resumen del inventario'!$C$3,$N702="",$N702="OK"),"",IF(COUNTIFS($A$2:$A702,$A702,$B$2:$B702,$B702)=1,1,""))</f>
        <v/>
      </c>
      <c r="S702" s="20">
        <f>IF($R702=1,COUNTIF($R$2:$R702,1),"")</f>
        <v/>
      </c>
    </row>
    <row r="703">
      <c r="A703" s="19" t="n"/>
      <c r="B703" s="14" t="n"/>
      <c r="C703" s="20">
        <f>IF($B703="","",IFERROR(INDEX(Vinos!$B$2:$B$301,MATCH($B703,Vinos!$A$2:$A$301,0)),"Código no cargado"))</f>
        <v/>
      </c>
      <c r="D703" s="14" t="n"/>
      <c r="E703" s="14" t="n"/>
      <c r="F703" s="18" t="n"/>
      <c r="G703" s="18" t="n"/>
      <c r="H703" s="21">
        <f>IF(AND($F703="",$G703=""),"",N($F703)*IFERROR(N(INDEX(Vinos!$H$2:$H$301,MATCH($B703,Vinos!$A$2:$A$301,0))),0)+N($G703))</f>
        <v/>
      </c>
      <c r="I703" s="18" t="n"/>
      <c r="J703" s="21">
        <f>IF(OR($H703="",$I703=""),"",$H703-$I703)</f>
        <v/>
      </c>
      <c r="K703" s="16">
        <f>IF($H703="","",IFERROR(IF(INDEX(Vinos!$J$2:$J$301,MATCH($B703,Vinos!$A$2:$A$301,0))="","",$H703*INDEX(Vinos!$J$2:$J$301,MATCH($B703,Vinos!$A$2:$A$301,0))),""))</f>
        <v/>
      </c>
      <c r="L703" s="16">
        <f>IF($H703="","",IFERROR(IF(INDEX(Vinos!$K$2:$K$301,MATCH($B703,Vinos!$A$2:$A$301,0))="","",$H703*INDEX(Vinos!$K$2:$K$301,MATCH($B703,Vinos!$A$2:$A$301,0))),""))</f>
        <v/>
      </c>
      <c r="M703" s="21">
        <f>IF(OR($A703="",$B703=""),"",SUMIFS($H$2:$H$2001,$A$2:$A$2001,$A703,$B$2:$B$2001,$B703))</f>
        <v/>
      </c>
      <c r="N703" s="20">
        <f>IF($M703="","",IF($M703&lt;=0,"Sin stock: reponer ya",IF($M703&lt;IFERROR(N(INDEX(Vinos!$N$2:$N$301,MATCH($B703,Vinos!$A$2:$A$301,0))),0),"Bajo mínimo: reponer","OK")))</f>
        <v/>
      </c>
      <c r="O703" s="14" t="n"/>
      <c r="P703" s="14" t="n"/>
      <c r="Q703" s="20">
        <f>IF($B703="","",IFERROR(INDEX(Vinos!$C$2:$C$301,MATCH($B703,Vinos!$A$2:$A$301,0)),""))</f>
        <v/>
      </c>
      <c r="R703" s="20">
        <f>IF(OR($A703="",$A703&lt;&gt;'Resumen del inventario'!$C$3,$N703="",$N703="OK"),"",IF(COUNTIFS($A$2:$A703,$A703,$B$2:$B703,$B703)=1,1,""))</f>
        <v/>
      </c>
      <c r="S703" s="20">
        <f>IF($R703=1,COUNTIF($R$2:$R703,1),"")</f>
        <v/>
      </c>
    </row>
    <row r="704">
      <c r="A704" s="19" t="n"/>
      <c r="B704" s="14" t="n"/>
      <c r="C704" s="20">
        <f>IF($B704="","",IFERROR(INDEX(Vinos!$B$2:$B$301,MATCH($B704,Vinos!$A$2:$A$301,0)),"Código no cargado"))</f>
        <v/>
      </c>
      <c r="D704" s="14" t="n"/>
      <c r="E704" s="14" t="n"/>
      <c r="F704" s="18" t="n"/>
      <c r="G704" s="18" t="n"/>
      <c r="H704" s="21">
        <f>IF(AND($F704="",$G704=""),"",N($F704)*IFERROR(N(INDEX(Vinos!$H$2:$H$301,MATCH($B704,Vinos!$A$2:$A$301,0))),0)+N($G704))</f>
        <v/>
      </c>
      <c r="I704" s="18" t="n"/>
      <c r="J704" s="21">
        <f>IF(OR($H704="",$I704=""),"",$H704-$I704)</f>
        <v/>
      </c>
      <c r="K704" s="16">
        <f>IF($H704="","",IFERROR(IF(INDEX(Vinos!$J$2:$J$301,MATCH($B704,Vinos!$A$2:$A$301,0))="","",$H704*INDEX(Vinos!$J$2:$J$301,MATCH($B704,Vinos!$A$2:$A$301,0))),""))</f>
        <v/>
      </c>
      <c r="L704" s="16">
        <f>IF($H704="","",IFERROR(IF(INDEX(Vinos!$K$2:$K$301,MATCH($B704,Vinos!$A$2:$A$301,0))="","",$H704*INDEX(Vinos!$K$2:$K$301,MATCH($B704,Vinos!$A$2:$A$301,0))),""))</f>
        <v/>
      </c>
      <c r="M704" s="21">
        <f>IF(OR($A704="",$B704=""),"",SUMIFS($H$2:$H$2001,$A$2:$A$2001,$A704,$B$2:$B$2001,$B704))</f>
        <v/>
      </c>
      <c r="N704" s="20">
        <f>IF($M704="","",IF($M704&lt;=0,"Sin stock: reponer ya",IF($M704&lt;IFERROR(N(INDEX(Vinos!$N$2:$N$301,MATCH($B704,Vinos!$A$2:$A$301,0))),0),"Bajo mínimo: reponer","OK")))</f>
        <v/>
      </c>
      <c r="O704" s="14" t="n"/>
      <c r="P704" s="14" t="n"/>
      <c r="Q704" s="20">
        <f>IF($B704="","",IFERROR(INDEX(Vinos!$C$2:$C$301,MATCH($B704,Vinos!$A$2:$A$301,0)),""))</f>
        <v/>
      </c>
      <c r="R704" s="20">
        <f>IF(OR($A704="",$A704&lt;&gt;'Resumen del inventario'!$C$3,$N704="",$N704="OK"),"",IF(COUNTIFS($A$2:$A704,$A704,$B$2:$B704,$B704)=1,1,""))</f>
        <v/>
      </c>
      <c r="S704" s="20">
        <f>IF($R704=1,COUNTIF($R$2:$R704,1),"")</f>
        <v/>
      </c>
    </row>
    <row r="705">
      <c r="A705" s="19" t="n"/>
      <c r="B705" s="14" t="n"/>
      <c r="C705" s="20">
        <f>IF($B705="","",IFERROR(INDEX(Vinos!$B$2:$B$301,MATCH($B705,Vinos!$A$2:$A$301,0)),"Código no cargado"))</f>
        <v/>
      </c>
      <c r="D705" s="14" t="n"/>
      <c r="E705" s="14" t="n"/>
      <c r="F705" s="18" t="n"/>
      <c r="G705" s="18" t="n"/>
      <c r="H705" s="21">
        <f>IF(AND($F705="",$G705=""),"",N($F705)*IFERROR(N(INDEX(Vinos!$H$2:$H$301,MATCH($B705,Vinos!$A$2:$A$301,0))),0)+N($G705))</f>
        <v/>
      </c>
      <c r="I705" s="18" t="n"/>
      <c r="J705" s="21">
        <f>IF(OR($H705="",$I705=""),"",$H705-$I705)</f>
        <v/>
      </c>
      <c r="K705" s="16">
        <f>IF($H705="","",IFERROR(IF(INDEX(Vinos!$J$2:$J$301,MATCH($B705,Vinos!$A$2:$A$301,0))="","",$H705*INDEX(Vinos!$J$2:$J$301,MATCH($B705,Vinos!$A$2:$A$301,0))),""))</f>
        <v/>
      </c>
      <c r="L705" s="16">
        <f>IF($H705="","",IFERROR(IF(INDEX(Vinos!$K$2:$K$301,MATCH($B705,Vinos!$A$2:$A$301,0))="","",$H705*INDEX(Vinos!$K$2:$K$301,MATCH($B705,Vinos!$A$2:$A$301,0))),""))</f>
        <v/>
      </c>
      <c r="M705" s="21">
        <f>IF(OR($A705="",$B705=""),"",SUMIFS($H$2:$H$2001,$A$2:$A$2001,$A705,$B$2:$B$2001,$B705))</f>
        <v/>
      </c>
      <c r="N705" s="20">
        <f>IF($M705="","",IF($M705&lt;=0,"Sin stock: reponer ya",IF($M705&lt;IFERROR(N(INDEX(Vinos!$N$2:$N$301,MATCH($B705,Vinos!$A$2:$A$301,0))),0),"Bajo mínimo: reponer","OK")))</f>
        <v/>
      </c>
      <c r="O705" s="14" t="n"/>
      <c r="P705" s="14" t="n"/>
      <c r="Q705" s="20">
        <f>IF($B705="","",IFERROR(INDEX(Vinos!$C$2:$C$301,MATCH($B705,Vinos!$A$2:$A$301,0)),""))</f>
        <v/>
      </c>
      <c r="R705" s="20">
        <f>IF(OR($A705="",$A705&lt;&gt;'Resumen del inventario'!$C$3,$N705="",$N705="OK"),"",IF(COUNTIFS($A$2:$A705,$A705,$B$2:$B705,$B705)=1,1,""))</f>
        <v/>
      </c>
      <c r="S705" s="20">
        <f>IF($R705=1,COUNTIF($R$2:$R705,1),"")</f>
        <v/>
      </c>
    </row>
    <row r="706">
      <c r="A706" s="19" t="n"/>
      <c r="B706" s="14" t="n"/>
      <c r="C706" s="20">
        <f>IF($B706="","",IFERROR(INDEX(Vinos!$B$2:$B$301,MATCH($B706,Vinos!$A$2:$A$301,0)),"Código no cargado"))</f>
        <v/>
      </c>
      <c r="D706" s="14" t="n"/>
      <c r="E706" s="14" t="n"/>
      <c r="F706" s="18" t="n"/>
      <c r="G706" s="18" t="n"/>
      <c r="H706" s="21">
        <f>IF(AND($F706="",$G706=""),"",N($F706)*IFERROR(N(INDEX(Vinos!$H$2:$H$301,MATCH($B706,Vinos!$A$2:$A$301,0))),0)+N($G706))</f>
        <v/>
      </c>
      <c r="I706" s="18" t="n"/>
      <c r="J706" s="21">
        <f>IF(OR($H706="",$I706=""),"",$H706-$I706)</f>
        <v/>
      </c>
      <c r="K706" s="16">
        <f>IF($H706="","",IFERROR(IF(INDEX(Vinos!$J$2:$J$301,MATCH($B706,Vinos!$A$2:$A$301,0))="","",$H706*INDEX(Vinos!$J$2:$J$301,MATCH($B706,Vinos!$A$2:$A$301,0))),""))</f>
        <v/>
      </c>
      <c r="L706" s="16">
        <f>IF($H706="","",IFERROR(IF(INDEX(Vinos!$K$2:$K$301,MATCH($B706,Vinos!$A$2:$A$301,0))="","",$H706*INDEX(Vinos!$K$2:$K$301,MATCH($B706,Vinos!$A$2:$A$301,0))),""))</f>
        <v/>
      </c>
      <c r="M706" s="21">
        <f>IF(OR($A706="",$B706=""),"",SUMIFS($H$2:$H$2001,$A$2:$A$2001,$A706,$B$2:$B$2001,$B706))</f>
        <v/>
      </c>
      <c r="N706" s="20">
        <f>IF($M706="","",IF($M706&lt;=0,"Sin stock: reponer ya",IF($M706&lt;IFERROR(N(INDEX(Vinos!$N$2:$N$301,MATCH($B706,Vinos!$A$2:$A$301,0))),0),"Bajo mínimo: reponer","OK")))</f>
        <v/>
      </c>
      <c r="O706" s="14" t="n"/>
      <c r="P706" s="14" t="n"/>
      <c r="Q706" s="20">
        <f>IF($B706="","",IFERROR(INDEX(Vinos!$C$2:$C$301,MATCH($B706,Vinos!$A$2:$A$301,0)),""))</f>
        <v/>
      </c>
      <c r="R706" s="20">
        <f>IF(OR($A706="",$A706&lt;&gt;'Resumen del inventario'!$C$3,$N706="",$N706="OK"),"",IF(COUNTIFS($A$2:$A706,$A706,$B$2:$B706,$B706)=1,1,""))</f>
        <v/>
      </c>
      <c r="S706" s="20">
        <f>IF($R706=1,COUNTIF($R$2:$R706,1),"")</f>
        <v/>
      </c>
    </row>
    <row r="707">
      <c r="A707" s="19" t="n"/>
      <c r="B707" s="14" t="n"/>
      <c r="C707" s="20">
        <f>IF($B707="","",IFERROR(INDEX(Vinos!$B$2:$B$301,MATCH($B707,Vinos!$A$2:$A$301,0)),"Código no cargado"))</f>
        <v/>
      </c>
      <c r="D707" s="14" t="n"/>
      <c r="E707" s="14" t="n"/>
      <c r="F707" s="18" t="n"/>
      <c r="G707" s="18" t="n"/>
      <c r="H707" s="21">
        <f>IF(AND($F707="",$G707=""),"",N($F707)*IFERROR(N(INDEX(Vinos!$H$2:$H$301,MATCH($B707,Vinos!$A$2:$A$301,0))),0)+N($G707))</f>
        <v/>
      </c>
      <c r="I707" s="18" t="n"/>
      <c r="J707" s="21">
        <f>IF(OR($H707="",$I707=""),"",$H707-$I707)</f>
        <v/>
      </c>
      <c r="K707" s="16">
        <f>IF($H707="","",IFERROR(IF(INDEX(Vinos!$J$2:$J$301,MATCH($B707,Vinos!$A$2:$A$301,0))="","",$H707*INDEX(Vinos!$J$2:$J$301,MATCH($B707,Vinos!$A$2:$A$301,0))),""))</f>
        <v/>
      </c>
      <c r="L707" s="16">
        <f>IF($H707="","",IFERROR(IF(INDEX(Vinos!$K$2:$K$301,MATCH($B707,Vinos!$A$2:$A$301,0))="","",$H707*INDEX(Vinos!$K$2:$K$301,MATCH($B707,Vinos!$A$2:$A$301,0))),""))</f>
        <v/>
      </c>
      <c r="M707" s="21">
        <f>IF(OR($A707="",$B707=""),"",SUMIFS($H$2:$H$2001,$A$2:$A$2001,$A707,$B$2:$B$2001,$B707))</f>
        <v/>
      </c>
      <c r="N707" s="20">
        <f>IF($M707="","",IF($M707&lt;=0,"Sin stock: reponer ya",IF($M707&lt;IFERROR(N(INDEX(Vinos!$N$2:$N$301,MATCH($B707,Vinos!$A$2:$A$301,0))),0),"Bajo mínimo: reponer","OK")))</f>
        <v/>
      </c>
      <c r="O707" s="14" t="n"/>
      <c r="P707" s="14" t="n"/>
      <c r="Q707" s="20">
        <f>IF($B707="","",IFERROR(INDEX(Vinos!$C$2:$C$301,MATCH($B707,Vinos!$A$2:$A$301,0)),""))</f>
        <v/>
      </c>
      <c r="R707" s="20">
        <f>IF(OR($A707="",$A707&lt;&gt;'Resumen del inventario'!$C$3,$N707="",$N707="OK"),"",IF(COUNTIFS($A$2:$A707,$A707,$B$2:$B707,$B707)=1,1,""))</f>
        <v/>
      </c>
      <c r="S707" s="20">
        <f>IF($R707=1,COUNTIF($R$2:$R707,1),"")</f>
        <v/>
      </c>
    </row>
    <row r="708">
      <c r="A708" s="19" t="n"/>
      <c r="B708" s="14" t="n"/>
      <c r="C708" s="20">
        <f>IF($B708="","",IFERROR(INDEX(Vinos!$B$2:$B$301,MATCH($B708,Vinos!$A$2:$A$301,0)),"Código no cargado"))</f>
        <v/>
      </c>
      <c r="D708" s="14" t="n"/>
      <c r="E708" s="14" t="n"/>
      <c r="F708" s="18" t="n"/>
      <c r="G708" s="18" t="n"/>
      <c r="H708" s="21">
        <f>IF(AND($F708="",$G708=""),"",N($F708)*IFERROR(N(INDEX(Vinos!$H$2:$H$301,MATCH($B708,Vinos!$A$2:$A$301,0))),0)+N($G708))</f>
        <v/>
      </c>
      <c r="I708" s="18" t="n"/>
      <c r="J708" s="21">
        <f>IF(OR($H708="",$I708=""),"",$H708-$I708)</f>
        <v/>
      </c>
      <c r="K708" s="16">
        <f>IF($H708="","",IFERROR(IF(INDEX(Vinos!$J$2:$J$301,MATCH($B708,Vinos!$A$2:$A$301,0))="","",$H708*INDEX(Vinos!$J$2:$J$301,MATCH($B708,Vinos!$A$2:$A$301,0))),""))</f>
        <v/>
      </c>
      <c r="L708" s="16">
        <f>IF($H708="","",IFERROR(IF(INDEX(Vinos!$K$2:$K$301,MATCH($B708,Vinos!$A$2:$A$301,0))="","",$H708*INDEX(Vinos!$K$2:$K$301,MATCH($B708,Vinos!$A$2:$A$301,0))),""))</f>
        <v/>
      </c>
      <c r="M708" s="21">
        <f>IF(OR($A708="",$B708=""),"",SUMIFS($H$2:$H$2001,$A$2:$A$2001,$A708,$B$2:$B$2001,$B708))</f>
        <v/>
      </c>
      <c r="N708" s="20">
        <f>IF($M708="","",IF($M708&lt;=0,"Sin stock: reponer ya",IF($M708&lt;IFERROR(N(INDEX(Vinos!$N$2:$N$301,MATCH($B708,Vinos!$A$2:$A$301,0))),0),"Bajo mínimo: reponer","OK")))</f>
        <v/>
      </c>
      <c r="O708" s="14" t="n"/>
      <c r="P708" s="14" t="n"/>
      <c r="Q708" s="20">
        <f>IF($B708="","",IFERROR(INDEX(Vinos!$C$2:$C$301,MATCH($B708,Vinos!$A$2:$A$301,0)),""))</f>
        <v/>
      </c>
      <c r="R708" s="20">
        <f>IF(OR($A708="",$A708&lt;&gt;'Resumen del inventario'!$C$3,$N708="",$N708="OK"),"",IF(COUNTIFS($A$2:$A708,$A708,$B$2:$B708,$B708)=1,1,""))</f>
        <v/>
      </c>
      <c r="S708" s="20">
        <f>IF($R708=1,COUNTIF($R$2:$R708,1),"")</f>
        <v/>
      </c>
    </row>
    <row r="709">
      <c r="A709" s="19" t="n"/>
      <c r="B709" s="14" t="n"/>
      <c r="C709" s="20">
        <f>IF($B709="","",IFERROR(INDEX(Vinos!$B$2:$B$301,MATCH($B709,Vinos!$A$2:$A$301,0)),"Código no cargado"))</f>
        <v/>
      </c>
      <c r="D709" s="14" t="n"/>
      <c r="E709" s="14" t="n"/>
      <c r="F709" s="18" t="n"/>
      <c r="G709" s="18" t="n"/>
      <c r="H709" s="21">
        <f>IF(AND($F709="",$G709=""),"",N($F709)*IFERROR(N(INDEX(Vinos!$H$2:$H$301,MATCH($B709,Vinos!$A$2:$A$301,0))),0)+N($G709))</f>
        <v/>
      </c>
      <c r="I709" s="18" t="n"/>
      <c r="J709" s="21">
        <f>IF(OR($H709="",$I709=""),"",$H709-$I709)</f>
        <v/>
      </c>
      <c r="K709" s="16">
        <f>IF($H709="","",IFERROR(IF(INDEX(Vinos!$J$2:$J$301,MATCH($B709,Vinos!$A$2:$A$301,0))="","",$H709*INDEX(Vinos!$J$2:$J$301,MATCH($B709,Vinos!$A$2:$A$301,0))),""))</f>
        <v/>
      </c>
      <c r="L709" s="16">
        <f>IF($H709="","",IFERROR(IF(INDEX(Vinos!$K$2:$K$301,MATCH($B709,Vinos!$A$2:$A$301,0))="","",$H709*INDEX(Vinos!$K$2:$K$301,MATCH($B709,Vinos!$A$2:$A$301,0))),""))</f>
        <v/>
      </c>
      <c r="M709" s="21">
        <f>IF(OR($A709="",$B709=""),"",SUMIFS($H$2:$H$2001,$A$2:$A$2001,$A709,$B$2:$B$2001,$B709))</f>
        <v/>
      </c>
      <c r="N709" s="20">
        <f>IF($M709="","",IF($M709&lt;=0,"Sin stock: reponer ya",IF($M709&lt;IFERROR(N(INDEX(Vinos!$N$2:$N$301,MATCH($B709,Vinos!$A$2:$A$301,0))),0),"Bajo mínimo: reponer","OK")))</f>
        <v/>
      </c>
      <c r="O709" s="14" t="n"/>
      <c r="P709" s="14" t="n"/>
      <c r="Q709" s="20">
        <f>IF($B709="","",IFERROR(INDEX(Vinos!$C$2:$C$301,MATCH($B709,Vinos!$A$2:$A$301,0)),""))</f>
        <v/>
      </c>
      <c r="R709" s="20">
        <f>IF(OR($A709="",$A709&lt;&gt;'Resumen del inventario'!$C$3,$N709="",$N709="OK"),"",IF(COUNTIFS($A$2:$A709,$A709,$B$2:$B709,$B709)=1,1,""))</f>
        <v/>
      </c>
      <c r="S709" s="20">
        <f>IF($R709=1,COUNTIF($R$2:$R709,1),"")</f>
        <v/>
      </c>
    </row>
    <row r="710">
      <c r="A710" s="19" t="n"/>
      <c r="B710" s="14" t="n"/>
      <c r="C710" s="20">
        <f>IF($B710="","",IFERROR(INDEX(Vinos!$B$2:$B$301,MATCH($B710,Vinos!$A$2:$A$301,0)),"Código no cargado"))</f>
        <v/>
      </c>
      <c r="D710" s="14" t="n"/>
      <c r="E710" s="14" t="n"/>
      <c r="F710" s="18" t="n"/>
      <c r="G710" s="18" t="n"/>
      <c r="H710" s="21">
        <f>IF(AND($F710="",$G710=""),"",N($F710)*IFERROR(N(INDEX(Vinos!$H$2:$H$301,MATCH($B710,Vinos!$A$2:$A$301,0))),0)+N($G710))</f>
        <v/>
      </c>
      <c r="I710" s="18" t="n"/>
      <c r="J710" s="21">
        <f>IF(OR($H710="",$I710=""),"",$H710-$I710)</f>
        <v/>
      </c>
      <c r="K710" s="16">
        <f>IF($H710="","",IFERROR(IF(INDEX(Vinos!$J$2:$J$301,MATCH($B710,Vinos!$A$2:$A$301,0))="","",$H710*INDEX(Vinos!$J$2:$J$301,MATCH($B710,Vinos!$A$2:$A$301,0))),""))</f>
        <v/>
      </c>
      <c r="L710" s="16">
        <f>IF($H710="","",IFERROR(IF(INDEX(Vinos!$K$2:$K$301,MATCH($B710,Vinos!$A$2:$A$301,0))="","",$H710*INDEX(Vinos!$K$2:$K$301,MATCH($B710,Vinos!$A$2:$A$301,0))),""))</f>
        <v/>
      </c>
      <c r="M710" s="21">
        <f>IF(OR($A710="",$B710=""),"",SUMIFS($H$2:$H$2001,$A$2:$A$2001,$A710,$B$2:$B$2001,$B710))</f>
        <v/>
      </c>
      <c r="N710" s="20">
        <f>IF($M710="","",IF($M710&lt;=0,"Sin stock: reponer ya",IF($M710&lt;IFERROR(N(INDEX(Vinos!$N$2:$N$301,MATCH($B710,Vinos!$A$2:$A$301,0))),0),"Bajo mínimo: reponer","OK")))</f>
        <v/>
      </c>
      <c r="O710" s="14" t="n"/>
      <c r="P710" s="14" t="n"/>
      <c r="Q710" s="20">
        <f>IF($B710="","",IFERROR(INDEX(Vinos!$C$2:$C$301,MATCH($B710,Vinos!$A$2:$A$301,0)),""))</f>
        <v/>
      </c>
      <c r="R710" s="20">
        <f>IF(OR($A710="",$A710&lt;&gt;'Resumen del inventario'!$C$3,$N710="",$N710="OK"),"",IF(COUNTIFS($A$2:$A710,$A710,$B$2:$B710,$B710)=1,1,""))</f>
        <v/>
      </c>
      <c r="S710" s="20">
        <f>IF($R710=1,COUNTIF($R$2:$R710,1),"")</f>
        <v/>
      </c>
    </row>
    <row r="711">
      <c r="A711" s="19" t="n"/>
      <c r="B711" s="14" t="n"/>
      <c r="C711" s="20">
        <f>IF($B711="","",IFERROR(INDEX(Vinos!$B$2:$B$301,MATCH($B711,Vinos!$A$2:$A$301,0)),"Código no cargado"))</f>
        <v/>
      </c>
      <c r="D711" s="14" t="n"/>
      <c r="E711" s="14" t="n"/>
      <c r="F711" s="18" t="n"/>
      <c r="G711" s="18" t="n"/>
      <c r="H711" s="21">
        <f>IF(AND($F711="",$G711=""),"",N($F711)*IFERROR(N(INDEX(Vinos!$H$2:$H$301,MATCH($B711,Vinos!$A$2:$A$301,0))),0)+N($G711))</f>
        <v/>
      </c>
      <c r="I711" s="18" t="n"/>
      <c r="J711" s="21">
        <f>IF(OR($H711="",$I711=""),"",$H711-$I711)</f>
        <v/>
      </c>
      <c r="K711" s="16">
        <f>IF($H711="","",IFERROR(IF(INDEX(Vinos!$J$2:$J$301,MATCH($B711,Vinos!$A$2:$A$301,0))="","",$H711*INDEX(Vinos!$J$2:$J$301,MATCH($B711,Vinos!$A$2:$A$301,0))),""))</f>
        <v/>
      </c>
      <c r="L711" s="16">
        <f>IF($H711="","",IFERROR(IF(INDEX(Vinos!$K$2:$K$301,MATCH($B711,Vinos!$A$2:$A$301,0))="","",$H711*INDEX(Vinos!$K$2:$K$301,MATCH($B711,Vinos!$A$2:$A$301,0))),""))</f>
        <v/>
      </c>
      <c r="M711" s="21">
        <f>IF(OR($A711="",$B711=""),"",SUMIFS($H$2:$H$2001,$A$2:$A$2001,$A711,$B$2:$B$2001,$B711))</f>
        <v/>
      </c>
      <c r="N711" s="20">
        <f>IF($M711="","",IF($M711&lt;=0,"Sin stock: reponer ya",IF($M711&lt;IFERROR(N(INDEX(Vinos!$N$2:$N$301,MATCH($B711,Vinos!$A$2:$A$301,0))),0),"Bajo mínimo: reponer","OK")))</f>
        <v/>
      </c>
      <c r="O711" s="14" t="n"/>
      <c r="P711" s="14" t="n"/>
      <c r="Q711" s="20">
        <f>IF($B711="","",IFERROR(INDEX(Vinos!$C$2:$C$301,MATCH($B711,Vinos!$A$2:$A$301,0)),""))</f>
        <v/>
      </c>
      <c r="R711" s="20">
        <f>IF(OR($A711="",$A711&lt;&gt;'Resumen del inventario'!$C$3,$N711="",$N711="OK"),"",IF(COUNTIFS($A$2:$A711,$A711,$B$2:$B711,$B711)=1,1,""))</f>
        <v/>
      </c>
      <c r="S711" s="20">
        <f>IF($R711=1,COUNTIF($R$2:$R711,1),"")</f>
        <v/>
      </c>
    </row>
    <row r="712">
      <c r="A712" s="19" t="n"/>
      <c r="B712" s="14" t="n"/>
      <c r="C712" s="20">
        <f>IF($B712="","",IFERROR(INDEX(Vinos!$B$2:$B$301,MATCH($B712,Vinos!$A$2:$A$301,0)),"Código no cargado"))</f>
        <v/>
      </c>
      <c r="D712" s="14" t="n"/>
      <c r="E712" s="14" t="n"/>
      <c r="F712" s="18" t="n"/>
      <c r="G712" s="18" t="n"/>
      <c r="H712" s="21">
        <f>IF(AND($F712="",$G712=""),"",N($F712)*IFERROR(N(INDEX(Vinos!$H$2:$H$301,MATCH($B712,Vinos!$A$2:$A$301,0))),0)+N($G712))</f>
        <v/>
      </c>
      <c r="I712" s="18" t="n"/>
      <c r="J712" s="21">
        <f>IF(OR($H712="",$I712=""),"",$H712-$I712)</f>
        <v/>
      </c>
      <c r="K712" s="16">
        <f>IF($H712="","",IFERROR(IF(INDEX(Vinos!$J$2:$J$301,MATCH($B712,Vinos!$A$2:$A$301,0))="","",$H712*INDEX(Vinos!$J$2:$J$301,MATCH($B712,Vinos!$A$2:$A$301,0))),""))</f>
        <v/>
      </c>
      <c r="L712" s="16">
        <f>IF($H712="","",IFERROR(IF(INDEX(Vinos!$K$2:$K$301,MATCH($B712,Vinos!$A$2:$A$301,0))="","",$H712*INDEX(Vinos!$K$2:$K$301,MATCH($B712,Vinos!$A$2:$A$301,0))),""))</f>
        <v/>
      </c>
      <c r="M712" s="21">
        <f>IF(OR($A712="",$B712=""),"",SUMIFS($H$2:$H$2001,$A$2:$A$2001,$A712,$B$2:$B$2001,$B712))</f>
        <v/>
      </c>
      <c r="N712" s="20">
        <f>IF($M712="","",IF($M712&lt;=0,"Sin stock: reponer ya",IF($M712&lt;IFERROR(N(INDEX(Vinos!$N$2:$N$301,MATCH($B712,Vinos!$A$2:$A$301,0))),0),"Bajo mínimo: reponer","OK")))</f>
        <v/>
      </c>
      <c r="O712" s="14" t="n"/>
      <c r="P712" s="14" t="n"/>
      <c r="Q712" s="20">
        <f>IF($B712="","",IFERROR(INDEX(Vinos!$C$2:$C$301,MATCH($B712,Vinos!$A$2:$A$301,0)),""))</f>
        <v/>
      </c>
      <c r="R712" s="20">
        <f>IF(OR($A712="",$A712&lt;&gt;'Resumen del inventario'!$C$3,$N712="",$N712="OK"),"",IF(COUNTIFS($A$2:$A712,$A712,$B$2:$B712,$B712)=1,1,""))</f>
        <v/>
      </c>
      <c r="S712" s="20">
        <f>IF($R712=1,COUNTIF($R$2:$R712,1),"")</f>
        <v/>
      </c>
    </row>
    <row r="713">
      <c r="A713" s="19" t="n"/>
      <c r="B713" s="14" t="n"/>
      <c r="C713" s="20">
        <f>IF($B713="","",IFERROR(INDEX(Vinos!$B$2:$B$301,MATCH($B713,Vinos!$A$2:$A$301,0)),"Código no cargado"))</f>
        <v/>
      </c>
      <c r="D713" s="14" t="n"/>
      <c r="E713" s="14" t="n"/>
      <c r="F713" s="18" t="n"/>
      <c r="G713" s="18" t="n"/>
      <c r="H713" s="21">
        <f>IF(AND($F713="",$G713=""),"",N($F713)*IFERROR(N(INDEX(Vinos!$H$2:$H$301,MATCH($B713,Vinos!$A$2:$A$301,0))),0)+N($G713))</f>
        <v/>
      </c>
      <c r="I713" s="18" t="n"/>
      <c r="J713" s="21">
        <f>IF(OR($H713="",$I713=""),"",$H713-$I713)</f>
        <v/>
      </c>
      <c r="K713" s="16">
        <f>IF($H713="","",IFERROR(IF(INDEX(Vinos!$J$2:$J$301,MATCH($B713,Vinos!$A$2:$A$301,0))="","",$H713*INDEX(Vinos!$J$2:$J$301,MATCH($B713,Vinos!$A$2:$A$301,0))),""))</f>
        <v/>
      </c>
      <c r="L713" s="16">
        <f>IF($H713="","",IFERROR(IF(INDEX(Vinos!$K$2:$K$301,MATCH($B713,Vinos!$A$2:$A$301,0))="","",$H713*INDEX(Vinos!$K$2:$K$301,MATCH($B713,Vinos!$A$2:$A$301,0))),""))</f>
        <v/>
      </c>
      <c r="M713" s="21">
        <f>IF(OR($A713="",$B713=""),"",SUMIFS($H$2:$H$2001,$A$2:$A$2001,$A713,$B$2:$B$2001,$B713))</f>
        <v/>
      </c>
      <c r="N713" s="20">
        <f>IF($M713="","",IF($M713&lt;=0,"Sin stock: reponer ya",IF($M713&lt;IFERROR(N(INDEX(Vinos!$N$2:$N$301,MATCH($B713,Vinos!$A$2:$A$301,0))),0),"Bajo mínimo: reponer","OK")))</f>
        <v/>
      </c>
      <c r="O713" s="14" t="n"/>
      <c r="P713" s="14" t="n"/>
      <c r="Q713" s="20">
        <f>IF($B713="","",IFERROR(INDEX(Vinos!$C$2:$C$301,MATCH($B713,Vinos!$A$2:$A$301,0)),""))</f>
        <v/>
      </c>
      <c r="R713" s="20">
        <f>IF(OR($A713="",$A713&lt;&gt;'Resumen del inventario'!$C$3,$N713="",$N713="OK"),"",IF(COUNTIFS($A$2:$A713,$A713,$B$2:$B713,$B713)=1,1,""))</f>
        <v/>
      </c>
      <c r="S713" s="20">
        <f>IF($R713=1,COUNTIF($R$2:$R713,1),"")</f>
        <v/>
      </c>
    </row>
    <row r="714">
      <c r="A714" s="19" t="n"/>
      <c r="B714" s="14" t="n"/>
      <c r="C714" s="20">
        <f>IF($B714="","",IFERROR(INDEX(Vinos!$B$2:$B$301,MATCH($B714,Vinos!$A$2:$A$301,0)),"Código no cargado"))</f>
        <v/>
      </c>
      <c r="D714" s="14" t="n"/>
      <c r="E714" s="14" t="n"/>
      <c r="F714" s="18" t="n"/>
      <c r="G714" s="18" t="n"/>
      <c r="H714" s="21">
        <f>IF(AND($F714="",$G714=""),"",N($F714)*IFERROR(N(INDEX(Vinos!$H$2:$H$301,MATCH($B714,Vinos!$A$2:$A$301,0))),0)+N($G714))</f>
        <v/>
      </c>
      <c r="I714" s="18" t="n"/>
      <c r="J714" s="21">
        <f>IF(OR($H714="",$I714=""),"",$H714-$I714)</f>
        <v/>
      </c>
      <c r="K714" s="16">
        <f>IF($H714="","",IFERROR(IF(INDEX(Vinos!$J$2:$J$301,MATCH($B714,Vinos!$A$2:$A$301,0))="","",$H714*INDEX(Vinos!$J$2:$J$301,MATCH($B714,Vinos!$A$2:$A$301,0))),""))</f>
        <v/>
      </c>
      <c r="L714" s="16">
        <f>IF($H714="","",IFERROR(IF(INDEX(Vinos!$K$2:$K$301,MATCH($B714,Vinos!$A$2:$A$301,0))="","",$H714*INDEX(Vinos!$K$2:$K$301,MATCH($B714,Vinos!$A$2:$A$301,0))),""))</f>
        <v/>
      </c>
      <c r="M714" s="21">
        <f>IF(OR($A714="",$B714=""),"",SUMIFS($H$2:$H$2001,$A$2:$A$2001,$A714,$B$2:$B$2001,$B714))</f>
        <v/>
      </c>
      <c r="N714" s="20">
        <f>IF($M714="","",IF($M714&lt;=0,"Sin stock: reponer ya",IF($M714&lt;IFERROR(N(INDEX(Vinos!$N$2:$N$301,MATCH($B714,Vinos!$A$2:$A$301,0))),0),"Bajo mínimo: reponer","OK")))</f>
        <v/>
      </c>
      <c r="O714" s="14" t="n"/>
      <c r="P714" s="14" t="n"/>
      <c r="Q714" s="20">
        <f>IF($B714="","",IFERROR(INDEX(Vinos!$C$2:$C$301,MATCH($B714,Vinos!$A$2:$A$301,0)),""))</f>
        <v/>
      </c>
      <c r="R714" s="20">
        <f>IF(OR($A714="",$A714&lt;&gt;'Resumen del inventario'!$C$3,$N714="",$N714="OK"),"",IF(COUNTIFS($A$2:$A714,$A714,$B$2:$B714,$B714)=1,1,""))</f>
        <v/>
      </c>
      <c r="S714" s="20">
        <f>IF($R714=1,COUNTIF($R$2:$R714,1),"")</f>
        <v/>
      </c>
    </row>
    <row r="715">
      <c r="A715" s="19" t="n"/>
      <c r="B715" s="14" t="n"/>
      <c r="C715" s="20">
        <f>IF($B715="","",IFERROR(INDEX(Vinos!$B$2:$B$301,MATCH($B715,Vinos!$A$2:$A$301,0)),"Código no cargado"))</f>
        <v/>
      </c>
      <c r="D715" s="14" t="n"/>
      <c r="E715" s="14" t="n"/>
      <c r="F715" s="18" t="n"/>
      <c r="G715" s="18" t="n"/>
      <c r="H715" s="21">
        <f>IF(AND($F715="",$G715=""),"",N($F715)*IFERROR(N(INDEX(Vinos!$H$2:$H$301,MATCH($B715,Vinos!$A$2:$A$301,0))),0)+N($G715))</f>
        <v/>
      </c>
      <c r="I715" s="18" t="n"/>
      <c r="J715" s="21">
        <f>IF(OR($H715="",$I715=""),"",$H715-$I715)</f>
        <v/>
      </c>
      <c r="K715" s="16">
        <f>IF($H715="","",IFERROR(IF(INDEX(Vinos!$J$2:$J$301,MATCH($B715,Vinos!$A$2:$A$301,0))="","",$H715*INDEX(Vinos!$J$2:$J$301,MATCH($B715,Vinos!$A$2:$A$301,0))),""))</f>
        <v/>
      </c>
      <c r="L715" s="16">
        <f>IF($H715="","",IFERROR(IF(INDEX(Vinos!$K$2:$K$301,MATCH($B715,Vinos!$A$2:$A$301,0))="","",$H715*INDEX(Vinos!$K$2:$K$301,MATCH($B715,Vinos!$A$2:$A$301,0))),""))</f>
        <v/>
      </c>
      <c r="M715" s="21">
        <f>IF(OR($A715="",$B715=""),"",SUMIFS($H$2:$H$2001,$A$2:$A$2001,$A715,$B$2:$B$2001,$B715))</f>
        <v/>
      </c>
      <c r="N715" s="20">
        <f>IF($M715="","",IF($M715&lt;=0,"Sin stock: reponer ya",IF($M715&lt;IFERROR(N(INDEX(Vinos!$N$2:$N$301,MATCH($B715,Vinos!$A$2:$A$301,0))),0),"Bajo mínimo: reponer","OK")))</f>
        <v/>
      </c>
      <c r="O715" s="14" t="n"/>
      <c r="P715" s="14" t="n"/>
      <c r="Q715" s="20">
        <f>IF($B715="","",IFERROR(INDEX(Vinos!$C$2:$C$301,MATCH($B715,Vinos!$A$2:$A$301,0)),""))</f>
        <v/>
      </c>
      <c r="R715" s="20">
        <f>IF(OR($A715="",$A715&lt;&gt;'Resumen del inventario'!$C$3,$N715="",$N715="OK"),"",IF(COUNTIFS($A$2:$A715,$A715,$B$2:$B715,$B715)=1,1,""))</f>
        <v/>
      </c>
      <c r="S715" s="20">
        <f>IF($R715=1,COUNTIF($R$2:$R715,1),"")</f>
        <v/>
      </c>
    </row>
    <row r="716">
      <c r="A716" s="19" t="n"/>
      <c r="B716" s="14" t="n"/>
      <c r="C716" s="20">
        <f>IF($B716="","",IFERROR(INDEX(Vinos!$B$2:$B$301,MATCH($B716,Vinos!$A$2:$A$301,0)),"Código no cargado"))</f>
        <v/>
      </c>
      <c r="D716" s="14" t="n"/>
      <c r="E716" s="14" t="n"/>
      <c r="F716" s="18" t="n"/>
      <c r="G716" s="18" t="n"/>
      <c r="H716" s="21">
        <f>IF(AND($F716="",$G716=""),"",N($F716)*IFERROR(N(INDEX(Vinos!$H$2:$H$301,MATCH($B716,Vinos!$A$2:$A$301,0))),0)+N($G716))</f>
        <v/>
      </c>
      <c r="I716" s="18" t="n"/>
      <c r="J716" s="21">
        <f>IF(OR($H716="",$I716=""),"",$H716-$I716)</f>
        <v/>
      </c>
      <c r="K716" s="16">
        <f>IF($H716="","",IFERROR(IF(INDEX(Vinos!$J$2:$J$301,MATCH($B716,Vinos!$A$2:$A$301,0))="","",$H716*INDEX(Vinos!$J$2:$J$301,MATCH($B716,Vinos!$A$2:$A$301,0))),""))</f>
        <v/>
      </c>
      <c r="L716" s="16">
        <f>IF($H716="","",IFERROR(IF(INDEX(Vinos!$K$2:$K$301,MATCH($B716,Vinos!$A$2:$A$301,0))="","",$H716*INDEX(Vinos!$K$2:$K$301,MATCH($B716,Vinos!$A$2:$A$301,0))),""))</f>
        <v/>
      </c>
      <c r="M716" s="21">
        <f>IF(OR($A716="",$B716=""),"",SUMIFS($H$2:$H$2001,$A$2:$A$2001,$A716,$B$2:$B$2001,$B716))</f>
        <v/>
      </c>
      <c r="N716" s="20">
        <f>IF($M716="","",IF($M716&lt;=0,"Sin stock: reponer ya",IF($M716&lt;IFERROR(N(INDEX(Vinos!$N$2:$N$301,MATCH($B716,Vinos!$A$2:$A$301,0))),0),"Bajo mínimo: reponer","OK")))</f>
        <v/>
      </c>
      <c r="O716" s="14" t="n"/>
      <c r="P716" s="14" t="n"/>
      <c r="Q716" s="20">
        <f>IF($B716="","",IFERROR(INDEX(Vinos!$C$2:$C$301,MATCH($B716,Vinos!$A$2:$A$301,0)),""))</f>
        <v/>
      </c>
      <c r="R716" s="20">
        <f>IF(OR($A716="",$A716&lt;&gt;'Resumen del inventario'!$C$3,$N716="",$N716="OK"),"",IF(COUNTIFS($A$2:$A716,$A716,$B$2:$B716,$B716)=1,1,""))</f>
        <v/>
      </c>
      <c r="S716" s="20">
        <f>IF($R716=1,COUNTIF($R$2:$R716,1),"")</f>
        <v/>
      </c>
    </row>
    <row r="717">
      <c r="A717" s="19" t="n"/>
      <c r="B717" s="14" t="n"/>
      <c r="C717" s="20">
        <f>IF($B717="","",IFERROR(INDEX(Vinos!$B$2:$B$301,MATCH($B717,Vinos!$A$2:$A$301,0)),"Código no cargado"))</f>
        <v/>
      </c>
      <c r="D717" s="14" t="n"/>
      <c r="E717" s="14" t="n"/>
      <c r="F717" s="18" t="n"/>
      <c r="G717" s="18" t="n"/>
      <c r="H717" s="21">
        <f>IF(AND($F717="",$G717=""),"",N($F717)*IFERROR(N(INDEX(Vinos!$H$2:$H$301,MATCH($B717,Vinos!$A$2:$A$301,0))),0)+N($G717))</f>
        <v/>
      </c>
      <c r="I717" s="18" t="n"/>
      <c r="J717" s="21">
        <f>IF(OR($H717="",$I717=""),"",$H717-$I717)</f>
        <v/>
      </c>
      <c r="K717" s="16">
        <f>IF($H717="","",IFERROR(IF(INDEX(Vinos!$J$2:$J$301,MATCH($B717,Vinos!$A$2:$A$301,0))="","",$H717*INDEX(Vinos!$J$2:$J$301,MATCH($B717,Vinos!$A$2:$A$301,0))),""))</f>
        <v/>
      </c>
      <c r="L717" s="16">
        <f>IF($H717="","",IFERROR(IF(INDEX(Vinos!$K$2:$K$301,MATCH($B717,Vinos!$A$2:$A$301,0))="","",$H717*INDEX(Vinos!$K$2:$K$301,MATCH($B717,Vinos!$A$2:$A$301,0))),""))</f>
        <v/>
      </c>
      <c r="M717" s="21">
        <f>IF(OR($A717="",$B717=""),"",SUMIFS($H$2:$H$2001,$A$2:$A$2001,$A717,$B$2:$B$2001,$B717))</f>
        <v/>
      </c>
      <c r="N717" s="20">
        <f>IF($M717="","",IF($M717&lt;=0,"Sin stock: reponer ya",IF($M717&lt;IFERROR(N(INDEX(Vinos!$N$2:$N$301,MATCH($B717,Vinos!$A$2:$A$301,0))),0),"Bajo mínimo: reponer","OK")))</f>
        <v/>
      </c>
      <c r="O717" s="14" t="n"/>
      <c r="P717" s="14" t="n"/>
      <c r="Q717" s="20">
        <f>IF($B717="","",IFERROR(INDEX(Vinos!$C$2:$C$301,MATCH($B717,Vinos!$A$2:$A$301,0)),""))</f>
        <v/>
      </c>
      <c r="R717" s="20">
        <f>IF(OR($A717="",$A717&lt;&gt;'Resumen del inventario'!$C$3,$N717="",$N717="OK"),"",IF(COUNTIFS($A$2:$A717,$A717,$B$2:$B717,$B717)=1,1,""))</f>
        <v/>
      </c>
      <c r="S717" s="20">
        <f>IF($R717=1,COUNTIF($R$2:$R717,1),"")</f>
        <v/>
      </c>
    </row>
    <row r="718">
      <c r="A718" s="19" t="n"/>
      <c r="B718" s="14" t="n"/>
      <c r="C718" s="20">
        <f>IF($B718="","",IFERROR(INDEX(Vinos!$B$2:$B$301,MATCH($B718,Vinos!$A$2:$A$301,0)),"Código no cargado"))</f>
        <v/>
      </c>
      <c r="D718" s="14" t="n"/>
      <c r="E718" s="14" t="n"/>
      <c r="F718" s="18" t="n"/>
      <c r="G718" s="18" t="n"/>
      <c r="H718" s="21">
        <f>IF(AND($F718="",$G718=""),"",N($F718)*IFERROR(N(INDEX(Vinos!$H$2:$H$301,MATCH($B718,Vinos!$A$2:$A$301,0))),0)+N($G718))</f>
        <v/>
      </c>
      <c r="I718" s="18" t="n"/>
      <c r="J718" s="21">
        <f>IF(OR($H718="",$I718=""),"",$H718-$I718)</f>
        <v/>
      </c>
      <c r="K718" s="16">
        <f>IF($H718="","",IFERROR(IF(INDEX(Vinos!$J$2:$J$301,MATCH($B718,Vinos!$A$2:$A$301,0))="","",$H718*INDEX(Vinos!$J$2:$J$301,MATCH($B718,Vinos!$A$2:$A$301,0))),""))</f>
        <v/>
      </c>
      <c r="L718" s="16">
        <f>IF($H718="","",IFERROR(IF(INDEX(Vinos!$K$2:$K$301,MATCH($B718,Vinos!$A$2:$A$301,0))="","",$H718*INDEX(Vinos!$K$2:$K$301,MATCH($B718,Vinos!$A$2:$A$301,0))),""))</f>
        <v/>
      </c>
      <c r="M718" s="21">
        <f>IF(OR($A718="",$B718=""),"",SUMIFS($H$2:$H$2001,$A$2:$A$2001,$A718,$B$2:$B$2001,$B718))</f>
        <v/>
      </c>
      <c r="N718" s="20">
        <f>IF($M718="","",IF($M718&lt;=0,"Sin stock: reponer ya",IF($M718&lt;IFERROR(N(INDEX(Vinos!$N$2:$N$301,MATCH($B718,Vinos!$A$2:$A$301,0))),0),"Bajo mínimo: reponer","OK")))</f>
        <v/>
      </c>
      <c r="O718" s="14" t="n"/>
      <c r="P718" s="14" t="n"/>
      <c r="Q718" s="20">
        <f>IF($B718="","",IFERROR(INDEX(Vinos!$C$2:$C$301,MATCH($B718,Vinos!$A$2:$A$301,0)),""))</f>
        <v/>
      </c>
      <c r="R718" s="20">
        <f>IF(OR($A718="",$A718&lt;&gt;'Resumen del inventario'!$C$3,$N718="",$N718="OK"),"",IF(COUNTIFS($A$2:$A718,$A718,$B$2:$B718,$B718)=1,1,""))</f>
        <v/>
      </c>
      <c r="S718" s="20">
        <f>IF($R718=1,COUNTIF($R$2:$R718,1),"")</f>
        <v/>
      </c>
    </row>
    <row r="719">
      <c r="A719" s="19" t="n"/>
      <c r="B719" s="14" t="n"/>
      <c r="C719" s="20">
        <f>IF($B719="","",IFERROR(INDEX(Vinos!$B$2:$B$301,MATCH($B719,Vinos!$A$2:$A$301,0)),"Código no cargado"))</f>
        <v/>
      </c>
      <c r="D719" s="14" t="n"/>
      <c r="E719" s="14" t="n"/>
      <c r="F719" s="18" t="n"/>
      <c r="G719" s="18" t="n"/>
      <c r="H719" s="21">
        <f>IF(AND($F719="",$G719=""),"",N($F719)*IFERROR(N(INDEX(Vinos!$H$2:$H$301,MATCH($B719,Vinos!$A$2:$A$301,0))),0)+N($G719))</f>
        <v/>
      </c>
      <c r="I719" s="18" t="n"/>
      <c r="J719" s="21">
        <f>IF(OR($H719="",$I719=""),"",$H719-$I719)</f>
        <v/>
      </c>
      <c r="K719" s="16">
        <f>IF($H719="","",IFERROR(IF(INDEX(Vinos!$J$2:$J$301,MATCH($B719,Vinos!$A$2:$A$301,0))="","",$H719*INDEX(Vinos!$J$2:$J$301,MATCH($B719,Vinos!$A$2:$A$301,0))),""))</f>
        <v/>
      </c>
      <c r="L719" s="16">
        <f>IF($H719="","",IFERROR(IF(INDEX(Vinos!$K$2:$K$301,MATCH($B719,Vinos!$A$2:$A$301,0))="","",$H719*INDEX(Vinos!$K$2:$K$301,MATCH($B719,Vinos!$A$2:$A$301,0))),""))</f>
        <v/>
      </c>
      <c r="M719" s="21">
        <f>IF(OR($A719="",$B719=""),"",SUMIFS($H$2:$H$2001,$A$2:$A$2001,$A719,$B$2:$B$2001,$B719))</f>
        <v/>
      </c>
      <c r="N719" s="20">
        <f>IF($M719="","",IF($M719&lt;=0,"Sin stock: reponer ya",IF($M719&lt;IFERROR(N(INDEX(Vinos!$N$2:$N$301,MATCH($B719,Vinos!$A$2:$A$301,0))),0),"Bajo mínimo: reponer","OK")))</f>
        <v/>
      </c>
      <c r="O719" s="14" t="n"/>
      <c r="P719" s="14" t="n"/>
      <c r="Q719" s="20">
        <f>IF($B719="","",IFERROR(INDEX(Vinos!$C$2:$C$301,MATCH($B719,Vinos!$A$2:$A$301,0)),""))</f>
        <v/>
      </c>
      <c r="R719" s="20">
        <f>IF(OR($A719="",$A719&lt;&gt;'Resumen del inventario'!$C$3,$N719="",$N719="OK"),"",IF(COUNTIFS($A$2:$A719,$A719,$B$2:$B719,$B719)=1,1,""))</f>
        <v/>
      </c>
      <c r="S719" s="20">
        <f>IF($R719=1,COUNTIF($R$2:$R719,1),"")</f>
        <v/>
      </c>
    </row>
    <row r="720">
      <c r="A720" s="19" t="n"/>
      <c r="B720" s="14" t="n"/>
      <c r="C720" s="20">
        <f>IF($B720="","",IFERROR(INDEX(Vinos!$B$2:$B$301,MATCH($B720,Vinos!$A$2:$A$301,0)),"Código no cargado"))</f>
        <v/>
      </c>
      <c r="D720" s="14" t="n"/>
      <c r="E720" s="14" t="n"/>
      <c r="F720" s="18" t="n"/>
      <c r="G720" s="18" t="n"/>
      <c r="H720" s="21">
        <f>IF(AND($F720="",$G720=""),"",N($F720)*IFERROR(N(INDEX(Vinos!$H$2:$H$301,MATCH($B720,Vinos!$A$2:$A$301,0))),0)+N($G720))</f>
        <v/>
      </c>
      <c r="I720" s="18" t="n"/>
      <c r="J720" s="21">
        <f>IF(OR($H720="",$I720=""),"",$H720-$I720)</f>
        <v/>
      </c>
      <c r="K720" s="16">
        <f>IF($H720="","",IFERROR(IF(INDEX(Vinos!$J$2:$J$301,MATCH($B720,Vinos!$A$2:$A$301,0))="","",$H720*INDEX(Vinos!$J$2:$J$301,MATCH($B720,Vinos!$A$2:$A$301,0))),""))</f>
        <v/>
      </c>
      <c r="L720" s="16">
        <f>IF($H720="","",IFERROR(IF(INDEX(Vinos!$K$2:$K$301,MATCH($B720,Vinos!$A$2:$A$301,0))="","",$H720*INDEX(Vinos!$K$2:$K$301,MATCH($B720,Vinos!$A$2:$A$301,0))),""))</f>
        <v/>
      </c>
      <c r="M720" s="21">
        <f>IF(OR($A720="",$B720=""),"",SUMIFS($H$2:$H$2001,$A$2:$A$2001,$A720,$B$2:$B$2001,$B720))</f>
        <v/>
      </c>
      <c r="N720" s="20">
        <f>IF($M720="","",IF($M720&lt;=0,"Sin stock: reponer ya",IF($M720&lt;IFERROR(N(INDEX(Vinos!$N$2:$N$301,MATCH($B720,Vinos!$A$2:$A$301,0))),0),"Bajo mínimo: reponer","OK")))</f>
        <v/>
      </c>
      <c r="O720" s="14" t="n"/>
      <c r="P720" s="14" t="n"/>
      <c r="Q720" s="20">
        <f>IF($B720="","",IFERROR(INDEX(Vinos!$C$2:$C$301,MATCH($B720,Vinos!$A$2:$A$301,0)),""))</f>
        <v/>
      </c>
      <c r="R720" s="20">
        <f>IF(OR($A720="",$A720&lt;&gt;'Resumen del inventario'!$C$3,$N720="",$N720="OK"),"",IF(COUNTIFS($A$2:$A720,$A720,$B$2:$B720,$B720)=1,1,""))</f>
        <v/>
      </c>
      <c r="S720" s="20">
        <f>IF($R720=1,COUNTIF($R$2:$R720,1),"")</f>
        <v/>
      </c>
    </row>
    <row r="721">
      <c r="A721" s="19" t="n"/>
      <c r="B721" s="14" t="n"/>
      <c r="C721" s="20">
        <f>IF($B721="","",IFERROR(INDEX(Vinos!$B$2:$B$301,MATCH($B721,Vinos!$A$2:$A$301,0)),"Código no cargado"))</f>
        <v/>
      </c>
      <c r="D721" s="14" t="n"/>
      <c r="E721" s="14" t="n"/>
      <c r="F721" s="18" t="n"/>
      <c r="G721" s="18" t="n"/>
      <c r="H721" s="21">
        <f>IF(AND($F721="",$G721=""),"",N($F721)*IFERROR(N(INDEX(Vinos!$H$2:$H$301,MATCH($B721,Vinos!$A$2:$A$301,0))),0)+N($G721))</f>
        <v/>
      </c>
      <c r="I721" s="18" t="n"/>
      <c r="J721" s="21">
        <f>IF(OR($H721="",$I721=""),"",$H721-$I721)</f>
        <v/>
      </c>
      <c r="K721" s="16">
        <f>IF($H721="","",IFERROR(IF(INDEX(Vinos!$J$2:$J$301,MATCH($B721,Vinos!$A$2:$A$301,0))="","",$H721*INDEX(Vinos!$J$2:$J$301,MATCH($B721,Vinos!$A$2:$A$301,0))),""))</f>
        <v/>
      </c>
      <c r="L721" s="16">
        <f>IF($H721="","",IFERROR(IF(INDEX(Vinos!$K$2:$K$301,MATCH($B721,Vinos!$A$2:$A$301,0))="","",$H721*INDEX(Vinos!$K$2:$K$301,MATCH($B721,Vinos!$A$2:$A$301,0))),""))</f>
        <v/>
      </c>
      <c r="M721" s="21">
        <f>IF(OR($A721="",$B721=""),"",SUMIFS($H$2:$H$2001,$A$2:$A$2001,$A721,$B$2:$B$2001,$B721))</f>
        <v/>
      </c>
      <c r="N721" s="20">
        <f>IF($M721="","",IF($M721&lt;=0,"Sin stock: reponer ya",IF($M721&lt;IFERROR(N(INDEX(Vinos!$N$2:$N$301,MATCH($B721,Vinos!$A$2:$A$301,0))),0),"Bajo mínimo: reponer","OK")))</f>
        <v/>
      </c>
      <c r="O721" s="14" t="n"/>
      <c r="P721" s="14" t="n"/>
      <c r="Q721" s="20">
        <f>IF($B721="","",IFERROR(INDEX(Vinos!$C$2:$C$301,MATCH($B721,Vinos!$A$2:$A$301,0)),""))</f>
        <v/>
      </c>
      <c r="R721" s="20">
        <f>IF(OR($A721="",$A721&lt;&gt;'Resumen del inventario'!$C$3,$N721="",$N721="OK"),"",IF(COUNTIFS($A$2:$A721,$A721,$B$2:$B721,$B721)=1,1,""))</f>
        <v/>
      </c>
      <c r="S721" s="20">
        <f>IF($R721=1,COUNTIF($R$2:$R721,1),"")</f>
        <v/>
      </c>
    </row>
    <row r="722">
      <c r="A722" s="19" t="n"/>
      <c r="B722" s="14" t="n"/>
      <c r="C722" s="20">
        <f>IF($B722="","",IFERROR(INDEX(Vinos!$B$2:$B$301,MATCH($B722,Vinos!$A$2:$A$301,0)),"Código no cargado"))</f>
        <v/>
      </c>
      <c r="D722" s="14" t="n"/>
      <c r="E722" s="14" t="n"/>
      <c r="F722" s="18" t="n"/>
      <c r="G722" s="18" t="n"/>
      <c r="H722" s="21">
        <f>IF(AND($F722="",$G722=""),"",N($F722)*IFERROR(N(INDEX(Vinos!$H$2:$H$301,MATCH($B722,Vinos!$A$2:$A$301,0))),0)+N($G722))</f>
        <v/>
      </c>
      <c r="I722" s="18" t="n"/>
      <c r="J722" s="21">
        <f>IF(OR($H722="",$I722=""),"",$H722-$I722)</f>
        <v/>
      </c>
      <c r="K722" s="16">
        <f>IF($H722="","",IFERROR(IF(INDEX(Vinos!$J$2:$J$301,MATCH($B722,Vinos!$A$2:$A$301,0))="","",$H722*INDEX(Vinos!$J$2:$J$301,MATCH($B722,Vinos!$A$2:$A$301,0))),""))</f>
        <v/>
      </c>
      <c r="L722" s="16">
        <f>IF($H722="","",IFERROR(IF(INDEX(Vinos!$K$2:$K$301,MATCH($B722,Vinos!$A$2:$A$301,0))="","",$H722*INDEX(Vinos!$K$2:$K$301,MATCH($B722,Vinos!$A$2:$A$301,0))),""))</f>
        <v/>
      </c>
      <c r="M722" s="21">
        <f>IF(OR($A722="",$B722=""),"",SUMIFS($H$2:$H$2001,$A$2:$A$2001,$A722,$B$2:$B$2001,$B722))</f>
        <v/>
      </c>
      <c r="N722" s="20">
        <f>IF($M722="","",IF($M722&lt;=0,"Sin stock: reponer ya",IF($M722&lt;IFERROR(N(INDEX(Vinos!$N$2:$N$301,MATCH($B722,Vinos!$A$2:$A$301,0))),0),"Bajo mínimo: reponer","OK")))</f>
        <v/>
      </c>
      <c r="O722" s="14" t="n"/>
      <c r="P722" s="14" t="n"/>
      <c r="Q722" s="20">
        <f>IF($B722="","",IFERROR(INDEX(Vinos!$C$2:$C$301,MATCH($B722,Vinos!$A$2:$A$301,0)),""))</f>
        <v/>
      </c>
      <c r="R722" s="20">
        <f>IF(OR($A722="",$A722&lt;&gt;'Resumen del inventario'!$C$3,$N722="",$N722="OK"),"",IF(COUNTIFS($A$2:$A722,$A722,$B$2:$B722,$B722)=1,1,""))</f>
        <v/>
      </c>
      <c r="S722" s="20">
        <f>IF($R722=1,COUNTIF($R$2:$R722,1),"")</f>
        <v/>
      </c>
    </row>
    <row r="723">
      <c r="A723" s="19" t="n"/>
      <c r="B723" s="14" t="n"/>
      <c r="C723" s="20">
        <f>IF($B723="","",IFERROR(INDEX(Vinos!$B$2:$B$301,MATCH($B723,Vinos!$A$2:$A$301,0)),"Código no cargado"))</f>
        <v/>
      </c>
      <c r="D723" s="14" t="n"/>
      <c r="E723" s="14" t="n"/>
      <c r="F723" s="18" t="n"/>
      <c r="G723" s="18" t="n"/>
      <c r="H723" s="21">
        <f>IF(AND($F723="",$G723=""),"",N($F723)*IFERROR(N(INDEX(Vinos!$H$2:$H$301,MATCH($B723,Vinos!$A$2:$A$301,0))),0)+N($G723))</f>
        <v/>
      </c>
      <c r="I723" s="18" t="n"/>
      <c r="J723" s="21">
        <f>IF(OR($H723="",$I723=""),"",$H723-$I723)</f>
        <v/>
      </c>
      <c r="K723" s="16">
        <f>IF($H723="","",IFERROR(IF(INDEX(Vinos!$J$2:$J$301,MATCH($B723,Vinos!$A$2:$A$301,0))="","",$H723*INDEX(Vinos!$J$2:$J$301,MATCH($B723,Vinos!$A$2:$A$301,0))),""))</f>
        <v/>
      </c>
      <c r="L723" s="16">
        <f>IF($H723="","",IFERROR(IF(INDEX(Vinos!$K$2:$K$301,MATCH($B723,Vinos!$A$2:$A$301,0))="","",$H723*INDEX(Vinos!$K$2:$K$301,MATCH($B723,Vinos!$A$2:$A$301,0))),""))</f>
        <v/>
      </c>
      <c r="M723" s="21">
        <f>IF(OR($A723="",$B723=""),"",SUMIFS($H$2:$H$2001,$A$2:$A$2001,$A723,$B$2:$B$2001,$B723))</f>
        <v/>
      </c>
      <c r="N723" s="20">
        <f>IF($M723="","",IF($M723&lt;=0,"Sin stock: reponer ya",IF($M723&lt;IFERROR(N(INDEX(Vinos!$N$2:$N$301,MATCH($B723,Vinos!$A$2:$A$301,0))),0),"Bajo mínimo: reponer","OK")))</f>
        <v/>
      </c>
      <c r="O723" s="14" t="n"/>
      <c r="P723" s="14" t="n"/>
      <c r="Q723" s="20">
        <f>IF($B723="","",IFERROR(INDEX(Vinos!$C$2:$C$301,MATCH($B723,Vinos!$A$2:$A$301,0)),""))</f>
        <v/>
      </c>
      <c r="R723" s="20">
        <f>IF(OR($A723="",$A723&lt;&gt;'Resumen del inventario'!$C$3,$N723="",$N723="OK"),"",IF(COUNTIFS($A$2:$A723,$A723,$B$2:$B723,$B723)=1,1,""))</f>
        <v/>
      </c>
      <c r="S723" s="20">
        <f>IF($R723=1,COUNTIF($R$2:$R723,1),"")</f>
        <v/>
      </c>
    </row>
    <row r="724">
      <c r="A724" s="19" t="n"/>
      <c r="B724" s="14" t="n"/>
      <c r="C724" s="20">
        <f>IF($B724="","",IFERROR(INDEX(Vinos!$B$2:$B$301,MATCH($B724,Vinos!$A$2:$A$301,0)),"Código no cargado"))</f>
        <v/>
      </c>
      <c r="D724" s="14" t="n"/>
      <c r="E724" s="14" t="n"/>
      <c r="F724" s="18" t="n"/>
      <c r="G724" s="18" t="n"/>
      <c r="H724" s="21">
        <f>IF(AND($F724="",$G724=""),"",N($F724)*IFERROR(N(INDEX(Vinos!$H$2:$H$301,MATCH($B724,Vinos!$A$2:$A$301,0))),0)+N($G724))</f>
        <v/>
      </c>
      <c r="I724" s="18" t="n"/>
      <c r="J724" s="21">
        <f>IF(OR($H724="",$I724=""),"",$H724-$I724)</f>
        <v/>
      </c>
      <c r="K724" s="16">
        <f>IF($H724="","",IFERROR(IF(INDEX(Vinos!$J$2:$J$301,MATCH($B724,Vinos!$A$2:$A$301,0))="","",$H724*INDEX(Vinos!$J$2:$J$301,MATCH($B724,Vinos!$A$2:$A$301,0))),""))</f>
        <v/>
      </c>
      <c r="L724" s="16">
        <f>IF($H724="","",IFERROR(IF(INDEX(Vinos!$K$2:$K$301,MATCH($B724,Vinos!$A$2:$A$301,0))="","",$H724*INDEX(Vinos!$K$2:$K$301,MATCH($B724,Vinos!$A$2:$A$301,0))),""))</f>
        <v/>
      </c>
      <c r="M724" s="21">
        <f>IF(OR($A724="",$B724=""),"",SUMIFS($H$2:$H$2001,$A$2:$A$2001,$A724,$B$2:$B$2001,$B724))</f>
        <v/>
      </c>
      <c r="N724" s="20">
        <f>IF($M724="","",IF($M724&lt;=0,"Sin stock: reponer ya",IF($M724&lt;IFERROR(N(INDEX(Vinos!$N$2:$N$301,MATCH($B724,Vinos!$A$2:$A$301,0))),0),"Bajo mínimo: reponer","OK")))</f>
        <v/>
      </c>
      <c r="O724" s="14" t="n"/>
      <c r="P724" s="14" t="n"/>
      <c r="Q724" s="20">
        <f>IF($B724="","",IFERROR(INDEX(Vinos!$C$2:$C$301,MATCH($B724,Vinos!$A$2:$A$301,0)),""))</f>
        <v/>
      </c>
      <c r="R724" s="20">
        <f>IF(OR($A724="",$A724&lt;&gt;'Resumen del inventario'!$C$3,$N724="",$N724="OK"),"",IF(COUNTIFS($A$2:$A724,$A724,$B$2:$B724,$B724)=1,1,""))</f>
        <v/>
      </c>
      <c r="S724" s="20">
        <f>IF($R724=1,COUNTIF($R$2:$R724,1),"")</f>
        <v/>
      </c>
    </row>
    <row r="725">
      <c r="A725" s="19" t="n"/>
      <c r="B725" s="14" t="n"/>
      <c r="C725" s="20">
        <f>IF($B725="","",IFERROR(INDEX(Vinos!$B$2:$B$301,MATCH($B725,Vinos!$A$2:$A$301,0)),"Código no cargado"))</f>
        <v/>
      </c>
      <c r="D725" s="14" t="n"/>
      <c r="E725" s="14" t="n"/>
      <c r="F725" s="18" t="n"/>
      <c r="G725" s="18" t="n"/>
      <c r="H725" s="21">
        <f>IF(AND($F725="",$G725=""),"",N($F725)*IFERROR(N(INDEX(Vinos!$H$2:$H$301,MATCH($B725,Vinos!$A$2:$A$301,0))),0)+N($G725))</f>
        <v/>
      </c>
      <c r="I725" s="18" t="n"/>
      <c r="J725" s="21">
        <f>IF(OR($H725="",$I725=""),"",$H725-$I725)</f>
        <v/>
      </c>
      <c r="K725" s="16">
        <f>IF($H725="","",IFERROR(IF(INDEX(Vinos!$J$2:$J$301,MATCH($B725,Vinos!$A$2:$A$301,0))="","",$H725*INDEX(Vinos!$J$2:$J$301,MATCH($B725,Vinos!$A$2:$A$301,0))),""))</f>
        <v/>
      </c>
      <c r="L725" s="16">
        <f>IF($H725="","",IFERROR(IF(INDEX(Vinos!$K$2:$K$301,MATCH($B725,Vinos!$A$2:$A$301,0))="","",$H725*INDEX(Vinos!$K$2:$K$301,MATCH($B725,Vinos!$A$2:$A$301,0))),""))</f>
        <v/>
      </c>
      <c r="M725" s="21">
        <f>IF(OR($A725="",$B725=""),"",SUMIFS($H$2:$H$2001,$A$2:$A$2001,$A725,$B$2:$B$2001,$B725))</f>
        <v/>
      </c>
      <c r="N725" s="20">
        <f>IF($M725="","",IF($M725&lt;=0,"Sin stock: reponer ya",IF($M725&lt;IFERROR(N(INDEX(Vinos!$N$2:$N$301,MATCH($B725,Vinos!$A$2:$A$301,0))),0),"Bajo mínimo: reponer","OK")))</f>
        <v/>
      </c>
      <c r="O725" s="14" t="n"/>
      <c r="P725" s="14" t="n"/>
      <c r="Q725" s="20">
        <f>IF($B725="","",IFERROR(INDEX(Vinos!$C$2:$C$301,MATCH($B725,Vinos!$A$2:$A$301,0)),""))</f>
        <v/>
      </c>
      <c r="R725" s="20">
        <f>IF(OR($A725="",$A725&lt;&gt;'Resumen del inventario'!$C$3,$N725="",$N725="OK"),"",IF(COUNTIFS($A$2:$A725,$A725,$B$2:$B725,$B725)=1,1,""))</f>
        <v/>
      </c>
      <c r="S725" s="20">
        <f>IF($R725=1,COUNTIF($R$2:$R725,1),"")</f>
        <v/>
      </c>
    </row>
    <row r="726">
      <c r="A726" s="19" t="n"/>
      <c r="B726" s="14" t="n"/>
      <c r="C726" s="20">
        <f>IF($B726="","",IFERROR(INDEX(Vinos!$B$2:$B$301,MATCH($B726,Vinos!$A$2:$A$301,0)),"Código no cargado"))</f>
        <v/>
      </c>
      <c r="D726" s="14" t="n"/>
      <c r="E726" s="14" t="n"/>
      <c r="F726" s="18" t="n"/>
      <c r="G726" s="18" t="n"/>
      <c r="H726" s="21">
        <f>IF(AND($F726="",$G726=""),"",N($F726)*IFERROR(N(INDEX(Vinos!$H$2:$H$301,MATCH($B726,Vinos!$A$2:$A$301,0))),0)+N($G726))</f>
        <v/>
      </c>
      <c r="I726" s="18" t="n"/>
      <c r="J726" s="21">
        <f>IF(OR($H726="",$I726=""),"",$H726-$I726)</f>
        <v/>
      </c>
      <c r="K726" s="16">
        <f>IF($H726="","",IFERROR(IF(INDEX(Vinos!$J$2:$J$301,MATCH($B726,Vinos!$A$2:$A$301,0))="","",$H726*INDEX(Vinos!$J$2:$J$301,MATCH($B726,Vinos!$A$2:$A$301,0))),""))</f>
        <v/>
      </c>
      <c r="L726" s="16">
        <f>IF($H726="","",IFERROR(IF(INDEX(Vinos!$K$2:$K$301,MATCH($B726,Vinos!$A$2:$A$301,0))="","",$H726*INDEX(Vinos!$K$2:$K$301,MATCH($B726,Vinos!$A$2:$A$301,0))),""))</f>
        <v/>
      </c>
      <c r="M726" s="21">
        <f>IF(OR($A726="",$B726=""),"",SUMIFS($H$2:$H$2001,$A$2:$A$2001,$A726,$B$2:$B$2001,$B726))</f>
        <v/>
      </c>
      <c r="N726" s="20">
        <f>IF($M726="","",IF($M726&lt;=0,"Sin stock: reponer ya",IF($M726&lt;IFERROR(N(INDEX(Vinos!$N$2:$N$301,MATCH($B726,Vinos!$A$2:$A$301,0))),0),"Bajo mínimo: reponer","OK")))</f>
        <v/>
      </c>
      <c r="O726" s="14" t="n"/>
      <c r="P726" s="14" t="n"/>
      <c r="Q726" s="20">
        <f>IF($B726="","",IFERROR(INDEX(Vinos!$C$2:$C$301,MATCH($B726,Vinos!$A$2:$A$301,0)),""))</f>
        <v/>
      </c>
      <c r="R726" s="20">
        <f>IF(OR($A726="",$A726&lt;&gt;'Resumen del inventario'!$C$3,$N726="",$N726="OK"),"",IF(COUNTIFS($A$2:$A726,$A726,$B$2:$B726,$B726)=1,1,""))</f>
        <v/>
      </c>
      <c r="S726" s="20">
        <f>IF($R726=1,COUNTIF($R$2:$R726,1),"")</f>
        <v/>
      </c>
    </row>
    <row r="727">
      <c r="A727" s="19" t="n"/>
      <c r="B727" s="14" t="n"/>
      <c r="C727" s="20">
        <f>IF($B727="","",IFERROR(INDEX(Vinos!$B$2:$B$301,MATCH($B727,Vinos!$A$2:$A$301,0)),"Código no cargado"))</f>
        <v/>
      </c>
      <c r="D727" s="14" t="n"/>
      <c r="E727" s="14" t="n"/>
      <c r="F727" s="18" t="n"/>
      <c r="G727" s="18" t="n"/>
      <c r="H727" s="21">
        <f>IF(AND($F727="",$G727=""),"",N($F727)*IFERROR(N(INDEX(Vinos!$H$2:$H$301,MATCH($B727,Vinos!$A$2:$A$301,0))),0)+N($G727))</f>
        <v/>
      </c>
      <c r="I727" s="18" t="n"/>
      <c r="J727" s="21">
        <f>IF(OR($H727="",$I727=""),"",$H727-$I727)</f>
        <v/>
      </c>
      <c r="K727" s="16">
        <f>IF($H727="","",IFERROR(IF(INDEX(Vinos!$J$2:$J$301,MATCH($B727,Vinos!$A$2:$A$301,0))="","",$H727*INDEX(Vinos!$J$2:$J$301,MATCH($B727,Vinos!$A$2:$A$301,0))),""))</f>
        <v/>
      </c>
      <c r="L727" s="16">
        <f>IF($H727="","",IFERROR(IF(INDEX(Vinos!$K$2:$K$301,MATCH($B727,Vinos!$A$2:$A$301,0))="","",$H727*INDEX(Vinos!$K$2:$K$301,MATCH($B727,Vinos!$A$2:$A$301,0))),""))</f>
        <v/>
      </c>
      <c r="M727" s="21">
        <f>IF(OR($A727="",$B727=""),"",SUMIFS($H$2:$H$2001,$A$2:$A$2001,$A727,$B$2:$B$2001,$B727))</f>
        <v/>
      </c>
      <c r="N727" s="20">
        <f>IF($M727="","",IF($M727&lt;=0,"Sin stock: reponer ya",IF($M727&lt;IFERROR(N(INDEX(Vinos!$N$2:$N$301,MATCH($B727,Vinos!$A$2:$A$301,0))),0),"Bajo mínimo: reponer","OK")))</f>
        <v/>
      </c>
      <c r="O727" s="14" t="n"/>
      <c r="P727" s="14" t="n"/>
      <c r="Q727" s="20">
        <f>IF($B727="","",IFERROR(INDEX(Vinos!$C$2:$C$301,MATCH($B727,Vinos!$A$2:$A$301,0)),""))</f>
        <v/>
      </c>
      <c r="R727" s="20">
        <f>IF(OR($A727="",$A727&lt;&gt;'Resumen del inventario'!$C$3,$N727="",$N727="OK"),"",IF(COUNTIFS($A$2:$A727,$A727,$B$2:$B727,$B727)=1,1,""))</f>
        <v/>
      </c>
      <c r="S727" s="20">
        <f>IF($R727=1,COUNTIF($R$2:$R727,1),"")</f>
        <v/>
      </c>
    </row>
    <row r="728">
      <c r="A728" s="19" t="n"/>
      <c r="B728" s="14" t="n"/>
      <c r="C728" s="20">
        <f>IF($B728="","",IFERROR(INDEX(Vinos!$B$2:$B$301,MATCH($B728,Vinos!$A$2:$A$301,0)),"Código no cargado"))</f>
        <v/>
      </c>
      <c r="D728" s="14" t="n"/>
      <c r="E728" s="14" t="n"/>
      <c r="F728" s="18" t="n"/>
      <c r="G728" s="18" t="n"/>
      <c r="H728" s="21">
        <f>IF(AND($F728="",$G728=""),"",N($F728)*IFERROR(N(INDEX(Vinos!$H$2:$H$301,MATCH($B728,Vinos!$A$2:$A$301,0))),0)+N($G728))</f>
        <v/>
      </c>
      <c r="I728" s="18" t="n"/>
      <c r="J728" s="21">
        <f>IF(OR($H728="",$I728=""),"",$H728-$I728)</f>
        <v/>
      </c>
      <c r="K728" s="16">
        <f>IF($H728="","",IFERROR(IF(INDEX(Vinos!$J$2:$J$301,MATCH($B728,Vinos!$A$2:$A$301,0))="","",$H728*INDEX(Vinos!$J$2:$J$301,MATCH($B728,Vinos!$A$2:$A$301,0))),""))</f>
        <v/>
      </c>
      <c r="L728" s="16">
        <f>IF($H728="","",IFERROR(IF(INDEX(Vinos!$K$2:$K$301,MATCH($B728,Vinos!$A$2:$A$301,0))="","",$H728*INDEX(Vinos!$K$2:$K$301,MATCH($B728,Vinos!$A$2:$A$301,0))),""))</f>
        <v/>
      </c>
      <c r="M728" s="21">
        <f>IF(OR($A728="",$B728=""),"",SUMIFS($H$2:$H$2001,$A$2:$A$2001,$A728,$B$2:$B$2001,$B728))</f>
        <v/>
      </c>
      <c r="N728" s="20">
        <f>IF($M728="","",IF($M728&lt;=0,"Sin stock: reponer ya",IF($M728&lt;IFERROR(N(INDEX(Vinos!$N$2:$N$301,MATCH($B728,Vinos!$A$2:$A$301,0))),0),"Bajo mínimo: reponer","OK")))</f>
        <v/>
      </c>
      <c r="O728" s="14" t="n"/>
      <c r="P728" s="14" t="n"/>
      <c r="Q728" s="20">
        <f>IF($B728="","",IFERROR(INDEX(Vinos!$C$2:$C$301,MATCH($B728,Vinos!$A$2:$A$301,0)),""))</f>
        <v/>
      </c>
      <c r="R728" s="20">
        <f>IF(OR($A728="",$A728&lt;&gt;'Resumen del inventario'!$C$3,$N728="",$N728="OK"),"",IF(COUNTIFS($A$2:$A728,$A728,$B$2:$B728,$B728)=1,1,""))</f>
        <v/>
      </c>
      <c r="S728" s="20">
        <f>IF($R728=1,COUNTIF($R$2:$R728,1),"")</f>
        <v/>
      </c>
    </row>
    <row r="729">
      <c r="A729" s="19" t="n"/>
      <c r="B729" s="14" t="n"/>
      <c r="C729" s="20">
        <f>IF($B729="","",IFERROR(INDEX(Vinos!$B$2:$B$301,MATCH($B729,Vinos!$A$2:$A$301,0)),"Código no cargado"))</f>
        <v/>
      </c>
      <c r="D729" s="14" t="n"/>
      <c r="E729" s="14" t="n"/>
      <c r="F729" s="18" t="n"/>
      <c r="G729" s="18" t="n"/>
      <c r="H729" s="21">
        <f>IF(AND($F729="",$G729=""),"",N($F729)*IFERROR(N(INDEX(Vinos!$H$2:$H$301,MATCH($B729,Vinos!$A$2:$A$301,0))),0)+N($G729))</f>
        <v/>
      </c>
      <c r="I729" s="18" t="n"/>
      <c r="J729" s="21">
        <f>IF(OR($H729="",$I729=""),"",$H729-$I729)</f>
        <v/>
      </c>
      <c r="K729" s="16">
        <f>IF($H729="","",IFERROR(IF(INDEX(Vinos!$J$2:$J$301,MATCH($B729,Vinos!$A$2:$A$301,0))="","",$H729*INDEX(Vinos!$J$2:$J$301,MATCH($B729,Vinos!$A$2:$A$301,0))),""))</f>
        <v/>
      </c>
      <c r="L729" s="16">
        <f>IF($H729="","",IFERROR(IF(INDEX(Vinos!$K$2:$K$301,MATCH($B729,Vinos!$A$2:$A$301,0))="","",$H729*INDEX(Vinos!$K$2:$K$301,MATCH($B729,Vinos!$A$2:$A$301,0))),""))</f>
        <v/>
      </c>
      <c r="M729" s="21">
        <f>IF(OR($A729="",$B729=""),"",SUMIFS($H$2:$H$2001,$A$2:$A$2001,$A729,$B$2:$B$2001,$B729))</f>
        <v/>
      </c>
      <c r="N729" s="20">
        <f>IF($M729="","",IF($M729&lt;=0,"Sin stock: reponer ya",IF($M729&lt;IFERROR(N(INDEX(Vinos!$N$2:$N$301,MATCH($B729,Vinos!$A$2:$A$301,0))),0),"Bajo mínimo: reponer","OK")))</f>
        <v/>
      </c>
      <c r="O729" s="14" t="n"/>
      <c r="P729" s="14" t="n"/>
      <c r="Q729" s="20">
        <f>IF($B729="","",IFERROR(INDEX(Vinos!$C$2:$C$301,MATCH($B729,Vinos!$A$2:$A$301,0)),""))</f>
        <v/>
      </c>
      <c r="R729" s="20">
        <f>IF(OR($A729="",$A729&lt;&gt;'Resumen del inventario'!$C$3,$N729="",$N729="OK"),"",IF(COUNTIFS($A$2:$A729,$A729,$B$2:$B729,$B729)=1,1,""))</f>
        <v/>
      </c>
      <c r="S729" s="20">
        <f>IF($R729=1,COUNTIF($R$2:$R729,1),"")</f>
        <v/>
      </c>
    </row>
    <row r="730">
      <c r="A730" s="19" t="n"/>
      <c r="B730" s="14" t="n"/>
      <c r="C730" s="20">
        <f>IF($B730="","",IFERROR(INDEX(Vinos!$B$2:$B$301,MATCH($B730,Vinos!$A$2:$A$301,0)),"Código no cargado"))</f>
        <v/>
      </c>
      <c r="D730" s="14" t="n"/>
      <c r="E730" s="14" t="n"/>
      <c r="F730" s="18" t="n"/>
      <c r="G730" s="18" t="n"/>
      <c r="H730" s="21">
        <f>IF(AND($F730="",$G730=""),"",N($F730)*IFERROR(N(INDEX(Vinos!$H$2:$H$301,MATCH($B730,Vinos!$A$2:$A$301,0))),0)+N($G730))</f>
        <v/>
      </c>
      <c r="I730" s="18" t="n"/>
      <c r="J730" s="21">
        <f>IF(OR($H730="",$I730=""),"",$H730-$I730)</f>
        <v/>
      </c>
      <c r="K730" s="16">
        <f>IF($H730="","",IFERROR(IF(INDEX(Vinos!$J$2:$J$301,MATCH($B730,Vinos!$A$2:$A$301,0))="","",$H730*INDEX(Vinos!$J$2:$J$301,MATCH($B730,Vinos!$A$2:$A$301,0))),""))</f>
        <v/>
      </c>
      <c r="L730" s="16">
        <f>IF($H730="","",IFERROR(IF(INDEX(Vinos!$K$2:$K$301,MATCH($B730,Vinos!$A$2:$A$301,0))="","",$H730*INDEX(Vinos!$K$2:$K$301,MATCH($B730,Vinos!$A$2:$A$301,0))),""))</f>
        <v/>
      </c>
      <c r="M730" s="21">
        <f>IF(OR($A730="",$B730=""),"",SUMIFS($H$2:$H$2001,$A$2:$A$2001,$A730,$B$2:$B$2001,$B730))</f>
        <v/>
      </c>
      <c r="N730" s="20">
        <f>IF($M730="","",IF($M730&lt;=0,"Sin stock: reponer ya",IF($M730&lt;IFERROR(N(INDEX(Vinos!$N$2:$N$301,MATCH($B730,Vinos!$A$2:$A$301,0))),0),"Bajo mínimo: reponer","OK")))</f>
        <v/>
      </c>
      <c r="O730" s="14" t="n"/>
      <c r="P730" s="14" t="n"/>
      <c r="Q730" s="20">
        <f>IF($B730="","",IFERROR(INDEX(Vinos!$C$2:$C$301,MATCH($B730,Vinos!$A$2:$A$301,0)),""))</f>
        <v/>
      </c>
      <c r="R730" s="20">
        <f>IF(OR($A730="",$A730&lt;&gt;'Resumen del inventario'!$C$3,$N730="",$N730="OK"),"",IF(COUNTIFS($A$2:$A730,$A730,$B$2:$B730,$B730)=1,1,""))</f>
        <v/>
      </c>
      <c r="S730" s="20">
        <f>IF($R730=1,COUNTIF($R$2:$R730,1),"")</f>
        <v/>
      </c>
    </row>
    <row r="731">
      <c r="A731" s="19" t="n"/>
      <c r="B731" s="14" t="n"/>
      <c r="C731" s="20">
        <f>IF($B731="","",IFERROR(INDEX(Vinos!$B$2:$B$301,MATCH($B731,Vinos!$A$2:$A$301,0)),"Código no cargado"))</f>
        <v/>
      </c>
      <c r="D731" s="14" t="n"/>
      <c r="E731" s="14" t="n"/>
      <c r="F731" s="18" t="n"/>
      <c r="G731" s="18" t="n"/>
      <c r="H731" s="21">
        <f>IF(AND($F731="",$G731=""),"",N($F731)*IFERROR(N(INDEX(Vinos!$H$2:$H$301,MATCH($B731,Vinos!$A$2:$A$301,0))),0)+N($G731))</f>
        <v/>
      </c>
      <c r="I731" s="18" t="n"/>
      <c r="J731" s="21">
        <f>IF(OR($H731="",$I731=""),"",$H731-$I731)</f>
        <v/>
      </c>
      <c r="K731" s="16">
        <f>IF($H731="","",IFERROR(IF(INDEX(Vinos!$J$2:$J$301,MATCH($B731,Vinos!$A$2:$A$301,0))="","",$H731*INDEX(Vinos!$J$2:$J$301,MATCH($B731,Vinos!$A$2:$A$301,0))),""))</f>
        <v/>
      </c>
      <c r="L731" s="16">
        <f>IF($H731="","",IFERROR(IF(INDEX(Vinos!$K$2:$K$301,MATCH($B731,Vinos!$A$2:$A$301,0))="","",$H731*INDEX(Vinos!$K$2:$K$301,MATCH($B731,Vinos!$A$2:$A$301,0))),""))</f>
        <v/>
      </c>
      <c r="M731" s="21">
        <f>IF(OR($A731="",$B731=""),"",SUMIFS($H$2:$H$2001,$A$2:$A$2001,$A731,$B$2:$B$2001,$B731))</f>
        <v/>
      </c>
      <c r="N731" s="20">
        <f>IF($M731="","",IF($M731&lt;=0,"Sin stock: reponer ya",IF($M731&lt;IFERROR(N(INDEX(Vinos!$N$2:$N$301,MATCH($B731,Vinos!$A$2:$A$301,0))),0),"Bajo mínimo: reponer","OK")))</f>
        <v/>
      </c>
      <c r="O731" s="14" t="n"/>
      <c r="P731" s="14" t="n"/>
      <c r="Q731" s="20">
        <f>IF($B731="","",IFERROR(INDEX(Vinos!$C$2:$C$301,MATCH($B731,Vinos!$A$2:$A$301,0)),""))</f>
        <v/>
      </c>
      <c r="R731" s="20">
        <f>IF(OR($A731="",$A731&lt;&gt;'Resumen del inventario'!$C$3,$N731="",$N731="OK"),"",IF(COUNTIFS($A$2:$A731,$A731,$B$2:$B731,$B731)=1,1,""))</f>
        <v/>
      </c>
      <c r="S731" s="20">
        <f>IF($R731=1,COUNTIF($R$2:$R731,1),"")</f>
        <v/>
      </c>
    </row>
    <row r="732">
      <c r="A732" s="19" t="n"/>
      <c r="B732" s="14" t="n"/>
      <c r="C732" s="20">
        <f>IF($B732="","",IFERROR(INDEX(Vinos!$B$2:$B$301,MATCH($B732,Vinos!$A$2:$A$301,0)),"Código no cargado"))</f>
        <v/>
      </c>
      <c r="D732" s="14" t="n"/>
      <c r="E732" s="14" t="n"/>
      <c r="F732" s="18" t="n"/>
      <c r="G732" s="18" t="n"/>
      <c r="H732" s="21">
        <f>IF(AND($F732="",$G732=""),"",N($F732)*IFERROR(N(INDEX(Vinos!$H$2:$H$301,MATCH($B732,Vinos!$A$2:$A$301,0))),0)+N($G732))</f>
        <v/>
      </c>
      <c r="I732" s="18" t="n"/>
      <c r="J732" s="21">
        <f>IF(OR($H732="",$I732=""),"",$H732-$I732)</f>
        <v/>
      </c>
      <c r="K732" s="16">
        <f>IF($H732="","",IFERROR(IF(INDEX(Vinos!$J$2:$J$301,MATCH($B732,Vinos!$A$2:$A$301,0))="","",$H732*INDEX(Vinos!$J$2:$J$301,MATCH($B732,Vinos!$A$2:$A$301,0))),""))</f>
        <v/>
      </c>
      <c r="L732" s="16">
        <f>IF($H732="","",IFERROR(IF(INDEX(Vinos!$K$2:$K$301,MATCH($B732,Vinos!$A$2:$A$301,0))="","",$H732*INDEX(Vinos!$K$2:$K$301,MATCH($B732,Vinos!$A$2:$A$301,0))),""))</f>
        <v/>
      </c>
      <c r="M732" s="21">
        <f>IF(OR($A732="",$B732=""),"",SUMIFS($H$2:$H$2001,$A$2:$A$2001,$A732,$B$2:$B$2001,$B732))</f>
        <v/>
      </c>
      <c r="N732" s="20">
        <f>IF($M732="","",IF($M732&lt;=0,"Sin stock: reponer ya",IF($M732&lt;IFERROR(N(INDEX(Vinos!$N$2:$N$301,MATCH($B732,Vinos!$A$2:$A$301,0))),0),"Bajo mínimo: reponer","OK")))</f>
        <v/>
      </c>
      <c r="O732" s="14" t="n"/>
      <c r="P732" s="14" t="n"/>
      <c r="Q732" s="20">
        <f>IF($B732="","",IFERROR(INDEX(Vinos!$C$2:$C$301,MATCH($B732,Vinos!$A$2:$A$301,0)),""))</f>
        <v/>
      </c>
      <c r="R732" s="20">
        <f>IF(OR($A732="",$A732&lt;&gt;'Resumen del inventario'!$C$3,$N732="",$N732="OK"),"",IF(COUNTIFS($A$2:$A732,$A732,$B$2:$B732,$B732)=1,1,""))</f>
        <v/>
      </c>
      <c r="S732" s="20">
        <f>IF($R732=1,COUNTIF($R$2:$R732,1),"")</f>
        <v/>
      </c>
    </row>
    <row r="733">
      <c r="A733" s="19" t="n"/>
      <c r="B733" s="14" t="n"/>
      <c r="C733" s="20">
        <f>IF($B733="","",IFERROR(INDEX(Vinos!$B$2:$B$301,MATCH($B733,Vinos!$A$2:$A$301,0)),"Código no cargado"))</f>
        <v/>
      </c>
      <c r="D733" s="14" t="n"/>
      <c r="E733" s="14" t="n"/>
      <c r="F733" s="18" t="n"/>
      <c r="G733" s="18" t="n"/>
      <c r="H733" s="21">
        <f>IF(AND($F733="",$G733=""),"",N($F733)*IFERROR(N(INDEX(Vinos!$H$2:$H$301,MATCH($B733,Vinos!$A$2:$A$301,0))),0)+N($G733))</f>
        <v/>
      </c>
      <c r="I733" s="18" t="n"/>
      <c r="J733" s="21">
        <f>IF(OR($H733="",$I733=""),"",$H733-$I733)</f>
        <v/>
      </c>
      <c r="K733" s="16">
        <f>IF($H733="","",IFERROR(IF(INDEX(Vinos!$J$2:$J$301,MATCH($B733,Vinos!$A$2:$A$301,0))="","",$H733*INDEX(Vinos!$J$2:$J$301,MATCH($B733,Vinos!$A$2:$A$301,0))),""))</f>
        <v/>
      </c>
      <c r="L733" s="16">
        <f>IF($H733="","",IFERROR(IF(INDEX(Vinos!$K$2:$K$301,MATCH($B733,Vinos!$A$2:$A$301,0))="","",$H733*INDEX(Vinos!$K$2:$K$301,MATCH($B733,Vinos!$A$2:$A$301,0))),""))</f>
        <v/>
      </c>
      <c r="M733" s="21">
        <f>IF(OR($A733="",$B733=""),"",SUMIFS($H$2:$H$2001,$A$2:$A$2001,$A733,$B$2:$B$2001,$B733))</f>
        <v/>
      </c>
      <c r="N733" s="20">
        <f>IF($M733="","",IF($M733&lt;=0,"Sin stock: reponer ya",IF($M733&lt;IFERROR(N(INDEX(Vinos!$N$2:$N$301,MATCH($B733,Vinos!$A$2:$A$301,0))),0),"Bajo mínimo: reponer","OK")))</f>
        <v/>
      </c>
      <c r="O733" s="14" t="n"/>
      <c r="P733" s="14" t="n"/>
      <c r="Q733" s="20">
        <f>IF($B733="","",IFERROR(INDEX(Vinos!$C$2:$C$301,MATCH($B733,Vinos!$A$2:$A$301,0)),""))</f>
        <v/>
      </c>
      <c r="R733" s="20">
        <f>IF(OR($A733="",$A733&lt;&gt;'Resumen del inventario'!$C$3,$N733="",$N733="OK"),"",IF(COUNTIFS($A$2:$A733,$A733,$B$2:$B733,$B733)=1,1,""))</f>
        <v/>
      </c>
      <c r="S733" s="20">
        <f>IF($R733=1,COUNTIF($R$2:$R733,1),"")</f>
        <v/>
      </c>
    </row>
    <row r="734">
      <c r="A734" s="19" t="n"/>
      <c r="B734" s="14" t="n"/>
      <c r="C734" s="20">
        <f>IF($B734="","",IFERROR(INDEX(Vinos!$B$2:$B$301,MATCH($B734,Vinos!$A$2:$A$301,0)),"Código no cargado"))</f>
        <v/>
      </c>
      <c r="D734" s="14" t="n"/>
      <c r="E734" s="14" t="n"/>
      <c r="F734" s="18" t="n"/>
      <c r="G734" s="18" t="n"/>
      <c r="H734" s="21">
        <f>IF(AND($F734="",$G734=""),"",N($F734)*IFERROR(N(INDEX(Vinos!$H$2:$H$301,MATCH($B734,Vinos!$A$2:$A$301,0))),0)+N($G734))</f>
        <v/>
      </c>
      <c r="I734" s="18" t="n"/>
      <c r="J734" s="21">
        <f>IF(OR($H734="",$I734=""),"",$H734-$I734)</f>
        <v/>
      </c>
      <c r="K734" s="16">
        <f>IF($H734="","",IFERROR(IF(INDEX(Vinos!$J$2:$J$301,MATCH($B734,Vinos!$A$2:$A$301,0))="","",$H734*INDEX(Vinos!$J$2:$J$301,MATCH($B734,Vinos!$A$2:$A$301,0))),""))</f>
        <v/>
      </c>
      <c r="L734" s="16">
        <f>IF($H734="","",IFERROR(IF(INDEX(Vinos!$K$2:$K$301,MATCH($B734,Vinos!$A$2:$A$301,0))="","",$H734*INDEX(Vinos!$K$2:$K$301,MATCH($B734,Vinos!$A$2:$A$301,0))),""))</f>
        <v/>
      </c>
      <c r="M734" s="21">
        <f>IF(OR($A734="",$B734=""),"",SUMIFS($H$2:$H$2001,$A$2:$A$2001,$A734,$B$2:$B$2001,$B734))</f>
        <v/>
      </c>
      <c r="N734" s="20">
        <f>IF($M734="","",IF($M734&lt;=0,"Sin stock: reponer ya",IF($M734&lt;IFERROR(N(INDEX(Vinos!$N$2:$N$301,MATCH($B734,Vinos!$A$2:$A$301,0))),0),"Bajo mínimo: reponer","OK")))</f>
        <v/>
      </c>
      <c r="O734" s="14" t="n"/>
      <c r="P734" s="14" t="n"/>
      <c r="Q734" s="20">
        <f>IF($B734="","",IFERROR(INDEX(Vinos!$C$2:$C$301,MATCH($B734,Vinos!$A$2:$A$301,0)),""))</f>
        <v/>
      </c>
      <c r="R734" s="20">
        <f>IF(OR($A734="",$A734&lt;&gt;'Resumen del inventario'!$C$3,$N734="",$N734="OK"),"",IF(COUNTIFS($A$2:$A734,$A734,$B$2:$B734,$B734)=1,1,""))</f>
        <v/>
      </c>
      <c r="S734" s="20">
        <f>IF($R734=1,COUNTIF($R$2:$R734,1),"")</f>
        <v/>
      </c>
    </row>
    <row r="735">
      <c r="A735" s="19" t="n"/>
      <c r="B735" s="14" t="n"/>
      <c r="C735" s="20">
        <f>IF($B735="","",IFERROR(INDEX(Vinos!$B$2:$B$301,MATCH($B735,Vinos!$A$2:$A$301,0)),"Código no cargado"))</f>
        <v/>
      </c>
      <c r="D735" s="14" t="n"/>
      <c r="E735" s="14" t="n"/>
      <c r="F735" s="18" t="n"/>
      <c r="G735" s="18" t="n"/>
      <c r="H735" s="21">
        <f>IF(AND($F735="",$G735=""),"",N($F735)*IFERROR(N(INDEX(Vinos!$H$2:$H$301,MATCH($B735,Vinos!$A$2:$A$301,0))),0)+N($G735))</f>
        <v/>
      </c>
      <c r="I735" s="18" t="n"/>
      <c r="J735" s="21">
        <f>IF(OR($H735="",$I735=""),"",$H735-$I735)</f>
        <v/>
      </c>
      <c r="K735" s="16">
        <f>IF($H735="","",IFERROR(IF(INDEX(Vinos!$J$2:$J$301,MATCH($B735,Vinos!$A$2:$A$301,0))="","",$H735*INDEX(Vinos!$J$2:$J$301,MATCH($B735,Vinos!$A$2:$A$301,0))),""))</f>
        <v/>
      </c>
      <c r="L735" s="16">
        <f>IF($H735="","",IFERROR(IF(INDEX(Vinos!$K$2:$K$301,MATCH($B735,Vinos!$A$2:$A$301,0))="","",$H735*INDEX(Vinos!$K$2:$K$301,MATCH($B735,Vinos!$A$2:$A$301,0))),""))</f>
        <v/>
      </c>
      <c r="M735" s="21">
        <f>IF(OR($A735="",$B735=""),"",SUMIFS($H$2:$H$2001,$A$2:$A$2001,$A735,$B$2:$B$2001,$B735))</f>
        <v/>
      </c>
      <c r="N735" s="20">
        <f>IF($M735="","",IF($M735&lt;=0,"Sin stock: reponer ya",IF($M735&lt;IFERROR(N(INDEX(Vinos!$N$2:$N$301,MATCH($B735,Vinos!$A$2:$A$301,0))),0),"Bajo mínimo: reponer","OK")))</f>
        <v/>
      </c>
      <c r="O735" s="14" t="n"/>
      <c r="P735" s="14" t="n"/>
      <c r="Q735" s="20">
        <f>IF($B735="","",IFERROR(INDEX(Vinos!$C$2:$C$301,MATCH($B735,Vinos!$A$2:$A$301,0)),""))</f>
        <v/>
      </c>
      <c r="R735" s="20">
        <f>IF(OR($A735="",$A735&lt;&gt;'Resumen del inventario'!$C$3,$N735="",$N735="OK"),"",IF(COUNTIFS($A$2:$A735,$A735,$B$2:$B735,$B735)=1,1,""))</f>
        <v/>
      </c>
      <c r="S735" s="20">
        <f>IF($R735=1,COUNTIF($R$2:$R735,1),"")</f>
        <v/>
      </c>
    </row>
    <row r="736">
      <c r="A736" s="19" t="n"/>
      <c r="B736" s="14" t="n"/>
      <c r="C736" s="20">
        <f>IF($B736="","",IFERROR(INDEX(Vinos!$B$2:$B$301,MATCH($B736,Vinos!$A$2:$A$301,0)),"Código no cargado"))</f>
        <v/>
      </c>
      <c r="D736" s="14" t="n"/>
      <c r="E736" s="14" t="n"/>
      <c r="F736" s="18" t="n"/>
      <c r="G736" s="18" t="n"/>
      <c r="H736" s="21">
        <f>IF(AND($F736="",$G736=""),"",N($F736)*IFERROR(N(INDEX(Vinos!$H$2:$H$301,MATCH($B736,Vinos!$A$2:$A$301,0))),0)+N($G736))</f>
        <v/>
      </c>
      <c r="I736" s="18" t="n"/>
      <c r="J736" s="21">
        <f>IF(OR($H736="",$I736=""),"",$H736-$I736)</f>
        <v/>
      </c>
      <c r="K736" s="16">
        <f>IF($H736="","",IFERROR(IF(INDEX(Vinos!$J$2:$J$301,MATCH($B736,Vinos!$A$2:$A$301,0))="","",$H736*INDEX(Vinos!$J$2:$J$301,MATCH($B736,Vinos!$A$2:$A$301,0))),""))</f>
        <v/>
      </c>
      <c r="L736" s="16">
        <f>IF($H736="","",IFERROR(IF(INDEX(Vinos!$K$2:$K$301,MATCH($B736,Vinos!$A$2:$A$301,0))="","",$H736*INDEX(Vinos!$K$2:$K$301,MATCH($B736,Vinos!$A$2:$A$301,0))),""))</f>
        <v/>
      </c>
      <c r="M736" s="21">
        <f>IF(OR($A736="",$B736=""),"",SUMIFS($H$2:$H$2001,$A$2:$A$2001,$A736,$B$2:$B$2001,$B736))</f>
        <v/>
      </c>
      <c r="N736" s="20">
        <f>IF($M736="","",IF($M736&lt;=0,"Sin stock: reponer ya",IF($M736&lt;IFERROR(N(INDEX(Vinos!$N$2:$N$301,MATCH($B736,Vinos!$A$2:$A$301,0))),0),"Bajo mínimo: reponer","OK")))</f>
        <v/>
      </c>
      <c r="O736" s="14" t="n"/>
      <c r="P736" s="14" t="n"/>
      <c r="Q736" s="20">
        <f>IF($B736="","",IFERROR(INDEX(Vinos!$C$2:$C$301,MATCH($B736,Vinos!$A$2:$A$301,0)),""))</f>
        <v/>
      </c>
      <c r="R736" s="20">
        <f>IF(OR($A736="",$A736&lt;&gt;'Resumen del inventario'!$C$3,$N736="",$N736="OK"),"",IF(COUNTIFS($A$2:$A736,$A736,$B$2:$B736,$B736)=1,1,""))</f>
        <v/>
      </c>
      <c r="S736" s="20">
        <f>IF($R736=1,COUNTIF($R$2:$R736,1),"")</f>
        <v/>
      </c>
    </row>
    <row r="737">
      <c r="A737" s="19" t="n"/>
      <c r="B737" s="14" t="n"/>
      <c r="C737" s="20">
        <f>IF($B737="","",IFERROR(INDEX(Vinos!$B$2:$B$301,MATCH($B737,Vinos!$A$2:$A$301,0)),"Código no cargado"))</f>
        <v/>
      </c>
      <c r="D737" s="14" t="n"/>
      <c r="E737" s="14" t="n"/>
      <c r="F737" s="18" t="n"/>
      <c r="G737" s="18" t="n"/>
      <c r="H737" s="21">
        <f>IF(AND($F737="",$G737=""),"",N($F737)*IFERROR(N(INDEX(Vinos!$H$2:$H$301,MATCH($B737,Vinos!$A$2:$A$301,0))),0)+N($G737))</f>
        <v/>
      </c>
      <c r="I737" s="18" t="n"/>
      <c r="J737" s="21">
        <f>IF(OR($H737="",$I737=""),"",$H737-$I737)</f>
        <v/>
      </c>
      <c r="K737" s="16">
        <f>IF($H737="","",IFERROR(IF(INDEX(Vinos!$J$2:$J$301,MATCH($B737,Vinos!$A$2:$A$301,0))="","",$H737*INDEX(Vinos!$J$2:$J$301,MATCH($B737,Vinos!$A$2:$A$301,0))),""))</f>
        <v/>
      </c>
      <c r="L737" s="16">
        <f>IF($H737="","",IFERROR(IF(INDEX(Vinos!$K$2:$K$301,MATCH($B737,Vinos!$A$2:$A$301,0))="","",$H737*INDEX(Vinos!$K$2:$K$301,MATCH($B737,Vinos!$A$2:$A$301,0))),""))</f>
        <v/>
      </c>
      <c r="M737" s="21">
        <f>IF(OR($A737="",$B737=""),"",SUMIFS($H$2:$H$2001,$A$2:$A$2001,$A737,$B$2:$B$2001,$B737))</f>
        <v/>
      </c>
      <c r="N737" s="20">
        <f>IF($M737="","",IF($M737&lt;=0,"Sin stock: reponer ya",IF($M737&lt;IFERROR(N(INDEX(Vinos!$N$2:$N$301,MATCH($B737,Vinos!$A$2:$A$301,0))),0),"Bajo mínimo: reponer","OK")))</f>
        <v/>
      </c>
      <c r="O737" s="14" t="n"/>
      <c r="P737" s="14" t="n"/>
      <c r="Q737" s="20">
        <f>IF($B737="","",IFERROR(INDEX(Vinos!$C$2:$C$301,MATCH($B737,Vinos!$A$2:$A$301,0)),""))</f>
        <v/>
      </c>
      <c r="R737" s="20">
        <f>IF(OR($A737="",$A737&lt;&gt;'Resumen del inventario'!$C$3,$N737="",$N737="OK"),"",IF(COUNTIFS($A$2:$A737,$A737,$B$2:$B737,$B737)=1,1,""))</f>
        <v/>
      </c>
      <c r="S737" s="20">
        <f>IF($R737=1,COUNTIF($R$2:$R737,1),"")</f>
        <v/>
      </c>
    </row>
    <row r="738">
      <c r="A738" s="19" t="n"/>
      <c r="B738" s="14" t="n"/>
      <c r="C738" s="20">
        <f>IF($B738="","",IFERROR(INDEX(Vinos!$B$2:$B$301,MATCH($B738,Vinos!$A$2:$A$301,0)),"Código no cargado"))</f>
        <v/>
      </c>
      <c r="D738" s="14" t="n"/>
      <c r="E738" s="14" t="n"/>
      <c r="F738" s="18" t="n"/>
      <c r="G738" s="18" t="n"/>
      <c r="H738" s="21">
        <f>IF(AND($F738="",$G738=""),"",N($F738)*IFERROR(N(INDEX(Vinos!$H$2:$H$301,MATCH($B738,Vinos!$A$2:$A$301,0))),0)+N($G738))</f>
        <v/>
      </c>
      <c r="I738" s="18" t="n"/>
      <c r="J738" s="21">
        <f>IF(OR($H738="",$I738=""),"",$H738-$I738)</f>
        <v/>
      </c>
      <c r="K738" s="16">
        <f>IF($H738="","",IFERROR(IF(INDEX(Vinos!$J$2:$J$301,MATCH($B738,Vinos!$A$2:$A$301,0))="","",$H738*INDEX(Vinos!$J$2:$J$301,MATCH($B738,Vinos!$A$2:$A$301,0))),""))</f>
        <v/>
      </c>
      <c r="L738" s="16">
        <f>IF($H738="","",IFERROR(IF(INDEX(Vinos!$K$2:$K$301,MATCH($B738,Vinos!$A$2:$A$301,0))="","",$H738*INDEX(Vinos!$K$2:$K$301,MATCH($B738,Vinos!$A$2:$A$301,0))),""))</f>
        <v/>
      </c>
      <c r="M738" s="21">
        <f>IF(OR($A738="",$B738=""),"",SUMIFS($H$2:$H$2001,$A$2:$A$2001,$A738,$B$2:$B$2001,$B738))</f>
        <v/>
      </c>
      <c r="N738" s="20">
        <f>IF($M738="","",IF($M738&lt;=0,"Sin stock: reponer ya",IF($M738&lt;IFERROR(N(INDEX(Vinos!$N$2:$N$301,MATCH($B738,Vinos!$A$2:$A$301,0))),0),"Bajo mínimo: reponer","OK")))</f>
        <v/>
      </c>
      <c r="O738" s="14" t="n"/>
      <c r="P738" s="14" t="n"/>
      <c r="Q738" s="20">
        <f>IF($B738="","",IFERROR(INDEX(Vinos!$C$2:$C$301,MATCH($B738,Vinos!$A$2:$A$301,0)),""))</f>
        <v/>
      </c>
      <c r="R738" s="20">
        <f>IF(OR($A738="",$A738&lt;&gt;'Resumen del inventario'!$C$3,$N738="",$N738="OK"),"",IF(COUNTIFS($A$2:$A738,$A738,$B$2:$B738,$B738)=1,1,""))</f>
        <v/>
      </c>
      <c r="S738" s="20">
        <f>IF($R738=1,COUNTIF($R$2:$R738,1),"")</f>
        <v/>
      </c>
    </row>
    <row r="739">
      <c r="A739" s="19" t="n"/>
      <c r="B739" s="14" t="n"/>
      <c r="C739" s="20">
        <f>IF($B739="","",IFERROR(INDEX(Vinos!$B$2:$B$301,MATCH($B739,Vinos!$A$2:$A$301,0)),"Código no cargado"))</f>
        <v/>
      </c>
      <c r="D739" s="14" t="n"/>
      <c r="E739" s="14" t="n"/>
      <c r="F739" s="18" t="n"/>
      <c r="G739" s="18" t="n"/>
      <c r="H739" s="21">
        <f>IF(AND($F739="",$G739=""),"",N($F739)*IFERROR(N(INDEX(Vinos!$H$2:$H$301,MATCH($B739,Vinos!$A$2:$A$301,0))),0)+N($G739))</f>
        <v/>
      </c>
      <c r="I739" s="18" t="n"/>
      <c r="J739" s="21">
        <f>IF(OR($H739="",$I739=""),"",$H739-$I739)</f>
        <v/>
      </c>
      <c r="K739" s="16">
        <f>IF($H739="","",IFERROR(IF(INDEX(Vinos!$J$2:$J$301,MATCH($B739,Vinos!$A$2:$A$301,0))="","",$H739*INDEX(Vinos!$J$2:$J$301,MATCH($B739,Vinos!$A$2:$A$301,0))),""))</f>
        <v/>
      </c>
      <c r="L739" s="16">
        <f>IF($H739="","",IFERROR(IF(INDEX(Vinos!$K$2:$K$301,MATCH($B739,Vinos!$A$2:$A$301,0))="","",$H739*INDEX(Vinos!$K$2:$K$301,MATCH($B739,Vinos!$A$2:$A$301,0))),""))</f>
        <v/>
      </c>
      <c r="M739" s="21">
        <f>IF(OR($A739="",$B739=""),"",SUMIFS($H$2:$H$2001,$A$2:$A$2001,$A739,$B$2:$B$2001,$B739))</f>
        <v/>
      </c>
      <c r="N739" s="20">
        <f>IF($M739="","",IF($M739&lt;=0,"Sin stock: reponer ya",IF($M739&lt;IFERROR(N(INDEX(Vinos!$N$2:$N$301,MATCH($B739,Vinos!$A$2:$A$301,0))),0),"Bajo mínimo: reponer","OK")))</f>
        <v/>
      </c>
      <c r="O739" s="14" t="n"/>
      <c r="P739" s="14" t="n"/>
      <c r="Q739" s="20">
        <f>IF($B739="","",IFERROR(INDEX(Vinos!$C$2:$C$301,MATCH($B739,Vinos!$A$2:$A$301,0)),""))</f>
        <v/>
      </c>
      <c r="R739" s="20">
        <f>IF(OR($A739="",$A739&lt;&gt;'Resumen del inventario'!$C$3,$N739="",$N739="OK"),"",IF(COUNTIFS($A$2:$A739,$A739,$B$2:$B739,$B739)=1,1,""))</f>
        <v/>
      </c>
      <c r="S739" s="20">
        <f>IF($R739=1,COUNTIF($R$2:$R739,1),"")</f>
        <v/>
      </c>
    </row>
    <row r="740">
      <c r="A740" s="19" t="n"/>
      <c r="B740" s="14" t="n"/>
      <c r="C740" s="20">
        <f>IF($B740="","",IFERROR(INDEX(Vinos!$B$2:$B$301,MATCH($B740,Vinos!$A$2:$A$301,0)),"Código no cargado"))</f>
        <v/>
      </c>
      <c r="D740" s="14" t="n"/>
      <c r="E740" s="14" t="n"/>
      <c r="F740" s="18" t="n"/>
      <c r="G740" s="18" t="n"/>
      <c r="H740" s="21">
        <f>IF(AND($F740="",$G740=""),"",N($F740)*IFERROR(N(INDEX(Vinos!$H$2:$H$301,MATCH($B740,Vinos!$A$2:$A$301,0))),0)+N($G740))</f>
        <v/>
      </c>
      <c r="I740" s="18" t="n"/>
      <c r="J740" s="21">
        <f>IF(OR($H740="",$I740=""),"",$H740-$I740)</f>
        <v/>
      </c>
      <c r="K740" s="16">
        <f>IF($H740="","",IFERROR(IF(INDEX(Vinos!$J$2:$J$301,MATCH($B740,Vinos!$A$2:$A$301,0))="","",$H740*INDEX(Vinos!$J$2:$J$301,MATCH($B740,Vinos!$A$2:$A$301,0))),""))</f>
        <v/>
      </c>
      <c r="L740" s="16">
        <f>IF($H740="","",IFERROR(IF(INDEX(Vinos!$K$2:$K$301,MATCH($B740,Vinos!$A$2:$A$301,0))="","",$H740*INDEX(Vinos!$K$2:$K$301,MATCH($B740,Vinos!$A$2:$A$301,0))),""))</f>
        <v/>
      </c>
      <c r="M740" s="21">
        <f>IF(OR($A740="",$B740=""),"",SUMIFS($H$2:$H$2001,$A$2:$A$2001,$A740,$B$2:$B$2001,$B740))</f>
        <v/>
      </c>
      <c r="N740" s="20">
        <f>IF($M740="","",IF($M740&lt;=0,"Sin stock: reponer ya",IF($M740&lt;IFERROR(N(INDEX(Vinos!$N$2:$N$301,MATCH($B740,Vinos!$A$2:$A$301,0))),0),"Bajo mínimo: reponer","OK")))</f>
        <v/>
      </c>
      <c r="O740" s="14" t="n"/>
      <c r="P740" s="14" t="n"/>
      <c r="Q740" s="20">
        <f>IF($B740="","",IFERROR(INDEX(Vinos!$C$2:$C$301,MATCH($B740,Vinos!$A$2:$A$301,0)),""))</f>
        <v/>
      </c>
      <c r="R740" s="20">
        <f>IF(OR($A740="",$A740&lt;&gt;'Resumen del inventario'!$C$3,$N740="",$N740="OK"),"",IF(COUNTIFS($A$2:$A740,$A740,$B$2:$B740,$B740)=1,1,""))</f>
        <v/>
      </c>
      <c r="S740" s="20">
        <f>IF($R740=1,COUNTIF($R$2:$R740,1),"")</f>
        <v/>
      </c>
    </row>
    <row r="741">
      <c r="A741" s="19" t="n"/>
      <c r="B741" s="14" t="n"/>
      <c r="C741" s="20">
        <f>IF($B741="","",IFERROR(INDEX(Vinos!$B$2:$B$301,MATCH($B741,Vinos!$A$2:$A$301,0)),"Código no cargado"))</f>
        <v/>
      </c>
      <c r="D741" s="14" t="n"/>
      <c r="E741" s="14" t="n"/>
      <c r="F741" s="18" t="n"/>
      <c r="G741" s="18" t="n"/>
      <c r="H741" s="21">
        <f>IF(AND($F741="",$G741=""),"",N($F741)*IFERROR(N(INDEX(Vinos!$H$2:$H$301,MATCH($B741,Vinos!$A$2:$A$301,0))),0)+N($G741))</f>
        <v/>
      </c>
      <c r="I741" s="18" t="n"/>
      <c r="J741" s="21">
        <f>IF(OR($H741="",$I741=""),"",$H741-$I741)</f>
        <v/>
      </c>
      <c r="K741" s="16">
        <f>IF($H741="","",IFERROR(IF(INDEX(Vinos!$J$2:$J$301,MATCH($B741,Vinos!$A$2:$A$301,0))="","",$H741*INDEX(Vinos!$J$2:$J$301,MATCH($B741,Vinos!$A$2:$A$301,0))),""))</f>
        <v/>
      </c>
      <c r="L741" s="16">
        <f>IF($H741="","",IFERROR(IF(INDEX(Vinos!$K$2:$K$301,MATCH($B741,Vinos!$A$2:$A$301,0))="","",$H741*INDEX(Vinos!$K$2:$K$301,MATCH($B741,Vinos!$A$2:$A$301,0))),""))</f>
        <v/>
      </c>
      <c r="M741" s="21">
        <f>IF(OR($A741="",$B741=""),"",SUMIFS($H$2:$H$2001,$A$2:$A$2001,$A741,$B$2:$B$2001,$B741))</f>
        <v/>
      </c>
      <c r="N741" s="20">
        <f>IF($M741="","",IF($M741&lt;=0,"Sin stock: reponer ya",IF($M741&lt;IFERROR(N(INDEX(Vinos!$N$2:$N$301,MATCH($B741,Vinos!$A$2:$A$301,0))),0),"Bajo mínimo: reponer","OK")))</f>
        <v/>
      </c>
      <c r="O741" s="14" t="n"/>
      <c r="P741" s="14" t="n"/>
      <c r="Q741" s="20">
        <f>IF($B741="","",IFERROR(INDEX(Vinos!$C$2:$C$301,MATCH($B741,Vinos!$A$2:$A$301,0)),""))</f>
        <v/>
      </c>
      <c r="R741" s="20">
        <f>IF(OR($A741="",$A741&lt;&gt;'Resumen del inventario'!$C$3,$N741="",$N741="OK"),"",IF(COUNTIFS($A$2:$A741,$A741,$B$2:$B741,$B741)=1,1,""))</f>
        <v/>
      </c>
      <c r="S741" s="20">
        <f>IF($R741=1,COUNTIF($R$2:$R741,1),"")</f>
        <v/>
      </c>
    </row>
    <row r="742">
      <c r="A742" s="19" t="n"/>
      <c r="B742" s="14" t="n"/>
      <c r="C742" s="20">
        <f>IF($B742="","",IFERROR(INDEX(Vinos!$B$2:$B$301,MATCH($B742,Vinos!$A$2:$A$301,0)),"Código no cargado"))</f>
        <v/>
      </c>
      <c r="D742" s="14" t="n"/>
      <c r="E742" s="14" t="n"/>
      <c r="F742" s="18" t="n"/>
      <c r="G742" s="18" t="n"/>
      <c r="H742" s="21">
        <f>IF(AND($F742="",$G742=""),"",N($F742)*IFERROR(N(INDEX(Vinos!$H$2:$H$301,MATCH($B742,Vinos!$A$2:$A$301,0))),0)+N($G742))</f>
        <v/>
      </c>
      <c r="I742" s="18" t="n"/>
      <c r="J742" s="21">
        <f>IF(OR($H742="",$I742=""),"",$H742-$I742)</f>
        <v/>
      </c>
      <c r="K742" s="16">
        <f>IF($H742="","",IFERROR(IF(INDEX(Vinos!$J$2:$J$301,MATCH($B742,Vinos!$A$2:$A$301,0))="","",$H742*INDEX(Vinos!$J$2:$J$301,MATCH($B742,Vinos!$A$2:$A$301,0))),""))</f>
        <v/>
      </c>
      <c r="L742" s="16">
        <f>IF($H742="","",IFERROR(IF(INDEX(Vinos!$K$2:$K$301,MATCH($B742,Vinos!$A$2:$A$301,0))="","",$H742*INDEX(Vinos!$K$2:$K$301,MATCH($B742,Vinos!$A$2:$A$301,0))),""))</f>
        <v/>
      </c>
      <c r="M742" s="21">
        <f>IF(OR($A742="",$B742=""),"",SUMIFS($H$2:$H$2001,$A$2:$A$2001,$A742,$B$2:$B$2001,$B742))</f>
        <v/>
      </c>
      <c r="N742" s="20">
        <f>IF($M742="","",IF($M742&lt;=0,"Sin stock: reponer ya",IF($M742&lt;IFERROR(N(INDEX(Vinos!$N$2:$N$301,MATCH($B742,Vinos!$A$2:$A$301,0))),0),"Bajo mínimo: reponer","OK")))</f>
        <v/>
      </c>
      <c r="O742" s="14" t="n"/>
      <c r="P742" s="14" t="n"/>
      <c r="Q742" s="20">
        <f>IF($B742="","",IFERROR(INDEX(Vinos!$C$2:$C$301,MATCH($B742,Vinos!$A$2:$A$301,0)),""))</f>
        <v/>
      </c>
      <c r="R742" s="20">
        <f>IF(OR($A742="",$A742&lt;&gt;'Resumen del inventario'!$C$3,$N742="",$N742="OK"),"",IF(COUNTIFS($A$2:$A742,$A742,$B$2:$B742,$B742)=1,1,""))</f>
        <v/>
      </c>
      <c r="S742" s="20">
        <f>IF($R742=1,COUNTIF($R$2:$R742,1),"")</f>
        <v/>
      </c>
    </row>
    <row r="743">
      <c r="A743" s="19" t="n"/>
      <c r="B743" s="14" t="n"/>
      <c r="C743" s="20">
        <f>IF($B743="","",IFERROR(INDEX(Vinos!$B$2:$B$301,MATCH($B743,Vinos!$A$2:$A$301,0)),"Código no cargado"))</f>
        <v/>
      </c>
      <c r="D743" s="14" t="n"/>
      <c r="E743" s="14" t="n"/>
      <c r="F743" s="18" t="n"/>
      <c r="G743" s="18" t="n"/>
      <c r="H743" s="21">
        <f>IF(AND($F743="",$G743=""),"",N($F743)*IFERROR(N(INDEX(Vinos!$H$2:$H$301,MATCH($B743,Vinos!$A$2:$A$301,0))),0)+N($G743))</f>
        <v/>
      </c>
      <c r="I743" s="18" t="n"/>
      <c r="J743" s="21">
        <f>IF(OR($H743="",$I743=""),"",$H743-$I743)</f>
        <v/>
      </c>
      <c r="K743" s="16">
        <f>IF($H743="","",IFERROR(IF(INDEX(Vinos!$J$2:$J$301,MATCH($B743,Vinos!$A$2:$A$301,0))="","",$H743*INDEX(Vinos!$J$2:$J$301,MATCH($B743,Vinos!$A$2:$A$301,0))),""))</f>
        <v/>
      </c>
      <c r="L743" s="16">
        <f>IF($H743="","",IFERROR(IF(INDEX(Vinos!$K$2:$K$301,MATCH($B743,Vinos!$A$2:$A$301,0))="","",$H743*INDEX(Vinos!$K$2:$K$301,MATCH($B743,Vinos!$A$2:$A$301,0))),""))</f>
        <v/>
      </c>
      <c r="M743" s="21">
        <f>IF(OR($A743="",$B743=""),"",SUMIFS($H$2:$H$2001,$A$2:$A$2001,$A743,$B$2:$B$2001,$B743))</f>
        <v/>
      </c>
      <c r="N743" s="20">
        <f>IF($M743="","",IF($M743&lt;=0,"Sin stock: reponer ya",IF($M743&lt;IFERROR(N(INDEX(Vinos!$N$2:$N$301,MATCH($B743,Vinos!$A$2:$A$301,0))),0),"Bajo mínimo: reponer","OK")))</f>
        <v/>
      </c>
      <c r="O743" s="14" t="n"/>
      <c r="P743" s="14" t="n"/>
      <c r="Q743" s="20">
        <f>IF($B743="","",IFERROR(INDEX(Vinos!$C$2:$C$301,MATCH($B743,Vinos!$A$2:$A$301,0)),""))</f>
        <v/>
      </c>
      <c r="R743" s="20">
        <f>IF(OR($A743="",$A743&lt;&gt;'Resumen del inventario'!$C$3,$N743="",$N743="OK"),"",IF(COUNTIFS($A$2:$A743,$A743,$B$2:$B743,$B743)=1,1,""))</f>
        <v/>
      </c>
      <c r="S743" s="20">
        <f>IF($R743=1,COUNTIF($R$2:$R743,1),"")</f>
        <v/>
      </c>
    </row>
    <row r="744">
      <c r="A744" s="19" t="n"/>
      <c r="B744" s="14" t="n"/>
      <c r="C744" s="20">
        <f>IF($B744="","",IFERROR(INDEX(Vinos!$B$2:$B$301,MATCH($B744,Vinos!$A$2:$A$301,0)),"Código no cargado"))</f>
        <v/>
      </c>
      <c r="D744" s="14" t="n"/>
      <c r="E744" s="14" t="n"/>
      <c r="F744" s="18" t="n"/>
      <c r="G744" s="18" t="n"/>
      <c r="H744" s="21">
        <f>IF(AND($F744="",$G744=""),"",N($F744)*IFERROR(N(INDEX(Vinos!$H$2:$H$301,MATCH($B744,Vinos!$A$2:$A$301,0))),0)+N($G744))</f>
        <v/>
      </c>
      <c r="I744" s="18" t="n"/>
      <c r="J744" s="21">
        <f>IF(OR($H744="",$I744=""),"",$H744-$I744)</f>
        <v/>
      </c>
      <c r="K744" s="16">
        <f>IF($H744="","",IFERROR(IF(INDEX(Vinos!$J$2:$J$301,MATCH($B744,Vinos!$A$2:$A$301,0))="","",$H744*INDEX(Vinos!$J$2:$J$301,MATCH($B744,Vinos!$A$2:$A$301,0))),""))</f>
        <v/>
      </c>
      <c r="L744" s="16">
        <f>IF($H744="","",IFERROR(IF(INDEX(Vinos!$K$2:$K$301,MATCH($B744,Vinos!$A$2:$A$301,0))="","",$H744*INDEX(Vinos!$K$2:$K$301,MATCH($B744,Vinos!$A$2:$A$301,0))),""))</f>
        <v/>
      </c>
      <c r="M744" s="21">
        <f>IF(OR($A744="",$B744=""),"",SUMIFS($H$2:$H$2001,$A$2:$A$2001,$A744,$B$2:$B$2001,$B744))</f>
        <v/>
      </c>
      <c r="N744" s="20">
        <f>IF($M744="","",IF($M744&lt;=0,"Sin stock: reponer ya",IF($M744&lt;IFERROR(N(INDEX(Vinos!$N$2:$N$301,MATCH($B744,Vinos!$A$2:$A$301,0))),0),"Bajo mínimo: reponer","OK")))</f>
        <v/>
      </c>
      <c r="O744" s="14" t="n"/>
      <c r="P744" s="14" t="n"/>
      <c r="Q744" s="20">
        <f>IF($B744="","",IFERROR(INDEX(Vinos!$C$2:$C$301,MATCH($B744,Vinos!$A$2:$A$301,0)),""))</f>
        <v/>
      </c>
      <c r="R744" s="20">
        <f>IF(OR($A744="",$A744&lt;&gt;'Resumen del inventario'!$C$3,$N744="",$N744="OK"),"",IF(COUNTIFS($A$2:$A744,$A744,$B$2:$B744,$B744)=1,1,""))</f>
        <v/>
      </c>
      <c r="S744" s="20">
        <f>IF($R744=1,COUNTIF($R$2:$R744,1),"")</f>
        <v/>
      </c>
    </row>
    <row r="745">
      <c r="A745" s="19" t="n"/>
      <c r="B745" s="14" t="n"/>
      <c r="C745" s="20">
        <f>IF($B745="","",IFERROR(INDEX(Vinos!$B$2:$B$301,MATCH($B745,Vinos!$A$2:$A$301,0)),"Código no cargado"))</f>
        <v/>
      </c>
      <c r="D745" s="14" t="n"/>
      <c r="E745" s="14" t="n"/>
      <c r="F745" s="18" t="n"/>
      <c r="G745" s="18" t="n"/>
      <c r="H745" s="21">
        <f>IF(AND($F745="",$G745=""),"",N($F745)*IFERROR(N(INDEX(Vinos!$H$2:$H$301,MATCH($B745,Vinos!$A$2:$A$301,0))),0)+N($G745))</f>
        <v/>
      </c>
      <c r="I745" s="18" t="n"/>
      <c r="J745" s="21">
        <f>IF(OR($H745="",$I745=""),"",$H745-$I745)</f>
        <v/>
      </c>
      <c r="K745" s="16">
        <f>IF($H745="","",IFERROR(IF(INDEX(Vinos!$J$2:$J$301,MATCH($B745,Vinos!$A$2:$A$301,0))="","",$H745*INDEX(Vinos!$J$2:$J$301,MATCH($B745,Vinos!$A$2:$A$301,0))),""))</f>
        <v/>
      </c>
      <c r="L745" s="16">
        <f>IF($H745="","",IFERROR(IF(INDEX(Vinos!$K$2:$K$301,MATCH($B745,Vinos!$A$2:$A$301,0))="","",$H745*INDEX(Vinos!$K$2:$K$301,MATCH($B745,Vinos!$A$2:$A$301,0))),""))</f>
        <v/>
      </c>
      <c r="M745" s="21">
        <f>IF(OR($A745="",$B745=""),"",SUMIFS($H$2:$H$2001,$A$2:$A$2001,$A745,$B$2:$B$2001,$B745))</f>
        <v/>
      </c>
      <c r="N745" s="20">
        <f>IF($M745="","",IF($M745&lt;=0,"Sin stock: reponer ya",IF($M745&lt;IFERROR(N(INDEX(Vinos!$N$2:$N$301,MATCH($B745,Vinos!$A$2:$A$301,0))),0),"Bajo mínimo: reponer","OK")))</f>
        <v/>
      </c>
      <c r="O745" s="14" t="n"/>
      <c r="P745" s="14" t="n"/>
      <c r="Q745" s="20">
        <f>IF($B745="","",IFERROR(INDEX(Vinos!$C$2:$C$301,MATCH($B745,Vinos!$A$2:$A$301,0)),""))</f>
        <v/>
      </c>
      <c r="R745" s="20">
        <f>IF(OR($A745="",$A745&lt;&gt;'Resumen del inventario'!$C$3,$N745="",$N745="OK"),"",IF(COUNTIFS($A$2:$A745,$A745,$B$2:$B745,$B745)=1,1,""))</f>
        <v/>
      </c>
      <c r="S745" s="20">
        <f>IF($R745=1,COUNTIF($R$2:$R745,1),"")</f>
        <v/>
      </c>
    </row>
    <row r="746">
      <c r="A746" s="19" t="n"/>
      <c r="B746" s="14" t="n"/>
      <c r="C746" s="20">
        <f>IF($B746="","",IFERROR(INDEX(Vinos!$B$2:$B$301,MATCH($B746,Vinos!$A$2:$A$301,0)),"Código no cargado"))</f>
        <v/>
      </c>
      <c r="D746" s="14" t="n"/>
      <c r="E746" s="14" t="n"/>
      <c r="F746" s="18" t="n"/>
      <c r="G746" s="18" t="n"/>
      <c r="H746" s="21">
        <f>IF(AND($F746="",$G746=""),"",N($F746)*IFERROR(N(INDEX(Vinos!$H$2:$H$301,MATCH($B746,Vinos!$A$2:$A$301,0))),0)+N($G746))</f>
        <v/>
      </c>
      <c r="I746" s="18" t="n"/>
      <c r="J746" s="21">
        <f>IF(OR($H746="",$I746=""),"",$H746-$I746)</f>
        <v/>
      </c>
      <c r="K746" s="16">
        <f>IF($H746="","",IFERROR(IF(INDEX(Vinos!$J$2:$J$301,MATCH($B746,Vinos!$A$2:$A$301,0))="","",$H746*INDEX(Vinos!$J$2:$J$301,MATCH($B746,Vinos!$A$2:$A$301,0))),""))</f>
        <v/>
      </c>
      <c r="L746" s="16">
        <f>IF($H746="","",IFERROR(IF(INDEX(Vinos!$K$2:$K$301,MATCH($B746,Vinos!$A$2:$A$301,0))="","",$H746*INDEX(Vinos!$K$2:$K$301,MATCH($B746,Vinos!$A$2:$A$301,0))),""))</f>
        <v/>
      </c>
      <c r="M746" s="21">
        <f>IF(OR($A746="",$B746=""),"",SUMIFS($H$2:$H$2001,$A$2:$A$2001,$A746,$B$2:$B$2001,$B746))</f>
        <v/>
      </c>
      <c r="N746" s="20">
        <f>IF($M746="","",IF($M746&lt;=0,"Sin stock: reponer ya",IF($M746&lt;IFERROR(N(INDEX(Vinos!$N$2:$N$301,MATCH($B746,Vinos!$A$2:$A$301,0))),0),"Bajo mínimo: reponer","OK")))</f>
        <v/>
      </c>
      <c r="O746" s="14" t="n"/>
      <c r="P746" s="14" t="n"/>
      <c r="Q746" s="20">
        <f>IF($B746="","",IFERROR(INDEX(Vinos!$C$2:$C$301,MATCH($B746,Vinos!$A$2:$A$301,0)),""))</f>
        <v/>
      </c>
      <c r="R746" s="20">
        <f>IF(OR($A746="",$A746&lt;&gt;'Resumen del inventario'!$C$3,$N746="",$N746="OK"),"",IF(COUNTIFS($A$2:$A746,$A746,$B$2:$B746,$B746)=1,1,""))</f>
        <v/>
      </c>
      <c r="S746" s="20">
        <f>IF($R746=1,COUNTIF($R$2:$R746,1),"")</f>
        <v/>
      </c>
    </row>
    <row r="747">
      <c r="A747" s="19" t="n"/>
      <c r="B747" s="14" t="n"/>
      <c r="C747" s="20">
        <f>IF($B747="","",IFERROR(INDEX(Vinos!$B$2:$B$301,MATCH($B747,Vinos!$A$2:$A$301,0)),"Código no cargado"))</f>
        <v/>
      </c>
      <c r="D747" s="14" t="n"/>
      <c r="E747" s="14" t="n"/>
      <c r="F747" s="18" t="n"/>
      <c r="G747" s="18" t="n"/>
      <c r="H747" s="21">
        <f>IF(AND($F747="",$G747=""),"",N($F747)*IFERROR(N(INDEX(Vinos!$H$2:$H$301,MATCH($B747,Vinos!$A$2:$A$301,0))),0)+N($G747))</f>
        <v/>
      </c>
      <c r="I747" s="18" t="n"/>
      <c r="J747" s="21">
        <f>IF(OR($H747="",$I747=""),"",$H747-$I747)</f>
        <v/>
      </c>
      <c r="K747" s="16">
        <f>IF($H747="","",IFERROR(IF(INDEX(Vinos!$J$2:$J$301,MATCH($B747,Vinos!$A$2:$A$301,0))="","",$H747*INDEX(Vinos!$J$2:$J$301,MATCH($B747,Vinos!$A$2:$A$301,0))),""))</f>
        <v/>
      </c>
      <c r="L747" s="16">
        <f>IF($H747="","",IFERROR(IF(INDEX(Vinos!$K$2:$K$301,MATCH($B747,Vinos!$A$2:$A$301,0))="","",$H747*INDEX(Vinos!$K$2:$K$301,MATCH($B747,Vinos!$A$2:$A$301,0))),""))</f>
        <v/>
      </c>
      <c r="M747" s="21">
        <f>IF(OR($A747="",$B747=""),"",SUMIFS($H$2:$H$2001,$A$2:$A$2001,$A747,$B$2:$B$2001,$B747))</f>
        <v/>
      </c>
      <c r="N747" s="20">
        <f>IF($M747="","",IF($M747&lt;=0,"Sin stock: reponer ya",IF($M747&lt;IFERROR(N(INDEX(Vinos!$N$2:$N$301,MATCH($B747,Vinos!$A$2:$A$301,0))),0),"Bajo mínimo: reponer","OK")))</f>
        <v/>
      </c>
      <c r="O747" s="14" t="n"/>
      <c r="P747" s="14" t="n"/>
      <c r="Q747" s="20">
        <f>IF($B747="","",IFERROR(INDEX(Vinos!$C$2:$C$301,MATCH($B747,Vinos!$A$2:$A$301,0)),""))</f>
        <v/>
      </c>
      <c r="R747" s="20">
        <f>IF(OR($A747="",$A747&lt;&gt;'Resumen del inventario'!$C$3,$N747="",$N747="OK"),"",IF(COUNTIFS($A$2:$A747,$A747,$B$2:$B747,$B747)=1,1,""))</f>
        <v/>
      </c>
      <c r="S747" s="20">
        <f>IF($R747=1,COUNTIF($R$2:$R747,1),"")</f>
        <v/>
      </c>
    </row>
    <row r="748">
      <c r="A748" s="19" t="n"/>
      <c r="B748" s="14" t="n"/>
      <c r="C748" s="20">
        <f>IF($B748="","",IFERROR(INDEX(Vinos!$B$2:$B$301,MATCH($B748,Vinos!$A$2:$A$301,0)),"Código no cargado"))</f>
        <v/>
      </c>
      <c r="D748" s="14" t="n"/>
      <c r="E748" s="14" t="n"/>
      <c r="F748" s="18" t="n"/>
      <c r="G748" s="18" t="n"/>
      <c r="H748" s="21">
        <f>IF(AND($F748="",$G748=""),"",N($F748)*IFERROR(N(INDEX(Vinos!$H$2:$H$301,MATCH($B748,Vinos!$A$2:$A$301,0))),0)+N($G748))</f>
        <v/>
      </c>
      <c r="I748" s="18" t="n"/>
      <c r="J748" s="21">
        <f>IF(OR($H748="",$I748=""),"",$H748-$I748)</f>
        <v/>
      </c>
      <c r="K748" s="16">
        <f>IF($H748="","",IFERROR(IF(INDEX(Vinos!$J$2:$J$301,MATCH($B748,Vinos!$A$2:$A$301,0))="","",$H748*INDEX(Vinos!$J$2:$J$301,MATCH($B748,Vinos!$A$2:$A$301,0))),""))</f>
        <v/>
      </c>
      <c r="L748" s="16">
        <f>IF($H748="","",IFERROR(IF(INDEX(Vinos!$K$2:$K$301,MATCH($B748,Vinos!$A$2:$A$301,0))="","",$H748*INDEX(Vinos!$K$2:$K$301,MATCH($B748,Vinos!$A$2:$A$301,0))),""))</f>
        <v/>
      </c>
      <c r="M748" s="21">
        <f>IF(OR($A748="",$B748=""),"",SUMIFS($H$2:$H$2001,$A$2:$A$2001,$A748,$B$2:$B$2001,$B748))</f>
        <v/>
      </c>
      <c r="N748" s="20">
        <f>IF($M748="","",IF($M748&lt;=0,"Sin stock: reponer ya",IF($M748&lt;IFERROR(N(INDEX(Vinos!$N$2:$N$301,MATCH($B748,Vinos!$A$2:$A$301,0))),0),"Bajo mínimo: reponer","OK")))</f>
        <v/>
      </c>
      <c r="O748" s="14" t="n"/>
      <c r="P748" s="14" t="n"/>
      <c r="Q748" s="20">
        <f>IF($B748="","",IFERROR(INDEX(Vinos!$C$2:$C$301,MATCH($B748,Vinos!$A$2:$A$301,0)),""))</f>
        <v/>
      </c>
      <c r="R748" s="20">
        <f>IF(OR($A748="",$A748&lt;&gt;'Resumen del inventario'!$C$3,$N748="",$N748="OK"),"",IF(COUNTIFS($A$2:$A748,$A748,$B$2:$B748,$B748)=1,1,""))</f>
        <v/>
      </c>
      <c r="S748" s="20">
        <f>IF($R748=1,COUNTIF($R$2:$R748,1),"")</f>
        <v/>
      </c>
    </row>
    <row r="749">
      <c r="A749" s="19" t="n"/>
      <c r="B749" s="14" t="n"/>
      <c r="C749" s="20">
        <f>IF($B749="","",IFERROR(INDEX(Vinos!$B$2:$B$301,MATCH($B749,Vinos!$A$2:$A$301,0)),"Código no cargado"))</f>
        <v/>
      </c>
      <c r="D749" s="14" t="n"/>
      <c r="E749" s="14" t="n"/>
      <c r="F749" s="18" t="n"/>
      <c r="G749" s="18" t="n"/>
      <c r="H749" s="21">
        <f>IF(AND($F749="",$G749=""),"",N($F749)*IFERROR(N(INDEX(Vinos!$H$2:$H$301,MATCH($B749,Vinos!$A$2:$A$301,0))),0)+N($G749))</f>
        <v/>
      </c>
      <c r="I749" s="18" t="n"/>
      <c r="J749" s="21">
        <f>IF(OR($H749="",$I749=""),"",$H749-$I749)</f>
        <v/>
      </c>
      <c r="K749" s="16">
        <f>IF($H749="","",IFERROR(IF(INDEX(Vinos!$J$2:$J$301,MATCH($B749,Vinos!$A$2:$A$301,0))="","",$H749*INDEX(Vinos!$J$2:$J$301,MATCH($B749,Vinos!$A$2:$A$301,0))),""))</f>
        <v/>
      </c>
      <c r="L749" s="16">
        <f>IF($H749="","",IFERROR(IF(INDEX(Vinos!$K$2:$K$301,MATCH($B749,Vinos!$A$2:$A$301,0))="","",$H749*INDEX(Vinos!$K$2:$K$301,MATCH($B749,Vinos!$A$2:$A$301,0))),""))</f>
        <v/>
      </c>
      <c r="M749" s="21">
        <f>IF(OR($A749="",$B749=""),"",SUMIFS($H$2:$H$2001,$A$2:$A$2001,$A749,$B$2:$B$2001,$B749))</f>
        <v/>
      </c>
      <c r="N749" s="20">
        <f>IF($M749="","",IF($M749&lt;=0,"Sin stock: reponer ya",IF($M749&lt;IFERROR(N(INDEX(Vinos!$N$2:$N$301,MATCH($B749,Vinos!$A$2:$A$301,0))),0),"Bajo mínimo: reponer","OK")))</f>
        <v/>
      </c>
      <c r="O749" s="14" t="n"/>
      <c r="P749" s="14" t="n"/>
      <c r="Q749" s="20">
        <f>IF($B749="","",IFERROR(INDEX(Vinos!$C$2:$C$301,MATCH($B749,Vinos!$A$2:$A$301,0)),""))</f>
        <v/>
      </c>
      <c r="R749" s="20">
        <f>IF(OR($A749="",$A749&lt;&gt;'Resumen del inventario'!$C$3,$N749="",$N749="OK"),"",IF(COUNTIFS($A$2:$A749,$A749,$B$2:$B749,$B749)=1,1,""))</f>
        <v/>
      </c>
      <c r="S749" s="20">
        <f>IF($R749=1,COUNTIF($R$2:$R749,1),"")</f>
        <v/>
      </c>
    </row>
    <row r="750">
      <c r="A750" s="19" t="n"/>
      <c r="B750" s="14" t="n"/>
      <c r="C750" s="20">
        <f>IF($B750="","",IFERROR(INDEX(Vinos!$B$2:$B$301,MATCH($B750,Vinos!$A$2:$A$301,0)),"Código no cargado"))</f>
        <v/>
      </c>
      <c r="D750" s="14" t="n"/>
      <c r="E750" s="14" t="n"/>
      <c r="F750" s="18" t="n"/>
      <c r="G750" s="18" t="n"/>
      <c r="H750" s="21">
        <f>IF(AND($F750="",$G750=""),"",N($F750)*IFERROR(N(INDEX(Vinos!$H$2:$H$301,MATCH($B750,Vinos!$A$2:$A$301,0))),0)+N($G750))</f>
        <v/>
      </c>
      <c r="I750" s="18" t="n"/>
      <c r="J750" s="21">
        <f>IF(OR($H750="",$I750=""),"",$H750-$I750)</f>
        <v/>
      </c>
      <c r="K750" s="16">
        <f>IF($H750="","",IFERROR(IF(INDEX(Vinos!$J$2:$J$301,MATCH($B750,Vinos!$A$2:$A$301,0))="","",$H750*INDEX(Vinos!$J$2:$J$301,MATCH($B750,Vinos!$A$2:$A$301,0))),""))</f>
        <v/>
      </c>
      <c r="L750" s="16">
        <f>IF($H750="","",IFERROR(IF(INDEX(Vinos!$K$2:$K$301,MATCH($B750,Vinos!$A$2:$A$301,0))="","",$H750*INDEX(Vinos!$K$2:$K$301,MATCH($B750,Vinos!$A$2:$A$301,0))),""))</f>
        <v/>
      </c>
      <c r="M750" s="21">
        <f>IF(OR($A750="",$B750=""),"",SUMIFS($H$2:$H$2001,$A$2:$A$2001,$A750,$B$2:$B$2001,$B750))</f>
        <v/>
      </c>
      <c r="N750" s="20">
        <f>IF($M750="","",IF($M750&lt;=0,"Sin stock: reponer ya",IF($M750&lt;IFERROR(N(INDEX(Vinos!$N$2:$N$301,MATCH($B750,Vinos!$A$2:$A$301,0))),0),"Bajo mínimo: reponer","OK")))</f>
        <v/>
      </c>
      <c r="O750" s="14" t="n"/>
      <c r="P750" s="14" t="n"/>
      <c r="Q750" s="20">
        <f>IF($B750="","",IFERROR(INDEX(Vinos!$C$2:$C$301,MATCH($B750,Vinos!$A$2:$A$301,0)),""))</f>
        <v/>
      </c>
      <c r="R750" s="20">
        <f>IF(OR($A750="",$A750&lt;&gt;'Resumen del inventario'!$C$3,$N750="",$N750="OK"),"",IF(COUNTIFS($A$2:$A750,$A750,$B$2:$B750,$B750)=1,1,""))</f>
        <v/>
      </c>
      <c r="S750" s="20">
        <f>IF($R750=1,COUNTIF($R$2:$R750,1),"")</f>
        <v/>
      </c>
    </row>
    <row r="751">
      <c r="A751" s="19" t="n"/>
      <c r="B751" s="14" t="n"/>
      <c r="C751" s="20">
        <f>IF($B751="","",IFERROR(INDEX(Vinos!$B$2:$B$301,MATCH($B751,Vinos!$A$2:$A$301,0)),"Código no cargado"))</f>
        <v/>
      </c>
      <c r="D751" s="14" t="n"/>
      <c r="E751" s="14" t="n"/>
      <c r="F751" s="18" t="n"/>
      <c r="G751" s="18" t="n"/>
      <c r="H751" s="21">
        <f>IF(AND($F751="",$G751=""),"",N($F751)*IFERROR(N(INDEX(Vinos!$H$2:$H$301,MATCH($B751,Vinos!$A$2:$A$301,0))),0)+N($G751))</f>
        <v/>
      </c>
      <c r="I751" s="18" t="n"/>
      <c r="J751" s="21">
        <f>IF(OR($H751="",$I751=""),"",$H751-$I751)</f>
        <v/>
      </c>
      <c r="K751" s="16">
        <f>IF($H751="","",IFERROR(IF(INDEX(Vinos!$J$2:$J$301,MATCH($B751,Vinos!$A$2:$A$301,0))="","",$H751*INDEX(Vinos!$J$2:$J$301,MATCH($B751,Vinos!$A$2:$A$301,0))),""))</f>
        <v/>
      </c>
      <c r="L751" s="16">
        <f>IF($H751="","",IFERROR(IF(INDEX(Vinos!$K$2:$K$301,MATCH($B751,Vinos!$A$2:$A$301,0))="","",$H751*INDEX(Vinos!$K$2:$K$301,MATCH($B751,Vinos!$A$2:$A$301,0))),""))</f>
        <v/>
      </c>
      <c r="M751" s="21">
        <f>IF(OR($A751="",$B751=""),"",SUMIFS($H$2:$H$2001,$A$2:$A$2001,$A751,$B$2:$B$2001,$B751))</f>
        <v/>
      </c>
      <c r="N751" s="20">
        <f>IF($M751="","",IF($M751&lt;=0,"Sin stock: reponer ya",IF($M751&lt;IFERROR(N(INDEX(Vinos!$N$2:$N$301,MATCH($B751,Vinos!$A$2:$A$301,0))),0),"Bajo mínimo: reponer","OK")))</f>
        <v/>
      </c>
      <c r="O751" s="14" t="n"/>
      <c r="P751" s="14" t="n"/>
      <c r="Q751" s="20">
        <f>IF($B751="","",IFERROR(INDEX(Vinos!$C$2:$C$301,MATCH($B751,Vinos!$A$2:$A$301,0)),""))</f>
        <v/>
      </c>
      <c r="R751" s="20">
        <f>IF(OR($A751="",$A751&lt;&gt;'Resumen del inventario'!$C$3,$N751="",$N751="OK"),"",IF(COUNTIFS($A$2:$A751,$A751,$B$2:$B751,$B751)=1,1,""))</f>
        <v/>
      </c>
      <c r="S751" s="20">
        <f>IF($R751=1,COUNTIF($R$2:$R751,1),"")</f>
        <v/>
      </c>
    </row>
    <row r="752">
      <c r="A752" s="19" t="n"/>
      <c r="B752" s="14" t="n"/>
      <c r="C752" s="20">
        <f>IF($B752="","",IFERROR(INDEX(Vinos!$B$2:$B$301,MATCH($B752,Vinos!$A$2:$A$301,0)),"Código no cargado"))</f>
        <v/>
      </c>
      <c r="D752" s="14" t="n"/>
      <c r="E752" s="14" t="n"/>
      <c r="F752" s="18" t="n"/>
      <c r="G752" s="18" t="n"/>
      <c r="H752" s="21">
        <f>IF(AND($F752="",$G752=""),"",N($F752)*IFERROR(N(INDEX(Vinos!$H$2:$H$301,MATCH($B752,Vinos!$A$2:$A$301,0))),0)+N($G752))</f>
        <v/>
      </c>
      <c r="I752" s="18" t="n"/>
      <c r="J752" s="21">
        <f>IF(OR($H752="",$I752=""),"",$H752-$I752)</f>
        <v/>
      </c>
      <c r="K752" s="16">
        <f>IF($H752="","",IFERROR(IF(INDEX(Vinos!$J$2:$J$301,MATCH($B752,Vinos!$A$2:$A$301,0))="","",$H752*INDEX(Vinos!$J$2:$J$301,MATCH($B752,Vinos!$A$2:$A$301,0))),""))</f>
        <v/>
      </c>
      <c r="L752" s="16">
        <f>IF($H752="","",IFERROR(IF(INDEX(Vinos!$K$2:$K$301,MATCH($B752,Vinos!$A$2:$A$301,0))="","",$H752*INDEX(Vinos!$K$2:$K$301,MATCH($B752,Vinos!$A$2:$A$301,0))),""))</f>
        <v/>
      </c>
      <c r="M752" s="21">
        <f>IF(OR($A752="",$B752=""),"",SUMIFS($H$2:$H$2001,$A$2:$A$2001,$A752,$B$2:$B$2001,$B752))</f>
        <v/>
      </c>
      <c r="N752" s="20">
        <f>IF($M752="","",IF($M752&lt;=0,"Sin stock: reponer ya",IF($M752&lt;IFERROR(N(INDEX(Vinos!$N$2:$N$301,MATCH($B752,Vinos!$A$2:$A$301,0))),0),"Bajo mínimo: reponer","OK")))</f>
        <v/>
      </c>
      <c r="O752" s="14" t="n"/>
      <c r="P752" s="14" t="n"/>
      <c r="Q752" s="20">
        <f>IF($B752="","",IFERROR(INDEX(Vinos!$C$2:$C$301,MATCH($B752,Vinos!$A$2:$A$301,0)),""))</f>
        <v/>
      </c>
      <c r="R752" s="20">
        <f>IF(OR($A752="",$A752&lt;&gt;'Resumen del inventario'!$C$3,$N752="",$N752="OK"),"",IF(COUNTIFS($A$2:$A752,$A752,$B$2:$B752,$B752)=1,1,""))</f>
        <v/>
      </c>
      <c r="S752" s="20">
        <f>IF($R752=1,COUNTIF($R$2:$R752,1),"")</f>
        <v/>
      </c>
    </row>
    <row r="753">
      <c r="A753" s="19" t="n"/>
      <c r="B753" s="14" t="n"/>
      <c r="C753" s="20">
        <f>IF($B753="","",IFERROR(INDEX(Vinos!$B$2:$B$301,MATCH($B753,Vinos!$A$2:$A$301,0)),"Código no cargado"))</f>
        <v/>
      </c>
      <c r="D753" s="14" t="n"/>
      <c r="E753" s="14" t="n"/>
      <c r="F753" s="18" t="n"/>
      <c r="G753" s="18" t="n"/>
      <c r="H753" s="21">
        <f>IF(AND($F753="",$G753=""),"",N($F753)*IFERROR(N(INDEX(Vinos!$H$2:$H$301,MATCH($B753,Vinos!$A$2:$A$301,0))),0)+N($G753))</f>
        <v/>
      </c>
      <c r="I753" s="18" t="n"/>
      <c r="J753" s="21">
        <f>IF(OR($H753="",$I753=""),"",$H753-$I753)</f>
        <v/>
      </c>
      <c r="K753" s="16">
        <f>IF($H753="","",IFERROR(IF(INDEX(Vinos!$J$2:$J$301,MATCH($B753,Vinos!$A$2:$A$301,0))="","",$H753*INDEX(Vinos!$J$2:$J$301,MATCH($B753,Vinos!$A$2:$A$301,0))),""))</f>
        <v/>
      </c>
      <c r="L753" s="16">
        <f>IF($H753="","",IFERROR(IF(INDEX(Vinos!$K$2:$K$301,MATCH($B753,Vinos!$A$2:$A$301,0))="","",$H753*INDEX(Vinos!$K$2:$K$301,MATCH($B753,Vinos!$A$2:$A$301,0))),""))</f>
        <v/>
      </c>
      <c r="M753" s="21">
        <f>IF(OR($A753="",$B753=""),"",SUMIFS($H$2:$H$2001,$A$2:$A$2001,$A753,$B$2:$B$2001,$B753))</f>
        <v/>
      </c>
      <c r="N753" s="20">
        <f>IF($M753="","",IF($M753&lt;=0,"Sin stock: reponer ya",IF($M753&lt;IFERROR(N(INDEX(Vinos!$N$2:$N$301,MATCH($B753,Vinos!$A$2:$A$301,0))),0),"Bajo mínimo: reponer","OK")))</f>
        <v/>
      </c>
      <c r="O753" s="14" t="n"/>
      <c r="P753" s="14" t="n"/>
      <c r="Q753" s="20">
        <f>IF($B753="","",IFERROR(INDEX(Vinos!$C$2:$C$301,MATCH($B753,Vinos!$A$2:$A$301,0)),""))</f>
        <v/>
      </c>
      <c r="R753" s="20">
        <f>IF(OR($A753="",$A753&lt;&gt;'Resumen del inventario'!$C$3,$N753="",$N753="OK"),"",IF(COUNTIFS($A$2:$A753,$A753,$B$2:$B753,$B753)=1,1,""))</f>
        <v/>
      </c>
      <c r="S753" s="20">
        <f>IF($R753=1,COUNTIF($R$2:$R753,1),"")</f>
        <v/>
      </c>
    </row>
    <row r="754">
      <c r="A754" s="19" t="n"/>
      <c r="B754" s="14" t="n"/>
      <c r="C754" s="20">
        <f>IF($B754="","",IFERROR(INDEX(Vinos!$B$2:$B$301,MATCH($B754,Vinos!$A$2:$A$301,0)),"Código no cargado"))</f>
        <v/>
      </c>
      <c r="D754" s="14" t="n"/>
      <c r="E754" s="14" t="n"/>
      <c r="F754" s="18" t="n"/>
      <c r="G754" s="18" t="n"/>
      <c r="H754" s="21">
        <f>IF(AND($F754="",$G754=""),"",N($F754)*IFERROR(N(INDEX(Vinos!$H$2:$H$301,MATCH($B754,Vinos!$A$2:$A$301,0))),0)+N($G754))</f>
        <v/>
      </c>
      <c r="I754" s="18" t="n"/>
      <c r="J754" s="21">
        <f>IF(OR($H754="",$I754=""),"",$H754-$I754)</f>
        <v/>
      </c>
      <c r="K754" s="16">
        <f>IF($H754="","",IFERROR(IF(INDEX(Vinos!$J$2:$J$301,MATCH($B754,Vinos!$A$2:$A$301,0))="","",$H754*INDEX(Vinos!$J$2:$J$301,MATCH($B754,Vinos!$A$2:$A$301,0))),""))</f>
        <v/>
      </c>
      <c r="L754" s="16">
        <f>IF($H754="","",IFERROR(IF(INDEX(Vinos!$K$2:$K$301,MATCH($B754,Vinos!$A$2:$A$301,0))="","",$H754*INDEX(Vinos!$K$2:$K$301,MATCH($B754,Vinos!$A$2:$A$301,0))),""))</f>
        <v/>
      </c>
      <c r="M754" s="21">
        <f>IF(OR($A754="",$B754=""),"",SUMIFS($H$2:$H$2001,$A$2:$A$2001,$A754,$B$2:$B$2001,$B754))</f>
        <v/>
      </c>
      <c r="N754" s="20">
        <f>IF($M754="","",IF($M754&lt;=0,"Sin stock: reponer ya",IF($M754&lt;IFERROR(N(INDEX(Vinos!$N$2:$N$301,MATCH($B754,Vinos!$A$2:$A$301,0))),0),"Bajo mínimo: reponer","OK")))</f>
        <v/>
      </c>
      <c r="O754" s="14" t="n"/>
      <c r="P754" s="14" t="n"/>
      <c r="Q754" s="20">
        <f>IF($B754="","",IFERROR(INDEX(Vinos!$C$2:$C$301,MATCH($B754,Vinos!$A$2:$A$301,0)),""))</f>
        <v/>
      </c>
      <c r="R754" s="20">
        <f>IF(OR($A754="",$A754&lt;&gt;'Resumen del inventario'!$C$3,$N754="",$N754="OK"),"",IF(COUNTIFS($A$2:$A754,$A754,$B$2:$B754,$B754)=1,1,""))</f>
        <v/>
      </c>
      <c r="S754" s="20">
        <f>IF($R754=1,COUNTIF($R$2:$R754,1),"")</f>
        <v/>
      </c>
    </row>
    <row r="755">
      <c r="A755" s="19" t="n"/>
      <c r="B755" s="14" t="n"/>
      <c r="C755" s="20">
        <f>IF($B755="","",IFERROR(INDEX(Vinos!$B$2:$B$301,MATCH($B755,Vinos!$A$2:$A$301,0)),"Código no cargado"))</f>
        <v/>
      </c>
      <c r="D755" s="14" t="n"/>
      <c r="E755" s="14" t="n"/>
      <c r="F755" s="18" t="n"/>
      <c r="G755" s="18" t="n"/>
      <c r="H755" s="21">
        <f>IF(AND($F755="",$G755=""),"",N($F755)*IFERROR(N(INDEX(Vinos!$H$2:$H$301,MATCH($B755,Vinos!$A$2:$A$301,0))),0)+N($G755))</f>
        <v/>
      </c>
      <c r="I755" s="18" t="n"/>
      <c r="J755" s="21">
        <f>IF(OR($H755="",$I755=""),"",$H755-$I755)</f>
        <v/>
      </c>
      <c r="K755" s="16">
        <f>IF($H755="","",IFERROR(IF(INDEX(Vinos!$J$2:$J$301,MATCH($B755,Vinos!$A$2:$A$301,0))="","",$H755*INDEX(Vinos!$J$2:$J$301,MATCH($B755,Vinos!$A$2:$A$301,0))),""))</f>
        <v/>
      </c>
      <c r="L755" s="16">
        <f>IF($H755="","",IFERROR(IF(INDEX(Vinos!$K$2:$K$301,MATCH($B755,Vinos!$A$2:$A$301,0))="","",$H755*INDEX(Vinos!$K$2:$K$301,MATCH($B755,Vinos!$A$2:$A$301,0))),""))</f>
        <v/>
      </c>
      <c r="M755" s="21">
        <f>IF(OR($A755="",$B755=""),"",SUMIFS($H$2:$H$2001,$A$2:$A$2001,$A755,$B$2:$B$2001,$B755))</f>
        <v/>
      </c>
      <c r="N755" s="20">
        <f>IF($M755="","",IF($M755&lt;=0,"Sin stock: reponer ya",IF($M755&lt;IFERROR(N(INDEX(Vinos!$N$2:$N$301,MATCH($B755,Vinos!$A$2:$A$301,0))),0),"Bajo mínimo: reponer","OK")))</f>
        <v/>
      </c>
      <c r="O755" s="14" t="n"/>
      <c r="P755" s="14" t="n"/>
      <c r="Q755" s="20">
        <f>IF($B755="","",IFERROR(INDEX(Vinos!$C$2:$C$301,MATCH($B755,Vinos!$A$2:$A$301,0)),""))</f>
        <v/>
      </c>
      <c r="R755" s="20">
        <f>IF(OR($A755="",$A755&lt;&gt;'Resumen del inventario'!$C$3,$N755="",$N755="OK"),"",IF(COUNTIFS($A$2:$A755,$A755,$B$2:$B755,$B755)=1,1,""))</f>
        <v/>
      </c>
      <c r="S755" s="20">
        <f>IF($R755=1,COUNTIF($R$2:$R755,1),"")</f>
        <v/>
      </c>
    </row>
    <row r="756">
      <c r="A756" s="19" t="n"/>
      <c r="B756" s="14" t="n"/>
      <c r="C756" s="20">
        <f>IF($B756="","",IFERROR(INDEX(Vinos!$B$2:$B$301,MATCH($B756,Vinos!$A$2:$A$301,0)),"Código no cargado"))</f>
        <v/>
      </c>
      <c r="D756" s="14" t="n"/>
      <c r="E756" s="14" t="n"/>
      <c r="F756" s="18" t="n"/>
      <c r="G756" s="18" t="n"/>
      <c r="H756" s="21">
        <f>IF(AND($F756="",$G756=""),"",N($F756)*IFERROR(N(INDEX(Vinos!$H$2:$H$301,MATCH($B756,Vinos!$A$2:$A$301,0))),0)+N($G756))</f>
        <v/>
      </c>
      <c r="I756" s="18" t="n"/>
      <c r="J756" s="21">
        <f>IF(OR($H756="",$I756=""),"",$H756-$I756)</f>
        <v/>
      </c>
      <c r="K756" s="16">
        <f>IF($H756="","",IFERROR(IF(INDEX(Vinos!$J$2:$J$301,MATCH($B756,Vinos!$A$2:$A$301,0))="","",$H756*INDEX(Vinos!$J$2:$J$301,MATCH($B756,Vinos!$A$2:$A$301,0))),""))</f>
        <v/>
      </c>
      <c r="L756" s="16">
        <f>IF($H756="","",IFERROR(IF(INDEX(Vinos!$K$2:$K$301,MATCH($B756,Vinos!$A$2:$A$301,0))="","",$H756*INDEX(Vinos!$K$2:$K$301,MATCH($B756,Vinos!$A$2:$A$301,0))),""))</f>
        <v/>
      </c>
      <c r="M756" s="21">
        <f>IF(OR($A756="",$B756=""),"",SUMIFS($H$2:$H$2001,$A$2:$A$2001,$A756,$B$2:$B$2001,$B756))</f>
        <v/>
      </c>
      <c r="N756" s="20">
        <f>IF($M756="","",IF($M756&lt;=0,"Sin stock: reponer ya",IF($M756&lt;IFERROR(N(INDEX(Vinos!$N$2:$N$301,MATCH($B756,Vinos!$A$2:$A$301,0))),0),"Bajo mínimo: reponer","OK")))</f>
        <v/>
      </c>
      <c r="O756" s="14" t="n"/>
      <c r="P756" s="14" t="n"/>
      <c r="Q756" s="20">
        <f>IF($B756="","",IFERROR(INDEX(Vinos!$C$2:$C$301,MATCH($B756,Vinos!$A$2:$A$301,0)),""))</f>
        <v/>
      </c>
      <c r="R756" s="20">
        <f>IF(OR($A756="",$A756&lt;&gt;'Resumen del inventario'!$C$3,$N756="",$N756="OK"),"",IF(COUNTIFS($A$2:$A756,$A756,$B$2:$B756,$B756)=1,1,""))</f>
        <v/>
      </c>
      <c r="S756" s="20">
        <f>IF($R756=1,COUNTIF($R$2:$R756,1),"")</f>
        <v/>
      </c>
    </row>
    <row r="757">
      <c r="A757" s="19" t="n"/>
      <c r="B757" s="14" t="n"/>
      <c r="C757" s="20">
        <f>IF($B757="","",IFERROR(INDEX(Vinos!$B$2:$B$301,MATCH($B757,Vinos!$A$2:$A$301,0)),"Código no cargado"))</f>
        <v/>
      </c>
      <c r="D757" s="14" t="n"/>
      <c r="E757" s="14" t="n"/>
      <c r="F757" s="18" t="n"/>
      <c r="G757" s="18" t="n"/>
      <c r="H757" s="21">
        <f>IF(AND($F757="",$G757=""),"",N($F757)*IFERROR(N(INDEX(Vinos!$H$2:$H$301,MATCH($B757,Vinos!$A$2:$A$301,0))),0)+N($G757))</f>
        <v/>
      </c>
      <c r="I757" s="18" t="n"/>
      <c r="J757" s="21">
        <f>IF(OR($H757="",$I757=""),"",$H757-$I757)</f>
        <v/>
      </c>
      <c r="K757" s="16">
        <f>IF($H757="","",IFERROR(IF(INDEX(Vinos!$J$2:$J$301,MATCH($B757,Vinos!$A$2:$A$301,0))="","",$H757*INDEX(Vinos!$J$2:$J$301,MATCH($B757,Vinos!$A$2:$A$301,0))),""))</f>
        <v/>
      </c>
      <c r="L757" s="16">
        <f>IF($H757="","",IFERROR(IF(INDEX(Vinos!$K$2:$K$301,MATCH($B757,Vinos!$A$2:$A$301,0))="","",$H757*INDEX(Vinos!$K$2:$K$301,MATCH($B757,Vinos!$A$2:$A$301,0))),""))</f>
        <v/>
      </c>
      <c r="M757" s="21">
        <f>IF(OR($A757="",$B757=""),"",SUMIFS($H$2:$H$2001,$A$2:$A$2001,$A757,$B$2:$B$2001,$B757))</f>
        <v/>
      </c>
      <c r="N757" s="20">
        <f>IF($M757="","",IF($M757&lt;=0,"Sin stock: reponer ya",IF($M757&lt;IFERROR(N(INDEX(Vinos!$N$2:$N$301,MATCH($B757,Vinos!$A$2:$A$301,0))),0),"Bajo mínimo: reponer","OK")))</f>
        <v/>
      </c>
      <c r="O757" s="14" t="n"/>
      <c r="P757" s="14" t="n"/>
      <c r="Q757" s="20">
        <f>IF($B757="","",IFERROR(INDEX(Vinos!$C$2:$C$301,MATCH($B757,Vinos!$A$2:$A$301,0)),""))</f>
        <v/>
      </c>
      <c r="R757" s="20">
        <f>IF(OR($A757="",$A757&lt;&gt;'Resumen del inventario'!$C$3,$N757="",$N757="OK"),"",IF(COUNTIFS($A$2:$A757,$A757,$B$2:$B757,$B757)=1,1,""))</f>
        <v/>
      </c>
      <c r="S757" s="20">
        <f>IF($R757=1,COUNTIF($R$2:$R757,1),"")</f>
        <v/>
      </c>
    </row>
    <row r="758">
      <c r="A758" s="19" t="n"/>
      <c r="B758" s="14" t="n"/>
      <c r="C758" s="20">
        <f>IF($B758="","",IFERROR(INDEX(Vinos!$B$2:$B$301,MATCH($B758,Vinos!$A$2:$A$301,0)),"Código no cargado"))</f>
        <v/>
      </c>
      <c r="D758" s="14" t="n"/>
      <c r="E758" s="14" t="n"/>
      <c r="F758" s="18" t="n"/>
      <c r="G758" s="18" t="n"/>
      <c r="H758" s="21">
        <f>IF(AND($F758="",$G758=""),"",N($F758)*IFERROR(N(INDEX(Vinos!$H$2:$H$301,MATCH($B758,Vinos!$A$2:$A$301,0))),0)+N($G758))</f>
        <v/>
      </c>
      <c r="I758" s="18" t="n"/>
      <c r="J758" s="21">
        <f>IF(OR($H758="",$I758=""),"",$H758-$I758)</f>
        <v/>
      </c>
      <c r="K758" s="16">
        <f>IF($H758="","",IFERROR(IF(INDEX(Vinos!$J$2:$J$301,MATCH($B758,Vinos!$A$2:$A$301,0))="","",$H758*INDEX(Vinos!$J$2:$J$301,MATCH($B758,Vinos!$A$2:$A$301,0))),""))</f>
        <v/>
      </c>
      <c r="L758" s="16">
        <f>IF($H758="","",IFERROR(IF(INDEX(Vinos!$K$2:$K$301,MATCH($B758,Vinos!$A$2:$A$301,0))="","",$H758*INDEX(Vinos!$K$2:$K$301,MATCH($B758,Vinos!$A$2:$A$301,0))),""))</f>
        <v/>
      </c>
      <c r="M758" s="21">
        <f>IF(OR($A758="",$B758=""),"",SUMIFS($H$2:$H$2001,$A$2:$A$2001,$A758,$B$2:$B$2001,$B758))</f>
        <v/>
      </c>
      <c r="N758" s="20">
        <f>IF($M758="","",IF($M758&lt;=0,"Sin stock: reponer ya",IF($M758&lt;IFERROR(N(INDEX(Vinos!$N$2:$N$301,MATCH($B758,Vinos!$A$2:$A$301,0))),0),"Bajo mínimo: reponer","OK")))</f>
        <v/>
      </c>
      <c r="O758" s="14" t="n"/>
      <c r="P758" s="14" t="n"/>
      <c r="Q758" s="20">
        <f>IF($B758="","",IFERROR(INDEX(Vinos!$C$2:$C$301,MATCH($B758,Vinos!$A$2:$A$301,0)),""))</f>
        <v/>
      </c>
      <c r="R758" s="20">
        <f>IF(OR($A758="",$A758&lt;&gt;'Resumen del inventario'!$C$3,$N758="",$N758="OK"),"",IF(COUNTIFS($A$2:$A758,$A758,$B$2:$B758,$B758)=1,1,""))</f>
        <v/>
      </c>
      <c r="S758" s="20">
        <f>IF($R758=1,COUNTIF($R$2:$R758,1),"")</f>
        <v/>
      </c>
    </row>
    <row r="759">
      <c r="A759" s="19" t="n"/>
      <c r="B759" s="14" t="n"/>
      <c r="C759" s="20">
        <f>IF($B759="","",IFERROR(INDEX(Vinos!$B$2:$B$301,MATCH($B759,Vinos!$A$2:$A$301,0)),"Código no cargado"))</f>
        <v/>
      </c>
      <c r="D759" s="14" t="n"/>
      <c r="E759" s="14" t="n"/>
      <c r="F759" s="18" t="n"/>
      <c r="G759" s="18" t="n"/>
      <c r="H759" s="21">
        <f>IF(AND($F759="",$G759=""),"",N($F759)*IFERROR(N(INDEX(Vinos!$H$2:$H$301,MATCH($B759,Vinos!$A$2:$A$301,0))),0)+N($G759))</f>
        <v/>
      </c>
      <c r="I759" s="18" t="n"/>
      <c r="J759" s="21">
        <f>IF(OR($H759="",$I759=""),"",$H759-$I759)</f>
        <v/>
      </c>
      <c r="K759" s="16">
        <f>IF($H759="","",IFERROR(IF(INDEX(Vinos!$J$2:$J$301,MATCH($B759,Vinos!$A$2:$A$301,0))="","",$H759*INDEX(Vinos!$J$2:$J$301,MATCH($B759,Vinos!$A$2:$A$301,0))),""))</f>
        <v/>
      </c>
      <c r="L759" s="16">
        <f>IF($H759="","",IFERROR(IF(INDEX(Vinos!$K$2:$K$301,MATCH($B759,Vinos!$A$2:$A$301,0))="","",$H759*INDEX(Vinos!$K$2:$K$301,MATCH($B759,Vinos!$A$2:$A$301,0))),""))</f>
        <v/>
      </c>
      <c r="M759" s="21">
        <f>IF(OR($A759="",$B759=""),"",SUMIFS($H$2:$H$2001,$A$2:$A$2001,$A759,$B$2:$B$2001,$B759))</f>
        <v/>
      </c>
      <c r="N759" s="20">
        <f>IF($M759="","",IF($M759&lt;=0,"Sin stock: reponer ya",IF($M759&lt;IFERROR(N(INDEX(Vinos!$N$2:$N$301,MATCH($B759,Vinos!$A$2:$A$301,0))),0),"Bajo mínimo: reponer","OK")))</f>
        <v/>
      </c>
      <c r="O759" s="14" t="n"/>
      <c r="P759" s="14" t="n"/>
      <c r="Q759" s="20">
        <f>IF($B759="","",IFERROR(INDEX(Vinos!$C$2:$C$301,MATCH($B759,Vinos!$A$2:$A$301,0)),""))</f>
        <v/>
      </c>
      <c r="R759" s="20">
        <f>IF(OR($A759="",$A759&lt;&gt;'Resumen del inventario'!$C$3,$N759="",$N759="OK"),"",IF(COUNTIFS($A$2:$A759,$A759,$B$2:$B759,$B759)=1,1,""))</f>
        <v/>
      </c>
      <c r="S759" s="20">
        <f>IF($R759=1,COUNTIF($R$2:$R759,1),"")</f>
        <v/>
      </c>
    </row>
    <row r="760">
      <c r="A760" s="19" t="n"/>
      <c r="B760" s="14" t="n"/>
      <c r="C760" s="20">
        <f>IF($B760="","",IFERROR(INDEX(Vinos!$B$2:$B$301,MATCH($B760,Vinos!$A$2:$A$301,0)),"Código no cargado"))</f>
        <v/>
      </c>
      <c r="D760" s="14" t="n"/>
      <c r="E760" s="14" t="n"/>
      <c r="F760" s="18" t="n"/>
      <c r="G760" s="18" t="n"/>
      <c r="H760" s="21">
        <f>IF(AND($F760="",$G760=""),"",N($F760)*IFERROR(N(INDEX(Vinos!$H$2:$H$301,MATCH($B760,Vinos!$A$2:$A$301,0))),0)+N($G760))</f>
        <v/>
      </c>
      <c r="I760" s="18" t="n"/>
      <c r="J760" s="21">
        <f>IF(OR($H760="",$I760=""),"",$H760-$I760)</f>
        <v/>
      </c>
      <c r="K760" s="16">
        <f>IF($H760="","",IFERROR(IF(INDEX(Vinos!$J$2:$J$301,MATCH($B760,Vinos!$A$2:$A$301,0))="","",$H760*INDEX(Vinos!$J$2:$J$301,MATCH($B760,Vinos!$A$2:$A$301,0))),""))</f>
        <v/>
      </c>
      <c r="L760" s="16">
        <f>IF($H760="","",IFERROR(IF(INDEX(Vinos!$K$2:$K$301,MATCH($B760,Vinos!$A$2:$A$301,0))="","",$H760*INDEX(Vinos!$K$2:$K$301,MATCH($B760,Vinos!$A$2:$A$301,0))),""))</f>
        <v/>
      </c>
      <c r="M760" s="21">
        <f>IF(OR($A760="",$B760=""),"",SUMIFS($H$2:$H$2001,$A$2:$A$2001,$A760,$B$2:$B$2001,$B760))</f>
        <v/>
      </c>
      <c r="N760" s="20">
        <f>IF($M760="","",IF($M760&lt;=0,"Sin stock: reponer ya",IF($M760&lt;IFERROR(N(INDEX(Vinos!$N$2:$N$301,MATCH($B760,Vinos!$A$2:$A$301,0))),0),"Bajo mínimo: reponer","OK")))</f>
        <v/>
      </c>
      <c r="O760" s="14" t="n"/>
      <c r="P760" s="14" t="n"/>
      <c r="Q760" s="20">
        <f>IF($B760="","",IFERROR(INDEX(Vinos!$C$2:$C$301,MATCH($B760,Vinos!$A$2:$A$301,0)),""))</f>
        <v/>
      </c>
      <c r="R760" s="20">
        <f>IF(OR($A760="",$A760&lt;&gt;'Resumen del inventario'!$C$3,$N760="",$N760="OK"),"",IF(COUNTIFS($A$2:$A760,$A760,$B$2:$B760,$B760)=1,1,""))</f>
        <v/>
      </c>
      <c r="S760" s="20">
        <f>IF($R760=1,COUNTIF($R$2:$R760,1),"")</f>
        <v/>
      </c>
    </row>
    <row r="761">
      <c r="A761" s="19" t="n"/>
      <c r="B761" s="14" t="n"/>
      <c r="C761" s="20">
        <f>IF($B761="","",IFERROR(INDEX(Vinos!$B$2:$B$301,MATCH($B761,Vinos!$A$2:$A$301,0)),"Código no cargado"))</f>
        <v/>
      </c>
      <c r="D761" s="14" t="n"/>
      <c r="E761" s="14" t="n"/>
      <c r="F761" s="18" t="n"/>
      <c r="G761" s="18" t="n"/>
      <c r="H761" s="21">
        <f>IF(AND($F761="",$G761=""),"",N($F761)*IFERROR(N(INDEX(Vinos!$H$2:$H$301,MATCH($B761,Vinos!$A$2:$A$301,0))),0)+N($G761))</f>
        <v/>
      </c>
      <c r="I761" s="18" t="n"/>
      <c r="J761" s="21">
        <f>IF(OR($H761="",$I761=""),"",$H761-$I761)</f>
        <v/>
      </c>
      <c r="K761" s="16">
        <f>IF($H761="","",IFERROR(IF(INDEX(Vinos!$J$2:$J$301,MATCH($B761,Vinos!$A$2:$A$301,0))="","",$H761*INDEX(Vinos!$J$2:$J$301,MATCH($B761,Vinos!$A$2:$A$301,0))),""))</f>
        <v/>
      </c>
      <c r="L761" s="16">
        <f>IF($H761="","",IFERROR(IF(INDEX(Vinos!$K$2:$K$301,MATCH($B761,Vinos!$A$2:$A$301,0))="","",$H761*INDEX(Vinos!$K$2:$K$301,MATCH($B761,Vinos!$A$2:$A$301,0))),""))</f>
        <v/>
      </c>
      <c r="M761" s="21">
        <f>IF(OR($A761="",$B761=""),"",SUMIFS($H$2:$H$2001,$A$2:$A$2001,$A761,$B$2:$B$2001,$B761))</f>
        <v/>
      </c>
      <c r="N761" s="20">
        <f>IF($M761="","",IF($M761&lt;=0,"Sin stock: reponer ya",IF($M761&lt;IFERROR(N(INDEX(Vinos!$N$2:$N$301,MATCH($B761,Vinos!$A$2:$A$301,0))),0),"Bajo mínimo: reponer","OK")))</f>
        <v/>
      </c>
      <c r="O761" s="14" t="n"/>
      <c r="P761" s="14" t="n"/>
      <c r="Q761" s="20">
        <f>IF($B761="","",IFERROR(INDEX(Vinos!$C$2:$C$301,MATCH($B761,Vinos!$A$2:$A$301,0)),""))</f>
        <v/>
      </c>
      <c r="R761" s="20">
        <f>IF(OR($A761="",$A761&lt;&gt;'Resumen del inventario'!$C$3,$N761="",$N761="OK"),"",IF(COUNTIFS($A$2:$A761,$A761,$B$2:$B761,$B761)=1,1,""))</f>
        <v/>
      </c>
      <c r="S761" s="20">
        <f>IF($R761=1,COUNTIF($R$2:$R761,1),"")</f>
        <v/>
      </c>
    </row>
    <row r="762">
      <c r="A762" s="19" t="n"/>
      <c r="B762" s="14" t="n"/>
      <c r="C762" s="20">
        <f>IF($B762="","",IFERROR(INDEX(Vinos!$B$2:$B$301,MATCH($B762,Vinos!$A$2:$A$301,0)),"Código no cargado"))</f>
        <v/>
      </c>
      <c r="D762" s="14" t="n"/>
      <c r="E762" s="14" t="n"/>
      <c r="F762" s="18" t="n"/>
      <c r="G762" s="18" t="n"/>
      <c r="H762" s="21">
        <f>IF(AND($F762="",$G762=""),"",N($F762)*IFERROR(N(INDEX(Vinos!$H$2:$H$301,MATCH($B762,Vinos!$A$2:$A$301,0))),0)+N($G762))</f>
        <v/>
      </c>
      <c r="I762" s="18" t="n"/>
      <c r="J762" s="21">
        <f>IF(OR($H762="",$I762=""),"",$H762-$I762)</f>
        <v/>
      </c>
      <c r="K762" s="16">
        <f>IF($H762="","",IFERROR(IF(INDEX(Vinos!$J$2:$J$301,MATCH($B762,Vinos!$A$2:$A$301,0))="","",$H762*INDEX(Vinos!$J$2:$J$301,MATCH($B762,Vinos!$A$2:$A$301,0))),""))</f>
        <v/>
      </c>
      <c r="L762" s="16">
        <f>IF($H762="","",IFERROR(IF(INDEX(Vinos!$K$2:$K$301,MATCH($B762,Vinos!$A$2:$A$301,0))="","",$H762*INDEX(Vinos!$K$2:$K$301,MATCH($B762,Vinos!$A$2:$A$301,0))),""))</f>
        <v/>
      </c>
      <c r="M762" s="21">
        <f>IF(OR($A762="",$B762=""),"",SUMIFS($H$2:$H$2001,$A$2:$A$2001,$A762,$B$2:$B$2001,$B762))</f>
        <v/>
      </c>
      <c r="N762" s="20">
        <f>IF($M762="","",IF($M762&lt;=0,"Sin stock: reponer ya",IF($M762&lt;IFERROR(N(INDEX(Vinos!$N$2:$N$301,MATCH($B762,Vinos!$A$2:$A$301,0))),0),"Bajo mínimo: reponer","OK")))</f>
        <v/>
      </c>
      <c r="O762" s="14" t="n"/>
      <c r="P762" s="14" t="n"/>
      <c r="Q762" s="20">
        <f>IF($B762="","",IFERROR(INDEX(Vinos!$C$2:$C$301,MATCH($B762,Vinos!$A$2:$A$301,0)),""))</f>
        <v/>
      </c>
      <c r="R762" s="20">
        <f>IF(OR($A762="",$A762&lt;&gt;'Resumen del inventario'!$C$3,$N762="",$N762="OK"),"",IF(COUNTIFS($A$2:$A762,$A762,$B$2:$B762,$B762)=1,1,""))</f>
        <v/>
      </c>
      <c r="S762" s="20">
        <f>IF($R762=1,COUNTIF($R$2:$R762,1),"")</f>
        <v/>
      </c>
    </row>
    <row r="763">
      <c r="A763" s="19" t="n"/>
      <c r="B763" s="14" t="n"/>
      <c r="C763" s="20">
        <f>IF($B763="","",IFERROR(INDEX(Vinos!$B$2:$B$301,MATCH($B763,Vinos!$A$2:$A$301,0)),"Código no cargado"))</f>
        <v/>
      </c>
      <c r="D763" s="14" t="n"/>
      <c r="E763" s="14" t="n"/>
      <c r="F763" s="18" t="n"/>
      <c r="G763" s="18" t="n"/>
      <c r="H763" s="21">
        <f>IF(AND($F763="",$G763=""),"",N($F763)*IFERROR(N(INDEX(Vinos!$H$2:$H$301,MATCH($B763,Vinos!$A$2:$A$301,0))),0)+N($G763))</f>
        <v/>
      </c>
      <c r="I763" s="18" t="n"/>
      <c r="J763" s="21">
        <f>IF(OR($H763="",$I763=""),"",$H763-$I763)</f>
        <v/>
      </c>
      <c r="K763" s="16">
        <f>IF($H763="","",IFERROR(IF(INDEX(Vinos!$J$2:$J$301,MATCH($B763,Vinos!$A$2:$A$301,0))="","",$H763*INDEX(Vinos!$J$2:$J$301,MATCH($B763,Vinos!$A$2:$A$301,0))),""))</f>
        <v/>
      </c>
      <c r="L763" s="16">
        <f>IF($H763="","",IFERROR(IF(INDEX(Vinos!$K$2:$K$301,MATCH($B763,Vinos!$A$2:$A$301,0))="","",$H763*INDEX(Vinos!$K$2:$K$301,MATCH($B763,Vinos!$A$2:$A$301,0))),""))</f>
        <v/>
      </c>
      <c r="M763" s="21">
        <f>IF(OR($A763="",$B763=""),"",SUMIFS($H$2:$H$2001,$A$2:$A$2001,$A763,$B$2:$B$2001,$B763))</f>
        <v/>
      </c>
      <c r="N763" s="20">
        <f>IF($M763="","",IF($M763&lt;=0,"Sin stock: reponer ya",IF($M763&lt;IFERROR(N(INDEX(Vinos!$N$2:$N$301,MATCH($B763,Vinos!$A$2:$A$301,0))),0),"Bajo mínimo: reponer","OK")))</f>
        <v/>
      </c>
      <c r="O763" s="14" t="n"/>
      <c r="P763" s="14" t="n"/>
      <c r="Q763" s="20">
        <f>IF($B763="","",IFERROR(INDEX(Vinos!$C$2:$C$301,MATCH($B763,Vinos!$A$2:$A$301,0)),""))</f>
        <v/>
      </c>
      <c r="R763" s="20">
        <f>IF(OR($A763="",$A763&lt;&gt;'Resumen del inventario'!$C$3,$N763="",$N763="OK"),"",IF(COUNTIFS($A$2:$A763,$A763,$B$2:$B763,$B763)=1,1,""))</f>
        <v/>
      </c>
      <c r="S763" s="20">
        <f>IF($R763=1,COUNTIF($R$2:$R763,1),"")</f>
        <v/>
      </c>
    </row>
    <row r="764">
      <c r="A764" s="19" t="n"/>
      <c r="B764" s="14" t="n"/>
      <c r="C764" s="20">
        <f>IF($B764="","",IFERROR(INDEX(Vinos!$B$2:$B$301,MATCH($B764,Vinos!$A$2:$A$301,0)),"Código no cargado"))</f>
        <v/>
      </c>
      <c r="D764" s="14" t="n"/>
      <c r="E764" s="14" t="n"/>
      <c r="F764" s="18" t="n"/>
      <c r="G764" s="18" t="n"/>
      <c r="H764" s="21">
        <f>IF(AND($F764="",$G764=""),"",N($F764)*IFERROR(N(INDEX(Vinos!$H$2:$H$301,MATCH($B764,Vinos!$A$2:$A$301,0))),0)+N($G764))</f>
        <v/>
      </c>
      <c r="I764" s="18" t="n"/>
      <c r="J764" s="21">
        <f>IF(OR($H764="",$I764=""),"",$H764-$I764)</f>
        <v/>
      </c>
      <c r="K764" s="16">
        <f>IF($H764="","",IFERROR(IF(INDEX(Vinos!$J$2:$J$301,MATCH($B764,Vinos!$A$2:$A$301,0))="","",$H764*INDEX(Vinos!$J$2:$J$301,MATCH($B764,Vinos!$A$2:$A$301,0))),""))</f>
        <v/>
      </c>
      <c r="L764" s="16">
        <f>IF($H764="","",IFERROR(IF(INDEX(Vinos!$K$2:$K$301,MATCH($B764,Vinos!$A$2:$A$301,0))="","",$H764*INDEX(Vinos!$K$2:$K$301,MATCH($B764,Vinos!$A$2:$A$301,0))),""))</f>
        <v/>
      </c>
      <c r="M764" s="21">
        <f>IF(OR($A764="",$B764=""),"",SUMIFS($H$2:$H$2001,$A$2:$A$2001,$A764,$B$2:$B$2001,$B764))</f>
        <v/>
      </c>
      <c r="N764" s="20">
        <f>IF($M764="","",IF($M764&lt;=0,"Sin stock: reponer ya",IF($M764&lt;IFERROR(N(INDEX(Vinos!$N$2:$N$301,MATCH($B764,Vinos!$A$2:$A$301,0))),0),"Bajo mínimo: reponer","OK")))</f>
        <v/>
      </c>
      <c r="O764" s="14" t="n"/>
      <c r="P764" s="14" t="n"/>
      <c r="Q764" s="20">
        <f>IF($B764="","",IFERROR(INDEX(Vinos!$C$2:$C$301,MATCH($B764,Vinos!$A$2:$A$301,0)),""))</f>
        <v/>
      </c>
      <c r="R764" s="20">
        <f>IF(OR($A764="",$A764&lt;&gt;'Resumen del inventario'!$C$3,$N764="",$N764="OK"),"",IF(COUNTIFS($A$2:$A764,$A764,$B$2:$B764,$B764)=1,1,""))</f>
        <v/>
      </c>
      <c r="S764" s="20">
        <f>IF($R764=1,COUNTIF($R$2:$R764,1),"")</f>
        <v/>
      </c>
    </row>
    <row r="765">
      <c r="A765" s="19" t="n"/>
      <c r="B765" s="14" t="n"/>
      <c r="C765" s="20">
        <f>IF($B765="","",IFERROR(INDEX(Vinos!$B$2:$B$301,MATCH($B765,Vinos!$A$2:$A$301,0)),"Código no cargado"))</f>
        <v/>
      </c>
      <c r="D765" s="14" t="n"/>
      <c r="E765" s="14" t="n"/>
      <c r="F765" s="18" t="n"/>
      <c r="G765" s="18" t="n"/>
      <c r="H765" s="21">
        <f>IF(AND($F765="",$G765=""),"",N($F765)*IFERROR(N(INDEX(Vinos!$H$2:$H$301,MATCH($B765,Vinos!$A$2:$A$301,0))),0)+N($G765))</f>
        <v/>
      </c>
      <c r="I765" s="18" t="n"/>
      <c r="J765" s="21">
        <f>IF(OR($H765="",$I765=""),"",$H765-$I765)</f>
        <v/>
      </c>
      <c r="K765" s="16">
        <f>IF($H765="","",IFERROR(IF(INDEX(Vinos!$J$2:$J$301,MATCH($B765,Vinos!$A$2:$A$301,0))="","",$H765*INDEX(Vinos!$J$2:$J$301,MATCH($B765,Vinos!$A$2:$A$301,0))),""))</f>
        <v/>
      </c>
      <c r="L765" s="16">
        <f>IF($H765="","",IFERROR(IF(INDEX(Vinos!$K$2:$K$301,MATCH($B765,Vinos!$A$2:$A$301,0))="","",$H765*INDEX(Vinos!$K$2:$K$301,MATCH($B765,Vinos!$A$2:$A$301,0))),""))</f>
        <v/>
      </c>
      <c r="M765" s="21">
        <f>IF(OR($A765="",$B765=""),"",SUMIFS($H$2:$H$2001,$A$2:$A$2001,$A765,$B$2:$B$2001,$B765))</f>
        <v/>
      </c>
      <c r="N765" s="20">
        <f>IF($M765="","",IF($M765&lt;=0,"Sin stock: reponer ya",IF($M765&lt;IFERROR(N(INDEX(Vinos!$N$2:$N$301,MATCH($B765,Vinos!$A$2:$A$301,0))),0),"Bajo mínimo: reponer","OK")))</f>
        <v/>
      </c>
      <c r="O765" s="14" t="n"/>
      <c r="P765" s="14" t="n"/>
      <c r="Q765" s="20">
        <f>IF($B765="","",IFERROR(INDEX(Vinos!$C$2:$C$301,MATCH($B765,Vinos!$A$2:$A$301,0)),""))</f>
        <v/>
      </c>
      <c r="R765" s="20">
        <f>IF(OR($A765="",$A765&lt;&gt;'Resumen del inventario'!$C$3,$N765="",$N765="OK"),"",IF(COUNTIFS($A$2:$A765,$A765,$B$2:$B765,$B765)=1,1,""))</f>
        <v/>
      </c>
      <c r="S765" s="20">
        <f>IF($R765=1,COUNTIF($R$2:$R765,1),"")</f>
        <v/>
      </c>
    </row>
    <row r="766">
      <c r="A766" s="19" t="n"/>
      <c r="B766" s="14" t="n"/>
      <c r="C766" s="20">
        <f>IF($B766="","",IFERROR(INDEX(Vinos!$B$2:$B$301,MATCH($B766,Vinos!$A$2:$A$301,0)),"Código no cargado"))</f>
        <v/>
      </c>
      <c r="D766" s="14" t="n"/>
      <c r="E766" s="14" t="n"/>
      <c r="F766" s="18" t="n"/>
      <c r="G766" s="18" t="n"/>
      <c r="H766" s="21">
        <f>IF(AND($F766="",$G766=""),"",N($F766)*IFERROR(N(INDEX(Vinos!$H$2:$H$301,MATCH($B766,Vinos!$A$2:$A$301,0))),0)+N($G766))</f>
        <v/>
      </c>
      <c r="I766" s="18" t="n"/>
      <c r="J766" s="21">
        <f>IF(OR($H766="",$I766=""),"",$H766-$I766)</f>
        <v/>
      </c>
      <c r="K766" s="16">
        <f>IF($H766="","",IFERROR(IF(INDEX(Vinos!$J$2:$J$301,MATCH($B766,Vinos!$A$2:$A$301,0))="","",$H766*INDEX(Vinos!$J$2:$J$301,MATCH($B766,Vinos!$A$2:$A$301,0))),""))</f>
        <v/>
      </c>
      <c r="L766" s="16">
        <f>IF($H766="","",IFERROR(IF(INDEX(Vinos!$K$2:$K$301,MATCH($B766,Vinos!$A$2:$A$301,0))="","",$H766*INDEX(Vinos!$K$2:$K$301,MATCH($B766,Vinos!$A$2:$A$301,0))),""))</f>
        <v/>
      </c>
      <c r="M766" s="21">
        <f>IF(OR($A766="",$B766=""),"",SUMIFS($H$2:$H$2001,$A$2:$A$2001,$A766,$B$2:$B$2001,$B766))</f>
        <v/>
      </c>
      <c r="N766" s="20">
        <f>IF($M766="","",IF($M766&lt;=0,"Sin stock: reponer ya",IF($M766&lt;IFERROR(N(INDEX(Vinos!$N$2:$N$301,MATCH($B766,Vinos!$A$2:$A$301,0))),0),"Bajo mínimo: reponer","OK")))</f>
        <v/>
      </c>
      <c r="O766" s="14" t="n"/>
      <c r="P766" s="14" t="n"/>
      <c r="Q766" s="20">
        <f>IF($B766="","",IFERROR(INDEX(Vinos!$C$2:$C$301,MATCH($B766,Vinos!$A$2:$A$301,0)),""))</f>
        <v/>
      </c>
      <c r="R766" s="20">
        <f>IF(OR($A766="",$A766&lt;&gt;'Resumen del inventario'!$C$3,$N766="",$N766="OK"),"",IF(COUNTIFS($A$2:$A766,$A766,$B$2:$B766,$B766)=1,1,""))</f>
        <v/>
      </c>
      <c r="S766" s="20">
        <f>IF($R766=1,COUNTIF($R$2:$R766,1),"")</f>
        <v/>
      </c>
    </row>
    <row r="767">
      <c r="A767" s="19" t="n"/>
      <c r="B767" s="14" t="n"/>
      <c r="C767" s="20">
        <f>IF($B767="","",IFERROR(INDEX(Vinos!$B$2:$B$301,MATCH($B767,Vinos!$A$2:$A$301,0)),"Código no cargado"))</f>
        <v/>
      </c>
      <c r="D767" s="14" t="n"/>
      <c r="E767" s="14" t="n"/>
      <c r="F767" s="18" t="n"/>
      <c r="G767" s="18" t="n"/>
      <c r="H767" s="21">
        <f>IF(AND($F767="",$G767=""),"",N($F767)*IFERROR(N(INDEX(Vinos!$H$2:$H$301,MATCH($B767,Vinos!$A$2:$A$301,0))),0)+N($G767))</f>
        <v/>
      </c>
      <c r="I767" s="18" t="n"/>
      <c r="J767" s="21">
        <f>IF(OR($H767="",$I767=""),"",$H767-$I767)</f>
        <v/>
      </c>
      <c r="K767" s="16">
        <f>IF($H767="","",IFERROR(IF(INDEX(Vinos!$J$2:$J$301,MATCH($B767,Vinos!$A$2:$A$301,0))="","",$H767*INDEX(Vinos!$J$2:$J$301,MATCH($B767,Vinos!$A$2:$A$301,0))),""))</f>
        <v/>
      </c>
      <c r="L767" s="16">
        <f>IF($H767="","",IFERROR(IF(INDEX(Vinos!$K$2:$K$301,MATCH($B767,Vinos!$A$2:$A$301,0))="","",$H767*INDEX(Vinos!$K$2:$K$301,MATCH($B767,Vinos!$A$2:$A$301,0))),""))</f>
        <v/>
      </c>
      <c r="M767" s="21">
        <f>IF(OR($A767="",$B767=""),"",SUMIFS($H$2:$H$2001,$A$2:$A$2001,$A767,$B$2:$B$2001,$B767))</f>
        <v/>
      </c>
      <c r="N767" s="20">
        <f>IF($M767="","",IF($M767&lt;=0,"Sin stock: reponer ya",IF($M767&lt;IFERROR(N(INDEX(Vinos!$N$2:$N$301,MATCH($B767,Vinos!$A$2:$A$301,0))),0),"Bajo mínimo: reponer","OK")))</f>
        <v/>
      </c>
      <c r="O767" s="14" t="n"/>
      <c r="P767" s="14" t="n"/>
      <c r="Q767" s="20">
        <f>IF($B767="","",IFERROR(INDEX(Vinos!$C$2:$C$301,MATCH($B767,Vinos!$A$2:$A$301,0)),""))</f>
        <v/>
      </c>
      <c r="R767" s="20">
        <f>IF(OR($A767="",$A767&lt;&gt;'Resumen del inventario'!$C$3,$N767="",$N767="OK"),"",IF(COUNTIFS($A$2:$A767,$A767,$B$2:$B767,$B767)=1,1,""))</f>
        <v/>
      </c>
      <c r="S767" s="20">
        <f>IF($R767=1,COUNTIF($R$2:$R767,1),"")</f>
        <v/>
      </c>
    </row>
    <row r="768">
      <c r="A768" s="19" t="n"/>
      <c r="B768" s="14" t="n"/>
      <c r="C768" s="20">
        <f>IF($B768="","",IFERROR(INDEX(Vinos!$B$2:$B$301,MATCH($B768,Vinos!$A$2:$A$301,0)),"Código no cargado"))</f>
        <v/>
      </c>
      <c r="D768" s="14" t="n"/>
      <c r="E768" s="14" t="n"/>
      <c r="F768" s="18" t="n"/>
      <c r="G768" s="18" t="n"/>
      <c r="H768" s="21">
        <f>IF(AND($F768="",$G768=""),"",N($F768)*IFERROR(N(INDEX(Vinos!$H$2:$H$301,MATCH($B768,Vinos!$A$2:$A$301,0))),0)+N($G768))</f>
        <v/>
      </c>
      <c r="I768" s="18" t="n"/>
      <c r="J768" s="21">
        <f>IF(OR($H768="",$I768=""),"",$H768-$I768)</f>
        <v/>
      </c>
      <c r="K768" s="16">
        <f>IF($H768="","",IFERROR(IF(INDEX(Vinos!$J$2:$J$301,MATCH($B768,Vinos!$A$2:$A$301,0))="","",$H768*INDEX(Vinos!$J$2:$J$301,MATCH($B768,Vinos!$A$2:$A$301,0))),""))</f>
        <v/>
      </c>
      <c r="L768" s="16">
        <f>IF($H768="","",IFERROR(IF(INDEX(Vinos!$K$2:$K$301,MATCH($B768,Vinos!$A$2:$A$301,0))="","",$H768*INDEX(Vinos!$K$2:$K$301,MATCH($B768,Vinos!$A$2:$A$301,0))),""))</f>
        <v/>
      </c>
      <c r="M768" s="21">
        <f>IF(OR($A768="",$B768=""),"",SUMIFS($H$2:$H$2001,$A$2:$A$2001,$A768,$B$2:$B$2001,$B768))</f>
        <v/>
      </c>
      <c r="N768" s="20">
        <f>IF($M768="","",IF($M768&lt;=0,"Sin stock: reponer ya",IF($M768&lt;IFERROR(N(INDEX(Vinos!$N$2:$N$301,MATCH($B768,Vinos!$A$2:$A$301,0))),0),"Bajo mínimo: reponer","OK")))</f>
        <v/>
      </c>
      <c r="O768" s="14" t="n"/>
      <c r="P768" s="14" t="n"/>
      <c r="Q768" s="20">
        <f>IF($B768="","",IFERROR(INDEX(Vinos!$C$2:$C$301,MATCH($B768,Vinos!$A$2:$A$301,0)),""))</f>
        <v/>
      </c>
      <c r="R768" s="20">
        <f>IF(OR($A768="",$A768&lt;&gt;'Resumen del inventario'!$C$3,$N768="",$N768="OK"),"",IF(COUNTIFS($A$2:$A768,$A768,$B$2:$B768,$B768)=1,1,""))</f>
        <v/>
      </c>
      <c r="S768" s="20">
        <f>IF($R768=1,COUNTIF($R$2:$R768,1),"")</f>
        <v/>
      </c>
    </row>
    <row r="769">
      <c r="A769" s="19" t="n"/>
      <c r="B769" s="14" t="n"/>
      <c r="C769" s="20">
        <f>IF($B769="","",IFERROR(INDEX(Vinos!$B$2:$B$301,MATCH($B769,Vinos!$A$2:$A$301,0)),"Código no cargado"))</f>
        <v/>
      </c>
      <c r="D769" s="14" t="n"/>
      <c r="E769" s="14" t="n"/>
      <c r="F769" s="18" t="n"/>
      <c r="G769" s="18" t="n"/>
      <c r="H769" s="21">
        <f>IF(AND($F769="",$G769=""),"",N($F769)*IFERROR(N(INDEX(Vinos!$H$2:$H$301,MATCH($B769,Vinos!$A$2:$A$301,0))),0)+N($G769))</f>
        <v/>
      </c>
      <c r="I769" s="18" t="n"/>
      <c r="J769" s="21">
        <f>IF(OR($H769="",$I769=""),"",$H769-$I769)</f>
        <v/>
      </c>
      <c r="K769" s="16">
        <f>IF($H769="","",IFERROR(IF(INDEX(Vinos!$J$2:$J$301,MATCH($B769,Vinos!$A$2:$A$301,0))="","",$H769*INDEX(Vinos!$J$2:$J$301,MATCH($B769,Vinos!$A$2:$A$301,0))),""))</f>
        <v/>
      </c>
      <c r="L769" s="16">
        <f>IF($H769="","",IFERROR(IF(INDEX(Vinos!$K$2:$K$301,MATCH($B769,Vinos!$A$2:$A$301,0))="","",$H769*INDEX(Vinos!$K$2:$K$301,MATCH($B769,Vinos!$A$2:$A$301,0))),""))</f>
        <v/>
      </c>
      <c r="M769" s="21">
        <f>IF(OR($A769="",$B769=""),"",SUMIFS($H$2:$H$2001,$A$2:$A$2001,$A769,$B$2:$B$2001,$B769))</f>
        <v/>
      </c>
      <c r="N769" s="20">
        <f>IF($M769="","",IF($M769&lt;=0,"Sin stock: reponer ya",IF($M769&lt;IFERROR(N(INDEX(Vinos!$N$2:$N$301,MATCH($B769,Vinos!$A$2:$A$301,0))),0),"Bajo mínimo: reponer","OK")))</f>
        <v/>
      </c>
      <c r="O769" s="14" t="n"/>
      <c r="P769" s="14" t="n"/>
      <c r="Q769" s="20">
        <f>IF($B769="","",IFERROR(INDEX(Vinos!$C$2:$C$301,MATCH($B769,Vinos!$A$2:$A$301,0)),""))</f>
        <v/>
      </c>
      <c r="R769" s="20">
        <f>IF(OR($A769="",$A769&lt;&gt;'Resumen del inventario'!$C$3,$N769="",$N769="OK"),"",IF(COUNTIFS($A$2:$A769,$A769,$B$2:$B769,$B769)=1,1,""))</f>
        <v/>
      </c>
      <c r="S769" s="20">
        <f>IF($R769=1,COUNTIF($R$2:$R769,1),"")</f>
        <v/>
      </c>
    </row>
    <row r="770">
      <c r="A770" s="19" t="n"/>
      <c r="B770" s="14" t="n"/>
      <c r="C770" s="20">
        <f>IF($B770="","",IFERROR(INDEX(Vinos!$B$2:$B$301,MATCH($B770,Vinos!$A$2:$A$301,0)),"Código no cargado"))</f>
        <v/>
      </c>
      <c r="D770" s="14" t="n"/>
      <c r="E770" s="14" t="n"/>
      <c r="F770" s="18" t="n"/>
      <c r="G770" s="18" t="n"/>
      <c r="H770" s="21">
        <f>IF(AND($F770="",$G770=""),"",N($F770)*IFERROR(N(INDEX(Vinos!$H$2:$H$301,MATCH($B770,Vinos!$A$2:$A$301,0))),0)+N($G770))</f>
        <v/>
      </c>
      <c r="I770" s="18" t="n"/>
      <c r="J770" s="21">
        <f>IF(OR($H770="",$I770=""),"",$H770-$I770)</f>
        <v/>
      </c>
      <c r="K770" s="16">
        <f>IF($H770="","",IFERROR(IF(INDEX(Vinos!$J$2:$J$301,MATCH($B770,Vinos!$A$2:$A$301,0))="","",$H770*INDEX(Vinos!$J$2:$J$301,MATCH($B770,Vinos!$A$2:$A$301,0))),""))</f>
        <v/>
      </c>
      <c r="L770" s="16">
        <f>IF($H770="","",IFERROR(IF(INDEX(Vinos!$K$2:$K$301,MATCH($B770,Vinos!$A$2:$A$301,0))="","",$H770*INDEX(Vinos!$K$2:$K$301,MATCH($B770,Vinos!$A$2:$A$301,0))),""))</f>
        <v/>
      </c>
      <c r="M770" s="21">
        <f>IF(OR($A770="",$B770=""),"",SUMIFS($H$2:$H$2001,$A$2:$A$2001,$A770,$B$2:$B$2001,$B770))</f>
        <v/>
      </c>
      <c r="N770" s="20">
        <f>IF($M770="","",IF($M770&lt;=0,"Sin stock: reponer ya",IF($M770&lt;IFERROR(N(INDEX(Vinos!$N$2:$N$301,MATCH($B770,Vinos!$A$2:$A$301,0))),0),"Bajo mínimo: reponer","OK")))</f>
        <v/>
      </c>
      <c r="O770" s="14" t="n"/>
      <c r="P770" s="14" t="n"/>
      <c r="Q770" s="20">
        <f>IF($B770="","",IFERROR(INDEX(Vinos!$C$2:$C$301,MATCH($B770,Vinos!$A$2:$A$301,0)),""))</f>
        <v/>
      </c>
      <c r="R770" s="20">
        <f>IF(OR($A770="",$A770&lt;&gt;'Resumen del inventario'!$C$3,$N770="",$N770="OK"),"",IF(COUNTIFS($A$2:$A770,$A770,$B$2:$B770,$B770)=1,1,""))</f>
        <v/>
      </c>
      <c r="S770" s="20">
        <f>IF($R770=1,COUNTIF($R$2:$R770,1),"")</f>
        <v/>
      </c>
    </row>
    <row r="771">
      <c r="A771" s="19" t="n"/>
      <c r="B771" s="14" t="n"/>
      <c r="C771" s="20">
        <f>IF($B771="","",IFERROR(INDEX(Vinos!$B$2:$B$301,MATCH($B771,Vinos!$A$2:$A$301,0)),"Código no cargado"))</f>
        <v/>
      </c>
      <c r="D771" s="14" t="n"/>
      <c r="E771" s="14" t="n"/>
      <c r="F771" s="18" t="n"/>
      <c r="G771" s="18" t="n"/>
      <c r="H771" s="21">
        <f>IF(AND($F771="",$G771=""),"",N($F771)*IFERROR(N(INDEX(Vinos!$H$2:$H$301,MATCH($B771,Vinos!$A$2:$A$301,0))),0)+N($G771))</f>
        <v/>
      </c>
      <c r="I771" s="18" t="n"/>
      <c r="J771" s="21">
        <f>IF(OR($H771="",$I771=""),"",$H771-$I771)</f>
        <v/>
      </c>
      <c r="K771" s="16">
        <f>IF($H771="","",IFERROR(IF(INDEX(Vinos!$J$2:$J$301,MATCH($B771,Vinos!$A$2:$A$301,0))="","",$H771*INDEX(Vinos!$J$2:$J$301,MATCH($B771,Vinos!$A$2:$A$301,0))),""))</f>
        <v/>
      </c>
      <c r="L771" s="16">
        <f>IF($H771="","",IFERROR(IF(INDEX(Vinos!$K$2:$K$301,MATCH($B771,Vinos!$A$2:$A$301,0))="","",$H771*INDEX(Vinos!$K$2:$K$301,MATCH($B771,Vinos!$A$2:$A$301,0))),""))</f>
        <v/>
      </c>
      <c r="M771" s="21">
        <f>IF(OR($A771="",$B771=""),"",SUMIFS($H$2:$H$2001,$A$2:$A$2001,$A771,$B$2:$B$2001,$B771))</f>
        <v/>
      </c>
      <c r="N771" s="20">
        <f>IF($M771="","",IF($M771&lt;=0,"Sin stock: reponer ya",IF($M771&lt;IFERROR(N(INDEX(Vinos!$N$2:$N$301,MATCH($B771,Vinos!$A$2:$A$301,0))),0),"Bajo mínimo: reponer","OK")))</f>
        <v/>
      </c>
      <c r="O771" s="14" t="n"/>
      <c r="P771" s="14" t="n"/>
      <c r="Q771" s="20">
        <f>IF($B771="","",IFERROR(INDEX(Vinos!$C$2:$C$301,MATCH($B771,Vinos!$A$2:$A$301,0)),""))</f>
        <v/>
      </c>
      <c r="R771" s="20">
        <f>IF(OR($A771="",$A771&lt;&gt;'Resumen del inventario'!$C$3,$N771="",$N771="OK"),"",IF(COUNTIFS($A$2:$A771,$A771,$B$2:$B771,$B771)=1,1,""))</f>
        <v/>
      </c>
      <c r="S771" s="20">
        <f>IF($R771=1,COUNTIF($R$2:$R771,1),"")</f>
        <v/>
      </c>
    </row>
    <row r="772">
      <c r="A772" s="19" t="n"/>
      <c r="B772" s="14" t="n"/>
      <c r="C772" s="20">
        <f>IF($B772="","",IFERROR(INDEX(Vinos!$B$2:$B$301,MATCH($B772,Vinos!$A$2:$A$301,0)),"Código no cargado"))</f>
        <v/>
      </c>
      <c r="D772" s="14" t="n"/>
      <c r="E772" s="14" t="n"/>
      <c r="F772" s="18" t="n"/>
      <c r="G772" s="18" t="n"/>
      <c r="H772" s="21">
        <f>IF(AND($F772="",$G772=""),"",N($F772)*IFERROR(N(INDEX(Vinos!$H$2:$H$301,MATCH($B772,Vinos!$A$2:$A$301,0))),0)+N($G772))</f>
        <v/>
      </c>
      <c r="I772" s="18" t="n"/>
      <c r="J772" s="21">
        <f>IF(OR($H772="",$I772=""),"",$H772-$I772)</f>
        <v/>
      </c>
      <c r="K772" s="16">
        <f>IF($H772="","",IFERROR(IF(INDEX(Vinos!$J$2:$J$301,MATCH($B772,Vinos!$A$2:$A$301,0))="","",$H772*INDEX(Vinos!$J$2:$J$301,MATCH($B772,Vinos!$A$2:$A$301,0))),""))</f>
        <v/>
      </c>
      <c r="L772" s="16">
        <f>IF($H772="","",IFERROR(IF(INDEX(Vinos!$K$2:$K$301,MATCH($B772,Vinos!$A$2:$A$301,0))="","",$H772*INDEX(Vinos!$K$2:$K$301,MATCH($B772,Vinos!$A$2:$A$301,0))),""))</f>
        <v/>
      </c>
      <c r="M772" s="21">
        <f>IF(OR($A772="",$B772=""),"",SUMIFS($H$2:$H$2001,$A$2:$A$2001,$A772,$B$2:$B$2001,$B772))</f>
        <v/>
      </c>
      <c r="N772" s="20">
        <f>IF($M772="","",IF($M772&lt;=0,"Sin stock: reponer ya",IF($M772&lt;IFERROR(N(INDEX(Vinos!$N$2:$N$301,MATCH($B772,Vinos!$A$2:$A$301,0))),0),"Bajo mínimo: reponer","OK")))</f>
        <v/>
      </c>
      <c r="O772" s="14" t="n"/>
      <c r="P772" s="14" t="n"/>
      <c r="Q772" s="20">
        <f>IF($B772="","",IFERROR(INDEX(Vinos!$C$2:$C$301,MATCH($B772,Vinos!$A$2:$A$301,0)),""))</f>
        <v/>
      </c>
      <c r="R772" s="20">
        <f>IF(OR($A772="",$A772&lt;&gt;'Resumen del inventario'!$C$3,$N772="",$N772="OK"),"",IF(COUNTIFS($A$2:$A772,$A772,$B$2:$B772,$B772)=1,1,""))</f>
        <v/>
      </c>
      <c r="S772" s="20">
        <f>IF($R772=1,COUNTIF($R$2:$R772,1),"")</f>
        <v/>
      </c>
    </row>
    <row r="773">
      <c r="A773" s="19" t="n"/>
      <c r="B773" s="14" t="n"/>
      <c r="C773" s="20">
        <f>IF($B773="","",IFERROR(INDEX(Vinos!$B$2:$B$301,MATCH($B773,Vinos!$A$2:$A$301,0)),"Código no cargado"))</f>
        <v/>
      </c>
      <c r="D773" s="14" t="n"/>
      <c r="E773" s="14" t="n"/>
      <c r="F773" s="18" t="n"/>
      <c r="G773" s="18" t="n"/>
      <c r="H773" s="21">
        <f>IF(AND($F773="",$G773=""),"",N($F773)*IFERROR(N(INDEX(Vinos!$H$2:$H$301,MATCH($B773,Vinos!$A$2:$A$301,0))),0)+N($G773))</f>
        <v/>
      </c>
      <c r="I773" s="18" t="n"/>
      <c r="J773" s="21">
        <f>IF(OR($H773="",$I773=""),"",$H773-$I773)</f>
        <v/>
      </c>
      <c r="K773" s="16">
        <f>IF($H773="","",IFERROR(IF(INDEX(Vinos!$J$2:$J$301,MATCH($B773,Vinos!$A$2:$A$301,0))="","",$H773*INDEX(Vinos!$J$2:$J$301,MATCH($B773,Vinos!$A$2:$A$301,0))),""))</f>
        <v/>
      </c>
      <c r="L773" s="16">
        <f>IF($H773="","",IFERROR(IF(INDEX(Vinos!$K$2:$K$301,MATCH($B773,Vinos!$A$2:$A$301,0))="","",$H773*INDEX(Vinos!$K$2:$K$301,MATCH($B773,Vinos!$A$2:$A$301,0))),""))</f>
        <v/>
      </c>
      <c r="M773" s="21">
        <f>IF(OR($A773="",$B773=""),"",SUMIFS($H$2:$H$2001,$A$2:$A$2001,$A773,$B$2:$B$2001,$B773))</f>
        <v/>
      </c>
      <c r="N773" s="20">
        <f>IF($M773="","",IF($M773&lt;=0,"Sin stock: reponer ya",IF($M773&lt;IFERROR(N(INDEX(Vinos!$N$2:$N$301,MATCH($B773,Vinos!$A$2:$A$301,0))),0),"Bajo mínimo: reponer","OK")))</f>
        <v/>
      </c>
      <c r="O773" s="14" t="n"/>
      <c r="P773" s="14" t="n"/>
      <c r="Q773" s="20">
        <f>IF($B773="","",IFERROR(INDEX(Vinos!$C$2:$C$301,MATCH($B773,Vinos!$A$2:$A$301,0)),""))</f>
        <v/>
      </c>
      <c r="R773" s="20">
        <f>IF(OR($A773="",$A773&lt;&gt;'Resumen del inventario'!$C$3,$N773="",$N773="OK"),"",IF(COUNTIFS($A$2:$A773,$A773,$B$2:$B773,$B773)=1,1,""))</f>
        <v/>
      </c>
      <c r="S773" s="20">
        <f>IF($R773=1,COUNTIF($R$2:$R773,1),"")</f>
        <v/>
      </c>
    </row>
    <row r="774">
      <c r="A774" s="19" t="n"/>
      <c r="B774" s="14" t="n"/>
      <c r="C774" s="20">
        <f>IF($B774="","",IFERROR(INDEX(Vinos!$B$2:$B$301,MATCH($B774,Vinos!$A$2:$A$301,0)),"Código no cargado"))</f>
        <v/>
      </c>
      <c r="D774" s="14" t="n"/>
      <c r="E774" s="14" t="n"/>
      <c r="F774" s="18" t="n"/>
      <c r="G774" s="18" t="n"/>
      <c r="H774" s="21">
        <f>IF(AND($F774="",$G774=""),"",N($F774)*IFERROR(N(INDEX(Vinos!$H$2:$H$301,MATCH($B774,Vinos!$A$2:$A$301,0))),0)+N($G774))</f>
        <v/>
      </c>
      <c r="I774" s="18" t="n"/>
      <c r="J774" s="21">
        <f>IF(OR($H774="",$I774=""),"",$H774-$I774)</f>
        <v/>
      </c>
      <c r="K774" s="16">
        <f>IF($H774="","",IFERROR(IF(INDEX(Vinos!$J$2:$J$301,MATCH($B774,Vinos!$A$2:$A$301,0))="","",$H774*INDEX(Vinos!$J$2:$J$301,MATCH($B774,Vinos!$A$2:$A$301,0))),""))</f>
        <v/>
      </c>
      <c r="L774" s="16">
        <f>IF($H774="","",IFERROR(IF(INDEX(Vinos!$K$2:$K$301,MATCH($B774,Vinos!$A$2:$A$301,0))="","",$H774*INDEX(Vinos!$K$2:$K$301,MATCH($B774,Vinos!$A$2:$A$301,0))),""))</f>
        <v/>
      </c>
      <c r="M774" s="21">
        <f>IF(OR($A774="",$B774=""),"",SUMIFS($H$2:$H$2001,$A$2:$A$2001,$A774,$B$2:$B$2001,$B774))</f>
        <v/>
      </c>
      <c r="N774" s="20">
        <f>IF($M774="","",IF($M774&lt;=0,"Sin stock: reponer ya",IF($M774&lt;IFERROR(N(INDEX(Vinos!$N$2:$N$301,MATCH($B774,Vinos!$A$2:$A$301,0))),0),"Bajo mínimo: reponer","OK")))</f>
        <v/>
      </c>
      <c r="O774" s="14" t="n"/>
      <c r="P774" s="14" t="n"/>
      <c r="Q774" s="20">
        <f>IF($B774="","",IFERROR(INDEX(Vinos!$C$2:$C$301,MATCH($B774,Vinos!$A$2:$A$301,0)),""))</f>
        <v/>
      </c>
      <c r="R774" s="20">
        <f>IF(OR($A774="",$A774&lt;&gt;'Resumen del inventario'!$C$3,$N774="",$N774="OK"),"",IF(COUNTIFS($A$2:$A774,$A774,$B$2:$B774,$B774)=1,1,""))</f>
        <v/>
      </c>
      <c r="S774" s="20">
        <f>IF($R774=1,COUNTIF($R$2:$R774,1),"")</f>
        <v/>
      </c>
    </row>
    <row r="775">
      <c r="A775" s="19" t="n"/>
      <c r="B775" s="14" t="n"/>
      <c r="C775" s="20">
        <f>IF($B775="","",IFERROR(INDEX(Vinos!$B$2:$B$301,MATCH($B775,Vinos!$A$2:$A$301,0)),"Código no cargado"))</f>
        <v/>
      </c>
      <c r="D775" s="14" t="n"/>
      <c r="E775" s="14" t="n"/>
      <c r="F775" s="18" t="n"/>
      <c r="G775" s="18" t="n"/>
      <c r="H775" s="21">
        <f>IF(AND($F775="",$G775=""),"",N($F775)*IFERROR(N(INDEX(Vinos!$H$2:$H$301,MATCH($B775,Vinos!$A$2:$A$301,0))),0)+N($G775))</f>
        <v/>
      </c>
      <c r="I775" s="18" t="n"/>
      <c r="J775" s="21">
        <f>IF(OR($H775="",$I775=""),"",$H775-$I775)</f>
        <v/>
      </c>
      <c r="K775" s="16">
        <f>IF($H775="","",IFERROR(IF(INDEX(Vinos!$J$2:$J$301,MATCH($B775,Vinos!$A$2:$A$301,0))="","",$H775*INDEX(Vinos!$J$2:$J$301,MATCH($B775,Vinos!$A$2:$A$301,0))),""))</f>
        <v/>
      </c>
      <c r="L775" s="16">
        <f>IF($H775="","",IFERROR(IF(INDEX(Vinos!$K$2:$K$301,MATCH($B775,Vinos!$A$2:$A$301,0))="","",$H775*INDEX(Vinos!$K$2:$K$301,MATCH($B775,Vinos!$A$2:$A$301,0))),""))</f>
        <v/>
      </c>
      <c r="M775" s="21">
        <f>IF(OR($A775="",$B775=""),"",SUMIFS($H$2:$H$2001,$A$2:$A$2001,$A775,$B$2:$B$2001,$B775))</f>
        <v/>
      </c>
      <c r="N775" s="20">
        <f>IF($M775="","",IF($M775&lt;=0,"Sin stock: reponer ya",IF($M775&lt;IFERROR(N(INDEX(Vinos!$N$2:$N$301,MATCH($B775,Vinos!$A$2:$A$301,0))),0),"Bajo mínimo: reponer","OK")))</f>
        <v/>
      </c>
      <c r="O775" s="14" t="n"/>
      <c r="P775" s="14" t="n"/>
      <c r="Q775" s="20">
        <f>IF($B775="","",IFERROR(INDEX(Vinos!$C$2:$C$301,MATCH($B775,Vinos!$A$2:$A$301,0)),""))</f>
        <v/>
      </c>
      <c r="R775" s="20">
        <f>IF(OR($A775="",$A775&lt;&gt;'Resumen del inventario'!$C$3,$N775="",$N775="OK"),"",IF(COUNTIFS($A$2:$A775,$A775,$B$2:$B775,$B775)=1,1,""))</f>
        <v/>
      </c>
      <c r="S775" s="20">
        <f>IF($R775=1,COUNTIF($R$2:$R775,1),"")</f>
        <v/>
      </c>
    </row>
    <row r="776">
      <c r="A776" s="19" t="n"/>
      <c r="B776" s="14" t="n"/>
      <c r="C776" s="20">
        <f>IF($B776="","",IFERROR(INDEX(Vinos!$B$2:$B$301,MATCH($B776,Vinos!$A$2:$A$301,0)),"Código no cargado"))</f>
        <v/>
      </c>
      <c r="D776" s="14" t="n"/>
      <c r="E776" s="14" t="n"/>
      <c r="F776" s="18" t="n"/>
      <c r="G776" s="18" t="n"/>
      <c r="H776" s="21">
        <f>IF(AND($F776="",$G776=""),"",N($F776)*IFERROR(N(INDEX(Vinos!$H$2:$H$301,MATCH($B776,Vinos!$A$2:$A$301,0))),0)+N($G776))</f>
        <v/>
      </c>
      <c r="I776" s="18" t="n"/>
      <c r="J776" s="21">
        <f>IF(OR($H776="",$I776=""),"",$H776-$I776)</f>
        <v/>
      </c>
      <c r="K776" s="16">
        <f>IF($H776="","",IFERROR(IF(INDEX(Vinos!$J$2:$J$301,MATCH($B776,Vinos!$A$2:$A$301,0))="","",$H776*INDEX(Vinos!$J$2:$J$301,MATCH($B776,Vinos!$A$2:$A$301,0))),""))</f>
        <v/>
      </c>
      <c r="L776" s="16">
        <f>IF($H776="","",IFERROR(IF(INDEX(Vinos!$K$2:$K$301,MATCH($B776,Vinos!$A$2:$A$301,0))="","",$H776*INDEX(Vinos!$K$2:$K$301,MATCH($B776,Vinos!$A$2:$A$301,0))),""))</f>
        <v/>
      </c>
      <c r="M776" s="21">
        <f>IF(OR($A776="",$B776=""),"",SUMIFS($H$2:$H$2001,$A$2:$A$2001,$A776,$B$2:$B$2001,$B776))</f>
        <v/>
      </c>
      <c r="N776" s="20">
        <f>IF($M776="","",IF($M776&lt;=0,"Sin stock: reponer ya",IF($M776&lt;IFERROR(N(INDEX(Vinos!$N$2:$N$301,MATCH($B776,Vinos!$A$2:$A$301,0))),0),"Bajo mínimo: reponer","OK")))</f>
        <v/>
      </c>
      <c r="O776" s="14" t="n"/>
      <c r="P776" s="14" t="n"/>
      <c r="Q776" s="20">
        <f>IF($B776="","",IFERROR(INDEX(Vinos!$C$2:$C$301,MATCH($B776,Vinos!$A$2:$A$301,0)),""))</f>
        <v/>
      </c>
      <c r="R776" s="20">
        <f>IF(OR($A776="",$A776&lt;&gt;'Resumen del inventario'!$C$3,$N776="",$N776="OK"),"",IF(COUNTIFS($A$2:$A776,$A776,$B$2:$B776,$B776)=1,1,""))</f>
        <v/>
      </c>
      <c r="S776" s="20">
        <f>IF($R776=1,COUNTIF($R$2:$R776,1),"")</f>
        <v/>
      </c>
    </row>
    <row r="777">
      <c r="A777" s="19" t="n"/>
      <c r="B777" s="14" t="n"/>
      <c r="C777" s="20">
        <f>IF($B777="","",IFERROR(INDEX(Vinos!$B$2:$B$301,MATCH($B777,Vinos!$A$2:$A$301,0)),"Código no cargado"))</f>
        <v/>
      </c>
      <c r="D777" s="14" t="n"/>
      <c r="E777" s="14" t="n"/>
      <c r="F777" s="18" t="n"/>
      <c r="G777" s="18" t="n"/>
      <c r="H777" s="21">
        <f>IF(AND($F777="",$G777=""),"",N($F777)*IFERROR(N(INDEX(Vinos!$H$2:$H$301,MATCH($B777,Vinos!$A$2:$A$301,0))),0)+N($G777))</f>
        <v/>
      </c>
      <c r="I777" s="18" t="n"/>
      <c r="J777" s="21">
        <f>IF(OR($H777="",$I777=""),"",$H777-$I777)</f>
        <v/>
      </c>
      <c r="K777" s="16">
        <f>IF($H777="","",IFERROR(IF(INDEX(Vinos!$J$2:$J$301,MATCH($B777,Vinos!$A$2:$A$301,0))="","",$H777*INDEX(Vinos!$J$2:$J$301,MATCH($B777,Vinos!$A$2:$A$301,0))),""))</f>
        <v/>
      </c>
      <c r="L777" s="16">
        <f>IF($H777="","",IFERROR(IF(INDEX(Vinos!$K$2:$K$301,MATCH($B777,Vinos!$A$2:$A$301,0))="","",$H777*INDEX(Vinos!$K$2:$K$301,MATCH($B777,Vinos!$A$2:$A$301,0))),""))</f>
        <v/>
      </c>
      <c r="M777" s="21">
        <f>IF(OR($A777="",$B777=""),"",SUMIFS($H$2:$H$2001,$A$2:$A$2001,$A777,$B$2:$B$2001,$B777))</f>
        <v/>
      </c>
      <c r="N777" s="20">
        <f>IF($M777="","",IF($M777&lt;=0,"Sin stock: reponer ya",IF($M777&lt;IFERROR(N(INDEX(Vinos!$N$2:$N$301,MATCH($B777,Vinos!$A$2:$A$301,0))),0),"Bajo mínimo: reponer","OK")))</f>
        <v/>
      </c>
      <c r="O777" s="14" t="n"/>
      <c r="P777" s="14" t="n"/>
      <c r="Q777" s="20">
        <f>IF($B777="","",IFERROR(INDEX(Vinos!$C$2:$C$301,MATCH($B777,Vinos!$A$2:$A$301,0)),""))</f>
        <v/>
      </c>
      <c r="R777" s="20">
        <f>IF(OR($A777="",$A777&lt;&gt;'Resumen del inventario'!$C$3,$N777="",$N777="OK"),"",IF(COUNTIFS($A$2:$A777,$A777,$B$2:$B777,$B777)=1,1,""))</f>
        <v/>
      </c>
      <c r="S777" s="20">
        <f>IF($R777=1,COUNTIF($R$2:$R777,1),"")</f>
        <v/>
      </c>
    </row>
    <row r="778">
      <c r="A778" s="19" t="n"/>
      <c r="B778" s="14" t="n"/>
      <c r="C778" s="20">
        <f>IF($B778="","",IFERROR(INDEX(Vinos!$B$2:$B$301,MATCH($B778,Vinos!$A$2:$A$301,0)),"Código no cargado"))</f>
        <v/>
      </c>
      <c r="D778" s="14" t="n"/>
      <c r="E778" s="14" t="n"/>
      <c r="F778" s="18" t="n"/>
      <c r="G778" s="18" t="n"/>
      <c r="H778" s="21">
        <f>IF(AND($F778="",$G778=""),"",N($F778)*IFERROR(N(INDEX(Vinos!$H$2:$H$301,MATCH($B778,Vinos!$A$2:$A$301,0))),0)+N($G778))</f>
        <v/>
      </c>
      <c r="I778" s="18" t="n"/>
      <c r="J778" s="21">
        <f>IF(OR($H778="",$I778=""),"",$H778-$I778)</f>
        <v/>
      </c>
      <c r="K778" s="16">
        <f>IF($H778="","",IFERROR(IF(INDEX(Vinos!$J$2:$J$301,MATCH($B778,Vinos!$A$2:$A$301,0))="","",$H778*INDEX(Vinos!$J$2:$J$301,MATCH($B778,Vinos!$A$2:$A$301,0))),""))</f>
        <v/>
      </c>
      <c r="L778" s="16">
        <f>IF($H778="","",IFERROR(IF(INDEX(Vinos!$K$2:$K$301,MATCH($B778,Vinos!$A$2:$A$301,0))="","",$H778*INDEX(Vinos!$K$2:$K$301,MATCH($B778,Vinos!$A$2:$A$301,0))),""))</f>
        <v/>
      </c>
      <c r="M778" s="21">
        <f>IF(OR($A778="",$B778=""),"",SUMIFS($H$2:$H$2001,$A$2:$A$2001,$A778,$B$2:$B$2001,$B778))</f>
        <v/>
      </c>
      <c r="N778" s="20">
        <f>IF($M778="","",IF($M778&lt;=0,"Sin stock: reponer ya",IF($M778&lt;IFERROR(N(INDEX(Vinos!$N$2:$N$301,MATCH($B778,Vinos!$A$2:$A$301,0))),0),"Bajo mínimo: reponer","OK")))</f>
        <v/>
      </c>
      <c r="O778" s="14" t="n"/>
      <c r="P778" s="14" t="n"/>
      <c r="Q778" s="20">
        <f>IF($B778="","",IFERROR(INDEX(Vinos!$C$2:$C$301,MATCH($B778,Vinos!$A$2:$A$301,0)),""))</f>
        <v/>
      </c>
      <c r="R778" s="20">
        <f>IF(OR($A778="",$A778&lt;&gt;'Resumen del inventario'!$C$3,$N778="",$N778="OK"),"",IF(COUNTIFS($A$2:$A778,$A778,$B$2:$B778,$B778)=1,1,""))</f>
        <v/>
      </c>
      <c r="S778" s="20">
        <f>IF($R778=1,COUNTIF($R$2:$R778,1),"")</f>
        <v/>
      </c>
    </row>
    <row r="779">
      <c r="A779" s="19" t="n"/>
      <c r="B779" s="14" t="n"/>
      <c r="C779" s="20">
        <f>IF($B779="","",IFERROR(INDEX(Vinos!$B$2:$B$301,MATCH($B779,Vinos!$A$2:$A$301,0)),"Código no cargado"))</f>
        <v/>
      </c>
      <c r="D779" s="14" t="n"/>
      <c r="E779" s="14" t="n"/>
      <c r="F779" s="18" t="n"/>
      <c r="G779" s="18" t="n"/>
      <c r="H779" s="21">
        <f>IF(AND($F779="",$G779=""),"",N($F779)*IFERROR(N(INDEX(Vinos!$H$2:$H$301,MATCH($B779,Vinos!$A$2:$A$301,0))),0)+N($G779))</f>
        <v/>
      </c>
      <c r="I779" s="18" t="n"/>
      <c r="J779" s="21">
        <f>IF(OR($H779="",$I779=""),"",$H779-$I779)</f>
        <v/>
      </c>
      <c r="K779" s="16">
        <f>IF($H779="","",IFERROR(IF(INDEX(Vinos!$J$2:$J$301,MATCH($B779,Vinos!$A$2:$A$301,0))="","",$H779*INDEX(Vinos!$J$2:$J$301,MATCH($B779,Vinos!$A$2:$A$301,0))),""))</f>
        <v/>
      </c>
      <c r="L779" s="16">
        <f>IF($H779="","",IFERROR(IF(INDEX(Vinos!$K$2:$K$301,MATCH($B779,Vinos!$A$2:$A$301,0))="","",$H779*INDEX(Vinos!$K$2:$K$301,MATCH($B779,Vinos!$A$2:$A$301,0))),""))</f>
        <v/>
      </c>
      <c r="M779" s="21">
        <f>IF(OR($A779="",$B779=""),"",SUMIFS($H$2:$H$2001,$A$2:$A$2001,$A779,$B$2:$B$2001,$B779))</f>
        <v/>
      </c>
      <c r="N779" s="20">
        <f>IF($M779="","",IF($M779&lt;=0,"Sin stock: reponer ya",IF($M779&lt;IFERROR(N(INDEX(Vinos!$N$2:$N$301,MATCH($B779,Vinos!$A$2:$A$301,0))),0),"Bajo mínimo: reponer","OK")))</f>
        <v/>
      </c>
      <c r="O779" s="14" t="n"/>
      <c r="P779" s="14" t="n"/>
      <c r="Q779" s="20">
        <f>IF($B779="","",IFERROR(INDEX(Vinos!$C$2:$C$301,MATCH($B779,Vinos!$A$2:$A$301,0)),""))</f>
        <v/>
      </c>
      <c r="R779" s="20">
        <f>IF(OR($A779="",$A779&lt;&gt;'Resumen del inventario'!$C$3,$N779="",$N779="OK"),"",IF(COUNTIFS($A$2:$A779,$A779,$B$2:$B779,$B779)=1,1,""))</f>
        <v/>
      </c>
      <c r="S779" s="20">
        <f>IF($R779=1,COUNTIF($R$2:$R779,1),"")</f>
        <v/>
      </c>
    </row>
    <row r="780">
      <c r="A780" s="19" t="n"/>
      <c r="B780" s="14" t="n"/>
      <c r="C780" s="20">
        <f>IF($B780="","",IFERROR(INDEX(Vinos!$B$2:$B$301,MATCH($B780,Vinos!$A$2:$A$301,0)),"Código no cargado"))</f>
        <v/>
      </c>
      <c r="D780" s="14" t="n"/>
      <c r="E780" s="14" t="n"/>
      <c r="F780" s="18" t="n"/>
      <c r="G780" s="18" t="n"/>
      <c r="H780" s="21">
        <f>IF(AND($F780="",$G780=""),"",N($F780)*IFERROR(N(INDEX(Vinos!$H$2:$H$301,MATCH($B780,Vinos!$A$2:$A$301,0))),0)+N($G780))</f>
        <v/>
      </c>
      <c r="I780" s="18" t="n"/>
      <c r="J780" s="21">
        <f>IF(OR($H780="",$I780=""),"",$H780-$I780)</f>
        <v/>
      </c>
      <c r="K780" s="16">
        <f>IF($H780="","",IFERROR(IF(INDEX(Vinos!$J$2:$J$301,MATCH($B780,Vinos!$A$2:$A$301,0))="","",$H780*INDEX(Vinos!$J$2:$J$301,MATCH($B780,Vinos!$A$2:$A$301,0))),""))</f>
        <v/>
      </c>
      <c r="L780" s="16">
        <f>IF($H780="","",IFERROR(IF(INDEX(Vinos!$K$2:$K$301,MATCH($B780,Vinos!$A$2:$A$301,0))="","",$H780*INDEX(Vinos!$K$2:$K$301,MATCH($B780,Vinos!$A$2:$A$301,0))),""))</f>
        <v/>
      </c>
      <c r="M780" s="21">
        <f>IF(OR($A780="",$B780=""),"",SUMIFS($H$2:$H$2001,$A$2:$A$2001,$A780,$B$2:$B$2001,$B780))</f>
        <v/>
      </c>
      <c r="N780" s="20">
        <f>IF($M780="","",IF($M780&lt;=0,"Sin stock: reponer ya",IF($M780&lt;IFERROR(N(INDEX(Vinos!$N$2:$N$301,MATCH($B780,Vinos!$A$2:$A$301,0))),0),"Bajo mínimo: reponer","OK")))</f>
        <v/>
      </c>
      <c r="O780" s="14" t="n"/>
      <c r="P780" s="14" t="n"/>
      <c r="Q780" s="20">
        <f>IF($B780="","",IFERROR(INDEX(Vinos!$C$2:$C$301,MATCH($B780,Vinos!$A$2:$A$301,0)),""))</f>
        <v/>
      </c>
      <c r="R780" s="20">
        <f>IF(OR($A780="",$A780&lt;&gt;'Resumen del inventario'!$C$3,$N780="",$N780="OK"),"",IF(COUNTIFS($A$2:$A780,$A780,$B$2:$B780,$B780)=1,1,""))</f>
        <v/>
      </c>
      <c r="S780" s="20">
        <f>IF($R780=1,COUNTIF($R$2:$R780,1),"")</f>
        <v/>
      </c>
    </row>
    <row r="781">
      <c r="A781" s="19" t="n"/>
      <c r="B781" s="14" t="n"/>
      <c r="C781" s="20">
        <f>IF($B781="","",IFERROR(INDEX(Vinos!$B$2:$B$301,MATCH($B781,Vinos!$A$2:$A$301,0)),"Código no cargado"))</f>
        <v/>
      </c>
      <c r="D781" s="14" t="n"/>
      <c r="E781" s="14" t="n"/>
      <c r="F781" s="18" t="n"/>
      <c r="G781" s="18" t="n"/>
      <c r="H781" s="21">
        <f>IF(AND($F781="",$G781=""),"",N($F781)*IFERROR(N(INDEX(Vinos!$H$2:$H$301,MATCH($B781,Vinos!$A$2:$A$301,0))),0)+N($G781))</f>
        <v/>
      </c>
      <c r="I781" s="18" t="n"/>
      <c r="J781" s="21">
        <f>IF(OR($H781="",$I781=""),"",$H781-$I781)</f>
        <v/>
      </c>
      <c r="K781" s="16">
        <f>IF($H781="","",IFERROR(IF(INDEX(Vinos!$J$2:$J$301,MATCH($B781,Vinos!$A$2:$A$301,0))="","",$H781*INDEX(Vinos!$J$2:$J$301,MATCH($B781,Vinos!$A$2:$A$301,0))),""))</f>
        <v/>
      </c>
      <c r="L781" s="16">
        <f>IF($H781="","",IFERROR(IF(INDEX(Vinos!$K$2:$K$301,MATCH($B781,Vinos!$A$2:$A$301,0))="","",$H781*INDEX(Vinos!$K$2:$K$301,MATCH($B781,Vinos!$A$2:$A$301,0))),""))</f>
        <v/>
      </c>
      <c r="M781" s="21">
        <f>IF(OR($A781="",$B781=""),"",SUMIFS($H$2:$H$2001,$A$2:$A$2001,$A781,$B$2:$B$2001,$B781))</f>
        <v/>
      </c>
      <c r="N781" s="20">
        <f>IF($M781="","",IF($M781&lt;=0,"Sin stock: reponer ya",IF($M781&lt;IFERROR(N(INDEX(Vinos!$N$2:$N$301,MATCH($B781,Vinos!$A$2:$A$301,0))),0),"Bajo mínimo: reponer","OK")))</f>
        <v/>
      </c>
      <c r="O781" s="14" t="n"/>
      <c r="P781" s="14" t="n"/>
      <c r="Q781" s="20">
        <f>IF($B781="","",IFERROR(INDEX(Vinos!$C$2:$C$301,MATCH($B781,Vinos!$A$2:$A$301,0)),""))</f>
        <v/>
      </c>
      <c r="R781" s="20">
        <f>IF(OR($A781="",$A781&lt;&gt;'Resumen del inventario'!$C$3,$N781="",$N781="OK"),"",IF(COUNTIFS($A$2:$A781,$A781,$B$2:$B781,$B781)=1,1,""))</f>
        <v/>
      </c>
      <c r="S781" s="20">
        <f>IF($R781=1,COUNTIF($R$2:$R781,1),"")</f>
        <v/>
      </c>
    </row>
    <row r="782">
      <c r="A782" s="19" t="n"/>
      <c r="B782" s="14" t="n"/>
      <c r="C782" s="20">
        <f>IF($B782="","",IFERROR(INDEX(Vinos!$B$2:$B$301,MATCH($B782,Vinos!$A$2:$A$301,0)),"Código no cargado"))</f>
        <v/>
      </c>
      <c r="D782" s="14" t="n"/>
      <c r="E782" s="14" t="n"/>
      <c r="F782" s="18" t="n"/>
      <c r="G782" s="18" t="n"/>
      <c r="H782" s="21">
        <f>IF(AND($F782="",$G782=""),"",N($F782)*IFERROR(N(INDEX(Vinos!$H$2:$H$301,MATCH($B782,Vinos!$A$2:$A$301,0))),0)+N($G782))</f>
        <v/>
      </c>
      <c r="I782" s="18" t="n"/>
      <c r="J782" s="21">
        <f>IF(OR($H782="",$I782=""),"",$H782-$I782)</f>
        <v/>
      </c>
      <c r="K782" s="16">
        <f>IF($H782="","",IFERROR(IF(INDEX(Vinos!$J$2:$J$301,MATCH($B782,Vinos!$A$2:$A$301,0))="","",$H782*INDEX(Vinos!$J$2:$J$301,MATCH($B782,Vinos!$A$2:$A$301,0))),""))</f>
        <v/>
      </c>
      <c r="L782" s="16">
        <f>IF($H782="","",IFERROR(IF(INDEX(Vinos!$K$2:$K$301,MATCH($B782,Vinos!$A$2:$A$301,0))="","",$H782*INDEX(Vinos!$K$2:$K$301,MATCH($B782,Vinos!$A$2:$A$301,0))),""))</f>
        <v/>
      </c>
      <c r="M782" s="21">
        <f>IF(OR($A782="",$B782=""),"",SUMIFS($H$2:$H$2001,$A$2:$A$2001,$A782,$B$2:$B$2001,$B782))</f>
        <v/>
      </c>
      <c r="N782" s="20">
        <f>IF($M782="","",IF($M782&lt;=0,"Sin stock: reponer ya",IF($M782&lt;IFERROR(N(INDEX(Vinos!$N$2:$N$301,MATCH($B782,Vinos!$A$2:$A$301,0))),0),"Bajo mínimo: reponer","OK")))</f>
        <v/>
      </c>
      <c r="O782" s="14" t="n"/>
      <c r="P782" s="14" t="n"/>
      <c r="Q782" s="20">
        <f>IF($B782="","",IFERROR(INDEX(Vinos!$C$2:$C$301,MATCH($B782,Vinos!$A$2:$A$301,0)),""))</f>
        <v/>
      </c>
      <c r="R782" s="20">
        <f>IF(OR($A782="",$A782&lt;&gt;'Resumen del inventario'!$C$3,$N782="",$N782="OK"),"",IF(COUNTIFS($A$2:$A782,$A782,$B$2:$B782,$B782)=1,1,""))</f>
        <v/>
      </c>
      <c r="S782" s="20">
        <f>IF($R782=1,COUNTIF($R$2:$R782,1),"")</f>
        <v/>
      </c>
    </row>
    <row r="783">
      <c r="A783" s="19" t="n"/>
      <c r="B783" s="14" t="n"/>
      <c r="C783" s="20">
        <f>IF($B783="","",IFERROR(INDEX(Vinos!$B$2:$B$301,MATCH($B783,Vinos!$A$2:$A$301,0)),"Código no cargado"))</f>
        <v/>
      </c>
      <c r="D783" s="14" t="n"/>
      <c r="E783" s="14" t="n"/>
      <c r="F783" s="18" t="n"/>
      <c r="G783" s="18" t="n"/>
      <c r="H783" s="21">
        <f>IF(AND($F783="",$G783=""),"",N($F783)*IFERROR(N(INDEX(Vinos!$H$2:$H$301,MATCH($B783,Vinos!$A$2:$A$301,0))),0)+N($G783))</f>
        <v/>
      </c>
      <c r="I783" s="18" t="n"/>
      <c r="J783" s="21">
        <f>IF(OR($H783="",$I783=""),"",$H783-$I783)</f>
        <v/>
      </c>
      <c r="K783" s="16">
        <f>IF($H783="","",IFERROR(IF(INDEX(Vinos!$J$2:$J$301,MATCH($B783,Vinos!$A$2:$A$301,0))="","",$H783*INDEX(Vinos!$J$2:$J$301,MATCH($B783,Vinos!$A$2:$A$301,0))),""))</f>
        <v/>
      </c>
      <c r="L783" s="16">
        <f>IF($H783="","",IFERROR(IF(INDEX(Vinos!$K$2:$K$301,MATCH($B783,Vinos!$A$2:$A$301,0))="","",$H783*INDEX(Vinos!$K$2:$K$301,MATCH($B783,Vinos!$A$2:$A$301,0))),""))</f>
        <v/>
      </c>
      <c r="M783" s="21">
        <f>IF(OR($A783="",$B783=""),"",SUMIFS($H$2:$H$2001,$A$2:$A$2001,$A783,$B$2:$B$2001,$B783))</f>
        <v/>
      </c>
      <c r="N783" s="20">
        <f>IF($M783="","",IF($M783&lt;=0,"Sin stock: reponer ya",IF($M783&lt;IFERROR(N(INDEX(Vinos!$N$2:$N$301,MATCH($B783,Vinos!$A$2:$A$301,0))),0),"Bajo mínimo: reponer","OK")))</f>
        <v/>
      </c>
      <c r="O783" s="14" t="n"/>
      <c r="P783" s="14" t="n"/>
      <c r="Q783" s="20">
        <f>IF($B783="","",IFERROR(INDEX(Vinos!$C$2:$C$301,MATCH($B783,Vinos!$A$2:$A$301,0)),""))</f>
        <v/>
      </c>
      <c r="R783" s="20">
        <f>IF(OR($A783="",$A783&lt;&gt;'Resumen del inventario'!$C$3,$N783="",$N783="OK"),"",IF(COUNTIFS($A$2:$A783,$A783,$B$2:$B783,$B783)=1,1,""))</f>
        <v/>
      </c>
      <c r="S783" s="20">
        <f>IF($R783=1,COUNTIF($R$2:$R783,1),"")</f>
        <v/>
      </c>
    </row>
    <row r="784">
      <c r="A784" s="19" t="n"/>
      <c r="B784" s="14" t="n"/>
      <c r="C784" s="20">
        <f>IF($B784="","",IFERROR(INDEX(Vinos!$B$2:$B$301,MATCH($B784,Vinos!$A$2:$A$301,0)),"Código no cargado"))</f>
        <v/>
      </c>
      <c r="D784" s="14" t="n"/>
      <c r="E784" s="14" t="n"/>
      <c r="F784" s="18" t="n"/>
      <c r="G784" s="18" t="n"/>
      <c r="H784" s="21">
        <f>IF(AND($F784="",$G784=""),"",N($F784)*IFERROR(N(INDEX(Vinos!$H$2:$H$301,MATCH($B784,Vinos!$A$2:$A$301,0))),0)+N($G784))</f>
        <v/>
      </c>
      <c r="I784" s="18" t="n"/>
      <c r="J784" s="21">
        <f>IF(OR($H784="",$I784=""),"",$H784-$I784)</f>
        <v/>
      </c>
      <c r="K784" s="16">
        <f>IF($H784="","",IFERROR(IF(INDEX(Vinos!$J$2:$J$301,MATCH($B784,Vinos!$A$2:$A$301,0))="","",$H784*INDEX(Vinos!$J$2:$J$301,MATCH($B784,Vinos!$A$2:$A$301,0))),""))</f>
        <v/>
      </c>
      <c r="L784" s="16">
        <f>IF($H784="","",IFERROR(IF(INDEX(Vinos!$K$2:$K$301,MATCH($B784,Vinos!$A$2:$A$301,0))="","",$H784*INDEX(Vinos!$K$2:$K$301,MATCH($B784,Vinos!$A$2:$A$301,0))),""))</f>
        <v/>
      </c>
      <c r="M784" s="21">
        <f>IF(OR($A784="",$B784=""),"",SUMIFS($H$2:$H$2001,$A$2:$A$2001,$A784,$B$2:$B$2001,$B784))</f>
        <v/>
      </c>
      <c r="N784" s="20">
        <f>IF($M784="","",IF($M784&lt;=0,"Sin stock: reponer ya",IF($M784&lt;IFERROR(N(INDEX(Vinos!$N$2:$N$301,MATCH($B784,Vinos!$A$2:$A$301,0))),0),"Bajo mínimo: reponer","OK")))</f>
        <v/>
      </c>
      <c r="O784" s="14" t="n"/>
      <c r="P784" s="14" t="n"/>
      <c r="Q784" s="20">
        <f>IF($B784="","",IFERROR(INDEX(Vinos!$C$2:$C$301,MATCH($B784,Vinos!$A$2:$A$301,0)),""))</f>
        <v/>
      </c>
      <c r="R784" s="20">
        <f>IF(OR($A784="",$A784&lt;&gt;'Resumen del inventario'!$C$3,$N784="",$N784="OK"),"",IF(COUNTIFS($A$2:$A784,$A784,$B$2:$B784,$B784)=1,1,""))</f>
        <v/>
      </c>
      <c r="S784" s="20">
        <f>IF($R784=1,COUNTIF($R$2:$R784,1),"")</f>
        <v/>
      </c>
    </row>
    <row r="785">
      <c r="A785" s="19" t="n"/>
      <c r="B785" s="14" t="n"/>
      <c r="C785" s="20">
        <f>IF($B785="","",IFERROR(INDEX(Vinos!$B$2:$B$301,MATCH($B785,Vinos!$A$2:$A$301,0)),"Código no cargado"))</f>
        <v/>
      </c>
      <c r="D785" s="14" t="n"/>
      <c r="E785" s="14" t="n"/>
      <c r="F785" s="18" t="n"/>
      <c r="G785" s="18" t="n"/>
      <c r="H785" s="21">
        <f>IF(AND($F785="",$G785=""),"",N($F785)*IFERROR(N(INDEX(Vinos!$H$2:$H$301,MATCH($B785,Vinos!$A$2:$A$301,0))),0)+N($G785))</f>
        <v/>
      </c>
      <c r="I785" s="18" t="n"/>
      <c r="J785" s="21">
        <f>IF(OR($H785="",$I785=""),"",$H785-$I785)</f>
        <v/>
      </c>
      <c r="K785" s="16">
        <f>IF($H785="","",IFERROR(IF(INDEX(Vinos!$J$2:$J$301,MATCH($B785,Vinos!$A$2:$A$301,0))="","",$H785*INDEX(Vinos!$J$2:$J$301,MATCH($B785,Vinos!$A$2:$A$301,0))),""))</f>
        <v/>
      </c>
      <c r="L785" s="16">
        <f>IF($H785="","",IFERROR(IF(INDEX(Vinos!$K$2:$K$301,MATCH($B785,Vinos!$A$2:$A$301,0))="","",$H785*INDEX(Vinos!$K$2:$K$301,MATCH($B785,Vinos!$A$2:$A$301,0))),""))</f>
        <v/>
      </c>
      <c r="M785" s="21">
        <f>IF(OR($A785="",$B785=""),"",SUMIFS($H$2:$H$2001,$A$2:$A$2001,$A785,$B$2:$B$2001,$B785))</f>
        <v/>
      </c>
      <c r="N785" s="20">
        <f>IF($M785="","",IF($M785&lt;=0,"Sin stock: reponer ya",IF($M785&lt;IFERROR(N(INDEX(Vinos!$N$2:$N$301,MATCH($B785,Vinos!$A$2:$A$301,0))),0),"Bajo mínimo: reponer","OK")))</f>
        <v/>
      </c>
      <c r="O785" s="14" t="n"/>
      <c r="P785" s="14" t="n"/>
      <c r="Q785" s="20">
        <f>IF($B785="","",IFERROR(INDEX(Vinos!$C$2:$C$301,MATCH($B785,Vinos!$A$2:$A$301,0)),""))</f>
        <v/>
      </c>
      <c r="R785" s="20">
        <f>IF(OR($A785="",$A785&lt;&gt;'Resumen del inventario'!$C$3,$N785="",$N785="OK"),"",IF(COUNTIFS($A$2:$A785,$A785,$B$2:$B785,$B785)=1,1,""))</f>
        <v/>
      </c>
      <c r="S785" s="20">
        <f>IF($R785=1,COUNTIF($R$2:$R785,1),"")</f>
        <v/>
      </c>
    </row>
    <row r="786">
      <c r="A786" s="19" t="n"/>
      <c r="B786" s="14" t="n"/>
      <c r="C786" s="20">
        <f>IF($B786="","",IFERROR(INDEX(Vinos!$B$2:$B$301,MATCH($B786,Vinos!$A$2:$A$301,0)),"Código no cargado"))</f>
        <v/>
      </c>
      <c r="D786" s="14" t="n"/>
      <c r="E786" s="14" t="n"/>
      <c r="F786" s="18" t="n"/>
      <c r="G786" s="18" t="n"/>
      <c r="H786" s="21">
        <f>IF(AND($F786="",$G786=""),"",N($F786)*IFERROR(N(INDEX(Vinos!$H$2:$H$301,MATCH($B786,Vinos!$A$2:$A$301,0))),0)+N($G786))</f>
        <v/>
      </c>
      <c r="I786" s="18" t="n"/>
      <c r="J786" s="21">
        <f>IF(OR($H786="",$I786=""),"",$H786-$I786)</f>
        <v/>
      </c>
      <c r="K786" s="16">
        <f>IF($H786="","",IFERROR(IF(INDEX(Vinos!$J$2:$J$301,MATCH($B786,Vinos!$A$2:$A$301,0))="","",$H786*INDEX(Vinos!$J$2:$J$301,MATCH($B786,Vinos!$A$2:$A$301,0))),""))</f>
        <v/>
      </c>
      <c r="L786" s="16">
        <f>IF($H786="","",IFERROR(IF(INDEX(Vinos!$K$2:$K$301,MATCH($B786,Vinos!$A$2:$A$301,0))="","",$H786*INDEX(Vinos!$K$2:$K$301,MATCH($B786,Vinos!$A$2:$A$301,0))),""))</f>
        <v/>
      </c>
      <c r="M786" s="21">
        <f>IF(OR($A786="",$B786=""),"",SUMIFS($H$2:$H$2001,$A$2:$A$2001,$A786,$B$2:$B$2001,$B786))</f>
        <v/>
      </c>
      <c r="N786" s="20">
        <f>IF($M786="","",IF($M786&lt;=0,"Sin stock: reponer ya",IF($M786&lt;IFERROR(N(INDEX(Vinos!$N$2:$N$301,MATCH($B786,Vinos!$A$2:$A$301,0))),0),"Bajo mínimo: reponer","OK")))</f>
        <v/>
      </c>
      <c r="O786" s="14" t="n"/>
      <c r="P786" s="14" t="n"/>
      <c r="Q786" s="20">
        <f>IF($B786="","",IFERROR(INDEX(Vinos!$C$2:$C$301,MATCH($B786,Vinos!$A$2:$A$301,0)),""))</f>
        <v/>
      </c>
      <c r="R786" s="20">
        <f>IF(OR($A786="",$A786&lt;&gt;'Resumen del inventario'!$C$3,$N786="",$N786="OK"),"",IF(COUNTIFS($A$2:$A786,$A786,$B$2:$B786,$B786)=1,1,""))</f>
        <v/>
      </c>
      <c r="S786" s="20">
        <f>IF($R786=1,COUNTIF($R$2:$R786,1),"")</f>
        <v/>
      </c>
    </row>
    <row r="787">
      <c r="A787" s="19" t="n"/>
      <c r="B787" s="14" t="n"/>
      <c r="C787" s="20">
        <f>IF($B787="","",IFERROR(INDEX(Vinos!$B$2:$B$301,MATCH($B787,Vinos!$A$2:$A$301,0)),"Código no cargado"))</f>
        <v/>
      </c>
      <c r="D787" s="14" t="n"/>
      <c r="E787" s="14" t="n"/>
      <c r="F787" s="18" t="n"/>
      <c r="G787" s="18" t="n"/>
      <c r="H787" s="21">
        <f>IF(AND($F787="",$G787=""),"",N($F787)*IFERROR(N(INDEX(Vinos!$H$2:$H$301,MATCH($B787,Vinos!$A$2:$A$301,0))),0)+N($G787))</f>
        <v/>
      </c>
      <c r="I787" s="18" t="n"/>
      <c r="J787" s="21">
        <f>IF(OR($H787="",$I787=""),"",$H787-$I787)</f>
        <v/>
      </c>
      <c r="K787" s="16">
        <f>IF($H787="","",IFERROR(IF(INDEX(Vinos!$J$2:$J$301,MATCH($B787,Vinos!$A$2:$A$301,0))="","",$H787*INDEX(Vinos!$J$2:$J$301,MATCH($B787,Vinos!$A$2:$A$301,0))),""))</f>
        <v/>
      </c>
      <c r="L787" s="16">
        <f>IF($H787="","",IFERROR(IF(INDEX(Vinos!$K$2:$K$301,MATCH($B787,Vinos!$A$2:$A$301,0))="","",$H787*INDEX(Vinos!$K$2:$K$301,MATCH($B787,Vinos!$A$2:$A$301,0))),""))</f>
        <v/>
      </c>
      <c r="M787" s="21">
        <f>IF(OR($A787="",$B787=""),"",SUMIFS($H$2:$H$2001,$A$2:$A$2001,$A787,$B$2:$B$2001,$B787))</f>
        <v/>
      </c>
      <c r="N787" s="20">
        <f>IF($M787="","",IF($M787&lt;=0,"Sin stock: reponer ya",IF($M787&lt;IFERROR(N(INDEX(Vinos!$N$2:$N$301,MATCH($B787,Vinos!$A$2:$A$301,0))),0),"Bajo mínimo: reponer","OK")))</f>
        <v/>
      </c>
      <c r="O787" s="14" t="n"/>
      <c r="P787" s="14" t="n"/>
      <c r="Q787" s="20">
        <f>IF($B787="","",IFERROR(INDEX(Vinos!$C$2:$C$301,MATCH($B787,Vinos!$A$2:$A$301,0)),""))</f>
        <v/>
      </c>
      <c r="R787" s="20">
        <f>IF(OR($A787="",$A787&lt;&gt;'Resumen del inventario'!$C$3,$N787="",$N787="OK"),"",IF(COUNTIFS($A$2:$A787,$A787,$B$2:$B787,$B787)=1,1,""))</f>
        <v/>
      </c>
      <c r="S787" s="20">
        <f>IF($R787=1,COUNTIF($R$2:$R787,1),"")</f>
        <v/>
      </c>
    </row>
    <row r="788">
      <c r="A788" s="19" t="n"/>
      <c r="B788" s="14" t="n"/>
      <c r="C788" s="20">
        <f>IF($B788="","",IFERROR(INDEX(Vinos!$B$2:$B$301,MATCH($B788,Vinos!$A$2:$A$301,0)),"Código no cargado"))</f>
        <v/>
      </c>
      <c r="D788" s="14" t="n"/>
      <c r="E788" s="14" t="n"/>
      <c r="F788" s="18" t="n"/>
      <c r="G788" s="18" t="n"/>
      <c r="H788" s="21">
        <f>IF(AND($F788="",$G788=""),"",N($F788)*IFERROR(N(INDEX(Vinos!$H$2:$H$301,MATCH($B788,Vinos!$A$2:$A$301,0))),0)+N($G788))</f>
        <v/>
      </c>
      <c r="I788" s="18" t="n"/>
      <c r="J788" s="21">
        <f>IF(OR($H788="",$I788=""),"",$H788-$I788)</f>
        <v/>
      </c>
      <c r="K788" s="16">
        <f>IF($H788="","",IFERROR(IF(INDEX(Vinos!$J$2:$J$301,MATCH($B788,Vinos!$A$2:$A$301,0))="","",$H788*INDEX(Vinos!$J$2:$J$301,MATCH($B788,Vinos!$A$2:$A$301,0))),""))</f>
        <v/>
      </c>
      <c r="L788" s="16">
        <f>IF($H788="","",IFERROR(IF(INDEX(Vinos!$K$2:$K$301,MATCH($B788,Vinos!$A$2:$A$301,0))="","",$H788*INDEX(Vinos!$K$2:$K$301,MATCH($B788,Vinos!$A$2:$A$301,0))),""))</f>
        <v/>
      </c>
      <c r="M788" s="21">
        <f>IF(OR($A788="",$B788=""),"",SUMIFS($H$2:$H$2001,$A$2:$A$2001,$A788,$B$2:$B$2001,$B788))</f>
        <v/>
      </c>
      <c r="N788" s="20">
        <f>IF($M788="","",IF($M788&lt;=0,"Sin stock: reponer ya",IF($M788&lt;IFERROR(N(INDEX(Vinos!$N$2:$N$301,MATCH($B788,Vinos!$A$2:$A$301,0))),0),"Bajo mínimo: reponer","OK")))</f>
        <v/>
      </c>
      <c r="O788" s="14" t="n"/>
      <c r="P788" s="14" t="n"/>
      <c r="Q788" s="20">
        <f>IF($B788="","",IFERROR(INDEX(Vinos!$C$2:$C$301,MATCH($B788,Vinos!$A$2:$A$301,0)),""))</f>
        <v/>
      </c>
      <c r="R788" s="20">
        <f>IF(OR($A788="",$A788&lt;&gt;'Resumen del inventario'!$C$3,$N788="",$N788="OK"),"",IF(COUNTIFS($A$2:$A788,$A788,$B$2:$B788,$B788)=1,1,""))</f>
        <v/>
      </c>
      <c r="S788" s="20">
        <f>IF($R788=1,COUNTIF($R$2:$R788,1),"")</f>
        <v/>
      </c>
    </row>
    <row r="789">
      <c r="A789" s="19" t="n"/>
      <c r="B789" s="14" t="n"/>
      <c r="C789" s="20">
        <f>IF($B789="","",IFERROR(INDEX(Vinos!$B$2:$B$301,MATCH($B789,Vinos!$A$2:$A$301,0)),"Código no cargado"))</f>
        <v/>
      </c>
      <c r="D789" s="14" t="n"/>
      <c r="E789" s="14" t="n"/>
      <c r="F789" s="18" t="n"/>
      <c r="G789" s="18" t="n"/>
      <c r="H789" s="21">
        <f>IF(AND($F789="",$G789=""),"",N($F789)*IFERROR(N(INDEX(Vinos!$H$2:$H$301,MATCH($B789,Vinos!$A$2:$A$301,0))),0)+N($G789))</f>
        <v/>
      </c>
      <c r="I789" s="18" t="n"/>
      <c r="J789" s="21">
        <f>IF(OR($H789="",$I789=""),"",$H789-$I789)</f>
        <v/>
      </c>
      <c r="K789" s="16">
        <f>IF($H789="","",IFERROR(IF(INDEX(Vinos!$J$2:$J$301,MATCH($B789,Vinos!$A$2:$A$301,0))="","",$H789*INDEX(Vinos!$J$2:$J$301,MATCH($B789,Vinos!$A$2:$A$301,0))),""))</f>
        <v/>
      </c>
      <c r="L789" s="16">
        <f>IF($H789="","",IFERROR(IF(INDEX(Vinos!$K$2:$K$301,MATCH($B789,Vinos!$A$2:$A$301,0))="","",$H789*INDEX(Vinos!$K$2:$K$301,MATCH($B789,Vinos!$A$2:$A$301,0))),""))</f>
        <v/>
      </c>
      <c r="M789" s="21">
        <f>IF(OR($A789="",$B789=""),"",SUMIFS($H$2:$H$2001,$A$2:$A$2001,$A789,$B$2:$B$2001,$B789))</f>
        <v/>
      </c>
      <c r="N789" s="20">
        <f>IF($M789="","",IF($M789&lt;=0,"Sin stock: reponer ya",IF($M789&lt;IFERROR(N(INDEX(Vinos!$N$2:$N$301,MATCH($B789,Vinos!$A$2:$A$301,0))),0),"Bajo mínimo: reponer","OK")))</f>
        <v/>
      </c>
      <c r="O789" s="14" t="n"/>
      <c r="P789" s="14" t="n"/>
      <c r="Q789" s="20">
        <f>IF($B789="","",IFERROR(INDEX(Vinos!$C$2:$C$301,MATCH($B789,Vinos!$A$2:$A$301,0)),""))</f>
        <v/>
      </c>
      <c r="R789" s="20">
        <f>IF(OR($A789="",$A789&lt;&gt;'Resumen del inventario'!$C$3,$N789="",$N789="OK"),"",IF(COUNTIFS($A$2:$A789,$A789,$B$2:$B789,$B789)=1,1,""))</f>
        <v/>
      </c>
      <c r="S789" s="20">
        <f>IF($R789=1,COUNTIF($R$2:$R789,1),"")</f>
        <v/>
      </c>
    </row>
    <row r="790">
      <c r="A790" s="19" t="n"/>
      <c r="B790" s="14" t="n"/>
      <c r="C790" s="20">
        <f>IF($B790="","",IFERROR(INDEX(Vinos!$B$2:$B$301,MATCH($B790,Vinos!$A$2:$A$301,0)),"Código no cargado"))</f>
        <v/>
      </c>
      <c r="D790" s="14" t="n"/>
      <c r="E790" s="14" t="n"/>
      <c r="F790" s="18" t="n"/>
      <c r="G790" s="18" t="n"/>
      <c r="H790" s="21">
        <f>IF(AND($F790="",$G790=""),"",N($F790)*IFERROR(N(INDEX(Vinos!$H$2:$H$301,MATCH($B790,Vinos!$A$2:$A$301,0))),0)+N($G790))</f>
        <v/>
      </c>
      <c r="I790" s="18" t="n"/>
      <c r="J790" s="21">
        <f>IF(OR($H790="",$I790=""),"",$H790-$I790)</f>
        <v/>
      </c>
      <c r="K790" s="16">
        <f>IF($H790="","",IFERROR(IF(INDEX(Vinos!$J$2:$J$301,MATCH($B790,Vinos!$A$2:$A$301,0))="","",$H790*INDEX(Vinos!$J$2:$J$301,MATCH($B790,Vinos!$A$2:$A$301,0))),""))</f>
        <v/>
      </c>
      <c r="L790" s="16">
        <f>IF($H790="","",IFERROR(IF(INDEX(Vinos!$K$2:$K$301,MATCH($B790,Vinos!$A$2:$A$301,0))="","",$H790*INDEX(Vinos!$K$2:$K$301,MATCH($B790,Vinos!$A$2:$A$301,0))),""))</f>
        <v/>
      </c>
      <c r="M790" s="21">
        <f>IF(OR($A790="",$B790=""),"",SUMIFS($H$2:$H$2001,$A$2:$A$2001,$A790,$B$2:$B$2001,$B790))</f>
        <v/>
      </c>
      <c r="N790" s="20">
        <f>IF($M790="","",IF($M790&lt;=0,"Sin stock: reponer ya",IF($M790&lt;IFERROR(N(INDEX(Vinos!$N$2:$N$301,MATCH($B790,Vinos!$A$2:$A$301,0))),0),"Bajo mínimo: reponer","OK")))</f>
        <v/>
      </c>
      <c r="O790" s="14" t="n"/>
      <c r="P790" s="14" t="n"/>
      <c r="Q790" s="20">
        <f>IF($B790="","",IFERROR(INDEX(Vinos!$C$2:$C$301,MATCH($B790,Vinos!$A$2:$A$301,0)),""))</f>
        <v/>
      </c>
      <c r="R790" s="20">
        <f>IF(OR($A790="",$A790&lt;&gt;'Resumen del inventario'!$C$3,$N790="",$N790="OK"),"",IF(COUNTIFS($A$2:$A790,$A790,$B$2:$B790,$B790)=1,1,""))</f>
        <v/>
      </c>
      <c r="S790" s="20">
        <f>IF($R790=1,COUNTIF($R$2:$R790,1),"")</f>
        <v/>
      </c>
    </row>
    <row r="791">
      <c r="A791" s="19" t="n"/>
      <c r="B791" s="14" t="n"/>
      <c r="C791" s="20">
        <f>IF($B791="","",IFERROR(INDEX(Vinos!$B$2:$B$301,MATCH($B791,Vinos!$A$2:$A$301,0)),"Código no cargado"))</f>
        <v/>
      </c>
      <c r="D791" s="14" t="n"/>
      <c r="E791" s="14" t="n"/>
      <c r="F791" s="18" t="n"/>
      <c r="G791" s="18" t="n"/>
      <c r="H791" s="21">
        <f>IF(AND($F791="",$G791=""),"",N($F791)*IFERROR(N(INDEX(Vinos!$H$2:$H$301,MATCH($B791,Vinos!$A$2:$A$301,0))),0)+N($G791))</f>
        <v/>
      </c>
      <c r="I791" s="18" t="n"/>
      <c r="J791" s="21">
        <f>IF(OR($H791="",$I791=""),"",$H791-$I791)</f>
        <v/>
      </c>
      <c r="K791" s="16">
        <f>IF($H791="","",IFERROR(IF(INDEX(Vinos!$J$2:$J$301,MATCH($B791,Vinos!$A$2:$A$301,0))="","",$H791*INDEX(Vinos!$J$2:$J$301,MATCH($B791,Vinos!$A$2:$A$301,0))),""))</f>
        <v/>
      </c>
      <c r="L791" s="16">
        <f>IF($H791="","",IFERROR(IF(INDEX(Vinos!$K$2:$K$301,MATCH($B791,Vinos!$A$2:$A$301,0))="","",$H791*INDEX(Vinos!$K$2:$K$301,MATCH($B791,Vinos!$A$2:$A$301,0))),""))</f>
        <v/>
      </c>
      <c r="M791" s="21">
        <f>IF(OR($A791="",$B791=""),"",SUMIFS($H$2:$H$2001,$A$2:$A$2001,$A791,$B$2:$B$2001,$B791))</f>
        <v/>
      </c>
      <c r="N791" s="20">
        <f>IF($M791="","",IF($M791&lt;=0,"Sin stock: reponer ya",IF($M791&lt;IFERROR(N(INDEX(Vinos!$N$2:$N$301,MATCH($B791,Vinos!$A$2:$A$301,0))),0),"Bajo mínimo: reponer","OK")))</f>
        <v/>
      </c>
      <c r="O791" s="14" t="n"/>
      <c r="P791" s="14" t="n"/>
      <c r="Q791" s="20">
        <f>IF($B791="","",IFERROR(INDEX(Vinos!$C$2:$C$301,MATCH($B791,Vinos!$A$2:$A$301,0)),""))</f>
        <v/>
      </c>
      <c r="R791" s="20">
        <f>IF(OR($A791="",$A791&lt;&gt;'Resumen del inventario'!$C$3,$N791="",$N791="OK"),"",IF(COUNTIFS($A$2:$A791,$A791,$B$2:$B791,$B791)=1,1,""))</f>
        <v/>
      </c>
      <c r="S791" s="20">
        <f>IF($R791=1,COUNTIF($R$2:$R791,1),"")</f>
        <v/>
      </c>
    </row>
    <row r="792">
      <c r="A792" s="19" t="n"/>
      <c r="B792" s="14" t="n"/>
      <c r="C792" s="20">
        <f>IF($B792="","",IFERROR(INDEX(Vinos!$B$2:$B$301,MATCH($B792,Vinos!$A$2:$A$301,0)),"Código no cargado"))</f>
        <v/>
      </c>
      <c r="D792" s="14" t="n"/>
      <c r="E792" s="14" t="n"/>
      <c r="F792" s="18" t="n"/>
      <c r="G792" s="18" t="n"/>
      <c r="H792" s="21">
        <f>IF(AND($F792="",$G792=""),"",N($F792)*IFERROR(N(INDEX(Vinos!$H$2:$H$301,MATCH($B792,Vinos!$A$2:$A$301,0))),0)+N($G792))</f>
        <v/>
      </c>
      <c r="I792" s="18" t="n"/>
      <c r="J792" s="21">
        <f>IF(OR($H792="",$I792=""),"",$H792-$I792)</f>
        <v/>
      </c>
      <c r="K792" s="16">
        <f>IF($H792="","",IFERROR(IF(INDEX(Vinos!$J$2:$J$301,MATCH($B792,Vinos!$A$2:$A$301,0))="","",$H792*INDEX(Vinos!$J$2:$J$301,MATCH($B792,Vinos!$A$2:$A$301,0))),""))</f>
        <v/>
      </c>
      <c r="L792" s="16">
        <f>IF($H792="","",IFERROR(IF(INDEX(Vinos!$K$2:$K$301,MATCH($B792,Vinos!$A$2:$A$301,0))="","",$H792*INDEX(Vinos!$K$2:$K$301,MATCH($B792,Vinos!$A$2:$A$301,0))),""))</f>
        <v/>
      </c>
      <c r="M792" s="21">
        <f>IF(OR($A792="",$B792=""),"",SUMIFS($H$2:$H$2001,$A$2:$A$2001,$A792,$B$2:$B$2001,$B792))</f>
        <v/>
      </c>
      <c r="N792" s="20">
        <f>IF($M792="","",IF($M792&lt;=0,"Sin stock: reponer ya",IF($M792&lt;IFERROR(N(INDEX(Vinos!$N$2:$N$301,MATCH($B792,Vinos!$A$2:$A$301,0))),0),"Bajo mínimo: reponer","OK")))</f>
        <v/>
      </c>
      <c r="O792" s="14" t="n"/>
      <c r="P792" s="14" t="n"/>
      <c r="Q792" s="20">
        <f>IF($B792="","",IFERROR(INDEX(Vinos!$C$2:$C$301,MATCH($B792,Vinos!$A$2:$A$301,0)),""))</f>
        <v/>
      </c>
      <c r="R792" s="20">
        <f>IF(OR($A792="",$A792&lt;&gt;'Resumen del inventario'!$C$3,$N792="",$N792="OK"),"",IF(COUNTIFS($A$2:$A792,$A792,$B$2:$B792,$B792)=1,1,""))</f>
        <v/>
      </c>
      <c r="S792" s="20">
        <f>IF($R792=1,COUNTIF($R$2:$R792,1),"")</f>
        <v/>
      </c>
    </row>
    <row r="793">
      <c r="A793" s="19" t="n"/>
      <c r="B793" s="14" t="n"/>
      <c r="C793" s="20">
        <f>IF($B793="","",IFERROR(INDEX(Vinos!$B$2:$B$301,MATCH($B793,Vinos!$A$2:$A$301,0)),"Código no cargado"))</f>
        <v/>
      </c>
      <c r="D793" s="14" t="n"/>
      <c r="E793" s="14" t="n"/>
      <c r="F793" s="18" t="n"/>
      <c r="G793" s="18" t="n"/>
      <c r="H793" s="21">
        <f>IF(AND($F793="",$G793=""),"",N($F793)*IFERROR(N(INDEX(Vinos!$H$2:$H$301,MATCH($B793,Vinos!$A$2:$A$301,0))),0)+N($G793))</f>
        <v/>
      </c>
      <c r="I793" s="18" t="n"/>
      <c r="J793" s="21">
        <f>IF(OR($H793="",$I793=""),"",$H793-$I793)</f>
        <v/>
      </c>
      <c r="K793" s="16">
        <f>IF($H793="","",IFERROR(IF(INDEX(Vinos!$J$2:$J$301,MATCH($B793,Vinos!$A$2:$A$301,0))="","",$H793*INDEX(Vinos!$J$2:$J$301,MATCH($B793,Vinos!$A$2:$A$301,0))),""))</f>
        <v/>
      </c>
      <c r="L793" s="16">
        <f>IF($H793="","",IFERROR(IF(INDEX(Vinos!$K$2:$K$301,MATCH($B793,Vinos!$A$2:$A$301,0))="","",$H793*INDEX(Vinos!$K$2:$K$301,MATCH($B793,Vinos!$A$2:$A$301,0))),""))</f>
        <v/>
      </c>
      <c r="M793" s="21">
        <f>IF(OR($A793="",$B793=""),"",SUMIFS($H$2:$H$2001,$A$2:$A$2001,$A793,$B$2:$B$2001,$B793))</f>
        <v/>
      </c>
      <c r="N793" s="20">
        <f>IF($M793="","",IF($M793&lt;=0,"Sin stock: reponer ya",IF($M793&lt;IFERROR(N(INDEX(Vinos!$N$2:$N$301,MATCH($B793,Vinos!$A$2:$A$301,0))),0),"Bajo mínimo: reponer","OK")))</f>
        <v/>
      </c>
      <c r="O793" s="14" t="n"/>
      <c r="P793" s="14" t="n"/>
      <c r="Q793" s="20">
        <f>IF($B793="","",IFERROR(INDEX(Vinos!$C$2:$C$301,MATCH($B793,Vinos!$A$2:$A$301,0)),""))</f>
        <v/>
      </c>
      <c r="R793" s="20">
        <f>IF(OR($A793="",$A793&lt;&gt;'Resumen del inventario'!$C$3,$N793="",$N793="OK"),"",IF(COUNTIFS($A$2:$A793,$A793,$B$2:$B793,$B793)=1,1,""))</f>
        <v/>
      </c>
      <c r="S793" s="20">
        <f>IF($R793=1,COUNTIF($R$2:$R793,1),"")</f>
        <v/>
      </c>
    </row>
    <row r="794">
      <c r="A794" s="19" t="n"/>
      <c r="B794" s="14" t="n"/>
      <c r="C794" s="20">
        <f>IF($B794="","",IFERROR(INDEX(Vinos!$B$2:$B$301,MATCH($B794,Vinos!$A$2:$A$301,0)),"Código no cargado"))</f>
        <v/>
      </c>
      <c r="D794" s="14" t="n"/>
      <c r="E794" s="14" t="n"/>
      <c r="F794" s="18" t="n"/>
      <c r="G794" s="18" t="n"/>
      <c r="H794" s="21">
        <f>IF(AND($F794="",$G794=""),"",N($F794)*IFERROR(N(INDEX(Vinos!$H$2:$H$301,MATCH($B794,Vinos!$A$2:$A$301,0))),0)+N($G794))</f>
        <v/>
      </c>
      <c r="I794" s="18" t="n"/>
      <c r="J794" s="21">
        <f>IF(OR($H794="",$I794=""),"",$H794-$I794)</f>
        <v/>
      </c>
      <c r="K794" s="16">
        <f>IF($H794="","",IFERROR(IF(INDEX(Vinos!$J$2:$J$301,MATCH($B794,Vinos!$A$2:$A$301,0))="","",$H794*INDEX(Vinos!$J$2:$J$301,MATCH($B794,Vinos!$A$2:$A$301,0))),""))</f>
        <v/>
      </c>
      <c r="L794" s="16">
        <f>IF($H794="","",IFERROR(IF(INDEX(Vinos!$K$2:$K$301,MATCH($B794,Vinos!$A$2:$A$301,0))="","",$H794*INDEX(Vinos!$K$2:$K$301,MATCH($B794,Vinos!$A$2:$A$301,0))),""))</f>
        <v/>
      </c>
      <c r="M794" s="21">
        <f>IF(OR($A794="",$B794=""),"",SUMIFS($H$2:$H$2001,$A$2:$A$2001,$A794,$B$2:$B$2001,$B794))</f>
        <v/>
      </c>
      <c r="N794" s="20">
        <f>IF($M794="","",IF($M794&lt;=0,"Sin stock: reponer ya",IF($M794&lt;IFERROR(N(INDEX(Vinos!$N$2:$N$301,MATCH($B794,Vinos!$A$2:$A$301,0))),0),"Bajo mínimo: reponer","OK")))</f>
        <v/>
      </c>
      <c r="O794" s="14" t="n"/>
      <c r="P794" s="14" t="n"/>
      <c r="Q794" s="20">
        <f>IF($B794="","",IFERROR(INDEX(Vinos!$C$2:$C$301,MATCH($B794,Vinos!$A$2:$A$301,0)),""))</f>
        <v/>
      </c>
      <c r="R794" s="20">
        <f>IF(OR($A794="",$A794&lt;&gt;'Resumen del inventario'!$C$3,$N794="",$N794="OK"),"",IF(COUNTIFS($A$2:$A794,$A794,$B$2:$B794,$B794)=1,1,""))</f>
        <v/>
      </c>
      <c r="S794" s="20">
        <f>IF($R794=1,COUNTIF($R$2:$R794,1),"")</f>
        <v/>
      </c>
    </row>
    <row r="795">
      <c r="A795" s="19" t="n"/>
      <c r="B795" s="14" t="n"/>
      <c r="C795" s="20">
        <f>IF($B795="","",IFERROR(INDEX(Vinos!$B$2:$B$301,MATCH($B795,Vinos!$A$2:$A$301,0)),"Código no cargado"))</f>
        <v/>
      </c>
      <c r="D795" s="14" t="n"/>
      <c r="E795" s="14" t="n"/>
      <c r="F795" s="18" t="n"/>
      <c r="G795" s="18" t="n"/>
      <c r="H795" s="21">
        <f>IF(AND($F795="",$G795=""),"",N($F795)*IFERROR(N(INDEX(Vinos!$H$2:$H$301,MATCH($B795,Vinos!$A$2:$A$301,0))),0)+N($G795))</f>
        <v/>
      </c>
      <c r="I795" s="18" t="n"/>
      <c r="J795" s="21">
        <f>IF(OR($H795="",$I795=""),"",$H795-$I795)</f>
        <v/>
      </c>
      <c r="K795" s="16">
        <f>IF($H795="","",IFERROR(IF(INDEX(Vinos!$J$2:$J$301,MATCH($B795,Vinos!$A$2:$A$301,0))="","",$H795*INDEX(Vinos!$J$2:$J$301,MATCH($B795,Vinos!$A$2:$A$301,0))),""))</f>
        <v/>
      </c>
      <c r="L795" s="16">
        <f>IF($H795="","",IFERROR(IF(INDEX(Vinos!$K$2:$K$301,MATCH($B795,Vinos!$A$2:$A$301,0))="","",$H795*INDEX(Vinos!$K$2:$K$301,MATCH($B795,Vinos!$A$2:$A$301,0))),""))</f>
        <v/>
      </c>
      <c r="M795" s="21">
        <f>IF(OR($A795="",$B795=""),"",SUMIFS($H$2:$H$2001,$A$2:$A$2001,$A795,$B$2:$B$2001,$B795))</f>
        <v/>
      </c>
      <c r="N795" s="20">
        <f>IF($M795="","",IF($M795&lt;=0,"Sin stock: reponer ya",IF($M795&lt;IFERROR(N(INDEX(Vinos!$N$2:$N$301,MATCH($B795,Vinos!$A$2:$A$301,0))),0),"Bajo mínimo: reponer","OK")))</f>
        <v/>
      </c>
      <c r="O795" s="14" t="n"/>
      <c r="P795" s="14" t="n"/>
      <c r="Q795" s="20">
        <f>IF($B795="","",IFERROR(INDEX(Vinos!$C$2:$C$301,MATCH($B795,Vinos!$A$2:$A$301,0)),""))</f>
        <v/>
      </c>
      <c r="R795" s="20">
        <f>IF(OR($A795="",$A795&lt;&gt;'Resumen del inventario'!$C$3,$N795="",$N795="OK"),"",IF(COUNTIFS($A$2:$A795,$A795,$B$2:$B795,$B795)=1,1,""))</f>
        <v/>
      </c>
      <c r="S795" s="20">
        <f>IF($R795=1,COUNTIF($R$2:$R795,1),"")</f>
        <v/>
      </c>
    </row>
    <row r="796">
      <c r="A796" s="19" t="n"/>
      <c r="B796" s="14" t="n"/>
      <c r="C796" s="20">
        <f>IF($B796="","",IFERROR(INDEX(Vinos!$B$2:$B$301,MATCH($B796,Vinos!$A$2:$A$301,0)),"Código no cargado"))</f>
        <v/>
      </c>
      <c r="D796" s="14" t="n"/>
      <c r="E796" s="14" t="n"/>
      <c r="F796" s="18" t="n"/>
      <c r="G796" s="18" t="n"/>
      <c r="H796" s="21">
        <f>IF(AND($F796="",$G796=""),"",N($F796)*IFERROR(N(INDEX(Vinos!$H$2:$H$301,MATCH($B796,Vinos!$A$2:$A$301,0))),0)+N($G796))</f>
        <v/>
      </c>
      <c r="I796" s="18" t="n"/>
      <c r="J796" s="21">
        <f>IF(OR($H796="",$I796=""),"",$H796-$I796)</f>
        <v/>
      </c>
      <c r="K796" s="16">
        <f>IF($H796="","",IFERROR(IF(INDEX(Vinos!$J$2:$J$301,MATCH($B796,Vinos!$A$2:$A$301,0))="","",$H796*INDEX(Vinos!$J$2:$J$301,MATCH($B796,Vinos!$A$2:$A$301,0))),""))</f>
        <v/>
      </c>
      <c r="L796" s="16">
        <f>IF($H796="","",IFERROR(IF(INDEX(Vinos!$K$2:$K$301,MATCH($B796,Vinos!$A$2:$A$301,0))="","",$H796*INDEX(Vinos!$K$2:$K$301,MATCH($B796,Vinos!$A$2:$A$301,0))),""))</f>
        <v/>
      </c>
      <c r="M796" s="21">
        <f>IF(OR($A796="",$B796=""),"",SUMIFS($H$2:$H$2001,$A$2:$A$2001,$A796,$B$2:$B$2001,$B796))</f>
        <v/>
      </c>
      <c r="N796" s="20">
        <f>IF($M796="","",IF($M796&lt;=0,"Sin stock: reponer ya",IF($M796&lt;IFERROR(N(INDEX(Vinos!$N$2:$N$301,MATCH($B796,Vinos!$A$2:$A$301,0))),0),"Bajo mínimo: reponer","OK")))</f>
        <v/>
      </c>
      <c r="O796" s="14" t="n"/>
      <c r="P796" s="14" t="n"/>
      <c r="Q796" s="20">
        <f>IF($B796="","",IFERROR(INDEX(Vinos!$C$2:$C$301,MATCH($B796,Vinos!$A$2:$A$301,0)),""))</f>
        <v/>
      </c>
      <c r="R796" s="20">
        <f>IF(OR($A796="",$A796&lt;&gt;'Resumen del inventario'!$C$3,$N796="",$N796="OK"),"",IF(COUNTIFS($A$2:$A796,$A796,$B$2:$B796,$B796)=1,1,""))</f>
        <v/>
      </c>
      <c r="S796" s="20">
        <f>IF($R796=1,COUNTIF($R$2:$R796,1),"")</f>
        <v/>
      </c>
    </row>
    <row r="797">
      <c r="A797" s="19" t="n"/>
      <c r="B797" s="14" t="n"/>
      <c r="C797" s="20">
        <f>IF($B797="","",IFERROR(INDEX(Vinos!$B$2:$B$301,MATCH($B797,Vinos!$A$2:$A$301,0)),"Código no cargado"))</f>
        <v/>
      </c>
      <c r="D797" s="14" t="n"/>
      <c r="E797" s="14" t="n"/>
      <c r="F797" s="18" t="n"/>
      <c r="G797" s="18" t="n"/>
      <c r="H797" s="21">
        <f>IF(AND($F797="",$G797=""),"",N($F797)*IFERROR(N(INDEX(Vinos!$H$2:$H$301,MATCH($B797,Vinos!$A$2:$A$301,0))),0)+N($G797))</f>
        <v/>
      </c>
      <c r="I797" s="18" t="n"/>
      <c r="J797" s="21">
        <f>IF(OR($H797="",$I797=""),"",$H797-$I797)</f>
        <v/>
      </c>
      <c r="K797" s="16">
        <f>IF($H797="","",IFERROR(IF(INDEX(Vinos!$J$2:$J$301,MATCH($B797,Vinos!$A$2:$A$301,0))="","",$H797*INDEX(Vinos!$J$2:$J$301,MATCH($B797,Vinos!$A$2:$A$301,0))),""))</f>
        <v/>
      </c>
      <c r="L797" s="16">
        <f>IF($H797="","",IFERROR(IF(INDEX(Vinos!$K$2:$K$301,MATCH($B797,Vinos!$A$2:$A$301,0))="","",$H797*INDEX(Vinos!$K$2:$K$301,MATCH($B797,Vinos!$A$2:$A$301,0))),""))</f>
        <v/>
      </c>
      <c r="M797" s="21">
        <f>IF(OR($A797="",$B797=""),"",SUMIFS($H$2:$H$2001,$A$2:$A$2001,$A797,$B$2:$B$2001,$B797))</f>
        <v/>
      </c>
      <c r="N797" s="20">
        <f>IF($M797="","",IF($M797&lt;=0,"Sin stock: reponer ya",IF($M797&lt;IFERROR(N(INDEX(Vinos!$N$2:$N$301,MATCH($B797,Vinos!$A$2:$A$301,0))),0),"Bajo mínimo: reponer","OK")))</f>
        <v/>
      </c>
      <c r="O797" s="14" t="n"/>
      <c r="P797" s="14" t="n"/>
      <c r="Q797" s="20">
        <f>IF($B797="","",IFERROR(INDEX(Vinos!$C$2:$C$301,MATCH($B797,Vinos!$A$2:$A$301,0)),""))</f>
        <v/>
      </c>
      <c r="R797" s="20">
        <f>IF(OR($A797="",$A797&lt;&gt;'Resumen del inventario'!$C$3,$N797="",$N797="OK"),"",IF(COUNTIFS($A$2:$A797,$A797,$B$2:$B797,$B797)=1,1,""))</f>
        <v/>
      </c>
      <c r="S797" s="20">
        <f>IF($R797=1,COUNTIF($R$2:$R797,1),"")</f>
        <v/>
      </c>
    </row>
    <row r="798">
      <c r="A798" s="19" t="n"/>
      <c r="B798" s="14" t="n"/>
      <c r="C798" s="20">
        <f>IF($B798="","",IFERROR(INDEX(Vinos!$B$2:$B$301,MATCH($B798,Vinos!$A$2:$A$301,0)),"Código no cargado"))</f>
        <v/>
      </c>
      <c r="D798" s="14" t="n"/>
      <c r="E798" s="14" t="n"/>
      <c r="F798" s="18" t="n"/>
      <c r="G798" s="18" t="n"/>
      <c r="H798" s="21">
        <f>IF(AND($F798="",$G798=""),"",N($F798)*IFERROR(N(INDEX(Vinos!$H$2:$H$301,MATCH($B798,Vinos!$A$2:$A$301,0))),0)+N($G798))</f>
        <v/>
      </c>
      <c r="I798" s="18" t="n"/>
      <c r="J798" s="21">
        <f>IF(OR($H798="",$I798=""),"",$H798-$I798)</f>
        <v/>
      </c>
      <c r="K798" s="16">
        <f>IF($H798="","",IFERROR(IF(INDEX(Vinos!$J$2:$J$301,MATCH($B798,Vinos!$A$2:$A$301,0))="","",$H798*INDEX(Vinos!$J$2:$J$301,MATCH($B798,Vinos!$A$2:$A$301,0))),""))</f>
        <v/>
      </c>
      <c r="L798" s="16">
        <f>IF($H798="","",IFERROR(IF(INDEX(Vinos!$K$2:$K$301,MATCH($B798,Vinos!$A$2:$A$301,0))="","",$H798*INDEX(Vinos!$K$2:$K$301,MATCH($B798,Vinos!$A$2:$A$301,0))),""))</f>
        <v/>
      </c>
      <c r="M798" s="21">
        <f>IF(OR($A798="",$B798=""),"",SUMIFS($H$2:$H$2001,$A$2:$A$2001,$A798,$B$2:$B$2001,$B798))</f>
        <v/>
      </c>
      <c r="N798" s="20">
        <f>IF($M798="","",IF($M798&lt;=0,"Sin stock: reponer ya",IF($M798&lt;IFERROR(N(INDEX(Vinos!$N$2:$N$301,MATCH($B798,Vinos!$A$2:$A$301,0))),0),"Bajo mínimo: reponer","OK")))</f>
        <v/>
      </c>
      <c r="O798" s="14" t="n"/>
      <c r="P798" s="14" t="n"/>
      <c r="Q798" s="20">
        <f>IF($B798="","",IFERROR(INDEX(Vinos!$C$2:$C$301,MATCH($B798,Vinos!$A$2:$A$301,0)),""))</f>
        <v/>
      </c>
      <c r="R798" s="20">
        <f>IF(OR($A798="",$A798&lt;&gt;'Resumen del inventario'!$C$3,$N798="",$N798="OK"),"",IF(COUNTIFS($A$2:$A798,$A798,$B$2:$B798,$B798)=1,1,""))</f>
        <v/>
      </c>
      <c r="S798" s="20">
        <f>IF($R798=1,COUNTIF($R$2:$R798,1),"")</f>
        <v/>
      </c>
    </row>
    <row r="799">
      <c r="A799" s="19" t="n"/>
      <c r="B799" s="14" t="n"/>
      <c r="C799" s="20">
        <f>IF($B799="","",IFERROR(INDEX(Vinos!$B$2:$B$301,MATCH($B799,Vinos!$A$2:$A$301,0)),"Código no cargado"))</f>
        <v/>
      </c>
      <c r="D799" s="14" t="n"/>
      <c r="E799" s="14" t="n"/>
      <c r="F799" s="18" t="n"/>
      <c r="G799" s="18" t="n"/>
      <c r="H799" s="21">
        <f>IF(AND($F799="",$G799=""),"",N($F799)*IFERROR(N(INDEX(Vinos!$H$2:$H$301,MATCH($B799,Vinos!$A$2:$A$301,0))),0)+N($G799))</f>
        <v/>
      </c>
      <c r="I799" s="18" t="n"/>
      <c r="J799" s="21">
        <f>IF(OR($H799="",$I799=""),"",$H799-$I799)</f>
        <v/>
      </c>
      <c r="K799" s="16">
        <f>IF($H799="","",IFERROR(IF(INDEX(Vinos!$J$2:$J$301,MATCH($B799,Vinos!$A$2:$A$301,0))="","",$H799*INDEX(Vinos!$J$2:$J$301,MATCH($B799,Vinos!$A$2:$A$301,0))),""))</f>
        <v/>
      </c>
      <c r="L799" s="16">
        <f>IF($H799="","",IFERROR(IF(INDEX(Vinos!$K$2:$K$301,MATCH($B799,Vinos!$A$2:$A$301,0))="","",$H799*INDEX(Vinos!$K$2:$K$301,MATCH($B799,Vinos!$A$2:$A$301,0))),""))</f>
        <v/>
      </c>
      <c r="M799" s="21">
        <f>IF(OR($A799="",$B799=""),"",SUMIFS($H$2:$H$2001,$A$2:$A$2001,$A799,$B$2:$B$2001,$B799))</f>
        <v/>
      </c>
      <c r="N799" s="20">
        <f>IF($M799="","",IF($M799&lt;=0,"Sin stock: reponer ya",IF($M799&lt;IFERROR(N(INDEX(Vinos!$N$2:$N$301,MATCH($B799,Vinos!$A$2:$A$301,0))),0),"Bajo mínimo: reponer","OK")))</f>
        <v/>
      </c>
      <c r="O799" s="14" t="n"/>
      <c r="P799" s="14" t="n"/>
      <c r="Q799" s="20">
        <f>IF($B799="","",IFERROR(INDEX(Vinos!$C$2:$C$301,MATCH($B799,Vinos!$A$2:$A$301,0)),""))</f>
        <v/>
      </c>
      <c r="R799" s="20">
        <f>IF(OR($A799="",$A799&lt;&gt;'Resumen del inventario'!$C$3,$N799="",$N799="OK"),"",IF(COUNTIFS($A$2:$A799,$A799,$B$2:$B799,$B799)=1,1,""))</f>
        <v/>
      </c>
      <c r="S799" s="20">
        <f>IF($R799=1,COUNTIF($R$2:$R799,1),"")</f>
        <v/>
      </c>
    </row>
    <row r="800">
      <c r="A800" s="19" t="n"/>
      <c r="B800" s="14" t="n"/>
      <c r="C800" s="20">
        <f>IF($B800="","",IFERROR(INDEX(Vinos!$B$2:$B$301,MATCH($B800,Vinos!$A$2:$A$301,0)),"Código no cargado"))</f>
        <v/>
      </c>
      <c r="D800" s="14" t="n"/>
      <c r="E800" s="14" t="n"/>
      <c r="F800" s="18" t="n"/>
      <c r="G800" s="18" t="n"/>
      <c r="H800" s="21">
        <f>IF(AND($F800="",$G800=""),"",N($F800)*IFERROR(N(INDEX(Vinos!$H$2:$H$301,MATCH($B800,Vinos!$A$2:$A$301,0))),0)+N($G800))</f>
        <v/>
      </c>
      <c r="I800" s="18" t="n"/>
      <c r="J800" s="21">
        <f>IF(OR($H800="",$I800=""),"",$H800-$I800)</f>
        <v/>
      </c>
      <c r="K800" s="16">
        <f>IF($H800="","",IFERROR(IF(INDEX(Vinos!$J$2:$J$301,MATCH($B800,Vinos!$A$2:$A$301,0))="","",$H800*INDEX(Vinos!$J$2:$J$301,MATCH($B800,Vinos!$A$2:$A$301,0))),""))</f>
        <v/>
      </c>
      <c r="L800" s="16">
        <f>IF($H800="","",IFERROR(IF(INDEX(Vinos!$K$2:$K$301,MATCH($B800,Vinos!$A$2:$A$301,0))="","",$H800*INDEX(Vinos!$K$2:$K$301,MATCH($B800,Vinos!$A$2:$A$301,0))),""))</f>
        <v/>
      </c>
      <c r="M800" s="21">
        <f>IF(OR($A800="",$B800=""),"",SUMIFS($H$2:$H$2001,$A$2:$A$2001,$A800,$B$2:$B$2001,$B800))</f>
        <v/>
      </c>
      <c r="N800" s="20">
        <f>IF($M800="","",IF($M800&lt;=0,"Sin stock: reponer ya",IF($M800&lt;IFERROR(N(INDEX(Vinos!$N$2:$N$301,MATCH($B800,Vinos!$A$2:$A$301,0))),0),"Bajo mínimo: reponer","OK")))</f>
        <v/>
      </c>
      <c r="O800" s="14" t="n"/>
      <c r="P800" s="14" t="n"/>
      <c r="Q800" s="20">
        <f>IF($B800="","",IFERROR(INDEX(Vinos!$C$2:$C$301,MATCH($B800,Vinos!$A$2:$A$301,0)),""))</f>
        <v/>
      </c>
      <c r="R800" s="20">
        <f>IF(OR($A800="",$A800&lt;&gt;'Resumen del inventario'!$C$3,$N800="",$N800="OK"),"",IF(COUNTIFS($A$2:$A800,$A800,$B$2:$B800,$B800)=1,1,""))</f>
        <v/>
      </c>
      <c r="S800" s="20">
        <f>IF($R800=1,COUNTIF($R$2:$R800,1),"")</f>
        <v/>
      </c>
    </row>
    <row r="801">
      <c r="A801" s="19" t="n"/>
      <c r="B801" s="14" t="n"/>
      <c r="C801" s="20">
        <f>IF($B801="","",IFERROR(INDEX(Vinos!$B$2:$B$301,MATCH($B801,Vinos!$A$2:$A$301,0)),"Código no cargado"))</f>
        <v/>
      </c>
      <c r="D801" s="14" t="n"/>
      <c r="E801" s="14" t="n"/>
      <c r="F801" s="18" t="n"/>
      <c r="G801" s="18" t="n"/>
      <c r="H801" s="21">
        <f>IF(AND($F801="",$G801=""),"",N($F801)*IFERROR(N(INDEX(Vinos!$H$2:$H$301,MATCH($B801,Vinos!$A$2:$A$301,0))),0)+N($G801))</f>
        <v/>
      </c>
      <c r="I801" s="18" t="n"/>
      <c r="J801" s="21">
        <f>IF(OR($H801="",$I801=""),"",$H801-$I801)</f>
        <v/>
      </c>
      <c r="K801" s="16">
        <f>IF($H801="","",IFERROR(IF(INDEX(Vinos!$J$2:$J$301,MATCH($B801,Vinos!$A$2:$A$301,0))="","",$H801*INDEX(Vinos!$J$2:$J$301,MATCH($B801,Vinos!$A$2:$A$301,0))),""))</f>
        <v/>
      </c>
      <c r="L801" s="16">
        <f>IF($H801="","",IFERROR(IF(INDEX(Vinos!$K$2:$K$301,MATCH($B801,Vinos!$A$2:$A$301,0))="","",$H801*INDEX(Vinos!$K$2:$K$301,MATCH($B801,Vinos!$A$2:$A$301,0))),""))</f>
        <v/>
      </c>
      <c r="M801" s="21">
        <f>IF(OR($A801="",$B801=""),"",SUMIFS($H$2:$H$2001,$A$2:$A$2001,$A801,$B$2:$B$2001,$B801))</f>
        <v/>
      </c>
      <c r="N801" s="20">
        <f>IF($M801="","",IF($M801&lt;=0,"Sin stock: reponer ya",IF($M801&lt;IFERROR(N(INDEX(Vinos!$N$2:$N$301,MATCH($B801,Vinos!$A$2:$A$301,0))),0),"Bajo mínimo: reponer","OK")))</f>
        <v/>
      </c>
      <c r="O801" s="14" t="n"/>
      <c r="P801" s="14" t="n"/>
      <c r="Q801" s="20">
        <f>IF($B801="","",IFERROR(INDEX(Vinos!$C$2:$C$301,MATCH($B801,Vinos!$A$2:$A$301,0)),""))</f>
        <v/>
      </c>
      <c r="R801" s="20">
        <f>IF(OR($A801="",$A801&lt;&gt;'Resumen del inventario'!$C$3,$N801="",$N801="OK"),"",IF(COUNTIFS($A$2:$A801,$A801,$B$2:$B801,$B801)=1,1,""))</f>
        <v/>
      </c>
      <c r="S801" s="20">
        <f>IF($R801=1,COUNTIF($R$2:$R801,1),"")</f>
        <v/>
      </c>
    </row>
    <row r="802">
      <c r="A802" s="19" t="n"/>
      <c r="B802" s="14" t="n"/>
      <c r="C802" s="20">
        <f>IF($B802="","",IFERROR(INDEX(Vinos!$B$2:$B$301,MATCH($B802,Vinos!$A$2:$A$301,0)),"Código no cargado"))</f>
        <v/>
      </c>
      <c r="D802" s="14" t="n"/>
      <c r="E802" s="14" t="n"/>
      <c r="F802" s="18" t="n"/>
      <c r="G802" s="18" t="n"/>
      <c r="H802" s="21">
        <f>IF(AND($F802="",$G802=""),"",N($F802)*IFERROR(N(INDEX(Vinos!$H$2:$H$301,MATCH($B802,Vinos!$A$2:$A$301,0))),0)+N($G802))</f>
        <v/>
      </c>
      <c r="I802" s="18" t="n"/>
      <c r="J802" s="21">
        <f>IF(OR($H802="",$I802=""),"",$H802-$I802)</f>
        <v/>
      </c>
      <c r="K802" s="16">
        <f>IF($H802="","",IFERROR(IF(INDEX(Vinos!$J$2:$J$301,MATCH($B802,Vinos!$A$2:$A$301,0))="","",$H802*INDEX(Vinos!$J$2:$J$301,MATCH($B802,Vinos!$A$2:$A$301,0))),""))</f>
        <v/>
      </c>
      <c r="L802" s="16">
        <f>IF($H802="","",IFERROR(IF(INDEX(Vinos!$K$2:$K$301,MATCH($B802,Vinos!$A$2:$A$301,0))="","",$H802*INDEX(Vinos!$K$2:$K$301,MATCH($B802,Vinos!$A$2:$A$301,0))),""))</f>
        <v/>
      </c>
      <c r="M802" s="21">
        <f>IF(OR($A802="",$B802=""),"",SUMIFS($H$2:$H$2001,$A$2:$A$2001,$A802,$B$2:$B$2001,$B802))</f>
        <v/>
      </c>
      <c r="N802" s="20">
        <f>IF($M802="","",IF($M802&lt;=0,"Sin stock: reponer ya",IF($M802&lt;IFERROR(N(INDEX(Vinos!$N$2:$N$301,MATCH($B802,Vinos!$A$2:$A$301,0))),0),"Bajo mínimo: reponer","OK")))</f>
        <v/>
      </c>
      <c r="O802" s="14" t="n"/>
      <c r="P802" s="14" t="n"/>
      <c r="Q802" s="20">
        <f>IF($B802="","",IFERROR(INDEX(Vinos!$C$2:$C$301,MATCH($B802,Vinos!$A$2:$A$301,0)),""))</f>
        <v/>
      </c>
      <c r="R802" s="20">
        <f>IF(OR($A802="",$A802&lt;&gt;'Resumen del inventario'!$C$3,$N802="",$N802="OK"),"",IF(COUNTIFS($A$2:$A802,$A802,$B$2:$B802,$B802)=1,1,""))</f>
        <v/>
      </c>
      <c r="S802" s="20">
        <f>IF($R802=1,COUNTIF($R$2:$R802,1),"")</f>
        <v/>
      </c>
    </row>
    <row r="803">
      <c r="A803" s="19" t="n"/>
      <c r="B803" s="14" t="n"/>
      <c r="C803" s="20">
        <f>IF($B803="","",IFERROR(INDEX(Vinos!$B$2:$B$301,MATCH($B803,Vinos!$A$2:$A$301,0)),"Código no cargado"))</f>
        <v/>
      </c>
      <c r="D803" s="14" t="n"/>
      <c r="E803" s="14" t="n"/>
      <c r="F803" s="18" t="n"/>
      <c r="G803" s="18" t="n"/>
      <c r="H803" s="21">
        <f>IF(AND($F803="",$G803=""),"",N($F803)*IFERROR(N(INDEX(Vinos!$H$2:$H$301,MATCH($B803,Vinos!$A$2:$A$301,0))),0)+N($G803))</f>
        <v/>
      </c>
      <c r="I803" s="18" t="n"/>
      <c r="J803" s="21">
        <f>IF(OR($H803="",$I803=""),"",$H803-$I803)</f>
        <v/>
      </c>
      <c r="K803" s="16">
        <f>IF($H803="","",IFERROR(IF(INDEX(Vinos!$J$2:$J$301,MATCH($B803,Vinos!$A$2:$A$301,0))="","",$H803*INDEX(Vinos!$J$2:$J$301,MATCH($B803,Vinos!$A$2:$A$301,0))),""))</f>
        <v/>
      </c>
      <c r="L803" s="16">
        <f>IF($H803="","",IFERROR(IF(INDEX(Vinos!$K$2:$K$301,MATCH($B803,Vinos!$A$2:$A$301,0))="","",$H803*INDEX(Vinos!$K$2:$K$301,MATCH($B803,Vinos!$A$2:$A$301,0))),""))</f>
        <v/>
      </c>
      <c r="M803" s="21">
        <f>IF(OR($A803="",$B803=""),"",SUMIFS($H$2:$H$2001,$A$2:$A$2001,$A803,$B$2:$B$2001,$B803))</f>
        <v/>
      </c>
      <c r="N803" s="20">
        <f>IF($M803="","",IF($M803&lt;=0,"Sin stock: reponer ya",IF($M803&lt;IFERROR(N(INDEX(Vinos!$N$2:$N$301,MATCH($B803,Vinos!$A$2:$A$301,0))),0),"Bajo mínimo: reponer","OK")))</f>
        <v/>
      </c>
      <c r="O803" s="14" t="n"/>
      <c r="P803" s="14" t="n"/>
      <c r="Q803" s="20">
        <f>IF($B803="","",IFERROR(INDEX(Vinos!$C$2:$C$301,MATCH($B803,Vinos!$A$2:$A$301,0)),""))</f>
        <v/>
      </c>
      <c r="R803" s="20">
        <f>IF(OR($A803="",$A803&lt;&gt;'Resumen del inventario'!$C$3,$N803="",$N803="OK"),"",IF(COUNTIFS($A$2:$A803,$A803,$B$2:$B803,$B803)=1,1,""))</f>
        <v/>
      </c>
      <c r="S803" s="20">
        <f>IF($R803=1,COUNTIF($R$2:$R803,1),"")</f>
        <v/>
      </c>
    </row>
    <row r="804">
      <c r="A804" s="19" t="n"/>
      <c r="B804" s="14" t="n"/>
      <c r="C804" s="20">
        <f>IF($B804="","",IFERROR(INDEX(Vinos!$B$2:$B$301,MATCH($B804,Vinos!$A$2:$A$301,0)),"Código no cargado"))</f>
        <v/>
      </c>
      <c r="D804" s="14" t="n"/>
      <c r="E804" s="14" t="n"/>
      <c r="F804" s="18" t="n"/>
      <c r="G804" s="18" t="n"/>
      <c r="H804" s="21">
        <f>IF(AND($F804="",$G804=""),"",N($F804)*IFERROR(N(INDEX(Vinos!$H$2:$H$301,MATCH($B804,Vinos!$A$2:$A$301,0))),0)+N($G804))</f>
        <v/>
      </c>
      <c r="I804" s="18" t="n"/>
      <c r="J804" s="21">
        <f>IF(OR($H804="",$I804=""),"",$H804-$I804)</f>
        <v/>
      </c>
      <c r="K804" s="16">
        <f>IF($H804="","",IFERROR(IF(INDEX(Vinos!$J$2:$J$301,MATCH($B804,Vinos!$A$2:$A$301,0))="","",$H804*INDEX(Vinos!$J$2:$J$301,MATCH($B804,Vinos!$A$2:$A$301,0))),""))</f>
        <v/>
      </c>
      <c r="L804" s="16">
        <f>IF($H804="","",IFERROR(IF(INDEX(Vinos!$K$2:$K$301,MATCH($B804,Vinos!$A$2:$A$301,0))="","",$H804*INDEX(Vinos!$K$2:$K$301,MATCH($B804,Vinos!$A$2:$A$301,0))),""))</f>
        <v/>
      </c>
      <c r="M804" s="21">
        <f>IF(OR($A804="",$B804=""),"",SUMIFS($H$2:$H$2001,$A$2:$A$2001,$A804,$B$2:$B$2001,$B804))</f>
        <v/>
      </c>
      <c r="N804" s="20">
        <f>IF($M804="","",IF($M804&lt;=0,"Sin stock: reponer ya",IF($M804&lt;IFERROR(N(INDEX(Vinos!$N$2:$N$301,MATCH($B804,Vinos!$A$2:$A$301,0))),0),"Bajo mínimo: reponer","OK")))</f>
        <v/>
      </c>
      <c r="O804" s="14" t="n"/>
      <c r="P804" s="14" t="n"/>
      <c r="Q804" s="20">
        <f>IF($B804="","",IFERROR(INDEX(Vinos!$C$2:$C$301,MATCH($B804,Vinos!$A$2:$A$301,0)),""))</f>
        <v/>
      </c>
      <c r="R804" s="20">
        <f>IF(OR($A804="",$A804&lt;&gt;'Resumen del inventario'!$C$3,$N804="",$N804="OK"),"",IF(COUNTIFS($A$2:$A804,$A804,$B$2:$B804,$B804)=1,1,""))</f>
        <v/>
      </c>
      <c r="S804" s="20">
        <f>IF($R804=1,COUNTIF($R$2:$R804,1),"")</f>
        <v/>
      </c>
    </row>
    <row r="805">
      <c r="A805" s="19" t="n"/>
      <c r="B805" s="14" t="n"/>
      <c r="C805" s="20">
        <f>IF($B805="","",IFERROR(INDEX(Vinos!$B$2:$B$301,MATCH($B805,Vinos!$A$2:$A$301,0)),"Código no cargado"))</f>
        <v/>
      </c>
      <c r="D805" s="14" t="n"/>
      <c r="E805" s="14" t="n"/>
      <c r="F805" s="18" t="n"/>
      <c r="G805" s="18" t="n"/>
      <c r="H805" s="21">
        <f>IF(AND($F805="",$G805=""),"",N($F805)*IFERROR(N(INDEX(Vinos!$H$2:$H$301,MATCH($B805,Vinos!$A$2:$A$301,0))),0)+N($G805))</f>
        <v/>
      </c>
      <c r="I805" s="18" t="n"/>
      <c r="J805" s="21">
        <f>IF(OR($H805="",$I805=""),"",$H805-$I805)</f>
        <v/>
      </c>
      <c r="K805" s="16">
        <f>IF($H805="","",IFERROR(IF(INDEX(Vinos!$J$2:$J$301,MATCH($B805,Vinos!$A$2:$A$301,0))="","",$H805*INDEX(Vinos!$J$2:$J$301,MATCH($B805,Vinos!$A$2:$A$301,0))),""))</f>
        <v/>
      </c>
      <c r="L805" s="16">
        <f>IF($H805="","",IFERROR(IF(INDEX(Vinos!$K$2:$K$301,MATCH($B805,Vinos!$A$2:$A$301,0))="","",$H805*INDEX(Vinos!$K$2:$K$301,MATCH($B805,Vinos!$A$2:$A$301,0))),""))</f>
        <v/>
      </c>
      <c r="M805" s="21">
        <f>IF(OR($A805="",$B805=""),"",SUMIFS($H$2:$H$2001,$A$2:$A$2001,$A805,$B$2:$B$2001,$B805))</f>
        <v/>
      </c>
      <c r="N805" s="20">
        <f>IF($M805="","",IF($M805&lt;=0,"Sin stock: reponer ya",IF($M805&lt;IFERROR(N(INDEX(Vinos!$N$2:$N$301,MATCH($B805,Vinos!$A$2:$A$301,0))),0),"Bajo mínimo: reponer","OK")))</f>
        <v/>
      </c>
      <c r="O805" s="14" t="n"/>
      <c r="P805" s="14" t="n"/>
      <c r="Q805" s="20">
        <f>IF($B805="","",IFERROR(INDEX(Vinos!$C$2:$C$301,MATCH($B805,Vinos!$A$2:$A$301,0)),""))</f>
        <v/>
      </c>
      <c r="R805" s="20">
        <f>IF(OR($A805="",$A805&lt;&gt;'Resumen del inventario'!$C$3,$N805="",$N805="OK"),"",IF(COUNTIFS($A$2:$A805,$A805,$B$2:$B805,$B805)=1,1,""))</f>
        <v/>
      </c>
      <c r="S805" s="20">
        <f>IF($R805=1,COUNTIF($R$2:$R805,1),"")</f>
        <v/>
      </c>
    </row>
    <row r="806">
      <c r="A806" s="19" t="n"/>
      <c r="B806" s="14" t="n"/>
      <c r="C806" s="20">
        <f>IF($B806="","",IFERROR(INDEX(Vinos!$B$2:$B$301,MATCH($B806,Vinos!$A$2:$A$301,0)),"Código no cargado"))</f>
        <v/>
      </c>
      <c r="D806" s="14" t="n"/>
      <c r="E806" s="14" t="n"/>
      <c r="F806" s="18" t="n"/>
      <c r="G806" s="18" t="n"/>
      <c r="H806" s="21">
        <f>IF(AND($F806="",$G806=""),"",N($F806)*IFERROR(N(INDEX(Vinos!$H$2:$H$301,MATCH($B806,Vinos!$A$2:$A$301,0))),0)+N($G806))</f>
        <v/>
      </c>
      <c r="I806" s="18" t="n"/>
      <c r="J806" s="21">
        <f>IF(OR($H806="",$I806=""),"",$H806-$I806)</f>
        <v/>
      </c>
      <c r="K806" s="16">
        <f>IF($H806="","",IFERROR(IF(INDEX(Vinos!$J$2:$J$301,MATCH($B806,Vinos!$A$2:$A$301,0))="","",$H806*INDEX(Vinos!$J$2:$J$301,MATCH($B806,Vinos!$A$2:$A$301,0))),""))</f>
        <v/>
      </c>
      <c r="L806" s="16">
        <f>IF($H806="","",IFERROR(IF(INDEX(Vinos!$K$2:$K$301,MATCH($B806,Vinos!$A$2:$A$301,0))="","",$H806*INDEX(Vinos!$K$2:$K$301,MATCH($B806,Vinos!$A$2:$A$301,0))),""))</f>
        <v/>
      </c>
      <c r="M806" s="21">
        <f>IF(OR($A806="",$B806=""),"",SUMIFS($H$2:$H$2001,$A$2:$A$2001,$A806,$B$2:$B$2001,$B806))</f>
        <v/>
      </c>
      <c r="N806" s="20">
        <f>IF($M806="","",IF($M806&lt;=0,"Sin stock: reponer ya",IF($M806&lt;IFERROR(N(INDEX(Vinos!$N$2:$N$301,MATCH($B806,Vinos!$A$2:$A$301,0))),0),"Bajo mínimo: reponer","OK")))</f>
        <v/>
      </c>
      <c r="O806" s="14" t="n"/>
      <c r="P806" s="14" t="n"/>
      <c r="Q806" s="20">
        <f>IF($B806="","",IFERROR(INDEX(Vinos!$C$2:$C$301,MATCH($B806,Vinos!$A$2:$A$301,0)),""))</f>
        <v/>
      </c>
      <c r="R806" s="20">
        <f>IF(OR($A806="",$A806&lt;&gt;'Resumen del inventario'!$C$3,$N806="",$N806="OK"),"",IF(COUNTIFS($A$2:$A806,$A806,$B$2:$B806,$B806)=1,1,""))</f>
        <v/>
      </c>
      <c r="S806" s="20">
        <f>IF($R806=1,COUNTIF($R$2:$R806,1),"")</f>
        <v/>
      </c>
    </row>
    <row r="807">
      <c r="A807" s="19" t="n"/>
      <c r="B807" s="14" t="n"/>
      <c r="C807" s="20">
        <f>IF($B807="","",IFERROR(INDEX(Vinos!$B$2:$B$301,MATCH($B807,Vinos!$A$2:$A$301,0)),"Código no cargado"))</f>
        <v/>
      </c>
      <c r="D807" s="14" t="n"/>
      <c r="E807" s="14" t="n"/>
      <c r="F807" s="18" t="n"/>
      <c r="G807" s="18" t="n"/>
      <c r="H807" s="21">
        <f>IF(AND($F807="",$G807=""),"",N($F807)*IFERROR(N(INDEX(Vinos!$H$2:$H$301,MATCH($B807,Vinos!$A$2:$A$301,0))),0)+N($G807))</f>
        <v/>
      </c>
      <c r="I807" s="18" t="n"/>
      <c r="J807" s="21">
        <f>IF(OR($H807="",$I807=""),"",$H807-$I807)</f>
        <v/>
      </c>
      <c r="K807" s="16">
        <f>IF($H807="","",IFERROR(IF(INDEX(Vinos!$J$2:$J$301,MATCH($B807,Vinos!$A$2:$A$301,0))="","",$H807*INDEX(Vinos!$J$2:$J$301,MATCH($B807,Vinos!$A$2:$A$301,0))),""))</f>
        <v/>
      </c>
      <c r="L807" s="16">
        <f>IF($H807="","",IFERROR(IF(INDEX(Vinos!$K$2:$K$301,MATCH($B807,Vinos!$A$2:$A$301,0))="","",$H807*INDEX(Vinos!$K$2:$K$301,MATCH($B807,Vinos!$A$2:$A$301,0))),""))</f>
        <v/>
      </c>
      <c r="M807" s="21">
        <f>IF(OR($A807="",$B807=""),"",SUMIFS($H$2:$H$2001,$A$2:$A$2001,$A807,$B$2:$B$2001,$B807))</f>
        <v/>
      </c>
      <c r="N807" s="20">
        <f>IF($M807="","",IF($M807&lt;=0,"Sin stock: reponer ya",IF($M807&lt;IFERROR(N(INDEX(Vinos!$N$2:$N$301,MATCH($B807,Vinos!$A$2:$A$301,0))),0),"Bajo mínimo: reponer","OK")))</f>
        <v/>
      </c>
      <c r="O807" s="14" t="n"/>
      <c r="P807" s="14" t="n"/>
      <c r="Q807" s="20">
        <f>IF($B807="","",IFERROR(INDEX(Vinos!$C$2:$C$301,MATCH($B807,Vinos!$A$2:$A$301,0)),""))</f>
        <v/>
      </c>
      <c r="R807" s="20">
        <f>IF(OR($A807="",$A807&lt;&gt;'Resumen del inventario'!$C$3,$N807="",$N807="OK"),"",IF(COUNTIFS($A$2:$A807,$A807,$B$2:$B807,$B807)=1,1,""))</f>
        <v/>
      </c>
      <c r="S807" s="20">
        <f>IF($R807=1,COUNTIF($R$2:$R807,1),"")</f>
        <v/>
      </c>
    </row>
    <row r="808">
      <c r="A808" s="19" t="n"/>
      <c r="B808" s="14" t="n"/>
      <c r="C808" s="20">
        <f>IF($B808="","",IFERROR(INDEX(Vinos!$B$2:$B$301,MATCH($B808,Vinos!$A$2:$A$301,0)),"Código no cargado"))</f>
        <v/>
      </c>
      <c r="D808" s="14" t="n"/>
      <c r="E808" s="14" t="n"/>
      <c r="F808" s="18" t="n"/>
      <c r="G808" s="18" t="n"/>
      <c r="H808" s="21">
        <f>IF(AND($F808="",$G808=""),"",N($F808)*IFERROR(N(INDEX(Vinos!$H$2:$H$301,MATCH($B808,Vinos!$A$2:$A$301,0))),0)+N($G808))</f>
        <v/>
      </c>
      <c r="I808" s="18" t="n"/>
      <c r="J808" s="21">
        <f>IF(OR($H808="",$I808=""),"",$H808-$I808)</f>
        <v/>
      </c>
      <c r="K808" s="16">
        <f>IF($H808="","",IFERROR(IF(INDEX(Vinos!$J$2:$J$301,MATCH($B808,Vinos!$A$2:$A$301,0))="","",$H808*INDEX(Vinos!$J$2:$J$301,MATCH($B808,Vinos!$A$2:$A$301,0))),""))</f>
        <v/>
      </c>
      <c r="L808" s="16">
        <f>IF($H808="","",IFERROR(IF(INDEX(Vinos!$K$2:$K$301,MATCH($B808,Vinos!$A$2:$A$301,0))="","",$H808*INDEX(Vinos!$K$2:$K$301,MATCH($B808,Vinos!$A$2:$A$301,0))),""))</f>
        <v/>
      </c>
      <c r="M808" s="21">
        <f>IF(OR($A808="",$B808=""),"",SUMIFS($H$2:$H$2001,$A$2:$A$2001,$A808,$B$2:$B$2001,$B808))</f>
        <v/>
      </c>
      <c r="N808" s="20">
        <f>IF($M808="","",IF($M808&lt;=0,"Sin stock: reponer ya",IF($M808&lt;IFERROR(N(INDEX(Vinos!$N$2:$N$301,MATCH($B808,Vinos!$A$2:$A$301,0))),0),"Bajo mínimo: reponer","OK")))</f>
        <v/>
      </c>
      <c r="O808" s="14" t="n"/>
      <c r="P808" s="14" t="n"/>
      <c r="Q808" s="20">
        <f>IF($B808="","",IFERROR(INDEX(Vinos!$C$2:$C$301,MATCH($B808,Vinos!$A$2:$A$301,0)),""))</f>
        <v/>
      </c>
      <c r="R808" s="20">
        <f>IF(OR($A808="",$A808&lt;&gt;'Resumen del inventario'!$C$3,$N808="",$N808="OK"),"",IF(COUNTIFS($A$2:$A808,$A808,$B$2:$B808,$B808)=1,1,""))</f>
        <v/>
      </c>
      <c r="S808" s="20">
        <f>IF($R808=1,COUNTIF($R$2:$R808,1),"")</f>
        <v/>
      </c>
    </row>
    <row r="809">
      <c r="A809" s="19" t="n"/>
      <c r="B809" s="14" t="n"/>
      <c r="C809" s="20">
        <f>IF($B809="","",IFERROR(INDEX(Vinos!$B$2:$B$301,MATCH($B809,Vinos!$A$2:$A$301,0)),"Código no cargado"))</f>
        <v/>
      </c>
      <c r="D809" s="14" t="n"/>
      <c r="E809" s="14" t="n"/>
      <c r="F809" s="18" t="n"/>
      <c r="G809" s="18" t="n"/>
      <c r="H809" s="21">
        <f>IF(AND($F809="",$G809=""),"",N($F809)*IFERROR(N(INDEX(Vinos!$H$2:$H$301,MATCH($B809,Vinos!$A$2:$A$301,0))),0)+N($G809))</f>
        <v/>
      </c>
      <c r="I809" s="18" t="n"/>
      <c r="J809" s="21">
        <f>IF(OR($H809="",$I809=""),"",$H809-$I809)</f>
        <v/>
      </c>
      <c r="K809" s="16">
        <f>IF($H809="","",IFERROR(IF(INDEX(Vinos!$J$2:$J$301,MATCH($B809,Vinos!$A$2:$A$301,0))="","",$H809*INDEX(Vinos!$J$2:$J$301,MATCH($B809,Vinos!$A$2:$A$301,0))),""))</f>
        <v/>
      </c>
      <c r="L809" s="16">
        <f>IF($H809="","",IFERROR(IF(INDEX(Vinos!$K$2:$K$301,MATCH($B809,Vinos!$A$2:$A$301,0))="","",$H809*INDEX(Vinos!$K$2:$K$301,MATCH($B809,Vinos!$A$2:$A$301,0))),""))</f>
        <v/>
      </c>
      <c r="M809" s="21">
        <f>IF(OR($A809="",$B809=""),"",SUMIFS($H$2:$H$2001,$A$2:$A$2001,$A809,$B$2:$B$2001,$B809))</f>
        <v/>
      </c>
      <c r="N809" s="20">
        <f>IF($M809="","",IF($M809&lt;=0,"Sin stock: reponer ya",IF($M809&lt;IFERROR(N(INDEX(Vinos!$N$2:$N$301,MATCH($B809,Vinos!$A$2:$A$301,0))),0),"Bajo mínimo: reponer","OK")))</f>
        <v/>
      </c>
      <c r="O809" s="14" t="n"/>
      <c r="P809" s="14" t="n"/>
      <c r="Q809" s="20">
        <f>IF($B809="","",IFERROR(INDEX(Vinos!$C$2:$C$301,MATCH($B809,Vinos!$A$2:$A$301,0)),""))</f>
        <v/>
      </c>
      <c r="R809" s="20">
        <f>IF(OR($A809="",$A809&lt;&gt;'Resumen del inventario'!$C$3,$N809="",$N809="OK"),"",IF(COUNTIFS($A$2:$A809,$A809,$B$2:$B809,$B809)=1,1,""))</f>
        <v/>
      </c>
      <c r="S809" s="20">
        <f>IF($R809=1,COUNTIF($R$2:$R809,1),"")</f>
        <v/>
      </c>
    </row>
    <row r="810">
      <c r="A810" s="19" t="n"/>
      <c r="B810" s="14" t="n"/>
      <c r="C810" s="20">
        <f>IF($B810="","",IFERROR(INDEX(Vinos!$B$2:$B$301,MATCH($B810,Vinos!$A$2:$A$301,0)),"Código no cargado"))</f>
        <v/>
      </c>
      <c r="D810" s="14" t="n"/>
      <c r="E810" s="14" t="n"/>
      <c r="F810" s="18" t="n"/>
      <c r="G810" s="18" t="n"/>
      <c r="H810" s="21">
        <f>IF(AND($F810="",$G810=""),"",N($F810)*IFERROR(N(INDEX(Vinos!$H$2:$H$301,MATCH($B810,Vinos!$A$2:$A$301,0))),0)+N($G810))</f>
        <v/>
      </c>
      <c r="I810" s="18" t="n"/>
      <c r="J810" s="21">
        <f>IF(OR($H810="",$I810=""),"",$H810-$I810)</f>
        <v/>
      </c>
      <c r="K810" s="16">
        <f>IF($H810="","",IFERROR(IF(INDEX(Vinos!$J$2:$J$301,MATCH($B810,Vinos!$A$2:$A$301,0))="","",$H810*INDEX(Vinos!$J$2:$J$301,MATCH($B810,Vinos!$A$2:$A$301,0))),""))</f>
        <v/>
      </c>
      <c r="L810" s="16">
        <f>IF($H810="","",IFERROR(IF(INDEX(Vinos!$K$2:$K$301,MATCH($B810,Vinos!$A$2:$A$301,0))="","",$H810*INDEX(Vinos!$K$2:$K$301,MATCH($B810,Vinos!$A$2:$A$301,0))),""))</f>
        <v/>
      </c>
      <c r="M810" s="21">
        <f>IF(OR($A810="",$B810=""),"",SUMIFS($H$2:$H$2001,$A$2:$A$2001,$A810,$B$2:$B$2001,$B810))</f>
        <v/>
      </c>
      <c r="N810" s="20">
        <f>IF($M810="","",IF($M810&lt;=0,"Sin stock: reponer ya",IF($M810&lt;IFERROR(N(INDEX(Vinos!$N$2:$N$301,MATCH($B810,Vinos!$A$2:$A$301,0))),0),"Bajo mínimo: reponer","OK")))</f>
        <v/>
      </c>
      <c r="O810" s="14" t="n"/>
      <c r="P810" s="14" t="n"/>
      <c r="Q810" s="20">
        <f>IF($B810="","",IFERROR(INDEX(Vinos!$C$2:$C$301,MATCH($B810,Vinos!$A$2:$A$301,0)),""))</f>
        <v/>
      </c>
      <c r="R810" s="20">
        <f>IF(OR($A810="",$A810&lt;&gt;'Resumen del inventario'!$C$3,$N810="",$N810="OK"),"",IF(COUNTIFS($A$2:$A810,$A810,$B$2:$B810,$B810)=1,1,""))</f>
        <v/>
      </c>
      <c r="S810" s="20">
        <f>IF($R810=1,COUNTIF($R$2:$R810,1),"")</f>
        <v/>
      </c>
    </row>
    <row r="811">
      <c r="A811" s="19" t="n"/>
      <c r="B811" s="14" t="n"/>
      <c r="C811" s="20">
        <f>IF($B811="","",IFERROR(INDEX(Vinos!$B$2:$B$301,MATCH($B811,Vinos!$A$2:$A$301,0)),"Código no cargado"))</f>
        <v/>
      </c>
      <c r="D811" s="14" t="n"/>
      <c r="E811" s="14" t="n"/>
      <c r="F811" s="18" t="n"/>
      <c r="G811" s="18" t="n"/>
      <c r="H811" s="21">
        <f>IF(AND($F811="",$G811=""),"",N($F811)*IFERROR(N(INDEX(Vinos!$H$2:$H$301,MATCH($B811,Vinos!$A$2:$A$301,0))),0)+N($G811))</f>
        <v/>
      </c>
      <c r="I811" s="18" t="n"/>
      <c r="J811" s="21">
        <f>IF(OR($H811="",$I811=""),"",$H811-$I811)</f>
        <v/>
      </c>
      <c r="K811" s="16">
        <f>IF($H811="","",IFERROR(IF(INDEX(Vinos!$J$2:$J$301,MATCH($B811,Vinos!$A$2:$A$301,0))="","",$H811*INDEX(Vinos!$J$2:$J$301,MATCH($B811,Vinos!$A$2:$A$301,0))),""))</f>
        <v/>
      </c>
      <c r="L811" s="16">
        <f>IF($H811="","",IFERROR(IF(INDEX(Vinos!$K$2:$K$301,MATCH($B811,Vinos!$A$2:$A$301,0))="","",$H811*INDEX(Vinos!$K$2:$K$301,MATCH($B811,Vinos!$A$2:$A$301,0))),""))</f>
        <v/>
      </c>
      <c r="M811" s="21">
        <f>IF(OR($A811="",$B811=""),"",SUMIFS($H$2:$H$2001,$A$2:$A$2001,$A811,$B$2:$B$2001,$B811))</f>
        <v/>
      </c>
      <c r="N811" s="20">
        <f>IF($M811="","",IF($M811&lt;=0,"Sin stock: reponer ya",IF($M811&lt;IFERROR(N(INDEX(Vinos!$N$2:$N$301,MATCH($B811,Vinos!$A$2:$A$301,0))),0),"Bajo mínimo: reponer","OK")))</f>
        <v/>
      </c>
      <c r="O811" s="14" t="n"/>
      <c r="P811" s="14" t="n"/>
      <c r="Q811" s="20">
        <f>IF($B811="","",IFERROR(INDEX(Vinos!$C$2:$C$301,MATCH($B811,Vinos!$A$2:$A$301,0)),""))</f>
        <v/>
      </c>
      <c r="R811" s="20">
        <f>IF(OR($A811="",$A811&lt;&gt;'Resumen del inventario'!$C$3,$N811="",$N811="OK"),"",IF(COUNTIFS($A$2:$A811,$A811,$B$2:$B811,$B811)=1,1,""))</f>
        <v/>
      </c>
      <c r="S811" s="20">
        <f>IF($R811=1,COUNTIF($R$2:$R811,1),"")</f>
        <v/>
      </c>
    </row>
    <row r="812">
      <c r="A812" s="19" t="n"/>
      <c r="B812" s="14" t="n"/>
      <c r="C812" s="20">
        <f>IF($B812="","",IFERROR(INDEX(Vinos!$B$2:$B$301,MATCH($B812,Vinos!$A$2:$A$301,0)),"Código no cargado"))</f>
        <v/>
      </c>
      <c r="D812" s="14" t="n"/>
      <c r="E812" s="14" t="n"/>
      <c r="F812" s="18" t="n"/>
      <c r="G812" s="18" t="n"/>
      <c r="H812" s="21">
        <f>IF(AND($F812="",$G812=""),"",N($F812)*IFERROR(N(INDEX(Vinos!$H$2:$H$301,MATCH($B812,Vinos!$A$2:$A$301,0))),0)+N($G812))</f>
        <v/>
      </c>
      <c r="I812" s="18" t="n"/>
      <c r="J812" s="21">
        <f>IF(OR($H812="",$I812=""),"",$H812-$I812)</f>
        <v/>
      </c>
      <c r="K812" s="16">
        <f>IF($H812="","",IFERROR(IF(INDEX(Vinos!$J$2:$J$301,MATCH($B812,Vinos!$A$2:$A$301,0))="","",$H812*INDEX(Vinos!$J$2:$J$301,MATCH($B812,Vinos!$A$2:$A$301,0))),""))</f>
        <v/>
      </c>
      <c r="L812" s="16">
        <f>IF($H812="","",IFERROR(IF(INDEX(Vinos!$K$2:$K$301,MATCH($B812,Vinos!$A$2:$A$301,0))="","",$H812*INDEX(Vinos!$K$2:$K$301,MATCH($B812,Vinos!$A$2:$A$301,0))),""))</f>
        <v/>
      </c>
      <c r="M812" s="21">
        <f>IF(OR($A812="",$B812=""),"",SUMIFS($H$2:$H$2001,$A$2:$A$2001,$A812,$B$2:$B$2001,$B812))</f>
        <v/>
      </c>
      <c r="N812" s="20">
        <f>IF($M812="","",IF($M812&lt;=0,"Sin stock: reponer ya",IF($M812&lt;IFERROR(N(INDEX(Vinos!$N$2:$N$301,MATCH($B812,Vinos!$A$2:$A$301,0))),0),"Bajo mínimo: reponer","OK")))</f>
        <v/>
      </c>
      <c r="O812" s="14" t="n"/>
      <c r="P812" s="14" t="n"/>
      <c r="Q812" s="20">
        <f>IF($B812="","",IFERROR(INDEX(Vinos!$C$2:$C$301,MATCH($B812,Vinos!$A$2:$A$301,0)),""))</f>
        <v/>
      </c>
      <c r="R812" s="20">
        <f>IF(OR($A812="",$A812&lt;&gt;'Resumen del inventario'!$C$3,$N812="",$N812="OK"),"",IF(COUNTIFS($A$2:$A812,$A812,$B$2:$B812,$B812)=1,1,""))</f>
        <v/>
      </c>
      <c r="S812" s="20">
        <f>IF($R812=1,COUNTIF($R$2:$R812,1),"")</f>
        <v/>
      </c>
    </row>
    <row r="813">
      <c r="A813" s="19" t="n"/>
      <c r="B813" s="14" t="n"/>
      <c r="C813" s="20">
        <f>IF($B813="","",IFERROR(INDEX(Vinos!$B$2:$B$301,MATCH($B813,Vinos!$A$2:$A$301,0)),"Código no cargado"))</f>
        <v/>
      </c>
      <c r="D813" s="14" t="n"/>
      <c r="E813" s="14" t="n"/>
      <c r="F813" s="18" t="n"/>
      <c r="G813" s="18" t="n"/>
      <c r="H813" s="21">
        <f>IF(AND($F813="",$G813=""),"",N($F813)*IFERROR(N(INDEX(Vinos!$H$2:$H$301,MATCH($B813,Vinos!$A$2:$A$301,0))),0)+N($G813))</f>
        <v/>
      </c>
      <c r="I813" s="18" t="n"/>
      <c r="J813" s="21">
        <f>IF(OR($H813="",$I813=""),"",$H813-$I813)</f>
        <v/>
      </c>
      <c r="K813" s="16">
        <f>IF($H813="","",IFERROR(IF(INDEX(Vinos!$J$2:$J$301,MATCH($B813,Vinos!$A$2:$A$301,0))="","",$H813*INDEX(Vinos!$J$2:$J$301,MATCH($B813,Vinos!$A$2:$A$301,0))),""))</f>
        <v/>
      </c>
      <c r="L813" s="16">
        <f>IF($H813="","",IFERROR(IF(INDEX(Vinos!$K$2:$K$301,MATCH($B813,Vinos!$A$2:$A$301,0))="","",$H813*INDEX(Vinos!$K$2:$K$301,MATCH($B813,Vinos!$A$2:$A$301,0))),""))</f>
        <v/>
      </c>
      <c r="M813" s="21">
        <f>IF(OR($A813="",$B813=""),"",SUMIFS($H$2:$H$2001,$A$2:$A$2001,$A813,$B$2:$B$2001,$B813))</f>
        <v/>
      </c>
      <c r="N813" s="20">
        <f>IF($M813="","",IF($M813&lt;=0,"Sin stock: reponer ya",IF($M813&lt;IFERROR(N(INDEX(Vinos!$N$2:$N$301,MATCH($B813,Vinos!$A$2:$A$301,0))),0),"Bajo mínimo: reponer","OK")))</f>
        <v/>
      </c>
      <c r="O813" s="14" t="n"/>
      <c r="P813" s="14" t="n"/>
      <c r="Q813" s="20">
        <f>IF($B813="","",IFERROR(INDEX(Vinos!$C$2:$C$301,MATCH($B813,Vinos!$A$2:$A$301,0)),""))</f>
        <v/>
      </c>
      <c r="R813" s="20">
        <f>IF(OR($A813="",$A813&lt;&gt;'Resumen del inventario'!$C$3,$N813="",$N813="OK"),"",IF(COUNTIFS($A$2:$A813,$A813,$B$2:$B813,$B813)=1,1,""))</f>
        <v/>
      </c>
      <c r="S813" s="20">
        <f>IF($R813=1,COUNTIF($R$2:$R813,1),"")</f>
        <v/>
      </c>
    </row>
    <row r="814">
      <c r="A814" s="19" t="n"/>
      <c r="B814" s="14" t="n"/>
      <c r="C814" s="20">
        <f>IF($B814="","",IFERROR(INDEX(Vinos!$B$2:$B$301,MATCH($B814,Vinos!$A$2:$A$301,0)),"Código no cargado"))</f>
        <v/>
      </c>
      <c r="D814" s="14" t="n"/>
      <c r="E814" s="14" t="n"/>
      <c r="F814" s="18" t="n"/>
      <c r="G814" s="18" t="n"/>
      <c r="H814" s="21">
        <f>IF(AND($F814="",$G814=""),"",N($F814)*IFERROR(N(INDEX(Vinos!$H$2:$H$301,MATCH($B814,Vinos!$A$2:$A$301,0))),0)+N($G814))</f>
        <v/>
      </c>
      <c r="I814" s="18" t="n"/>
      <c r="J814" s="21">
        <f>IF(OR($H814="",$I814=""),"",$H814-$I814)</f>
        <v/>
      </c>
      <c r="K814" s="16">
        <f>IF($H814="","",IFERROR(IF(INDEX(Vinos!$J$2:$J$301,MATCH($B814,Vinos!$A$2:$A$301,0))="","",$H814*INDEX(Vinos!$J$2:$J$301,MATCH($B814,Vinos!$A$2:$A$301,0))),""))</f>
        <v/>
      </c>
      <c r="L814" s="16">
        <f>IF($H814="","",IFERROR(IF(INDEX(Vinos!$K$2:$K$301,MATCH($B814,Vinos!$A$2:$A$301,0))="","",$H814*INDEX(Vinos!$K$2:$K$301,MATCH($B814,Vinos!$A$2:$A$301,0))),""))</f>
        <v/>
      </c>
      <c r="M814" s="21">
        <f>IF(OR($A814="",$B814=""),"",SUMIFS($H$2:$H$2001,$A$2:$A$2001,$A814,$B$2:$B$2001,$B814))</f>
        <v/>
      </c>
      <c r="N814" s="20">
        <f>IF($M814="","",IF($M814&lt;=0,"Sin stock: reponer ya",IF($M814&lt;IFERROR(N(INDEX(Vinos!$N$2:$N$301,MATCH($B814,Vinos!$A$2:$A$301,0))),0),"Bajo mínimo: reponer","OK")))</f>
        <v/>
      </c>
      <c r="O814" s="14" t="n"/>
      <c r="P814" s="14" t="n"/>
      <c r="Q814" s="20">
        <f>IF($B814="","",IFERROR(INDEX(Vinos!$C$2:$C$301,MATCH($B814,Vinos!$A$2:$A$301,0)),""))</f>
        <v/>
      </c>
      <c r="R814" s="20">
        <f>IF(OR($A814="",$A814&lt;&gt;'Resumen del inventario'!$C$3,$N814="",$N814="OK"),"",IF(COUNTIFS($A$2:$A814,$A814,$B$2:$B814,$B814)=1,1,""))</f>
        <v/>
      </c>
      <c r="S814" s="20">
        <f>IF($R814=1,COUNTIF($R$2:$R814,1),"")</f>
        <v/>
      </c>
    </row>
    <row r="815">
      <c r="A815" s="19" t="n"/>
      <c r="B815" s="14" t="n"/>
      <c r="C815" s="20">
        <f>IF($B815="","",IFERROR(INDEX(Vinos!$B$2:$B$301,MATCH($B815,Vinos!$A$2:$A$301,0)),"Código no cargado"))</f>
        <v/>
      </c>
      <c r="D815" s="14" t="n"/>
      <c r="E815" s="14" t="n"/>
      <c r="F815" s="18" t="n"/>
      <c r="G815" s="18" t="n"/>
      <c r="H815" s="21">
        <f>IF(AND($F815="",$G815=""),"",N($F815)*IFERROR(N(INDEX(Vinos!$H$2:$H$301,MATCH($B815,Vinos!$A$2:$A$301,0))),0)+N($G815))</f>
        <v/>
      </c>
      <c r="I815" s="18" t="n"/>
      <c r="J815" s="21">
        <f>IF(OR($H815="",$I815=""),"",$H815-$I815)</f>
        <v/>
      </c>
      <c r="K815" s="16">
        <f>IF($H815="","",IFERROR(IF(INDEX(Vinos!$J$2:$J$301,MATCH($B815,Vinos!$A$2:$A$301,0))="","",$H815*INDEX(Vinos!$J$2:$J$301,MATCH($B815,Vinos!$A$2:$A$301,0))),""))</f>
        <v/>
      </c>
      <c r="L815" s="16">
        <f>IF($H815="","",IFERROR(IF(INDEX(Vinos!$K$2:$K$301,MATCH($B815,Vinos!$A$2:$A$301,0))="","",$H815*INDEX(Vinos!$K$2:$K$301,MATCH($B815,Vinos!$A$2:$A$301,0))),""))</f>
        <v/>
      </c>
      <c r="M815" s="21">
        <f>IF(OR($A815="",$B815=""),"",SUMIFS($H$2:$H$2001,$A$2:$A$2001,$A815,$B$2:$B$2001,$B815))</f>
        <v/>
      </c>
      <c r="N815" s="20">
        <f>IF($M815="","",IF($M815&lt;=0,"Sin stock: reponer ya",IF($M815&lt;IFERROR(N(INDEX(Vinos!$N$2:$N$301,MATCH($B815,Vinos!$A$2:$A$301,0))),0),"Bajo mínimo: reponer","OK")))</f>
        <v/>
      </c>
      <c r="O815" s="14" t="n"/>
      <c r="P815" s="14" t="n"/>
      <c r="Q815" s="20">
        <f>IF($B815="","",IFERROR(INDEX(Vinos!$C$2:$C$301,MATCH($B815,Vinos!$A$2:$A$301,0)),""))</f>
        <v/>
      </c>
      <c r="R815" s="20">
        <f>IF(OR($A815="",$A815&lt;&gt;'Resumen del inventario'!$C$3,$N815="",$N815="OK"),"",IF(COUNTIFS($A$2:$A815,$A815,$B$2:$B815,$B815)=1,1,""))</f>
        <v/>
      </c>
      <c r="S815" s="20">
        <f>IF($R815=1,COUNTIF($R$2:$R815,1),"")</f>
        <v/>
      </c>
    </row>
    <row r="816">
      <c r="A816" s="19" t="n"/>
      <c r="B816" s="14" t="n"/>
      <c r="C816" s="20">
        <f>IF($B816="","",IFERROR(INDEX(Vinos!$B$2:$B$301,MATCH($B816,Vinos!$A$2:$A$301,0)),"Código no cargado"))</f>
        <v/>
      </c>
      <c r="D816" s="14" t="n"/>
      <c r="E816" s="14" t="n"/>
      <c r="F816" s="18" t="n"/>
      <c r="G816" s="18" t="n"/>
      <c r="H816" s="21">
        <f>IF(AND($F816="",$G816=""),"",N($F816)*IFERROR(N(INDEX(Vinos!$H$2:$H$301,MATCH($B816,Vinos!$A$2:$A$301,0))),0)+N($G816))</f>
        <v/>
      </c>
      <c r="I816" s="18" t="n"/>
      <c r="J816" s="21">
        <f>IF(OR($H816="",$I816=""),"",$H816-$I816)</f>
        <v/>
      </c>
      <c r="K816" s="16">
        <f>IF($H816="","",IFERROR(IF(INDEX(Vinos!$J$2:$J$301,MATCH($B816,Vinos!$A$2:$A$301,0))="","",$H816*INDEX(Vinos!$J$2:$J$301,MATCH($B816,Vinos!$A$2:$A$301,0))),""))</f>
        <v/>
      </c>
      <c r="L816" s="16">
        <f>IF($H816="","",IFERROR(IF(INDEX(Vinos!$K$2:$K$301,MATCH($B816,Vinos!$A$2:$A$301,0))="","",$H816*INDEX(Vinos!$K$2:$K$301,MATCH($B816,Vinos!$A$2:$A$301,0))),""))</f>
        <v/>
      </c>
      <c r="M816" s="21">
        <f>IF(OR($A816="",$B816=""),"",SUMIFS($H$2:$H$2001,$A$2:$A$2001,$A816,$B$2:$B$2001,$B816))</f>
        <v/>
      </c>
      <c r="N816" s="20">
        <f>IF($M816="","",IF($M816&lt;=0,"Sin stock: reponer ya",IF($M816&lt;IFERROR(N(INDEX(Vinos!$N$2:$N$301,MATCH($B816,Vinos!$A$2:$A$301,0))),0),"Bajo mínimo: reponer","OK")))</f>
        <v/>
      </c>
      <c r="O816" s="14" t="n"/>
      <c r="P816" s="14" t="n"/>
      <c r="Q816" s="20">
        <f>IF($B816="","",IFERROR(INDEX(Vinos!$C$2:$C$301,MATCH($B816,Vinos!$A$2:$A$301,0)),""))</f>
        <v/>
      </c>
      <c r="R816" s="20">
        <f>IF(OR($A816="",$A816&lt;&gt;'Resumen del inventario'!$C$3,$N816="",$N816="OK"),"",IF(COUNTIFS($A$2:$A816,$A816,$B$2:$B816,$B816)=1,1,""))</f>
        <v/>
      </c>
      <c r="S816" s="20">
        <f>IF($R816=1,COUNTIF($R$2:$R816,1),"")</f>
        <v/>
      </c>
    </row>
    <row r="817">
      <c r="A817" s="19" t="n"/>
      <c r="B817" s="14" t="n"/>
      <c r="C817" s="20">
        <f>IF($B817="","",IFERROR(INDEX(Vinos!$B$2:$B$301,MATCH($B817,Vinos!$A$2:$A$301,0)),"Código no cargado"))</f>
        <v/>
      </c>
      <c r="D817" s="14" t="n"/>
      <c r="E817" s="14" t="n"/>
      <c r="F817" s="18" t="n"/>
      <c r="G817" s="18" t="n"/>
      <c r="H817" s="21">
        <f>IF(AND($F817="",$G817=""),"",N($F817)*IFERROR(N(INDEX(Vinos!$H$2:$H$301,MATCH($B817,Vinos!$A$2:$A$301,0))),0)+N($G817))</f>
        <v/>
      </c>
      <c r="I817" s="18" t="n"/>
      <c r="J817" s="21">
        <f>IF(OR($H817="",$I817=""),"",$H817-$I817)</f>
        <v/>
      </c>
      <c r="K817" s="16">
        <f>IF($H817="","",IFERROR(IF(INDEX(Vinos!$J$2:$J$301,MATCH($B817,Vinos!$A$2:$A$301,0))="","",$H817*INDEX(Vinos!$J$2:$J$301,MATCH($B817,Vinos!$A$2:$A$301,0))),""))</f>
        <v/>
      </c>
      <c r="L817" s="16">
        <f>IF($H817="","",IFERROR(IF(INDEX(Vinos!$K$2:$K$301,MATCH($B817,Vinos!$A$2:$A$301,0))="","",$H817*INDEX(Vinos!$K$2:$K$301,MATCH($B817,Vinos!$A$2:$A$301,0))),""))</f>
        <v/>
      </c>
      <c r="M817" s="21">
        <f>IF(OR($A817="",$B817=""),"",SUMIFS($H$2:$H$2001,$A$2:$A$2001,$A817,$B$2:$B$2001,$B817))</f>
        <v/>
      </c>
      <c r="N817" s="20">
        <f>IF($M817="","",IF($M817&lt;=0,"Sin stock: reponer ya",IF($M817&lt;IFERROR(N(INDEX(Vinos!$N$2:$N$301,MATCH($B817,Vinos!$A$2:$A$301,0))),0),"Bajo mínimo: reponer","OK")))</f>
        <v/>
      </c>
      <c r="O817" s="14" t="n"/>
      <c r="P817" s="14" t="n"/>
      <c r="Q817" s="20">
        <f>IF($B817="","",IFERROR(INDEX(Vinos!$C$2:$C$301,MATCH($B817,Vinos!$A$2:$A$301,0)),""))</f>
        <v/>
      </c>
      <c r="R817" s="20">
        <f>IF(OR($A817="",$A817&lt;&gt;'Resumen del inventario'!$C$3,$N817="",$N817="OK"),"",IF(COUNTIFS($A$2:$A817,$A817,$B$2:$B817,$B817)=1,1,""))</f>
        <v/>
      </c>
      <c r="S817" s="20">
        <f>IF($R817=1,COUNTIF($R$2:$R817,1),"")</f>
        <v/>
      </c>
    </row>
    <row r="818">
      <c r="A818" s="19" t="n"/>
      <c r="B818" s="14" t="n"/>
      <c r="C818" s="20">
        <f>IF($B818="","",IFERROR(INDEX(Vinos!$B$2:$B$301,MATCH($B818,Vinos!$A$2:$A$301,0)),"Código no cargado"))</f>
        <v/>
      </c>
      <c r="D818" s="14" t="n"/>
      <c r="E818" s="14" t="n"/>
      <c r="F818" s="18" t="n"/>
      <c r="G818" s="18" t="n"/>
      <c r="H818" s="21">
        <f>IF(AND($F818="",$G818=""),"",N($F818)*IFERROR(N(INDEX(Vinos!$H$2:$H$301,MATCH($B818,Vinos!$A$2:$A$301,0))),0)+N($G818))</f>
        <v/>
      </c>
      <c r="I818" s="18" t="n"/>
      <c r="J818" s="21">
        <f>IF(OR($H818="",$I818=""),"",$H818-$I818)</f>
        <v/>
      </c>
      <c r="K818" s="16">
        <f>IF($H818="","",IFERROR(IF(INDEX(Vinos!$J$2:$J$301,MATCH($B818,Vinos!$A$2:$A$301,0))="","",$H818*INDEX(Vinos!$J$2:$J$301,MATCH($B818,Vinos!$A$2:$A$301,0))),""))</f>
        <v/>
      </c>
      <c r="L818" s="16">
        <f>IF($H818="","",IFERROR(IF(INDEX(Vinos!$K$2:$K$301,MATCH($B818,Vinos!$A$2:$A$301,0))="","",$H818*INDEX(Vinos!$K$2:$K$301,MATCH($B818,Vinos!$A$2:$A$301,0))),""))</f>
        <v/>
      </c>
      <c r="M818" s="21">
        <f>IF(OR($A818="",$B818=""),"",SUMIFS($H$2:$H$2001,$A$2:$A$2001,$A818,$B$2:$B$2001,$B818))</f>
        <v/>
      </c>
      <c r="N818" s="20">
        <f>IF($M818="","",IF($M818&lt;=0,"Sin stock: reponer ya",IF($M818&lt;IFERROR(N(INDEX(Vinos!$N$2:$N$301,MATCH($B818,Vinos!$A$2:$A$301,0))),0),"Bajo mínimo: reponer","OK")))</f>
        <v/>
      </c>
      <c r="O818" s="14" t="n"/>
      <c r="P818" s="14" t="n"/>
      <c r="Q818" s="20">
        <f>IF($B818="","",IFERROR(INDEX(Vinos!$C$2:$C$301,MATCH($B818,Vinos!$A$2:$A$301,0)),""))</f>
        <v/>
      </c>
      <c r="R818" s="20">
        <f>IF(OR($A818="",$A818&lt;&gt;'Resumen del inventario'!$C$3,$N818="",$N818="OK"),"",IF(COUNTIFS($A$2:$A818,$A818,$B$2:$B818,$B818)=1,1,""))</f>
        <v/>
      </c>
      <c r="S818" s="20">
        <f>IF($R818=1,COUNTIF($R$2:$R818,1),"")</f>
        <v/>
      </c>
    </row>
    <row r="819">
      <c r="A819" s="19" t="n"/>
      <c r="B819" s="14" t="n"/>
      <c r="C819" s="20">
        <f>IF($B819="","",IFERROR(INDEX(Vinos!$B$2:$B$301,MATCH($B819,Vinos!$A$2:$A$301,0)),"Código no cargado"))</f>
        <v/>
      </c>
      <c r="D819" s="14" t="n"/>
      <c r="E819" s="14" t="n"/>
      <c r="F819" s="18" t="n"/>
      <c r="G819" s="18" t="n"/>
      <c r="H819" s="21">
        <f>IF(AND($F819="",$G819=""),"",N($F819)*IFERROR(N(INDEX(Vinos!$H$2:$H$301,MATCH($B819,Vinos!$A$2:$A$301,0))),0)+N($G819))</f>
        <v/>
      </c>
      <c r="I819" s="18" t="n"/>
      <c r="J819" s="21">
        <f>IF(OR($H819="",$I819=""),"",$H819-$I819)</f>
        <v/>
      </c>
      <c r="K819" s="16">
        <f>IF($H819="","",IFERROR(IF(INDEX(Vinos!$J$2:$J$301,MATCH($B819,Vinos!$A$2:$A$301,0))="","",$H819*INDEX(Vinos!$J$2:$J$301,MATCH($B819,Vinos!$A$2:$A$301,0))),""))</f>
        <v/>
      </c>
      <c r="L819" s="16">
        <f>IF($H819="","",IFERROR(IF(INDEX(Vinos!$K$2:$K$301,MATCH($B819,Vinos!$A$2:$A$301,0))="","",$H819*INDEX(Vinos!$K$2:$K$301,MATCH($B819,Vinos!$A$2:$A$301,0))),""))</f>
        <v/>
      </c>
      <c r="M819" s="21">
        <f>IF(OR($A819="",$B819=""),"",SUMIFS($H$2:$H$2001,$A$2:$A$2001,$A819,$B$2:$B$2001,$B819))</f>
        <v/>
      </c>
      <c r="N819" s="20">
        <f>IF($M819="","",IF($M819&lt;=0,"Sin stock: reponer ya",IF($M819&lt;IFERROR(N(INDEX(Vinos!$N$2:$N$301,MATCH($B819,Vinos!$A$2:$A$301,0))),0),"Bajo mínimo: reponer","OK")))</f>
        <v/>
      </c>
      <c r="O819" s="14" t="n"/>
      <c r="P819" s="14" t="n"/>
      <c r="Q819" s="20">
        <f>IF($B819="","",IFERROR(INDEX(Vinos!$C$2:$C$301,MATCH($B819,Vinos!$A$2:$A$301,0)),""))</f>
        <v/>
      </c>
      <c r="R819" s="20">
        <f>IF(OR($A819="",$A819&lt;&gt;'Resumen del inventario'!$C$3,$N819="",$N819="OK"),"",IF(COUNTIFS($A$2:$A819,$A819,$B$2:$B819,$B819)=1,1,""))</f>
        <v/>
      </c>
      <c r="S819" s="20">
        <f>IF($R819=1,COUNTIF($R$2:$R819,1),"")</f>
        <v/>
      </c>
    </row>
    <row r="820">
      <c r="A820" s="19" t="n"/>
      <c r="B820" s="14" t="n"/>
      <c r="C820" s="20">
        <f>IF($B820="","",IFERROR(INDEX(Vinos!$B$2:$B$301,MATCH($B820,Vinos!$A$2:$A$301,0)),"Código no cargado"))</f>
        <v/>
      </c>
      <c r="D820" s="14" t="n"/>
      <c r="E820" s="14" t="n"/>
      <c r="F820" s="18" t="n"/>
      <c r="G820" s="18" t="n"/>
      <c r="H820" s="21">
        <f>IF(AND($F820="",$G820=""),"",N($F820)*IFERROR(N(INDEX(Vinos!$H$2:$H$301,MATCH($B820,Vinos!$A$2:$A$301,0))),0)+N($G820))</f>
        <v/>
      </c>
      <c r="I820" s="18" t="n"/>
      <c r="J820" s="21">
        <f>IF(OR($H820="",$I820=""),"",$H820-$I820)</f>
        <v/>
      </c>
      <c r="K820" s="16">
        <f>IF($H820="","",IFERROR(IF(INDEX(Vinos!$J$2:$J$301,MATCH($B820,Vinos!$A$2:$A$301,0))="","",$H820*INDEX(Vinos!$J$2:$J$301,MATCH($B820,Vinos!$A$2:$A$301,0))),""))</f>
        <v/>
      </c>
      <c r="L820" s="16">
        <f>IF($H820="","",IFERROR(IF(INDEX(Vinos!$K$2:$K$301,MATCH($B820,Vinos!$A$2:$A$301,0))="","",$H820*INDEX(Vinos!$K$2:$K$301,MATCH($B820,Vinos!$A$2:$A$301,0))),""))</f>
        <v/>
      </c>
      <c r="M820" s="21">
        <f>IF(OR($A820="",$B820=""),"",SUMIFS($H$2:$H$2001,$A$2:$A$2001,$A820,$B$2:$B$2001,$B820))</f>
        <v/>
      </c>
      <c r="N820" s="20">
        <f>IF($M820="","",IF($M820&lt;=0,"Sin stock: reponer ya",IF($M820&lt;IFERROR(N(INDEX(Vinos!$N$2:$N$301,MATCH($B820,Vinos!$A$2:$A$301,0))),0),"Bajo mínimo: reponer","OK")))</f>
        <v/>
      </c>
      <c r="O820" s="14" t="n"/>
      <c r="P820" s="14" t="n"/>
      <c r="Q820" s="20">
        <f>IF($B820="","",IFERROR(INDEX(Vinos!$C$2:$C$301,MATCH($B820,Vinos!$A$2:$A$301,0)),""))</f>
        <v/>
      </c>
      <c r="R820" s="20">
        <f>IF(OR($A820="",$A820&lt;&gt;'Resumen del inventario'!$C$3,$N820="",$N820="OK"),"",IF(COUNTIFS($A$2:$A820,$A820,$B$2:$B820,$B820)=1,1,""))</f>
        <v/>
      </c>
      <c r="S820" s="20">
        <f>IF($R820=1,COUNTIF($R$2:$R820,1),"")</f>
        <v/>
      </c>
    </row>
    <row r="821">
      <c r="A821" s="19" t="n"/>
      <c r="B821" s="14" t="n"/>
      <c r="C821" s="20">
        <f>IF($B821="","",IFERROR(INDEX(Vinos!$B$2:$B$301,MATCH($B821,Vinos!$A$2:$A$301,0)),"Código no cargado"))</f>
        <v/>
      </c>
      <c r="D821" s="14" t="n"/>
      <c r="E821" s="14" t="n"/>
      <c r="F821" s="18" t="n"/>
      <c r="G821" s="18" t="n"/>
      <c r="H821" s="21">
        <f>IF(AND($F821="",$G821=""),"",N($F821)*IFERROR(N(INDEX(Vinos!$H$2:$H$301,MATCH($B821,Vinos!$A$2:$A$301,0))),0)+N($G821))</f>
        <v/>
      </c>
      <c r="I821" s="18" t="n"/>
      <c r="J821" s="21">
        <f>IF(OR($H821="",$I821=""),"",$H821-$I821)</f>
        <v/>
      </c>
      <c r="K821" s="16">
        <f>IF($H821="","",IFERROR(IF(INDEX(Vinos!$J$2:$J$301,MATCH($B821,Vinos!$A$2:$A$301,0))="","",$H821*INDEX(Vinos!$J$2:$J$301,MATCH($B821,Vinos!$A$2:$A$301,0))),""))</f>
        <v/>
      </c>
      <c r="L821" s="16">
        <f>IF($H821="","",IFERROR(IF(INDEX(Vinos!$K$2:$K$301,MATCH($B821,Vinos!$A$2:$A$301,0))="","",$H821*INDEX(Vinos!$K$2:$K$301,MATCH($B821,Vinos!$A$2:$A$301,0))),""))</f>
        <v/>
      </c>
      <c r="M821" s="21">
        <f>IF(OR($A821="",$B821=""),"",SUMIFS($H$2:$H$2001,$A$2:$A$2001,$A821,$B$2:$B$2001,$B821))</f>
        <v/>
      </c>
      <c r="N821" s="20">
        <f>IF($M821="","",IF($M821&lt;=0,"Sin stock: reponer ya",IF($M821&lt;IFERROR(N(INDEX(Vinos!$N$2:$N$301,MATCH($B821,Vinos!$A$2:$A$301,0))),0),"Bajo mínimo: reponer","OK")))</f>
        <v/>
      </c>
      <c r="O821" s="14" t="n"/>
      <c r="P821" s="14" t="n"/>
      <c r="Q821" s="20">
        <f>IF($B821="","",IFERROR(INDEX(Vinos!$C$2:$C$301,MATCH($B821,Vinos!$A$2:$A$301,0)),""))</f>
        <v/>
      </c>
      <c r="R821" s="20">
        <f>IF(OR($A821="",$A821&lt;&gt;'Resumen del inventario'!$C$3,$N821="",$N821="OK"),"",IF(COUNTIFS($A$2:$A821,$A821,$B$2:$B821,$B821)=1,1,""))</f>
        <v/>
      </c>
      <c r="S821" s="20">
        <f>IF($R821=1,COUNTIF($R$2:$R821,1),"")</f>
        <v/>
      </c>
    </row>
    <row r="822">
      <c r="A822" s="19" t="n"/>
      <c r="B822" s="14" t="n"/>
      <c r="C822" s="20">
        <f>IF($B822="","",IFERROR(INDEX(Vinos!$B$2:$B$301,MATCH($B822,Vinos!$A$2:$A$301,0)),"Código no cargado"))</f>
        <v/>
      </c>
      <c r="D822" s="14" t="n"/>
      <c r="E822" s="14" t="n"/>
      <c r="F822" s="18" t="n"/>
      <c r="G822" s="18" t="n"/>
      <c r="H822" s="21">
        <f>IF(AND($F822="",$G822=""),"",N($F822)*IFERROR(N(INDEX(Vinos!$H$2:$H$301,MATCH($B822,Vinos!$A$2:$A$301,0))),0)+N($G822))</f>
        <v/>
      </c>
      <c r="I822" s="18" t="n"/>
      <c r="J822" s="21">
        <f>IF(OR($H822="",$I822=""),"",$H822-$I822)</f>
        <v/>
      </c>
      <c r="K822" s="16">
        <f>IF($H822="","",IFERROR(IF(INDEX(Vinos!$J$2:$J$301,MATCH($B822,Vinos!$A$2:$A$301,0))="","",$H822*INDEX(Vinos!$J$2:$J$301,MATCH($B822,Vinos!$A$2:$A$301,0))),""))</f>
        <v/>
      </c>
      <c r="L822" s="16">
        <f>IF($H822="","",IFERROR(IF(INDEX(Vinos!$K$2:$K$301,MATCH($B822,Vinos!$A$2:$A$301,0))="","",$H822*INDEX(Vinos!$K$2:$K$301,MATCH($B822,Vinos!$A$2:$A$301,0))),""))</f>
        <v/>
      </c>
      <c r="M822" s="21">
        <f>IF(OR($A822="",$B822=""),"",SUMIFS($H$2:$H$2001,$A$2:$A$2001,$A822,$B$2:$B$2001,$B822))</f>
        <v/>
      </c>
      <c r="N822" s="20">
        <f>IF($M822="","",IF($M822&lt;=0,"Sin stock: reponer ya",IF($M822&lt;IFERROR(N(INDEX(Vinos!$N$2:$N$301,MATCH($B822,Vinos!$A$2:$A$301,0))),0),"Bajo mínimo: reponer","OK")))</f>
        <v/>
      </c>
      <c r="O822" s="14" t="n"/>
      <c r="P822" s="14" t="n"/>
      <c r="Q822" s="20">
        <f>IF($B822="","",IFERROR(INDEX(Vinos!$C$2:$C$301,MATCH($B822,Vinos!$A$2:$A$301,0)),""))</f>
        <v/>
      </c>
      <c r="R822" s="20">
        <f>IF(OR($A822="",$A822&lt;&gt;'Resumen del inventario'!$C$3,$N822="",$N822="OK"),"",IF(COUNTIFS($A$2:$A822,$A822,$B$2:$B822,$B822)=1,1,""))</f>
        <v/>
      </c>
      <c r="S822" s="20">
        <f>IF($R822=1,COUNTIF($R$2:$R822,1),"")</f>
        <v/>
      </c>
    </row>
    <row r="823">
      <c r="A823" s="19" t="n"/>
      <c r="B823" s="14" t="n"/>
      <c r="C823" s="20">
        <f>IF($B823="","",IFERROR(INDEX(Vinos!$B$2:$B$301,MATCH($B823,Vinos!$A$2:$A$301,0)),"Código no cargado"))</f>
        <v/>
      </c>
      <c r="D823" s="14" t="n"/>
      <c r="E823" s="14" t="n"/>
      <c r="F823" s="18" t="n"/>
      <c r="G823" s="18" t="n"/>
      <c r="H823" s="21">
        <f>IF(AND($F823="",$G823=""),"",N($F823)*IFERROR(N(INDEX(Vinos!$H$2:$H$301,MATCH($B823,Vinos!$A$2:$A$301,0))),0)+N($G823))</f>
        <v/>
      </c>
      <c r="I823" s="18" t="n"/>
      <c r="J823" s="21">
        <f>IF(OR($H823="",$I823=""),"",$H823-$I823)</f>
        <v/>
      </c>
      <c r="K823" s="16">
        <f>IF($H823="","",IFERROR(IF(INDEX(Vinos!$J$2:$J$301,MATCH($B823,Vinos!$A$2:$A$301,0))="","",$H823*INDEX(Vinos!$J$2:$J$301,MATCH($B823,Vinos!$A$2:$A$301,0))),""))</f>
        <v/>
      </c>
      <c r="L823" s="16">
        <f>IF($H823="","",IFERROR(IF(INDEX(Vinos!$K$2:$K$301,MATCH($B823,Vinos!$A$2:$A$301,0))="","",$H823*INDEX(Vinos!$K$2:$K$301,MATCH($B823,Vinos!$A$2:$A$301,0))),""))</f>
        <v/>
      </c>
      <c r="M823" s="21">
        <f>IF(OR($A823="",$B823=""),"",SUMIFS($H$2:$H$2001,$A$2:$A$2001,$A823,$B$2:$B$2001,$B823))</f>
        <v/>
      </c>
      <c r="N823" s="20">
        <f>IF($M823="","",IF($M823&lt;=0,"Sin stock: reponer ya",IF($M823&lt;IFERROR(N(INDEX(Vinos!$N$2:$N$301,MATCH($B823,Vinos!$A$2:$A$301,0))),0),"Bajo mínimo: reponer","OK")))</f>
        <v/>
      </c>
      <c r="O823" s="14" t="n"/>
      <c r="P823" s="14" t="n"/>
      <c r="Q823" s="20">
        <f>IF($B823="","",IFERROR(INDEX(Vinos!$C$2:$C$301,MATCH($B823,Vinos!$A$2:$A$301,0)),""))</f>
        <v/>
      </c>
      <c r="R823" s="20">
        <f>IF(OR($A823="",$A823&lt;&gt;'Resumen del inventario'!$C$3,$N823="",$N823="OK"),"",IF(COUNTIFS($A$2:$A823,$A823,$B$2:$B823,$B823)=1,1,""))</f>
        <v/>
      </c>
      <c r="S823" s="20">
        <f>IF($R823=1,COUNTIF($R$2:$R823,1),"")</f>
        <v/>
      </c>
    </row>
    <row r="824">
      <c r="A824" s="19" t="n"/>
      <c r="B824" s="14" t="n"/>
      <c r="C824" s="20">
        <f>IF($B824="","",IFERROR(INDEX(Vinos!$B$2:$B$301,MATCH($B824,Vinos!$A$2:$A$301,0)),"Código no cargado"))</f>
        <v/>
      </c>
      <c r="D824" s="14" t="n"/>
      <c r="E824" s="14" t="n"/>
      <c r="F824" s="18" t="n"/>
      <c r="G824" s="18" t="n"/>
      <c r="H824" s="21">
        <f>IF(AND($F824="",$G824=""),"",N($F824)*IFERROR(N(INDEX(Vinos!$H$2:$H$301,MATCH($B824,Vinos!$A$2:$A$301,0))),0)+N($G824))</f>
        <v/>
      </c>
      <c r="I824" s="18" t="n"/>
      <c r="J824" s="21">
        <f>IF(OR($H824="",$I824=""),"",$H824-$I824)</f>
        <v/>
      </c>
      <c r="K824" s="16">
        <f>IF($H824="","",IFERROR(IF(INDEX(Vinos!$J$2:$J$301,MATCH($B824,Vinos!$A$2:$A$301,0))="","",$H824*INDEX(Vinos!$J$2:$J$301,MATCH($B824,Vinos!$A$2:$A$301,0))),""))</f>
        <v/>
      </c>
      <c r="L824" s="16">
        <f>IF($H824="","",IFERROR(IF(INDEX(Vinos!$K$2:$K$301,MATCH($B824,Vinos!$A$2:$A$301,0))="","",$H824*INDEX(Vinos!$K$2:$K$301,MATCH($B824,Vinos!$A$2:$A$301,0))),""))</f>
        <v/>
      </c>
      <c r="M824" s="21">
        <f>IF(OR($A824="",$B824=""),"",SUMIFS($H$2:$H$2001,$A$2:$A$2001,$A824,$B$2:$B$2001,$B824))</f>
        <v/>
      </c>
      <c r="N824" s="20">
        <f>IF($M824="","",IF($M824&lt;=0,"Sin stock: reponer ya",IF($M824&lt;IFERROR(N(INDEX(Vinos!$N$2:$N$301,MATCH($B824,Vinos!$A$2:$A$301,0))),0),"Bajo mínimo: reponer","OK")))</f>
        <v/>
      </c>
      <c r="O824" s="14" t="n"/>
      <c r="P824" s="14" t="n"/>
      <c r="Q824" s="20">
        <f>IF($B824="","",IFERROR(INDEX(Vinos!$C$2:$C$301,MATCH($B824,Vinos!$A$2:$A$301,0)),""))</f>
        <v/>
      </c>
      <c r="R824" s="20">
        <f>IF(OR($A824="",$A824&lt;&gt;'Resumen del inventario'!$C$3,$N824="",$N824="OK"),"",IF(COUNTIFS($A$2:$A824,$A824,$B$2:$B824,$B824)=1,1,""))</f>
        <v/>
      </c>
      <c r="S824" s="20">
        <f>IF($R824=1,COUNTIF($R$2:$R824,1),"")</f>
        <v/>
      </c>
    </row>
    <row r="825">
      <c r="A825" s="19" t="n"/>
      <c r="B825" s="14" t="n"/>
      <c r="C825" s="20">
        <f>IF($B825="","",IFERROR(INDEX(Vinos!$B$2:$B$301,MATCH($B825,Vinos!$A$2:$A$301,0)),"Código no cargado"))</f>
        <v/>
      </c>
      <c r="D825" s="14" t="n"/>
      <c r="E825" s="14" t="n"/>
      <c r="F825" s="18" t="n"/>
      <c r="G825" s="18" t="n"/>
      <c r="H825" s="21">
        <f>IF(AND($F825="",$G825=""),"",N($F825)*IFERROR(N(INDEX(Vinos!$H$2:$H$301,MATCH($B825,Vinos!$A$2:$A$301,0))),0)+N($G825))</f>
        <v/>
      </c>
      <c r="I825" s="18" t="n"/>
      <c r="J825" s="21">
        <f>IF(OR($H825="",$I825=""),"",$H825-$I825)</f>
        <v/>
      </c>
      <c r="K825" s="16">
        <f>IF($H825="","",IFERROR(IF(INDEX(Vinos!$J$2:$J$301,MATCH($B825,Vinos!$A$2:$A$301,0))="","",$H825*INDEX(Vinos!$J$2:$J$301,MATCH($B825,Vinos!$A$2:$A$301,0))),""))</f>
        <v/>
      </c>
      <c r="L825" s="16">
        <f>IF($H825="","",IFERROR(IF(INDEX(Vinos!$K$2:$K$301,MATCH($B825,Vinos!$A$2:$A$301,0))="","",$H825*INDEX(Vinos!$K$2:$K$301,MATCH($B825,Vinos!$A$2:$A$301,0))),""))</f>
        <v/>
      </c>
      <c r="M825" s="21">
        <f>IF(OR($A825="",$B825=""),"",SUMIFS($H$2:$H$2001,$A$2:$A$2001,$A825,$B$2:$B$2001,$B825))</f>
        <v/>
      </c>
      <c r="N825" s="20">
        <f>IF($M825="","",IF($M825&lt;=0,"Sin stock: reponer ya",IF($M825&lt;IFERROR(N(INDEX(Vinos!$N$2:$N$301,MATCH($B825,Vinos!$A$2:$A$301,0))),0),"Bajo mínimo: reponer","OK")))</f>
        <v/>
      </c>
      <c r="O825" s="14" t="n"/>
      <c r="P825" s="14" t="n"/>
      <c r="Q825" s="20">
        <f>IF($B825="","",IFERROR(INDEX(Vinos!$C$2:$C$301,MATCH($B825,Vinos!$A$2:$A$301,0)),""))</f>
        <v/>
      </c>
      <c r="R825" s="20">
        <f>IF(OR($A825="",$A825&lt;&gt;'Resumen del inventario'!$C$3,$N825="",$N825="OK"),"",IF(COUNTIFS($A$2:$A825,$A825,$B$2:$B825,$B825)=1,1,""))</f>
        <v/>
      </c>
      <c r="S825" s="20">
        <f>IF($R825=1,COUNTIF($R$2:$R825,1),"")</f>
        <v/>
      </c>
    </row>
    <row r="826">
      <c r="A826" s="19" t="n"/>
      <c r="B826" s="14" t="n"/>
      <c r="C826" s="20">
        <f>IF($B826="","",IFERROR(INDEX(Vinos!$B$2:$B$301,MATCH($B826,Vinos!$A$2:$A$301,0)),"Código no cargado"))</f>
        <v/>
      </c>
      <c r="D826" s="14" t="n"/>
      <c r="E826" s="14" t="n"/>
      <c r="F826" s="18" t="n"/>
      <c r="G826" s="18" t="n"/>
      <c r="H826" s="21">
        <f>IF(AND($F826="",$G826=""),"",N($F826)*IFERROR(N(INDEX(Vinos!$H$2:$H$301,MATCH($B826,Vinos!$A$2:$A$301,0))),0)+N($G826))</f>
        <v/>
      </c>
      <c r="I826" s="18" t="n"/>
      <c r="J826" s="21">
        <f>IF(OR($H826="",$I826=""),"",$H826-$I826)</f>
        <v/>
      </c>
      <c r="K826" s="16">
        <f>IF($H826="","",IFERROR(IF(INDEX(Vinos!$J$2:$J$301,MATCH($B826,Vinos!$A$2:$A$301,0))="","",$H826*INDEX(Vinos!$J$2:$J$301,MATCH($B826,Vinos!$A$2:$A$301,0))),""))</f>
        <v/>
      </c>
      <c r="L826" s="16">
        <f>IF($H826="","",IFERROR(IF(INDEX(Vinos!$K$2:$K$301,MATCH($B826,Vinos!$A$2:$A$301,0))="","",$H826*INDEX(Vinos!$K$2:$K$301,MATCH($B826,Vinos!$A$2:$A$301,0))),""))</f>
        <v/>
      </c>
      <c r="M826" s="21">
        <f>IF(OR($A826="",$B826=""),"",SUMIFS($H$2:$H$2001,$A$2:$A$2001,$A826,$B$2:$B$2001,$B826))</f>
        <v/>
      </c>
      <c r="N826" s="20">
        <f>IF($M826="","",IF($M826&lt;=0,"Sin stock: reponer ya",IF($M826&lt;IFERROR(N(INDEX(Vinos!$N$2:$N$301,MATCH($B826,Vinos!$A$2:$A$301,0))),0),"Bajo mínimo: reponer","OK")))</f>
        <v/>
      </c>
      <c r="O826" s="14" t="n"/>
      <c r="P826" s="14" t="n"/>
      <c r="Q826" s="20">
        <f>IF($B826="","",IFERROR(INDEX(Vinos!$C$2:$C$301,MATCH($B826,Vinos!$A$2:$A$301,0)),""))</f>
        <v/>
      </c>
      <c r="R826" s="20">
        <f>IF(OR($A826="",$A826&lt;&gt;'Resumen del inventario'!$C$3,$N826="",$N826="OK"),"",IF(COUNTIFS($A$2:$A826,$A826,$B$2:$B826,$B826)=1,1,""))</f>
        <v/>
      </c>
      <c r="S826" s="20">
        <f>IF($R826=1,COUNTIF($R$2:$R826,1),"")</f>
        <v/>
      </c>
    </row>
    <row r="827">
      <c r="A827" s="19" t="n"/>
      <c r="B827" s="14" t="n"/>
      <c r="C827" s="20">
        <f>IF($B827="","",IFERROR(INDEX(Vinos!$B$2:$B$301,MATCH($B827,Vinos!$A$2:$A$301,0)),"Código no cargado"))</f>
        <v/>
      </c>
      <c r="D827" s="14" t="n"/>
      <c r="E827" s="14" t="n"/>
      <c r="F827" s="18" t="n"/>
      <c r="G827" s="18" t="n"/>
      <c r="H827" s="21">
        <f>IF(AND($F827="",$G827=""),"",N($F827)*IFERROR(N(INDEX(Vinos!$H$2:$H$301,MATCH($B827,Vinos!$A$2:$A$301,0))),0)+N($G827))</f>
        <v/>
      </c>
      <c r="I827" s="18" t="n"/>
      <c r="J827" s="21">
        <f>IF(OR($H827="",$I827=""),"",$H827-$I827)</f>
        <v/>
      </c>
      <c r="K827" s="16">
        <f>IF($H827="","",IFERROR(IF(INDEX(Vinos!$J$2:$J$301,MATCH($B827,Vinos!$A$2:$A$301,0))="","",$H827*INDEX(Vinos!$J$2:$J$301,MATCH($B827,Vinos!$A$2:$A$301,0))),""))</f>
        <v/>
      </c>
      <c r="L827" s="16">
        <f>IF($H827="","",IFERROR(IF(INDEX(Vinos!$K$2:$K$301,MATCH($B827,Vinos!$A$2:$A$301,0))="","",$H827*INDEX(Vinos!$K$2:$K$301,MATCH($B827,Vinos!$A$2:$A$301,0))),""))</f>
        <v/>
      </c>
      <c r="M827" s="21">
        <f>IF(OR($A827="",$B827=""),"",SUMIFS($H$2:$H$2001,$A$2:$A$2001,$A827,$B$2:$B$2001,$B827))</f>
        <v/>
      </c>
      <c r="N827" s="20">
        <f>IF($M827="","",IF($M827&lt;=0,"Sin stock: reponer ya",IF($M827&lt;IFERROR(N(INDEX(Vinos!$N$2:$N$301,MATCH($B827,Vinos!$A$2:$A$301,0))),0),"Bajo mínimo: reponer","OK")))</f>
        <v/>
      </c>
      <c r="O827" s="14" t="n"/>
      <c r="P827" s="14" t="n"/>
      <c r="Q827" s="20">
        <f>IF($B827="","",IFERROR(INDEX(Vinos!$C$2:$C$301,MATCH($B827,Vinos!$A$2:$A$301,0)),""))</f>
        <v/>
      </c>
      <c r="R827" s="20">
        <f>IF(OR($A827="",$A827&lt;&gt;'Resumen del inventario'!$C$3,$N827="",$N827="OK"),"",IF(COUNTIFS($A$2:$A827,$A827,$B$2:$B827,$B827)=1,1,""))</f>
        <v/>
      </c>
      <c r="S827" s="20">
        <f>IF($R827=1,COUNTIF($R$2:$R827,1),"")</f>
        <v/>
      </c>
    </row>
    <row r="828">
      <c r="A828" s="19" t="n"/>
      <c r="B828" s="14" t="n"/>
      <c r="C828" s="20">
        <f>IF($B828="","",IFERROR(INDEX(Vinos!$B$2:$B$301,MATCH($B828,Vinos!$A$2:$A$301,0)),"Código no cargado"))</f>
        <v/>
      </c>
      <c r="D828" s="14" t="n"/>
      <c r="E828" s="14" t="n"/>
      <c r="F828" s="18" t="n"/>
      <c r="G828" s="18" t="n"/>
      <c r="H828" s="21">
        <f>IF(AND($F828="",$G828=""),"",N($F828)*IFERROR(N(INDEX(Vinos!$H$2:$H$301,MATCH($B828,Vinos!$A$2:$A$301,0))),0)+N($G828))</f>
        <v/>
      </c>
      <c r="I828" s="18" t="n"/>
      <c r="J828" s="21">
        <f>IF(OR($H828="",$I828=""),"",$H828-$I828)</f>
        <v/>
      </c>
      <c r="K828" s="16">
        <f>IF($H828="","",IFERROR(IF(INDEX(Vinos!$J$2:$J$301,MATCH($B828,Vinos!$A$2:$A$301,0))="","",$H828*INDEX(Vinos!$J$2:$J$301,MATCH($B828,Vinos!$A$2:$A$301,0))),""))</f>
        <v/>
      </c>
      <c r="L828" s="16">
        <f>IF($H828="","",IFERROR(IF(INDEX(Vinos!$K$2:$K$301,MATCH($B828,Vinos!$A$2:$A$301,0))="","",$H828*INDEX(Vinos!$K$2:$K$301,MATCH($B828,Vinos!$A$2:$A$301,0))),""))</f>
        <v/>
      </c>
      <c r="M828" s="21">
        <f>IF(OR($A828="",$B828=""),"",SUMIFS($H$2:$H$2001,$A$2:$A$2001,$A828,$B$2:$B$2001,$B828))</f>
        <v/>
      </c>
      <c r="N828" s="20">
        <f>IF($M828="","",IF($M828&lt;=0,"Sin stock: reponer ya",IF($M828&lt;IFERROR(N(INDEX(Vinos!$N$2:$N$301,MATCH($B828,Vinos!$A$2:$A$301,0))),0),"Bajo mínimo: reponer","OK")))</f>
        <v/>
      </c>
      <c r="O828" s="14" t="n"/>
      <c r="P828" s="14" t="n"/>
      <c r="Q828" s="20">
        <f>IF($B828="","",IFERROR(INDEX(Vinos!$C$2:$C$301,MATCH($B828,Vinos!$A$2:$A$301,0)),""))</f>
        <v/>
      </c>
      <c r="R828" s="20">
        <f>IF(OR($A828="",$A828&lt;&gt;'Resumen del inventario'!$C$3,$N828="",$N828="OK"),"",IF(COUNTIFS($A$2:$A828,$A828,$B$2:$B828,$B828)=1,1,""))</f>
        <v/>
      </c>
      <c r="S828" s="20">
        <f>IF($R828=1,COUNTIF($R$2:$R828,1),"")</f>
        <v/>
      </c>
    </row>
    <row r="829">
      <c r="A829" s="19" t="n"/>
      <c r="B829" s="14" t="n"/>
      <c r="C829" s="20">
        <f>IF($B829="","",IFERROR(INDEX(Vinos!$B$2:$B$301,MATCH($B829,Vinos!$A$2:$A$301,0)),"Código no cargado"))</f>
        <v/>
      </c>
      <c r="D829" s="14" t="n"/>
      <c r="E829" s="14" t="n"/>
      <c r="F829" s="18" t="n"/>
      <c r="G829" s="18" t="n"/>
      <c r="H829" s="21">
        <f>IF(AND($F829="",$G829=""),"",N($F829)*IFERROR(N(INDEX(Vinos!$H$2:$H$301,MATCH($B829,Vinos!$A$2:$A$301,0))),0)+N($G829))</f>
        <v/>
      </c>
      <c r="I829" s="18" t="n"/>
      <c r="J829" s="21">
        <f>IF(OR($H829="",$I829=""),"",$H829-$I829)</f>
        <v/>
      </c>
      <c r="K829" s="16">
        <f>IF($H829="","",IFERROR(IF(INDEX(Vinos!$J$2:$J$301,MATCH($B829,Vinos!$A$2:$A$301,0))="","",$H829*INDEX(Vinos!$J$2:$J$301,MATCH($B829,Vinos!$A$2:$A$301,0))),""))</f>
        <v/>
      </c>
      <c r="L829" s="16">
        <f>IF($H829="","",IFERROR(IF(INDEX(Vinos!$K$2:$K$301,MATCH($B829,Vinos!$A$2:$A$301,0))="","",$H829*INDEX(Vinos!$K$2:$K$301,MATCH($B829,Vinos!$A$2:$A$301,0))),""))</f>
        <v/>
      </c>
      <c r="M829" s="21">
        <f>IF(OR($A829="",$B829=""),"",SUMIFS($H$2:$H$2001,$A$2:$A$2001,$A829,$B$2:$B$2001,$B829))</f>
        <v/>
      </c>
      <c r="N829" s="20">
        <f>IF($M829="","",IF($M829&lt;=0,"Sin stock: reponer ya",IF($M829&lt;IFERROR(N(INDEX(Vinos!$N$2:$N$301,MATCH($B829,Vinos!$A$2:$A$301,0))),0),"Bajo mínimo: reponer","OK")))</f>
        <v/>
      </c>
      <c r="O829" s="14" t="n"/>
      <c r="P829" s="14" t="n"/>
      <c r="Q829" s="20">
        <f>IF($B829="","",IFERROR(INDEX(Vinos!$C$2:$C$301,MATCH($B829,Vinos!$A$2:$A$301,0)),""))</f>
        <v/>
      </c>
      <c r="R829" s="20">
        <f>IF(OR($A829="",$A829&lt;&gt;'Resumen del inventario'!$C$3,$N829="",$N829="OK"),"",IF(COUNTIFS($A$2:$A829,$A829,$B$2:$B829,$B829)=1,1,""))</f>
        <v/>
      </c>
      <c r="S829" s="20">
        <f>IF($R829=1,COUNTIF($R$2:$R829,1),"")</f>
        <v/>
      </c>
    </row>
    <row r="830">
      <c r="A830" s="19" t="n"/>
      <c r="B830" s="14" t="n"/>
      <c r="C830" s="20">
        <f>IF($B830="","",IFERROR(INDEX(Vinos!$B$2:$B$301,MATCH($B830,Vinos!$A$2:$A$301,0)),"Código no cargado"))</f>
        <v/>
      </c>
      <c r="D830" s="14" t="n"/>
      <c r="E830" s="14" t="n"/>
      <c r="F830" s="18" t="n"/>
      <c r="G830" s="18" t="n"/>
      <c r="H830" s="21">
        <f>IF(AND($F830="",$G830=""),"",N($F830)*IFERROR(N(INDEX(Vinos!$H$2:$H$301,MATCH($B830,Vinos!$A$2:$A$301,0))),0)+N($G830))</f>
        <v/>
      </c>
      <c r="I830" s="18" t="n"/>
      <c r="J830" s="21">
        <f>IF(OR($H830="",$I830=""),"",$H830-$I830)</f>
        <v/>
      </c>
      <c r="K830" s="16">
        <f>IF($H830="","",IFERROR(IF(INDEX(Vinos!$J$2:$J$301,MATCH($B830,Vinos!$A$2:$A$301,0))="","",$H830*INDEX(Vinos!$J$2:$J$301,MATCH($B830,Vinos!$A$2:$A$301,0))),""))</f>
        <v/>
      </c>
      <c r="L830" s="16">
        <f>IF($H830="","",IFERROR(IF(INDEX(Vinos!$K$2:$K$301,MATCH($B830,Vinos!$A$2:$A$301,0))="","",$H830*INDEX(Vinos!$K$2:$K$301,MATCH($B830,Vinos!$A$2:$A$301,0))),""))</f>
        <v/>
      </c>
      <c r="M830" s="21">
        <f>IF(OR($A830="",$B830=""),"",SUMIFS($H$2:$H$2001,$A$2:$A$2001,$A830,$B$2:$B$2001,$B830))</f>
        <v/>
      </c>
      <c r="N830" s="20">
        <f>IF($M830="","",IF($M830&lt;=0,"Sin stock: reponer ya",IF($M830&lt;IFERROR(N(INDEX(Vinos!$N$2:$N$301,MATCH($B830,Vinos!$A$2:$A$301,0))),0),"Bajo mínimo: reponer","OK")))</f>
        <v/>
      </c>
      <c r="O830" s="14" t="n"/>
      <c r="P830" s="14" t="n"/>
      <c r="Q830" s="20">
        <f>IF($B830="","",IFERROR(INDEX(Vinos!$C$2:$C$301,MATCH($B830,Vinos!$A$2:$A$301,0)),""))</f>
        <v/>
      </c>
      <c r="R830" s="20">
        <f>IF(OR($A830="",$A830&lt;&gt;'Resumen del inventario'!$C$3,$N830="",$N830="OK"),"",IF(COUNTIFS($A$2:$A830,$A830,$B$2:$B830,$B830)=1,1,""))</f>
        <v/>
      </c>
      <c r="S830" s="20">
        <f>IF($R830=1,COUNTIF($R$2:$R830,1),"")</f>
        <v/>
      </c>
    </row>
    <row r="831">
      <c r="A831" s="19" t="n"/>
      <c r="B831" s="14" t="n"/>
      <c r="C831" s="20">
        <f>IF($B831="","",IFERROR(INDEX(Vinos!$B$2:$B$301,MATCH($B831,Vinos!$A$2:$A$301,0)),"Código no cargado"))</f>
        <v/>
      </c>
      <c r="D831" s="14" t="n"/>
      <c r="E831" s="14" t="n"/>
      <c r="F831" s="18" t="n"/>
      <c r="G831" s="18" t="n"/>
      <c r="H831" s="21">
        <f>IF(AND($F831="",$G831=""),"",N($F831)*IFERROR(N(INDEX(Vinos!$H$2:$H$301,MATCH($B831,Vinos!$A$2:$A$301,0))),0)+N($G831))</f>
        <v/>
      </c>
      <c r="I831" s="18" t="n"/>
      <c r="J831" s="21">
        <f>IF(OR($H831="",$I831=""),"",$H831-$I831)</f>
        <v/>
      </c>
      <c r="K831" s="16">
        <f>IF($H831="","",IFERROR(IF(INDEX(Vinos!$J$2:$J$301,MATCH($B831,Vinos!$A$2:$A$301,0))="","",$H831*INDEX(Vinos!$J$2:$J$301,MATCH($B831,Vinos!$A$2:$A$301,0))),""))</f>
        <v/>
      </c>
      <c r="L831" s="16">
        <f>IF($H831="","",IFERROR(IF(INDEX(Vinos!$K$2:$K$301,MATCH($B831,Vinos!$A$2:$A$301,0))="","",$H831*INDEX(Vinos!$K$2:$K$301,MATCH($B831,Vinos!$A$2:$A$301,0))),""))</f>
        <v/>
      </c>
      <c r="M831" s="21">
        <f>IF(OR($A831="",$B831=""),"",SUMIFS($H$2:$H$2001,$A$2:$A$2001,$A831,$B$2:$B$2001,$B831))</f>
        <v/>
      </c>
      <c r="N831" s="20">
        <f>IF($M831="","",IF($M831&lt;=0,"Sin stock: reponer ya",IF($M831&lt;IFERROR(N(INDEX(Vinos!$N$2:$N$301,MATCH($B831,Vinos!$A$2:$A$301,0))),0),"Bajo mínimo: reponer","OK")))</f>
        <v/>
      </c>
      <c r="O831" s="14" t="n"/>
      <c r="P831" s="14" t="n"/>
      <c r="Q831" s="20">
        <f>IF($B831="","",IFERROR(INDEX(Vinos!$C$2:$C$301,MATCH($B831,Vinos!$A$2:$A$301,0)),""))</f>
        <v/>
      </c>
      <c r="R831" s="20">
        <f>IF(OR($A831="",$A831&lt;&gt;'Resumen del inventario'!$C$3,$N831="",$N831="OK"),"",IF(COUNTIFS($A$2:$A831,$A831,$B$2:$B831,$B831)=1,1,""))</f>
        <v/>
      </c>
      <c r="S831" s="20">
        <f>IF($R831=1,COUNTIF($R$2:$R831,1),"")</f>
        <v/>
      </c>
    </row>
    <row r="832">
      <c r="A832" s="19" t="n"/>
      <c r="B832" s="14" t="n"/>
      <c r="C832" s="20">
        <f>IF($B832="","",IFERROR(INDEX(Vinos!$B$2:$B$301,MATCH($B832,Vinos!$A$2:$A$301,0)),"Código no cargado"))</f>
        <v/>
      </c>
      <c r="D832" s="14" t="n"/>
      <c r="E832" s="14" t="n"/>
      <c r="F832" s="18" t="n"/>
      <c r="G832" s="18" t="n"/>
      <c r="H832" s="21">
        <f>IF(AND($F832="",$G832=""),"",N($F832)*IFERROR(N(INDEX(Vinos!$H$2:$H$301,MATCH($B832,Vinos!$A$2:$A$301,0))),0)+N($G832))</f>
        <v/>
      </c>
      <c r="I832" s="18" t="n"/>
      <c r="J832" s="21">
        <f>IF(OR($H832="",$I832=""),"",$H832-$I832)</f>
        <v/>
      </c>
      <c r="K832" s="16">
        <f>IF($H832="","",IFERROR(IF(INDEX(Vinos!$J$2:$J$301,MATCH($B832,Vinos!$A$2:$A$301,0))="","",$H832*INDEX(Vinos!$J$2:$J$301,MATCH($B832,Vinos!$A$2:$A$301,0))),""))</f>
        <v/>
      </c>
      <c r="L832" s="16">
        <f>IF($H832="","",IFERROR(IF(INDEX(Vinos!$K$2:$K$301,MATCH($B832,Vinos!$A$2:$A$301,0))="","",$H832*INDEX(Vinos!$K$2:$K$301,MATCH($B832,Vinos!$A$2:$A$301,0))),""))</f>
        <v/>
      </c>
      <c r="M832" s="21">
        <f>IF(OR($A832="",$B832=""),"",SUMIFS($H$2:$H$2001,$A$2:$A$2001,$A832,$B$2:$B$2001,$B832))</f>
        <v/>
      </c>
      <c r="N832" s="20">
        <f>IF($M832="","",IF($M832&lt;=0,"Sin stock: reponer ya",IF($M832&lt;IFERROR(N(INDEX(Vinos!$N$2:$N$301,MATCH($B832,Vinos!$A$2:$A$301,0))),0),"Bajo mínimo: reponer","OK")))</f>
        <v/>
      </c>
      <c r="O832" s="14" t="n"/>
      <c r="P832" s="14" t="n"/>
      <c r="Q832" s="20">
        <f>IF($B832="","",IFERROR(INDEX(Vinos!$C$2:$C$301,MATCH($B832,Vinos!$A$2:$A$301,0)),""))</f>
        <v/>
      </c>
      <c r="R832" s="20">
        <f>IF(OR($A832="",$A832&lt;&gt;'Resumen del inventario'!$C$3,$N832="",$N832="OK"),"",IF(COUNTIFS($A$2:$A832,$A832,$B$2:$B832,$B832)=1,1,""))</f>
        <v/>
      </c>
      <c r="S832" s="20">
        <f>IF($R832=1,COUNTIF($R$2:$R832,1),"")</f>
        <v/>
      </c>
    </row>
    <row r="833">
      <c r="A833" s="19" t="n"/>
      <c r="B833" s="14" t="n"/>
      <c r="C833" s="20">
        <f>IF($B833="","",IFERROR(INDEX(Vinos!$B$2:$B$301,MATCH($B833,Vinos!$A$2:$A$301,0)),"Código no cargado"))</f>
        <v/>
      </c>
      <c r="D833" s="14" t="n"/>
      <c r="E833" s="14" t="n"/>
      <c r="F833" s="18" t="n"/>
      <c r="G833" s="18" t="n"/>
      <c r="H833" s="21">
        <f>IF(AND($F833="",$G833=""),"",N($F833)*IFERROR(N(INDEX(Vinos!$H$2:$H$301,MATCH($B833,Vinos!$A$2:$A$301,0))),0)+N($G833))</f>
        <v/>
      </c>
      <c r="I833" s="18" t="n"/>
      <c r="J833" s="21">
        <f>IF(OR($H833="",$I833=""),"",$H833-$I833)</f>
        <v/>
      </c>
      <c r="K833" s="16">
        <f>IF($H833="","",IFERROR(IF(INDEX(Vinos!$J$2:$J$301,MATCH($B833,Vinos!$A$2:$A$301,0))="","",$H833*INDEX(Vinos!$J$2:$J$301,MATCH($B833,Vinos!$A$2:$A$301,0))),""))</f>
        <v/>
      </c>
      <c r="L833" s="16">
        <f>IF($H833="","",IFERROR(IF(INDEX(Vinos!$K$2:$K$301,MATCH($B833,Vinos!$A$2:$A$301,0))="","",$H833*INDEX(Vinos!$K$2:$K$301,MATCH($B833,Vinos!$A$2:$A$301,0))),""))</f>
        <v/>
      </c>
      <c r="M833" s="21">
        <f>IF(OR($A833="",$B833=""),"",SUMIFS($H$2:$H$2001,$A$2:$A$2001,$A833,$B$2:$B$2001,$B833))</f>
        <v/>
      </c>
      <c r="N833" s="20">
        <f>IF($M833="","",IF($M833&lt;=0,"Sin stock: reponer ya",IF($M833&lt;IFERROR(N(INDEX(Vinos!$N$2:$N$301,MATCH($B833,Vinos!$A$2:$A$301,0))),0),"Bajo mínimo: reponer","OK")))</f>
        <v/>
      </c>
      <c r="O833" s="14" t="n"/>
      <c r="P833" s="14" t="n"/>
      <c r="Q833" s="20">
        <f>IF($B833="","",IFERROR(INDEX(Vinos!$C$2:$C$301,MATCH($B833,Vinos!$A$2:$A$301,0)),""))</f>
        <v/>
      </c>
      <c r="R833" s="20">
        <f>IF(OR($A833="",$A833&lt;&gt;'Resumen del inventario'!$C$3,$N833="",$N833="OK"),"",IF(COUNTIFS($A$2:$A833,$A833,$B$2:$B833,$B833)=1,1,""))</f>
        <v/>
      </c>
      <c r="S833" s="20">
        <f>IF($R833=1,COUNTIF($R$2:$R833,1),"")</f>
        <v/>
      </c>
    </row>
    <row r="834">
      <c r="A834" s="19" t="n"/>
      <c r="B834" s="14" t="n"/>
      <c r="C834" s="20">
        <f>IF($B834="","",IFERROR(INDEX(Vinos!$B$2:$B$301,MATCH($B834,Vinos!$A$2:$A$301,0)),"Código no cargado"))</f>
        <v/>
      </c>
      <c r="D834" s="14" t="n"/>
      <c r="E834" s="14" t="n"/>
      <c r="F834" s="18" t="n"/>
      <c r="G834" s="18" t="n"/>
      <c r="H834" s="21">
        <f>IF(AND($F834="",$G834=""),"",N($F834)*IFERROR(N(INDEX(Vinos!$H$2:$H$301,MATCH($B834,Vinos!$A$2:$A$301,0))),0)+N($G834))</f>
        <v/>
      </c>
      <c r="I834" s="18" t="n"/>
      <c r="J834" s="21">
        <f>IF(OR($H834="",$I834=""),"",$H834-$I834)</f>
        <v/>
      </c>
      <c r="K834" s="16">
        <f>IF($H834="","",IFERROR(IF(INDEX(Vinos!$J$2:$J$301,MATCH($B834,Vinos!$A$2:$A$301,0))="","",$H834*INDEX(Vinos!$J$2:$J$301,MATCH($B834,Vinos!$A$2:$A$301,0))),""))</f>
        <v/>
      </c>
      <c r="L834" s="16">
        <f>IF($H834="","",IFERROR(IF(INDEX(Vinos!$K$2:$K$301,MATCH($B834,Vinos!$A$2:$A$301,0))="","",$H834*INDEX(Vinos!$K$2:$K$301,MATCH($B834,Vinos!$A$2:$A$301,0))),""))</f>
        <v/>
      </c>
      <c r="M834" s="21">
        <f>IF(OR($A834="",$B834=""),"",SUMIFS($H$2:$H$2001,$A$2:$A$2001,$A834,$B$2:$B$2001,$B834))</f>
        <v/>
      </c>
      <c r="N834" s="20">
        <f>IF($M834="","",IF($M834&lt;=0,"Sin stock: reponer ya",IF($M834&lt;IFERROR(N(INDEX(Vinos!$N$2:$N$301,MATCH($B834,Vinos!$A$2:$A$301,0))),0),"Bajo mínimo: reponer","OK")))</f>
        <v/>
      </c>
      <c r="O834" s="14" t="n"/>
      <c r="P834" s="14" t="n"/>
      <c r="Q834" s="20">
        <f>IF($B834="","",IFERROR(INDEX(Vinos!$C$2:$C$301,MATCH($B834,Vinos!$A$2:$A$301,0)),""))</f>
        <v/>
      </c>
      <c r="R834" s="20">
        <f>IF(OR($A834="",$A834&lt;&gt;'Resumen del inventario'!$C$3,$N834="",$N834="OK"),"",IF(COUNTIFS($A$2:$A834,$A834,$B$2:$B834,$B834)=1,1,""))</f>
        <v/>
      </c>
      <c r="S834" s="20">
        <f>IF($R834=1,COUNTIF($R$2:$R834,1),"")</f>
        <v/>
      </c>
    </row>
    <row r="835">
      <c r="A835" s="19" t="n"/>
      <c r="B835" s="14" t="n"/>
      <c r="C835" s="20">
        <f>IF($B835="","",IFERROR(INDEX(Vinos!$B$2:$B$301,MATCH($B835,Vinos!$A$2:$A$301,0)),"Código no cargado"))</f>
        <v/>
      </c>
      <c r="D835" s="14" t="n"/>
      <c r="E835" s="14" t="n"/>
      <c r="F835" s="18" t="n"/>
      <c r="G835" s="18" t="n"/>
      <c r="H835" s="21">
        <f>IF(AND($F835="",$G835=""),"",N($F835)*IFERROR(N(INDEX(Vinos!$H$2:$H$301,MATCH($B835,Vinos!$A$2:$A$301,0))),0)+N($G835))</f>
        <v/>
      </c>
      <c r="I835" s="18" t="n"/>
      <c r="J835" s="21">
        <f>IF(OR($H835="",$I835=""),"",$H835-$I835)</f>
        <v/>
      </c>
      <c r="K835" s="16">
        <f>IF($H835="","",IFERROR(IF(INDEX(Vinos!$J$2:$J$301,MATCH($B835,Vinos!$A$2:$A$301,0))="","",$H835*INDEX(Vinos!$J$2:$J$301,MATCH($B835,Vinos!$A$2:$A$301,0))),""))</f>
        <v/>
      </c>
      <c r="L835" s="16">
        <f>IF($H835="","",IFERROR(IF(INDEX(Vinos!$K$2:$K$301,MATCH($B835,Vinos!$A$2:$A$301,0))="","",$H835*INDEX(Vinos!$K$2:$K$301,MATCH($B835,Vinos!$A$2:$A$301,0))),""))</f>
        <v/>
      </c>
      <c r="M835" s="21">
        <f>IF(OR($A835="",$B835=""),"",SUMIFS($H$2:$H$2001,$A$2:$A$2001,$A835,$B$2:$B$2001,$B835))</f>
        <v/>
      </c>
      <c r="N835" s="20">
        <f>IF($M835="","",IF($M835&lt;=0,"Sin stock: reponer ya",IF($M835&lt;IFERROR(N(INDEX(Vinos!$N$2:$N$301,MATCH($B835,Vinos!$A$2:$A$301,0))),0),"Bajo mínimo: reponer","OK")))</f>
        <v/>
      </c>
      <c r="O835" s="14" t="n"/>
      <c r="P835" s="14" t="n"/>
      <c r="Q835" s="20">
        <f>IF($B835="","",IFERROR(INDEX(Vinos!$C$2:$C$301,MATCH($B835,Vinos!$A$2:$A$301,0)),""))</f>
        <v/>
      </c>
      <c r="R835" s="20">
        <f>IF(OR($A835="",$A835&lt;&gt;'Resumen del inventario'!$C$3,$N835="",$N835="OK"),"",IF(COUNTIFS($A$2:$A835,$A835,$B$2:$B835,$B835)=1,1,""))</f>
        <v/>
      </c>
      <c r="S835" s="20">
        <f>IF($R835=1,COUNTIF($R$2:$R835,1),"")</f>
        <v/>
      </c>
    </row>
    <row r="836">
      <c r="A836" s="19" t="n"/>
      <c r="B836" s="14" t="n"/>
      <c r="C836" s="20">
        <f>IF($B836="","",IFERROR(INDEX(Vinos!$B$2:$B$301,MATCH($B836,Vinos!$A$2:$A$301,0)),"Código no cargado"))</f>
        <v/>
      </c>
      <c r="D836" s="14" t="n"/>
      <c r="E836" s="14" t="n"/>
      <c r="F836" s="18" t="n"/>
      <c r="G836" s="18" t="n"/>
      <c r="H836" s="21">
        <f>IF(AND($F836="",$G836=""),"",N($F836)*IFERROR(N(INDEX(Vinos!$H$2:$H$301,MATCH($B836,Vinos!$A$2:$A$301,0))),0)+N($G836))</f>
        <v/>
      </c>
      <c r="I836" s="18" t="n"/>
      <c r="J836" s="21">
        <f>IF(OR($H836="",$I836=""),"",$H836-$I836)</f>
        <v/>
      </c>
      <c r="K836" s="16">
        <f>IF($H836="","",IFERROR(IF(INDEX(Vinos!$J$2:$J$301,MATCH($B836,Vinos!$A$2:$A$301,0))="","",$H836*INDEX(Vinos!$J$2:$J$301,MATCH($B836,Vinos!$A$2:$A$301,0))),""))</f>
        <v/>
      </c>
      <c r="L836" s="16">
        <f>IF($H836="","",IFERROR(IF(INDEX(Vinos!$K$2:$K$301,MATCH($B836,Vinos!$A$2:$A$301,0))="","",$H836*INDEX(Vinos!$K$2:$K$301,MATCH($B836,Vinos!$A$2:$A$301,0))),""))</f>
        <v/>
      </c>
      <c r="M836" s="21">
        <f>IF(OR($A836="",$B836=""),"",SUMIFS($H$2:$H$2001,$A$2:$A$2001,$A836,$B$2:$B$2001,$B836))</f>
        <v/>
      </c>
      <c r="N836" s="20">
        <f>IF($M836="","",IF($M836&lt;=0,"Sin stock: reponer ya",IF($M836&lt;IFERROR(N(INDEX(Vinos!$N$2:$N$301,MATCH($B836,Vinos!$A$2:$A$301,0))),0),"Bajo mínimo: reponer","OK")))</f>
        <v/>
      </c>
      <c r="O836" s="14" t="n"/>
      <c r="P836" s="14" t="n"/>
      <c r="Q836" s="20">
        <f>IF($B836="","",IFERROR(INDEX(Vinos!$C$2:$C$301,MATCH($B836,Vinos!$A$2:$A$301,0)),""))</f>
        <v/>
      </c>
      <c r="R836" s="20">
        <f>IF(OR($A836="",$A836&lt;&gt;'Resumen del inventario'!$C$3,$N836="",$N836="OK"),"",IF(COUNTIFS($A$2:$A836,$A836,$B$2:$B836,$B836)=1,1,""))</f>
        <v/>
      </c>
      <c r="S836" s="20">
        <f>IF($R836=1,COUNTIF($R$2:$R836,1),"")</f>
        <v/>
      </c>
    </row>
    <row r="837">
      <c r="A837" s="19" t="n"/>
      <c r="B837" s="14" t="n"/>
      <c r="C837" s="20">
        <f>IF($B837="","",IFERROR(INDEX(Vinos!$B$2:$B$301,MATCH($B837,Vinos!$A$2:$A$301,0)),"Código no cargado"))</f>
        <v/>
      </c>
      <c r="D837" s="14" t="n"/>
      <c r="E837" s="14" t="n"/>
      <c r="F837" s="18" t="n"/>
      <c r="G837" s="18" t="n"/>
      <c r="H837" s="21">
        <f>IF(AND($F837="",$G837=""),"",N($F837)*IFERROR(N(INDEX(Vinos!$H$2:$H$301,MATCH($B837,Vinos!$A$2:$A$301,0))),0)+N($G837))</f>
        <v/>
      </c>
      <c r="I837" s="18" t="n"/>
      <c r="J837" s="21">
        <f>IF(OR($H837="",$I837=""),"",$H837-$I837)</f>
        <v/>
      </c>
      <c r="K837" s="16">
        <f>IF($H837="","",IFERROR(IF(INDEX(Vinos!$J$2:$J$301,MATCH($B837,Vinos!$A$2:$A$301,0))="","",$H837*INDEX(Vinos!$J$2:$J$301,MATCH($B837,Vinos!$A$2:$A$301,0))),""))</f>
        <v/>
      </c>
      <c r="L837" s="16">
        <f>IF($H837="","",IFERROR(IF(INDEX(Vinos!$K$2:$K$301,MATCH($B837,Vinos!$A$2:$A$301,0))="","",$H837*INDEX(Vinos!$K$2:$K$301,MATCH($B837,Vinos!$A$2:$A$301,0))),""))</f>
        <v/>
      </c>
      <c r="M837" s="21">
        <f>IF(OR($A837="",$B837=""),"",SUMIFS($H$2:$H$2001,$A$2:$A$2001,$A837,$B$2:$B$2001,$B837))</f>
        <v/>
      </c>
      <c r="N837" s="20">
        <f>IF($M837="","",IF($M837&lt;=0,"Sin stock: reponer ya",IF($M837&lt;IFERROR(N(INDEX(Vinos!$N$2:$N$301,MATCH($B837,Vinos!$A$2:$A$301,0))),0),"Bajo mínimo: reponer","OK")))</f>
        <v/>
      </c>
      <c r="O837" s="14" t="n"/>
      <c r="P837" s="14" t="n"/>
      <c r="Q837" s="20">
        <f>IF($B837="","",IFERROR(INDEX(Vinos!$C$2:$C$301,MATCH($B837,Vinos!$A$2:$A$301,0)),""))</f>
        <v/>
      </c>
      <c r="R837" s="20">
        <f>IF(OR($A837="",$A837&lt;&gt;'Resumen del inventario'!$C$3,$N837="",$N837="OK"),"",IF(COUNTIFS($A$2:$A837,$A837,$B$2:$B837,$B837)=1,1,""))</f>
        <v/>
      </c>
      <c r="S837" s="20">
        <f>IF($R837=1,COUNTIF($R$2:$R837,1),"")</f>
        <v/>
      </c>
    </row>
    <row r="838">
      <c r="A838" s="19" t="n"/>
      <c r="B838" s="14" t="n"/>
      <c r="C838" s="20">
        <f>IF($B838="","",IFERROR(INDEX(Vinos!$B$2:$B$301,MATCH($B838,Vinos!$A$2:$A$301,0)),"Código no cargado"))</f>
        <v/>
      </c>
      <c r="D838" s="14" t="n"/>
      <c r="E838" s="14" t="n"/>
      <c r="F838" s="18" t="n"/>
      <c r="G838" s="18" t="n"/>
      <c r="H838" s="21">
        <f>IF(AND($F838="",$G838=""),"",N($F838)*IFERROR(N(INDEX(Vinos!$H$2:$H$301,MATCH($B838,Vinos!$A$2:$A$301,0))),0)+N($G838))</f>
        <v/>
      </c>
      <c r="I838" s="18" t="n"/>
      <c r="J838" s="21">
        <f>IF(OR($H838="",$I838=""),"",$H838-$I838)</f>
        <v/>
      </c>
      <c r="K838" s="16">
        <f>IF($H838="","",IFERROR(IF(INDEX(Vinos!$J$2:$J$301,MATCH($B838,Vinos!$A$2:$A$301,0))="","",$H838*INDEX(Vinos!$J$2:$J$301,MATCH($B838,Vinos!$A$2:$A$301,0))),""))</f>
        <v/>
      </c>
      <c r="L838" s="16">
        <f>IF($H838="","",IFERROR(IF(INDEX(Vinos!$K$2:$K$301,MATCH($B838,Vinos!$A$2:$A$301,0))="","",$H838*INDEX(Vinos!$K$2:$K$301,MATCH($B838,Vinos!$A$2:$A$301,0))),""))</f>
        <v/>
      </c>
      <c r="M838" s="21">
        <f>IF(OR($A838="",$B838=""),"",SUMIFS($H$2:$H$2001,$A$2:$A$2001,$A838,$B$2:$B$2001,$B838))</f>
        <v/>
      </c>
      <c r="N838" s="20">
        <f>IF($M838="","",IF($M838&lt;=0,"Sin stock: reponer ya",IF($M838&lt;IFERROR(N(INDEX(Vinos!$N$2:$N$301,MATCH($B838,Vinos!$A$2:$A$301,0))),0),"Bajo mínimo: reponer","OK")))</f>
        <v/>
      </c>
      <c r="O838" s="14" t="n"/>
      <c r="P838" s="14" t="n"/>
      <c r="Q838" s="20">
        <f>IF($B838="","",IFERROR(INDEX(Vinos!$C$2:$C$301,MATCH($B838,Vinos!$A$2:$A$301,0)),""))</f>
        <v/>
      </c>
      <c r="R838" s="20">
        <f>IF(OR($A838="",$A838&lt;&gt;'Resumen del inventario'!$C$3,$N838="",$N838="OK"),"",IF(COUNTIFS($A$2:$A838,$A838,$B$2:$B838,$B838)=1,1,""))</f>
        <v/>
      </c>
      <c r="S838" s="20">
        <f>IF($R838=1,COUNTIF($R$2:$R838,1),"")</f>
        <v/>
      </c>
    </row>
    <row r="839">
      <c r="A839" s="19" t="n"/>
      <c r="B839" s="14" t="n"/>
      <c r="C839" s="20">
        <f>IF($B839="","",IFERROR(INDEX(Vinos!$B$2:$B$301,MATCH($B839,Vinos!$A$2:$A$301,0)),"Código no cargado"))</f>
        <v/>
      </c>
      <c r="D839" s="14" t="n"/>
      <c r="E839" s="14" t="n"/>
      <c r="F839" s="18" t="n"/>
      <c r="G839" s="18" t="n"/>
      <c r="H839" s="21">
        <f>IF(AND($F839="",$G839=""),"",N($F839)*IFERROR(N(INDEX(Vinos!$H$2:$H$301,MATCH($B839,Vinos!$A$2:$A$301,0))),0)+N($G839))</f>
        <v/>
      </c>
      <c r="I839" s="18" t="n"/>
      <c r="J839" s="21">
        <f>IF(OR($H839="",$I839=""),"",$H839-$I839)</f>
        <v/>
      </c>
      <c r="K839" s="16">
        <f>IF($H839="","",IFERROR(IF(INDEX(Vinos!$J$2:$J$301,MATCH($B839,Vinos!$A$2:$A$301,0))="","",$H839*INDEX(Vinos!$J$2:$J$301,MATCH($B839,Vinos!$A$2:$A$301,0))),""))</f>
        <v/>
      </c>
      <c r="L839" s="16">
        <f>IF($H839="","",IFERROR(IF(INDEX(Vinos!$K$2:$K$301,MATCH($B839,Vinos!$A$2:$A$301,0))="","",$H839*INDEX(Vinos!$K$2:$K$301,MATCH($B839,Vinos!$A$2:$A$301,0))),""))</f>
        <v/>
      </c>
      <c r="M839" s="21">
        <f>IF(OR($A839="",$B839=""),"",SUMIFS($H$2:$H$2001,$A$2:$A$2001,$A839,$B$2:$B$2001,$B839))</f>
        <v/>
      </c>
      <c r="N839" s="20">
        <f>IF($M839="","",IF($M839&lt;=0,"Sin stock: reponer ya",IF($M839&lt;IFERROR(N(INDEX(Vinos!$N$2:$N$301,MATCH($B839,Vinos!$A$2:$A$301,0))),0),"Bajo mínimo: reponer","OK")))</f>
        <v/>
      </c>
      <c r="O839" s="14" t="n"/>
      <c r="P839" s="14" t="n"/>
      <c r="Q839" s="20">
        <f>IF($B839="","",IFERROR(INDEX(Vinos!$C$2:$C$301,MATCH($B839,Vinos!$A$2:$A$301,0)),""))</f>
        <v/>
      </c>
      <c r="R839" s="20">
        <f>IF(OR($A839="",$A839&lt;&gt;'Resumen del inventario'!$C$3,$N839="",$N839="OK"),"",IF(COUNTIFS($A$2:$A839,$A839,$B$2:$B839,$B839)=1,1,""))</f>
        <v/>
      </c>
      <c r="S839" s="20">
        <f>IF($R839=1,COUNTIF($R$2:$R839,1),"")</f>
        <v/>
      </c>
    </row>
    <row r="840">
      <c r="A840" s="19" t="n"/>
      <c r="B840" s="14" t="n"/>
      <c r="C840" s="20">
        <f>IF($B840="","",IFERROR(INDEX(Vinos!$B$2:$B$301,MATCH($B840,Vinos!$A$2:$A$301,0)),"Código no cargado"))</f>
        <v/>
      </c>
      <c r="D840" s="14" t="n"/>
      <c r="E840" s="14" t="n"/>
      <c r="F840" s="18" t="n"/>
      <c r="G840" s="18" t="n"/>
      <c r="H840" s="21">
        <f>IF(AND($F840="",$G840=""),"",N($F840)*IFERROR(N(INDEX(Vinos!$H$2:$H$301,MATCH($B840,Vinos!$A$2:$A$301,0))),0)+N($G840))</f>
        <v/>
      </c>
      <c r="I840" s="18" t="n"/>
      <c r="J840" s="21">
        <f>IF(OR($H840="",$I840=""),"",$H840-$I840)</f>
        <v/>
      </c>
      <c r="K840" s="16">
        <f>IF($H840="","",IFERROR(IF(INDEX(Vinos!$J$2:$J$301,MATCH($B840,Vinos!$A$2:$A$301,0))="","",$H840*INDEX(Vinos!$J$2:$J$301,MATCH($B840,Vinos!$A$2:$A$301,0))),""))</f>
        <v/>
      </c>
      <c r="L840" s="16">
        <f>IF($H840="","",IFERROR(IF(INDEX(Vinos!$K$2:$K$301,MATCH($B840,Vinos!$A$2:$A$301,0))="","",$H840*INDEX(Vinos!$K$2:$K$301,MATCH($B840,Vinos!$A$2:$A$301,0))),""))</f>
        <v/>
      </c>
      <c r="M840" s="21">
        <f>IF(OR($A840="",$B840=""),"",SUMIFS($H$2:$H$2001,$A$2:$A$2001,$A840,$B$2:$B$2001,$B840))</f>
        <v/>
      </c>
      <c r="N840" s="20">
        <f>IF($M840="","",IF($M840&lt;=0,"Sin stock: reponer ya",IF($M840&lt;IFERROR(N(INDEX(Vinos!$N$2:$N$301,MATCH($B840,Vinos!$A$2:$A$301,0))),0),"Bajo mínimo: reponer","OK")))</f>
        <v/>
      </c>
      <c r="O840" s="14" t="n"/>
      <c r="P840" s="14" t="n"/>
      <c r="Q840" s="20">
        <f>IF($B840="","",IFERROR(INDEX(Vinos!$C$2:$C$301,MATCH($B840,Vinos!$A$2:$A$301,0)),""))</f>
        <v/>
      </c>
      <c r="R840" s="20">
        <f>IF(OR($A840="",$A840&lt;&gt;'Resumen del inventario'!$C$3,$N840="",$N840="OK"),"",IF(COUNTIFS($A$2:$A840,$A840,$B$2:$B840,$B840)=1,1,""))</f>
        <v/>
      </c>
      <c r="S840" s="20">
        <f>IF($R840=1,COUNTIF($R$2:$R840,1),"")</f>
        <v/>
      </c>
    </row>
    <row r="841">
      <c r="A841" s="19" t="n"/>
      <c r="B841" s="14" t="n"/>
      <c r="C841" s="20">
        <f>IF($B841="","",IFERROR(INDEX(Vinos!$B$2:$B$301,MATCH($B841,Vinos!$A$2:$A$301,0)),"Código no cargado"))</f>
        <v/>
      </c>
      <c r="D841" s="14" t="n"/>
      <c r="E841" s="14" t="n"/>
      <c r="F841" s="18" t="n"/>
      <c r="G841" s="18" t="n"/>
      <c r="H841" s="21">
        <f>IF(AND($F841="",$G841=""),"",N($F841)*IFERROR(N(INDEX(Vinos!$H$2:$H$301,MATCH($B841,Vinos!$A$2:$A$301,0))),0)+N($G841))</f>
        <v/>
      </c>
      <c r="I841" s="18" t="n"/>
      <c r="J841" s="21">
        <f>IF(OR($H841="",$I841=""),"",$H841-$I841)</f>
        <v/>
      </c>
      <c r="K841" s="16">
        <f>IF($H841="","",IFERROR(IF(INDEX(Vinos!$J$2:$J$301,MATCH($B841,Vinos!$A$2:$A$301,0))="","",$H841*INDEX(Vinos!$J$2:$J$301,MATCH($B841,Vinos!$A$2:$A$301,0))),""))</f>
        <v/>
      </c>
      <c r="L841" s="16">
        <f>IF($H841="","",IFERROR(IF(INDEX(Vinos!$K$2:$K$301,MATCH($B841,Vinos!$A$2:$A$301,0))="","",$H841*INDEX(Vinos!$K$2:$K$301,MATCH($B841,Vinos!$A$2:$A$301,0))),""))</f>
        <v/>
      </c>
      <c r="M841" s="21">
        <f>IF(OR($A841="",$B841=""),"",SUMIFS($H$2:$H$2001,$A$2:$A$2001,$A841,$B$2:$B$2001,$B841))</f>
        <v/>
      </c>
      <c r="N841" s="20">
        <f>IF($M841="","",IF($M841&lt;=0,"Sin stock: reponer ya",IF($M841&lt;IFERROR(N(INDEX(Vinos!$N$2:$N$301,MATCH($B841,Vinos!$A$2:$A$301,0))),0),"Bajo mínimo: reponer","OK")))</f>
        <v/>
      </c>
      <c r="O841" s="14" t="n"/>
      <c r="P841" s="14" t="n"/>
      <c r="Q841" s="20">
        <f>IF($B841="","",IFERROR(INDEX(Vinos!$C$2:$C$301,MATCH($B841,Vinos!$A$2:$A$301,0)),""))</f>
        <v/>
      </c>
      <c r="R841" s="20">
        <f>IF(OR($A841="",$A841&lt;&gt;'Resumen del inventario'!$C$3,$N841="",$N841="OK"),"",IF(COUNTIFS($A$2:$A841,$A841,$B$2:$B841,$B841)=1,1,""))</f>
        <v/>
      </c>
      <c r="S841" s="20">
        <f>IF($R841=1,COUNTIF($R$2:$R841,1),"")</f>
        <v/>
      </c>
    </row>
    <row r="842">
      <c r="A842" s="19" t="n"/>
      <c r="B842" s="14" t="n"/>
      <c r="C842" s="20">
        <f>IF($B842="","",IFERROR(INDEX(Vinos!$B$2:$B$301,MATCH($B842,Vinos!$A$2:$A$301,0)),"Código no cargado"))</f>
        <v/>
      </c>
      <c r="D842" s="14" t="n"/>
      <c r="E842" s="14" t="n"/>
      <c r="F842" s="18" t="n"/>
      <c r="G842" s="18" t="n"/>
      <c r="H842" s="21">
        <f>IF(AND($F842="",$G842=""),"",N($F842)*IFERROR(N(INDEX(Vinos!$H$2:$H$301,MATCH($B842,Vinos!$A$2:$A$301,0))),0)+N($G842))</f>
        <v/>
      </c>
      <c r="I842" s="18" t="n"/>
      <c r="J842" s="21">
        <f>IF(OR($H842="",$I842=""),"",$H842-$I842)</f>
        <v/>
      </c>
      <c r="K842" s="16">
        <f>IF($H842="","",IFERROR(IF(INDEX(Vinos!$J$2:$J$301,MATCH($B842,Vinos!$A$2:$A$301,0))="","",$H842*INDEX(Vinos!$J$2:$J$301,MATCH($B842,Vinos!$A$2:$A$301,0))),""))</f>
        <v/>
      </c>
      <c r="L842" s="16">
        <f>IF($H842="","",IFERROR(IF(INDEX(Vinos!$K$2:$K$301,MATCH($B842,Vinos!$A$2:$A$301,0))="","",$H842*INDEX(Vinos!$K$2:$K$301,MATCH($B842,Vinos!$A$2:$A$301,0))),""))</f>
        <v/>
      </c>
      <c r="M842" s="21">
        <f>IF(OR($A842="",$B842=""),"",SUMIFS($H$2:$H$2001,$A$2:$A$2001,$A842,$B$2:$B$2001,$B842))</f>
        <v/>
      </c>
      <c r="N842" s="20">
        <f>IF($M842="","",IF($M842&lt;=0,"Sin stock: reponer ya",IF($M842&lt;IFERROR(N(INDEX(Vinos!$N$2:$N$301,MATCH($B842,Vinos!$A$2:$A$301,0))),0),"Bajo mínimo: reponer","OK")))</f>
        <v/>
      </c>
      <c r="O842" s="14" t="n"/>
      <c r="P842" s="14" t="n"/>
      <c r="Q842" s="20">
        <f>IF($B842="","",IFERROR(INDEX(Vinos!$C$2:$C$301,MATCH($B842,Vinos!$A$2:$A$301,0)),""))</f>
        <v/>
      </c>
      <c r="R842" s="20">
        <f>IF(OR($A842="",$A842&lt;&gt;'Resumen del inventario'!$C$3,$N842="",$N842="OK"),"",IF(COUNTIFS($A$2:$A842,$A842,$B$2:$B842,$B842)=1,1,""))</f>
        <v/>
      </c>
      <c r="S842" s="20">
        <f>IF($R842=1,COUNTIF($R$2:$R842,1),"")</f>
        <v/>
      </c>
    </row>
    <row r="843">
      <c r="A843" s="19" t="n"/>
      <c r="B843" s="14" t="n"/>
      <c r="C843" s="20">
        <f>IF($B843="","",IFERROR(INDEX(Vinos!$B$2:$B$301,MATCH($B843,Vinos!$A$2:$A$301,0)),"Código no cargado"))</f>
        <v/>
      </c>
      <c r="D843" s="14" t="n"/>
      <c r="E843" s="14" t="n"/>
      <c r="F843" s="18" t="n"/>
      <c r="G843" s="18" t="n"/>
      <c r="H843" s="21">
        <f>IF(AND($F843="",$G843=""),"",N($F843)*IFERROR(N(INDEX(Vinos!$H$2:$H$301,MATCH($B843,Vinos!$A$2:$A$301,0))),0)+N($G843))</f>
        <v/>
      </c>
      <c r="I843" s="18" t="n"/>
      <c r="J843" s="21">
        <f>IF(OR($H843="",$I843=""),"",$H843-$I843)</f>
        <v/>
      </c>
      <c r="K843" s="16">
        <f>IF($H843="","",IFERROR(IF(INDEX(Vinos!$J$2:$J$301,MATCH($B843,Vinos!$A$2:$A$301,0))="","",$H843*INDEX(Vinos!$J$2:$J$301,MATCH($B843,Vinos!$A$2:$A$301,0))),""))</f>
        <v/>
      </c>
      <c r="L843" s="16">
        <f>IF($H843="","",IFERROR(IF(INDEX(Vinos!$K$2:$K$301,MATCH($B843,Vinos!$A$2:$A$301,0))="","",$H843*INDEX(Vinos!$K$2:$K$301,MATCH($B843,Vinos!$A$2:$A$301,0))),""))</f>
        <v/>
      </c>
      <c r="M843" s="21">
        <f>IF(OR($A843="",$B843=""),"",SUMIFS($H$2:$H$2001,$A$2:$A$2001,$A843,$B$2:$B$2001,$B843))</f>
        <v/>
      </c>
      <c r="N843" s="20">
        <f>IF($M843="","",IF($M843&lt;=0,"Sin stock: reponer ya",IF($M843&lt;IFERROR(N(INDEX(Vinos!$N$2:$N$301,MATCH($B843,Vinos!$A$2:$A$301,0))),0),"Bajo mínimo: reponer","OK")))</f>
        <v/>
      </c>
      <c r="O843" s="14" t="n"/>
      <c r="P843" s="14" t="n"/>
      <c r="Q843" s="20">
        <f>IF($B843="","",IFERROR(INDEX(Vinos!$C$2:$C$301,MATCH($B843,Vinos!$A$2:$A$301,0)),""))</f>
        <v/>
      </c>
      <c r="R843" s="20">
        <f>IF(OR($A843="",$A843&lt;&gt;'Resumen del inventario'!$C$3,$N843="",$N843="OK"),"",IF(COUNTIFS($A$2:$A843,$A843,$B$2:$B843,$B843)=1,1,""))</f>
        <v/>
      </c>
      <c r="S843" s="20">
        <f>IF($R843=1,COUNTIF($R$2:$R843,1),"")</f>
        <v/>
      </c>
    </row>
    <row r="844">
      <c r="A844" s="19" t="n"/>
      <c r="B844" s="14" t="n"/>
      <c r="C844" s="20">
        <f>IF($B844="","",IFERROR(INDEX(Vinos!$B$2:$B$301,MATCH($B844,Vinos!$A$2:$A$301,0)),"Código no cargado"))</f>
        <v/>
      </c>
      <c r="D844" s="14" t="n"/>
      <c r="E844" s="14" t="n"/>
      <c r="F844" s="18" t="n"/>
      <c r="G844" s="18" t="n"/>
      <c r="H844" s="21">
        <f>IF(AND($F844="",$G844=""),"",N($F844)*IFERROR(N(INDEX(Vinos!$H$2:$H$301,MATCH($B844,Vinos!$A$2:$A$301,0))),0)+N($G844))</f>
        <v/>
      </c>
      <c r="I844" s="18" t="n"/>
      <c r="J844" s="21">
        <f>IF(OR($H844="",$I844=""),"",$H844-$I844)</f>
        <v/>
      </c>
      <c r="K844" s="16">
        <f>IF($H844="","",IFERROR(IF(INDEX(Vinos!$J$2:$J$301,MATCH($B844,Vinos!$A$2:$A$301,0))="","",$H844*INDEX(Vinos!$J$2:$J$301,MATCH($B844,Vinos!$A$2:$A$301,0))),""))</f>
        <v/>
      </c>
      <c r="L844" s="16">
        <f>IF($H844="","",IFERROR(IF(INDEX(Vinos!$K$2:$K$301,MATCH($B844,Vinos!$A$2:$A$301,0))="","",$H844*INDEX(Vinos!$K$2:$K$301,MATCH($B844,Vinos!$A$2:$A$301,0))),""))</f>
        <v/>
      </c>
      <c r="M844" s="21">
        <f>IF(OR($A844="",$B844=""),"",SUMIFS($H$2:$H$2001,$A$2:$A$2001,$A844,$B$2:$B$2001,$B844))</f>
        <v/>
      </c>
      <c r="N844" s="20">
        <f>IF($M844="","",IF($M844&lt;=0,"Sin stock: reponer ya",IF($M844&lt;IFERROR(N(INDEX(Vinos!$N$2:$N$301,MATCH($B844,Vinos!$A$2:$A$301,0))),0),"Bajo mínimo: reponer","OK")))</f>
        <v/>
      </c>
      <c r="O844" s="14" t="n"/>
      <c r="P844" s="14" t="n"/>
      <c r="Q844" s="20">
        <f>IF($B844="","",IFERROR(INDEX(Vinos!$C$2:$C$301,MATCH($B844,Vinos!$A$2:$A$301,0)),""))</f>
        <v/>
      </c>
      <c r="R844" s="20">
        <f>IF(OR($A844="",$A844&lt;&gt;'Resumen del inventario'!$C$3,$N844="",$N844="OK"),"",IF(COUNTIFS($A$2:$A844,$A844,$B$2:$B844,$B844)=1,1,""))</f>
        <v/>
      </c>
      <c r="S844" s="20">
        <f>IF($R844=1,COUNTIF($R$2:$R844,1),"")</f>
        <v/>
      </c>
    </row>
    <row r="845">
      <c r="A845" s="19" t="n"/>
      <c r="B845" s="14" t="n"/>
      <c r="C845" s="20">
        <f>IF($B845="","",IFERROR(INDEX(Vinos!$B$2:$B$301,MATCH($B845,Vinos!$A$2:$A$301,0)),"Código no cargado"))</f>
        <v/>
      </c>
      <c r="D845" s="14" t="n"/>
      <c r="E845" s="14" t="n"/>
      <c r="F845" s="18" t="n"/>
      <c r="G845" s="18" t="n"/>
      <c r="H845" s="21">
        <f>IF(AND($F845="",$G845=""),"",N($F845)*IFERROR(N(INDEX(Vinos!$H$2:$H$301,MATCH($B845,Vinos!$A$2:$A$301,0))),0)+N($G845))</f>
        <v/>
      </c>
      <c r="I845" s="18" t="n"/>
      <c r="J845" s="21">
        <f>IF(OR($H845="",$I845=""),"",$H845-$I845)</f>
        <v/>
      </c>
      <c r="K845" s="16">
        <f>IF($H845="","",IFERROR(IF(INDEX(Vinos!$J$2:$J$301,MATCH($B845,Vinos!$A$2:$A$301,0))="","",$H845*INDEX(Vinos!$J$2:$J$301,MATCH($B845,Vinos!$A$2:$A$301,0))),""))</f>
        <v/>
      </c>
      <c r="L845" s="16">
        <f>IF($H845="","",IFERROR(IF(INDEX(Vinos!$K$2:$K$301,MATCH($B845,Vinos!$A$2:$A$301,0))="","",$H845*INDEX(Vinos!$K$2:$K$301,MATCH($B845,Vinos!$A$2:$A$301,0))),""))</f>
        <v/>
      </c>
      <c r="M845" s="21">
        <f>IF(OR($A845="",$B845=""),"",SUMIFS($H$2:$H$2001,$A$2:$A$2001,$A845,$B$2:$B$2001,$B845))</f>
        <v/>
      </c>
      <c r="N845" s="20">
        <f>IF($M845="","",IF($M845&lt;=0,"Sin stock: reponer ya",IF($M845&lt;IFERROR(N(INDEX(Vinos!$N$2:$N$301,MATCH($B845,Vinos!$A$2:$A$301,0))),0),"Bajo mínimo: reponer","OK")))</f>
        <v/>
      </c>
      <c r="O845" s="14" t="n"/>
      <c r="P845" s="14" t="n"/>
      <c r="Q845" s="20">
        <f>IF($B845="","",IFERROR(INDEX(Vinos!$C$2:$C$301,MATCH($B845,Vinos!$A$2:$A$301,0)),""))</f>
        <v/>
      </c>
      <c r="R845" s="20">
        <f>IF(OR($A845="",$A845&lt;&gt;'Resumen del inventario'!$C$3,$N845="",$N845="OK"),"",IF(COUNTIFS($A$2:$A845,$A845,$B$2:$B845,$B845)=1,1,""))</f>
        <v/>
      </c>
      <c r="S845" s="20">
        <f>IF($R845=1,COUNTIF($R$2:$R845,1),"")</f>
        <v/>
      </c>
    </row>
    <row r="846">
      <c r="A846" s="19" t="n"/>
      <c r="B846" s="14" t="n"/>
      <c r="C846" s="20">
        <f>IF($B846="","",IFERROR(INDEX(Vinos!$B$2:$B$301,MATCH($B846,Vinos!$A$2:$A$301,0)),"Código no cargado"))</f>
        <v/>
      </c>
      <c r="D846" s="14" t="n"/>
      <c r="E846" s="14" t="n"/>
      <c r="F846" s="18" t="n"/>
      <c r="G846" s="18" t="n"/>
      <c r="H846" s="21">
        <f>IF(AND($F846="",$G846=""),"",N($F846)*IFERROR(N(INDEX(Vinos!$H$2:$H$301,MATCH($B846,Vinos!$A$2:$A$301,0))),0)+N($G846))</f>
        <v/>
      </c>
      <c r="I846" s="18" t="n"/>
      <c r="J846" s="21">
        <f>IF(OR($H846="",$I846=""),"",$H846-$I846)</f>
        <v/>
      </c>
      <c r="K846" s="16">
        <f>IF($H846="","",IFERROR(IF(INDEX(Vinos!$J$2:$J$301,MATCH($B846,Vinos!$A$2:$A$301,0))="","",$H846*INDEX(Vinos!$J$2:$J$301,MATCH($B846,Vinos!$A$2:$A$301,0))),""))</f>
        <v/>
      </c>
      <c r="L846" s="16">
        <f>IF($H846="","",IFERROR(IF(INDEX(Vinos!$K$2:$K$301,MATCH($B846,Vinos!$A$2:$A$301,0))="","",$H846*INDEX(Vinos!$K$2:$K$301,MATCH($B846,Vinos!$A$2:$A$301,0))),""))</f>
        <v/>
      </c>
      <c r="M846" s="21">
        <f>IF(OR($A846="",$B846=""),"",SUMIFS($H$2:$H$2001,$A$2:$A$2001,$A846,$B$2:$B$2001,$B846))</f>
        <v/>
      </c>
      <c r="N846" s="20">
        <f>IF($M846="","",IF($M846&lt;=0,"Sin stock: reponer ya",IF($M846&lt;IFERROR(N(INDEX(Vinos!$N$2:$N$301,MATCH($B846,Vinos!$A$2:$A$301,0))),0),"Bajo mínimo: reponer","OK")))</f>
        <v/>
      </c>
      <c r="O846" s="14" t="n"/>
      <c r="P846" s="14" t="n"/>
      <c r="Q846" s="20">
        <f>IF($B846="","",IFERROR(INDEX(Vinos!$C$2:$C$301,MATCH($B846,Vinos!$A$2:$A$301,0)),""))</f>
        <v/>
      </c>
      <c r="R846" s="20">
        <f>IF(OR($A846="",$A846&lt;&gt;'Resumen del inventario'!$C$3,$N846="",$N846="OK"),"",IF(COUNTIFS($A$2:$A846,$A846,$B$2:$B846,$B846)=1,1,""))</f>
        <v/>
      </c>
      <c r="S846" s="20">
        <f>IF($R846=1,COUNTIF($R$2:$R846,1),"")</f>
        <v/>
      </c>
    </row>
    <row r="847">
      <c r="A847" s="19" t="n"/>
      <c r="B847" s="14" t="n"/>
      <c r="C847" s="20">
        <f>IF($B847="","",IFERROR(INDEX(Vinos!$B$2:$B$301,MATCH($B847,Vinos!$A$2:$A$301,0)),"Código no cargado"))</f>
        <v/>
      </c>
      <c r="D847" s="14" t="n"/>
      <c r="E847" s="14" t="n"/>
      <c r="F847" s="18" t="n"/>
      <c r="G847" s="18" t="n"/>
      <c r="H847" s="21">
        <f>IF(AND($F847="",$G847=""),"",N($F847)*IFERROR(N(INDEX(Vinos!$H$2:$H$301,MATCH($B847,Vinos!$A$2:$A$301,0))),0)+N($G847))</f>
        <v/>
      </c>
      <c r="I847" s="18" t="n"/>
      <c r="J847" s="21">
        <f>IF(OR($H847="",$I847=""),"",$H847-$I847)</f>
        <v/>
      </c>
      <c r="K847" s="16">
        <f>IF($H847="","",IFERROR(IF(INDEX(Vinos!$J$2:$J$301,MATCH($B847,Vinos!$A$2:$A$301,0))="","",$H847*INDEX(Vinos!$J$2:$J$301,MATCH($B847,Vinos!$A$2:$A$301,0))),""))</f>
        <v/>
      </c>
      <c r="L847" s="16">
        <f>IF($H847="","",IFERROR(IF(INDEX(Vinos!$K$2:$K$301,MATCH($B847,Vinos!$A$2:$A$301,0))="","",$H847*INDEX(Vinos!$K$2:$K$301,MATCH($B847,Vinos!$A$2:$A$301,0))),""))</f>
        <v/>
      </c>
      <c r="M847" s="21">
        <f>IF(OR($A847="",$B847=""),"",SUMIFS($H$2:$H$2001,$A$2:$A$2001,$A847,$B$2:$B$2001,$B847))</f>
        <v/>
      </c>
      <c r="N847" s="20">
        <f>IF($M847="","",IF($M847&lt;=0,"Sin stock: reponer ya",IF($M847&lt;IFERROR(N(INDEX(Vinos!$N$2:$N$301,MATCH($B847,Vinos!$A$2:$A$301,0))),0),"Bajo mínimo: reponer","OK")))</f>
        <v/>
      </c>
      <c r="O847" s="14" t="n"/>
      <c r="P847" s="14" t="n"/>
      <c r="Q847" s="20">
        <f>IF($B847="","",IFERROR(INDEX(Vinos!$C$2:$C$301,MATCH($B847,Vinos!$A$2:$A$301,0)),""))</f>
        <v/>
      </c>
      <c r="R847" s="20">
        <f>IF(OR($A847="",$A847&lt;&gt;'Resumen del inventario'!$C$3,$N847="",$N847="OK"),"",IF(COUNTIFS($A$2:$A847,$A847,$B$2:$B847,$B847)=1,1,""))</f>
        <v/>
      </c>
      <c r="S847" s="20">
        <f>IF($R847=1,COUNTIF($R$2:$R847,1),"")</f>
        <v/>
      </c>
    </row>
    <row r="848">
      <c r="A848" s="19" t="n"/>
      <c r="B848" s="14" t="n"/>
      <c r="C848" s="20">
        <f>IF($B848="","",IFERROR(INDEX(Vinos!$B$2:$B$301,MATCH($B848,Vinos!$A$2:$A$301,0)),"Código no cargado"))</f>
        <v/>
      </c>
      <c r="D848" s="14" t="n"/>
      <c r="E848" s="14" t="n"/>
      <c r="F848" s="18" t="n"/>
      <c r="G848" s="18" t="n"/>
      <c r="H848" s="21">
        <f>IF(AND($F848="",$G848=""),"",N($F848)*IFERROR(N(INDEX(Vinos!$H$2:$H$301,MATCH($B848,Vinos!$A$2:$A$301,0))),0)+N($G848))</f>
        <v/>
      </c>
      <c r="I848" s="18" t="n"/>
      <c r="J848" s="21">
        <f>IF(OR($H848="",$I848=""),"",$H848-$I848)</f>
        <v/>
      </c>
      <c r="K848" s="16">
        <f>IF($H848="","",IFERROR(IF(INDEX(Vinos!$J$2:$J$301,MATCH($B848,Vinos!$A$2:$A$301,0))="","",$H848*INDEX(Vinos!$J$2:$J$301,MATCH($B848,Vinos!$A$2:$A$301,0))),""))</f>
        <v/>
      </c>
      <c r="L848" s="16">
        <f>IF($H848="","",IFERROR(IF(INDEX(Vinos!$K$2:$K$301,MATCH($B848,Vinos!$A$2:$A$301,0))="","",$H848*INDEX(Vinos!$K$2:$K$301,MATCH($B848,Vinos!$A$2:$A$301,0))),""))</f>
        <v/>
      </c>
      <c r="M848" s="21">
        <f>IF(OR($A848="",$B848=""),"",SUMIFS($H$2:$H$2001,$A$2:$A$2001,$A848,$B$2:$B$2001,$B848))</f>
        <v/>
      </c>
      <c r="N848" s="20">
        <f>IF($M848="","",IF($M848&lt;=0,"Sin stock: reponer ya",IF($M848&lt;IFERROR(N(INDEX(Vinos!$N$2:$N$301,MATCH($B848,Vinos!$A$2:$A$301,0))),0),"Bajo mínimo: reponer","OK")))</f>
        <v/>
      </c>
      <c r="O848" s="14" t="n"/>
      <c r="P848" s="14" t="n"/>
      <c r="Q848" s="20">
        <f>IF($B848="","",IFERROR(INDEX(Vinos!$C$2:$C$301,MATCH($B848,Vinos!$A$2:$A$301,0)),""))</f>
        <v/>
      </c>
      <c r="R848" s="20">
        <f>IF(OR($A848="",$A848&lt;&gt;'Resumen del inventario'!$C$3,$N848="",$N848="OK"),"",IF(COUNTIFS($A$2:$A848,$A848,$B$2:$B848,$B848)=1,1,""))</f>
        <v/>
      </c>
      <c r="S848" s="20">
        <f>IF($R848=1,COUNTIF($R$2:$R848,1),"")</f>
        <v/>
      </c>
    </row>
    <row r="849">
      <c r="A849" s="19" t="n"/>
      <c r="B849" s="14" t="n"/>
      <c r="C849" s="20">
        <f>IF($B849="","",IFERROR(INDEX(Vinos!$B$2:$B$301,MATCH($B849,Vinos!$A$2:$A$301,0)),"Código no cargado"))</f>
        <v/>
      </c>
      <c r="D849" s="14" t="n"/>
      <c r="E849" s="14" t="n"/>
      <c r="F849" s="18" t="n"/>
      <c r="G849" s="18" t="n"/>
      <c r="H849" s="21">
        <f>IF(AND($F849="",$G849=""),"",N($F849)*IFERROR(N(INDEX(Vinos!$H$2:$H$301,MATCH($B849,Vinos!$A$2:$A$301,0))),0)+N($G849))</f>
        <v/>
      </c>
      <c r="I849" s="18" t="n"/>
      <c r="J849" s="21">
        <f>IF(OR($H849="",$I849=""),"",$H849-$I849)</f>
        <v/>
      </c>
      <c r="K849" s="16">
        <f>IF($H849="","",IFERROR(IF(INDEX(Vinos!$J$2:$J$301,MATCH($B849,Vinos!$A$2:$A$301,0))="","",$H849*INDEX(Vinos!$J$2:$J$301,MATCH($B849,Vinos!$A$2:$A$301,0))),""))</f>
        <v/>
      </c>
      <c r="L849" s="16">
        <f>IF($H849="","",IFERROR(IF(INDEX(Vinos!$K$2:$K$301,MATCH($B849,Vinos!$A$2:$A$301,0))="","",$H849*INDEX(Vinos!$K$2:$K$301,MATCH($B849,Vinos!$A$2:$A$301,0))),""))</f>
        <v/>
      </c>
      <c r="M849" s="21">
        <f>IF(OR($A849="",$B849=""),"",SUMIFS($H$2:$H$2001,$A$2:$A$2001,$A849,$B$2:$B$2001,$B849))</f>
        <v/>
      </c>
      <c r="N849" s="20">
        <f>IF($M849="","",IF($M849&lt;=0,"Sin stock: reponer ya",IF($M849&lt;IFERROR(N(INDEX(Vinos!$N$2:$N$301,MATCH($B849,Vinos!$A$2:$A$301,0))),0),"Bajo mínimo: reponer","OK")))</f>
        <v/>
      </c>
      <c r="O849" s="14" t="n"/>
      <c r="P849" s="14" t="n"/>
      <c r="Q849" s="20">
        <f>IF($B849="","",IFERROR(INDEX(Vinos!$C$2:$C$301,MATCH($B849,Vinos!$A$2:$A$301,0)),""))</f>
        <v/>
      </c>
      <c r="R849" s="20">
        <f>IF(OR($A849="",$A849&lt;&gt;'Resumen del inventario'!$C$3,$N849="",$N849="OK"),"",IF(COUNTIFS($A$2:$A849,$A849,$B$2:$B849,$B849)=1,1,""))</f>
        <v/>
      </c>
      <c r="S849" s="20">
        <f>IF($R849=1,COUNTIF($R$2:$R849,1),"")</f>
        <v/>
      </c>
    </row>
    <row r="850">
      <c r="A850" s="19" t="n"/>
      <c r="B850" s="14" t="n"/>
      <c r="C850" s="20">
        <f>IF($B850="","",IFERROR(INDEX(Vinos!$B$2:$B$301,MATCH($B850,Vinos!$A$2:$A$301,0)),"Código no cargado"))</f>
        <v/>
      </c>
      <c r="D850" s="14" t="n"/>
      <c r="E850" s="14" t="n"/>
      <c r="F850" s="18" t="n"/>
      <c r="G850" s="18" t="n"/>
      <c r="H850" s="21">
        <f>IF(AND($F850="",$G850=""),"",N($F850)*IFERROR(N(INDEX(Vinos!$H$2:$H$301,MATCH($B850,Vinos!$A$2:$A$301,0))),0)+N($G850))</f>
        <v/>
      </c>
      <c r="I850" s="18" t="n"/>
      <c r="J850" s="21">
        <f>IF(OR($H850="",$I850=""),"",$H850-$I850)</f>
        <v/>
      </c>
      <c r="K850" s="16">
        <f>IF($H850="","",IFERROR(IF(INDEX(Vinos!$J$2:$J$301,MATCH($B850,Vinos!$A$2:$A$301,0))="","",$H850*INDEX(Vinos!$J$2:$J$301,MATCH($B850,Vinos!$A$2:$A$301,0))),""))</f>
        <v/>
      </c>
      <c r="L850" s="16">
        <f>IF($H850="","",IFERROR(IF(INDEX(Vinos!$K$2:$K$301,MATCH($B850,Vinos!$A$2:$A$301,0))="","",$H850*INDEX(Vinos!$K$2:$K$301,MATCH($B850,Vinos!$A$2:$A$301,0))),""))</f>
        <v/>
      </c>
      <c r="M850" s="21">
        <f>IF(OR($A850="",$B850=""),"",SUMIFS($H$2:$H$2001,$A$2:$A$2001,$A850,$B$2:$B$2001,$B850))</f>
        <v/>
      </c>
      <c r="N850" s="20">
        <f>IF($M850="","",IF($M850&lt;=0,"Sin stock: reponer ya",IF($M850&lt;IFERROR(N(INDEX(Vinos!$N$2:$N$301,MATCH($B850,Vinos!$A$2:$A$301,0))),0),"Bajo mínimo: reponer","OK")))</f>
        <v/>
      </c>
      <c r="O850" s="14" t="n"/>
      <c r="P850" s="14" t="n"/>
      <c r="Q850" s="20">
        <f>IF($B850="","",IFERROR(INDEX(Vinos!$C$2:$C$301,MATCH($B850,Vinos!$A$2:$A$301,0)),""))</f>
        <v/>
      </c>
      <c r="R850" s="20">
        <f>IF(OR($A850="",$A850&lt;&gt;'Resumen del inventario'!$C$3,$N850="",$N850="OK"),"",IF(COUNTIFS($A$2:$A850,$A850,$B$2:$B850,$B850)=1,1,""))</f>
        <v/>
      </c>
      <c r="S850" s="20">
        <f>IF($R850=1,COUNTIF($R$2:$R850,1),"")</f>
        <v/>
      </c>
    </row>
    <row r="851">
      <c r="A851" s="19" t="n"/>
      <c r="B851" s="14" t="n"/>
      <c r="C851" s="20">
        <f>IF($B851="","",IFERROR(INDEX(Vinos!$B$2:$B$301,MATCH($B851,Vinos!$A$2:$A$301,0)),"Código no cargado"))</f>
        <v/>
      </c>
      <c r="D851" s="14" t="n"/>
      <c r="E851" s="14" t="n"/>
      <c r="F851" s="18" t="n"/>
      <c r="G851" s="18" t="n"/>
      <c r="H851" s="21">
        <f>IF(AND($F851="",$G851=""),"",N($F851)*IFERROR(N(INDEX(Vinos!$H$2:$H$301,MATCH($B851,Vinos!$A$2:$A$301,0))),0)+N($G851))</f>
        <v/>
      </c>
      <c r="I851" s="18" t="n"/>
      <c r="J851" s="21">
        <f>IF(OR($H851="",$I851=""),"",$H851-$I851)</f>
        <v/>
      </c>
      <c r="K851" s="16">
        <f>IF($H851="","",IFERROR(IF(INDEX(Vinos!$J$2:$J$301,MATCH($B851,Vinos!$A$2:$A$301,0))="","",$H851*INDEX(Vinos!$J$2:$J$301,MATCH($B851,Vinos!$A$2:$A$301,0))),""))</f>
        <v/>
      </c>
      <c r="L851" s="16">
        <f>IF($H851="","",IFERROR(IF(INDEX(Vinos!$K$2:$K$301,MATCH($B851,Vinos!$A$2:$A$301,0))="","",$H851*INDEX(Vinos!$K$2:$K$301,MATCH($B851,Vinos!$A$2:$A$301,0))),""))</f>
        <v/>
      </c>
      <c r="M851" s="21">
        <f>IF(OR($A851="",$B851=""),"",SUMIFS($H$2:$H$2001,$A$2:$A$2001,$A851,$B$2:$B$2001,$B851))</f>
        <v/>
      </c>
      <c r="N851" s="20">
        <f>IF($M851="","",IF($M851&lt;=0,"Sin stock: reponer ya",IF($M851&lt;IFERROR(N(INDEX(Vinos!$N$2:$N$301,MATCH($B851,Vinos!$A$2:$A$301,0))),0),"Bajo mínimo: reponer","OK")))</f>
        <v/>
      </c>
      <c r="O851" s="14" t="n"/>
      <c r="P851" s="14" t="n"/>
      <c r="Q851" s="20">
        <f>IF($B851="","",IFERROR(INDEX(Vinos!$C$2:$C$301,MATCH($B851,Vinos!$A$2:$A$301,0)),""))</f>
        <v/>
      </c>
      <c r="R851" s="20">
        <f>IF(OR($A851="",$A851&lt;&gt;'Resumen del inventario'!$C$3,$N851="",$N851="OK"),"",IF(COUNTIFS($A$2:$A851,$A851,$B$2:$B851,$B851)=1,1,""))</f>
        <v/>
      </c>
      <c r="S851" s="20">
        <f>IF($R851=1,COUNTIF($R$2:$R851,1),"")</f>
        <v/>
      </c>
    </row>
    <row r="852">
      <c r="A852" s="19" t="n"/>
      <c r="B852" s="14" t="n"/>
      <c r="C852" s="20">
        <f>IF($B852="","",IFERROR(INDEX(Vinos!$B$2:$B$301,MATCH($B852,Vinos!$A$2:$A$301,0)),"Código no cargado"))</f>
        <v/>
      </c>
      <c r="D852" s="14" t="n"/>
      <c r="E852" s="14" t="n"/>
      <c r="F852" s="18" t="n"/>
      <c r="G852" s="18" t="n"/>
      <c r="H852" s="21">
        <f>IF(AND($F852="",$G852=""),"",N($F852)*IFERROR(N(INDEX(Vinos!$H$2:$H$301,MATCH($B852,Vinos!$A$2:$A$301,0))),0)+N($G852))</f>
        <v/>
      </c>
      <c r="I852" s="18" t="n"/>
      <c r="J852" s="21">
        <f>IF(OR($H852="",$I852=""),"",$H852-$I852)</f>
        <v/>
      </c>
      <c r="K852" s="16">
        <f>IF($H852="","",IFERROR(IF(INDEX(Vinos!$J$2:$J$301,MATCH($B852,Vinos!$A$2:$A$301,0))="","",$H852*INDEX(Vinos!$J$2:$J$301,MATCH($B852,Vinos!$A$2:$A$301,0))),""))</f>
        <v/>
      </c>
      <c r="L852" s="16">
        <f>IF($H852="","",IFERROR(IF(INDEX(Vinos!$K$2:$K$301,MATCH($B852,Vinos!$A$2:$A$301,0))="","",$H852*INDEX(Vinos!$K$2:$K$301,MATCH($B852,Vinos!$A$2:$A$301,0))),""))</f>
        <v/>
      </c>
      <c r="M852" s="21">
        <f>IF(OR($A852="",$B852=""),"",SUMIFS($H$2:$H$2001,$A$2:$A$2001,$A852,$B$2:$B$2001,$B852))</f>
        <v/>
      </c>
      <c r="N852" s="20">
        <f>IF($M852="","",IF($M852&lt;=0,"Sin stock: reponer ya",IF($M852&lt;IFERROR(N(INDEX(Vinos!$N$2:$N$301,MATCH($B852,Vinos!$A$2:$A$301,0))),0),"Bajo mínimo: reponer","OK")))</f>
        <v/>
      </c>
      <c r="O852" s="14" t="n"/>
      <c r="P852" s="14" t="n"/>
      <c r="Q852" s="20">
        <f>IF($B852="","",IFERROR(INDEX(Vinos!$C$2:$C$301,MATCH($B852,Vinos!$A$2:$A$301,0)),""))</f>
        <v/>
      </c>
      <c r="R852" s="20">
        <f>IF(OR($A852="",$A852&lt;&gt;'Resumen del inventario'!$C$3,$N852="",$N852="OK"),"",IF(COUNTIFS($A$2:$A852,$A852,$B$2:$B852,$B852)=1,1,""))</f>
        <v/>
      </c>
      <c r="S852" s="20">
        <f>IF($R852=1,COUNTIF($R$2:$R852,1),"")</f>
        <v/>
      </c>
    </row>
    <row r="853">
      <c r="A853" s="19" t="n"/>
      <c r="B853" s="14" t="n"/>
      <c r="C853" s="20">
        <f>IF($B853="","",IFERROR(INDEX(Vinos!$B$2:$B$301,MATCH($B853,Vinos!$A$2:$A$301,0)),"Código no cargado"))</f>
        <v/>
      </c>
      <c r="D853" s="14" t="n"/>
      <c r="E853" s="14" t="n"/>
      <c r="F853" s="18" t="n"/>
      <c r="G853" s="18" t="n"/>
      <c r="H853" s="21">
        <f>IF(AND($F853="",$G853=""),"",N($F853)*IFERROR(N(INDEX(Vinos!$H$2:$H$301,MATCH($B853,Vinos!$A$2:$A$301,0))),0)+N($G853))</f>
        <v/>
      </c>
      <c r="I853" s="18" t="n"/>
      <c r="J853" s="21">
        <f>IF(OR($H853="",$I853=""),"",$H853-$I853)</f>
        <v/>
      </c>
      <c r="K853" s="16">
        <f>IF($H853="","",IFERROR(IF(INDEX(Vinos!$J$2:$J$301,MATCH($B853,Vinos!$A$2:$A$301,0))="","",$H853*INDEX(Vinos!$J$2:$J$301,MATCH($B853,Vinos!$A$2:$A$301,0))),""))</f>
        <v/>
      </c>
      <c r="L853" s="16">
        <f>IF($H853="","",IFERROR(IF(INDEX(Vinos!$K$2:$K$301,MATCH($B853,Vinos!$A$2:$A$301,0))="","",$H853*INDEX(Vinos!$K$2:$K$301,MATCH($B853,Vinos!$A$2:$A$301,0))),""))</f>
        <v/>
      </c>
      <c r="M853" s="21">
        <f>IF(OR($A853="",$B853=""),"",SUMIFS($H$2:$H$2001,$A$2:$A$2001,$A853,$B$2:$B$2001,$B853))</f>
        <v/>
      </c>
      <c r="N853" s="20">
        <f>IF($M853="","",IF($M853&lt;=0,"Sin stock: reponer ya",IF($M853&lt;IFERROR(N(INDEX(Vinos!$N$2:$N$301,MATCH($B853,Vinos!$A$2:$A$301,0))),0),"Bajo mínimo: reponer","OK")))</f>
        <v/>
      </c>
      <c r="O853" s="14" t="n"/>
      <c r="P853" s="14" t="n"/>
      <c r="Q853" s="20">
        <f>IF($B853="","",IFERROR(INDEX(Vinos!$C$2:$C$301,MATCH($B853,Vinos!$A$2:$A$301,0)),""))</f>
        <v/>
      </c>
      <c r="R853" s="20">
        <f>IF(OR($A853="",$A853&lt;&gt;'Resumen del inventario'!$C$3,$N853="",$N853="OK"),"",IF(COUNTIFS($A$2:$A853,$A853,$B$2:$B853,$B853)=1,1,""))</f>
        <v/>
      </c>
      <c r="S853" s="20">
        <f>IF($R853=1,COUNTIF($R$2:$R853,1),"")</f>
        <v/>
      </c>
    </row>
    <row r="854">
      <c r="A854" s="19" t="n"/>
      <c r="B854" s="14" t="n"/>
      <c r="C854" s="20">
        <f>IF($B854="","",IFERROR(INDEX(Vinos!$B$2:$B$301,MATCH($B854,Vinos!$A$2:$A$301,0)),"Código no cargado"))</f>
        <v/>
      </c>
      <c r="D854" s="14" t="n"/>
      <c r="E854" s="14" t="n"/>
      <c r="F854" s="18" t="n"/>
      <c r="G854" s="18" t="n"/>
      <c r="H854" s="21">
        <f>IF(AND($F854="",$G854=""),"",N($F854)*IFERROR(N(INDEX(Vinos!$H$2:$H$301,MATCH($B854,Vinos!$A$2:$A$301,0))),0)+N($G854))</f>
        <v/>
      </c>
      <c r="I854" s="18" t="n"/>
      <c r="J854" s="21">
        <f>IF(OR($H854="",$I854=""),"",$H854-$I854)</f>
        <v/>
      </c>
      <c r="K854" s="16">
        <f>IF($H854="","",IFERROR(IF(INDEX(Vinos!$J$2:$J$301,MATCH($B854,Vinos!$A$2:$A$301,0))="","",$H854*INDEX(Vinos!$J$2:$J$301,MATCH($B854,Vinos!$A$2:$A$301,0))),""))</f>
        <v/>
      </c>
      <c r="L854" s="16">
        <f>IF($H854="","",IFERROR(IF(INDEX(Vinos!$K$2:$K$301,MATCH($B854,Vinos!$A$2:$A$301,0))="","",$H854*INDEX(Vinos!$K$2:$K$301,MATCH($B854,Vinos!$A$2:$A$301,0))),""))</f>
        <v/>
      </c>
      <c r="M854" s="21">
        <f>IF(OR($A854="",$B854=""),"",SUMIFS($H$2:$H$2001,$A$2:$A$2001,$A854,$B$2:$B$2001,$B854))</f>
        <v/>
      </c>
      <c r="N854" s="20">
        <f>IF($M854="","",IF($M854&lt;=0,"Sin stock: reponer ya",IF($M854&lt;IFERROR(N(INDEX(Vinos!$N$2:$N$301,MATCH($B854,Vinos!$A$2:$A$301,0))),0),"Bajo mínimo: reponer","OK")))</f>
        <v/>
      </c>
      <c r="O854" s="14" t="n"/>
      <c r="P854" s="14" t="n"/>
      <c r="Q854" s="20">
        <f>IF($B854="","",IFERROR(INDEX(Vinos!$C$2:$C$301,MATCH($B854,Vinos!$A$2:$A$301,0)),""))</f>
        <v/>
      </c>
      <c r="R854" s="20">
        <f>IF(OR($A854="",$A854&lt;&gt;'Resumen del inventario'!$C$3,$N854="",$N854="OK"),"",IF(COUNTIFS($A$2:$A854,$A854,$B$2:$B854,$B854)=1,1,""))</f>
        <v/>
      </c>
      <c r="S854" s="20">
        <f>IF($R854=1,COUNTIF($R$2:$R854,1),"")</f>
        <v/>
      </c>
    </row>
    <row r="855">
      <c r="A855" s="19" t="n"/>
      <c r="B855" s="14" t="n"/>
      <c r="C855" s="20">
        <f>IF($B855="","",IFERROR(INDEX(Vinos!$B$2:$B$301,MATCH($B855,Vinos!$A$2:$A$301,0)),"Código no cargado"))</f>
        <v/>
      </c>
      <c r="D855" s="14" t="n"/>
      <c r="E855" s="14" t="n"/>
      <c r="F855" s="18" t="n"/>
      <c r="G855" s="18" t="n"/>
      <c r="H855" s="21">
        <f>IF(AND($F855="",$G855=""),"",N($F855)*IFERROR(N(INDEX(Vinos!$H$2:$H$301,MATCH($B855,Vinos!$A$2:$A$301,0))),0)+N($G855))</f>
        <v/>
      </c>
      <c r="I855" s="18" t="n"/>
      <c r="J855" s="21">
        <f>IF(OR($H855="",$I855=""),"",$H855-$I855)</f>
        <v/>
      </c>
      <c r="K855" s="16">
        <f>IF($H855="","",IFERROR(IF(INDEX(Vinos!$J$2:$J$301,MATCH($B855,Vinos!$A$2:$A$301,0))="","",$H855*INDEX(Vinos!$J$2:$J$301,MATCH($B855,Vinos!$A$2:$A$301,0))),""))</f>
        <v/>
      </c>
      <c r="L855" s="16">
        <f>IF($H855="","",IFERROR(IF(INDEX(Vinos!$K$2:$K$301,MATCH($B855,Vinos!$A$2:$A$301,0))="","",$H855*INDEX(Vinos!$K$2:$K$301,MATCH($B855,Vinos!$A$2:$A$301,0))),""))</f>
        <v/>
      </c>
      <c r="M855" s="21">
        <f>IF(OR($A855="",$B855=""),"",SUMIFS($H$2:$H$2001,$A$2:$A$2001,$A855,$B$2:$B$2001,$B855))</f>
        <v/>
      </c>
      <c r="N855" s="20">
        <f>IF($M855="","",IF($M855&lt;=0,"Sin stock: reponer ya",IF($M855&lt;IFERROR(N(INDEX(Vinos!$N$2:$N$301,MATCH($B855,Vinos!$A$2:$A$301,0))),0),"Bajo mínimo: reponer","OK")))</f>
        <v/>
      </c>
      <c r="O855" s="14" t="n"/>
      <c r="P855" s="14" t="n"/>
      <c r="Q855" s="20">
        <f>IF($B855="","",IFERROR(INDEX(Vinos!$C$2:$C$301,MATCH($B855,Vinos!$A$2:$A$301,0)),""))</f>
        <v/>
      </c>
      <c r="R855" s="20">
        <f>IF(OR($A855="",$A855&lt;&gt;'Resumen del inventario'!$C$3,$N855="",$N855="OK"),"",IF(COUNTIFS($A$2:$A855,$A855,$B$2:$B855,$B855)=1,1,""))</f>
        <v/>
      </c>
      <c r="S855" s="20">
        <f>IF($R855=1,COUNTIF($R$2:$R855,1),"")</f>
        <v/>
      </c>
    </row>
    <row r="856">
      <c r="A856" s="19" t="n"/>
      <c r="B856" s="14" t="n"/>
      <c r="C856" s="20">
        <f>IF($B856="","",IFERROR(INDEX(Vinos!$B$2:$B$301,MATCH($B856,Vinos!$A$2:$A$301,0)),"Código no cargado"))</f>
        <v/>
      </c>
      <c r="D856" s="14" t="n"/>
      <c r="E856" s="14" t="n"/>
      <c r="F856" s="18" t="n"/>
      <c r="G856" s="18" t="n"/>
      <c r="H856" s="21">
        <f>IF(AND($F856="",$G856=""),"",N($F856)*IFERROR(N(INDEX(Vinos!$H$2:$H$301,MATCH($B856,Vinos!$A$2:$A$301,0))),0)+N($G856))</f>
        <v/>
      </c>
      <c r="I856" s="18" t="n"/>
      <c r="J856" s="21">
        <f>IF(OR($H856="",$I856=""),"",$H856-$I856)</f>
        <v/>
      </c>
      <c r="K856" s="16">
        <f>IF($H856="","",IFERROR(IF(INDEX(Vinos!$J$2:$J$301,MATCH($B856,Vinos!$A$2:$A$301,0))="","",$H856*INDEX(Vinos!$J$2:$J$301,MATCH($B856,Vinos!$A$2:$A$301,0))),""))</f>
        <v/>
      </c>
      <c r="L856" s="16">
        <f>IF($H856="","",IFERROR(IF(INDEX(Vinos!$K$2:$K$301,MATCH($B856,Vinos!$A$2:$A$301,0))="","",$H856*INDEX(Vinos!$K$2:$K$301,MATCH($B856,Vinos!$A$2:$A$301,0))),""))</f>
        <v/>
      </c>
      <c r="M856" s="21">
        <f>IF(OR($A856="",$B856=""),"",SUMIFS($H$2:$H$2001,$A$2:$A$2001,$A856,$B$2:$B$2001,$B856))</f>
        <v/>
      </c>
      <c r="N856" s="20">
        <f>IF($M856="","",IF($M856&lt;=0,"Sin stock: reponer ya",IF($M856&lt;IFERROR(N(INDEX(Vinos!$N$2:$N$301,MATCH($B856,Vinos!$A$2:$A$301,0))),0),"Bajo mínimo: reponer","OK")))</f>
        <v/>
      </c>
      <c r="O856" s="14" t="n"/>
      <c r="P856" s="14" t="n"/>
      <c r="Q856" s="20">
        <f>IF($B856="","",IFERROR(INDEX(Vinos!$C$2:$C$301,MATCH($B856,Vinos!$A$2:$A$301,0)),""))</f>
        <v/>
      </c>
      <c r="R856" s="20">
        <f>IF(OR($A856="",$A856&lt;&gt;'Resumen del inventario'!$C$3,$N856="",$N856="OK"),"",IF(COUNTIFS($A$2:$A856,$A856,$B$2:$B856,$B856)=1,1,""))</f>
        <v/>
      </c>
      <c r="S856" s="20">
        <f>IF($R856=1,COUNTIF($R$2:$R856,1),"")</f>
        <v/>
      </c>
    </row>
    <row r="857">
      <c r="A857" s="19" t="n"/>
      <c r="B857" s="14" t="n"/>
      <c r="C857" s="20">
        <f>IF($B857="","",IFERROR(INDEX(Vinos!$B$2:$B$301,MATCH($B857,Vinos!$A$2:$A$301,0)),"Código no cargado"))</f>
        <v/>
      </c>
      <c r="D857" s="14" t="n"/>
      <c r="E857" s="14" t="n"/>
      <c r="F857" s="18" t="n"/>
      <c r="G857" s="18" t="n"/>
      <c r="H857" s="21">
        <f>IF(AND($F857="",$G857=""),"",N($F857)*IFERROR(N(INDEX(Vinos!$H$2:$H$301,MATCH($B857,Vinos!$A$2:$A$301,0))),0)+N($G857))</f>
        <v/>
      </c>
      <c r="I857" s="18" t="n"/>
      <c r="J857" s="21">
        <f>IF(OR($H857="",$I857=""),"",$H857-$I857)</f>
        <v/>
      </c>
      <c r="K857" s="16">
        <f>IF($H857="","",IFERROR(IF(INDEX(Vinos!$J$2:$J$301,MATCH($B857,Vinos!$A$2:$A$301,0))="","",$H857*INDEX(Vinos!$J$2:$J$301,MATCH($B857,Vinos!$A$2:$A$301,0))),""))</f>
        <v/>
      </c>
      <c r="L857" s="16">
        <f>IF($H857="","",IFERROR(IF(INDEX(Vinos!$K$2:$K$301,MATCH($B857,Vinos!$A$2:$A$301,0))="","",$H857*INDEX(Vinos!$K$2:$K$301,MATCH($B857,Vinos!$A$2:$A$301,0))),""))</f>
        <v/>
      </c>
      <c r="M857" s="21">
        <f>IF(OR($A857="",$B857=""),"",SUMIFS($H$2:$H$2001,$A$2:$A$2001,$A857,$B$2:$B$2001,$B857))</f>
        <v/>
      </c>
      <c r="N857" s="20">
        <f>IF($M857="","",IF($M857&lt;=0,"Sin stock: reponer ya",IF($M857&lt;IFERROR(N(INDEX(Vinos!$N$2:$N$301,MATCH($B857,Vinos!$A$2:$A$301,0))),0),"Bajo mínimo: reponer","OK")))</f>
        <v/>
      </c>
      <c r="O857" s="14" t="n"/>
      <c r="P857" s="14" t="n"/>
      <c r="Q857" s="20">
        <f>IF($B857="","",IFERROR(INDEX(Vinos!$C$2:$C$301,MATCH($B857,Vinos!$A$2:$A$301,0)),""))</f>
        <v/>
      </c>
      <c r="R857" s="20">
        <f>IF(OR($A857="",$A857&lt;&gt;'Resumen del inventario'!$C$3,$N857="",$N857="OK"),"",IF(COUNTIFS($A$2:$A857,$A857,$B$2:$B857,$B857)=1,1,""))</f>
        <v/>
      </c>
      <c r="S857" s="20">
        <f>IF($R857=1,COUNTIF($R$2:$R857,1),"")</f>
        <v/>
      </c>
    </row>
    <row r="858">
      <c r="A858" s="19" t="n"/>
      <c r="B858" s="14" t="n"/>
      <c r="C858" s="20">
        <f>IF($B858="","",IFERROR(INDEX(Vinos!$B$2:$B$301,MATCH($B858,Vinos!$A$2:$A$301,0)),"Código no cargado"))</f>
        <v/>
      </c>
      <c r="D858" s="14" t="n"/>
      <c r="E858" s="14" t="n"/>
      <c r="F858" s="18" t="n"/>
      <c r="G858" s="18" t="n"/>
      <c r="H858" s="21">
        <f>IF(AND($F858="",$G858=""),"",N($F858)*IFERROR(N(INDEX(Vinos!$H$2:$H$301,MATCH($B858,Vinos!$A$2:$A$301,0))),0)+N($G858))</f>
        <v/>
      </c>
      <c r="I858" s="18" t="n"/>
      <c r="J858" s="21">
        <f>IF(OR($H858="",$I858=""),"",$H858-$I858)</f>
        <v/>
      </c>
      <c r="K858" s="16">
        <f>IF($H858="","",IFERROR(IF(INDEX(Vinos!$J$2:$J$301,MATCH($B858,Vinos!$A$2:$A$301,0))="","",$H858*INDEX(Vinos!$J$2:$J$301,MATCH($B858,Vinos!$A$2:$A$301,0))),""))</f>
        <v/>
      </c>
      <c r="L858" s="16">
        <f>IF($H858="","",IFERROR(IF(INDEX(Vinos!$K$2:$K$301,MATCH($B858,Vinos!$A$2:$A$301,0))="","",$H858*INDEX(Vinos!$K$2:$K$301,MATCH($B858,Vinos!$A$2:$A$301,0))),""))</f>
        <v/>
      </c>
      <c r="M858" s="21">
        <f>IF(OR($A858="",$B858=""),"",SUMIFS($H$2:$H$2001,$A$2:$A$2001,$A858,$B$2:$B$2001,$B858))</f>
        <v/>
      </c>
      <c r="N858" s="20">
        <f>IF($M858="","",IF($M858&lt;=0,"Sin stock: reponer ya",IF($M858&lt;IFERROR(N(INDEX(Vinos!$N$2:$N$301,MATCH($B858,Vinos!$A$2:$A$301,0))),0),"Bajo mínimo: reponer","OK")))</f>
        <v/>
      </c>
      <c r="O858" s="14" t="n"/>
      <c r="P858" s="14" t="n"/>
      <c r="Q858" s="20">
        <f>IF($B858="","",IFERROR(INDEX(Vinos!$C$2:$C$301,MATCH($B858,Vinos!$A$2:$A$301,0)),""))</f>
        <v/>
      </c>
      <c r="R858" s="20">
        <f>IF(OR($A858="",$A858&lt;&gt;'Resumen del inventario'!$C$3,$N858="",$N858="OK"),"",IF(COUNTIFS($A$2:$A858,$A858,$B$2:$B858,$B858)=1,1,""))</f>
        <v/>
      </c>
      <c r="S858" s="20">
        <f>IF($R858=1,COUNTIF($R$2:$R858,1),"")</f>
        <v/>
      </c>
    </row>
    <row r="859">
      <c r="A859" s="19" t="n"/>
      <c r="B859" s="14" t="n"/>
      <c r="C859" s="20">
        <f>IF($B859="","",IFERROR(INDEX(Vinos!$B$2:$B$301,MATCH($B859,Vinos!$A$2:$A$301,0)),"Código no cargado"))</f>
        <v/>
      </c>
      <c r="D859" s="14" t="n"/>
      <c r="E859" s="14" t="n"/>
      <c r="F859" s="18" t="n"/>
      <c r="G859" s="18" t="n"/>
      <c r="H859" s="21">
        <f>IF(AND($F859="",$G859=""),"",N($F859)*IFERROR(N(INDEX(Vinos!$H$2:$H$301,MATCH($B859,Vinos!$A$2:$A$301,0))),0)+N($G859))</f>
        <v/>
      </c>
      <c r="I859" s="18" t="n"/>
      <c r="J859" s="21">
        <f>IF(OR($H859="",$I859=""),"",$H859-$I859)</f>
        <v/>
      </c>
      <c r="K859" s="16">
        <f>IF($H859="","",IFERROR(IF(INDEX(Vinos!$J$2:$J$301,MATCH($B859,Vinos!$A$2:$A$301,0))="","",$H859*INDEX(Vinos!$J$2:$J$301,MATCH($B859,Vinos!$A$2:$A$301,0))),""))</f>
        <v/>
      </c>
      <c r="L859" s="16">
        <f>IF($H859="","",IFERROR(IF(INDEX(Vinos!$K$2:$K$301,MATCH($B859,Vinos!$A$2:$A$301,0))="","",$H859*INDEX(Vinos!$K$2:$K$301,MATCH($B859,Vinos!$A$2:$A$301,0))),""))</f>
        <v/>
      </c>
      <c r="M859" s="21">
        <f>IF(OR($A859="",$B859=""),"",SUMIFS($H$2:$H$2001,$A$2:$A$2001,$A859,$B$2:$B$2001,$B859))</f>
        <v/>
      </c>
      <c r="N859" s="20">
        <f>IF($M859="","",IF($M859&lt;=0,"Sin stock: reponer ya",IF($M859&lt;IFERROR(N(INDEX(Vinos!$N$2:$N$301,MATCH($B859,Vinos!$A$2:$A$301,0))),0),"Bajo mínimo: reponer","OK")))</f>
        <v/>
      </c>
      <c r="O859" s="14" t="n"/>
      <c r="P859" s="14" t="n"/>
      <c r="Q859" s="20">
        <f>IF($B859="","",IFERROR(INDEX(Vinos!$C$2:$C$301,MATCH($B859,Vinos!$A$2:$A$301,0)),""))</f>
        <v/>
      </c>
      <c r="R859" s="20">
        <f>IF(OR($A859="",$A859&lt;&gt;'Resumen del inventario'!$C$3,$N859="",$N859="OK"),"",IF(COUNTIFS($A$2:$A859,$A859,$B$2:$B859,$B859)=1,1,""))</f>
        <v/>
      </c>
      <c r="S859" s="20">
        <f>IF($R859=1,COUNTIF($R$2:$R859,1),"")</f>
        <v/>
      </c>
    </row>
    <row r="860">
      <c r="A860" s="19" t="n"/>
      <c r="B860" s="14" t="n"/>
      <c r="C860" s="20">
        <f>IF($B860="","",IFERROR(INDEX(Vinos!$B$2:$B$301,MATCH($B860,Vinos!$A$2:$A$301,0)),"Código no cargado"))</f>
        <v/>
      </c>
      <c r="D860" s="14" t="n"/>
      <c r="E860" s="14" t="n"/>
      <c r="F860" s="18" t="n"/>
      <c r="G860" s="18" t="n"/>
      <c r="H860" s="21">
        <f>IF(AND($F860="",$G860=""),"",N($F860)*IFERROR(N(INDEX(Vinos!$H$2:$H$301,MATCH($B860,Vinos!$A$2:$A$301,0))),0)+N($G860))</f>
        <v/>
      </c>
      <c r="I860" s="18" t="n"/>
      <c r="J860" s="21">
        <f>IF(OR($H860="",$I860=""),"",$H860-$I860)</f>
        <v/>
      </c>
      <c r="K860" s="16">
        <f>IF($H860="","",IFERROR(IF(INDEX(Vinos!$J$2:$J$301,MATCH($B860,Vinos!$A$2:$A$301,0))="","",$H860*INDEX(Vinos!$J$2:$J$301,MATCH($B860,Vinos!$A$2:$A$301,0))),""))</f>
        <v/>
      </c>
      <c r="L860" s="16">
        <f>IF($H860="","",IFERROR(IF(INDEX(Vinos!$K$2:$K$301,MATCH($B860,Vinos!$A$2:$A$301,0))="","",$H860*INDEX(Vinos!$K$2:$K$301,MATCH($B860,Vinos!$A$2:$A$301,0))),""))</f>
        <v/>
      </c>
      <c r="M860" s="21">
        <f>IF(OR($A860="",$B860=""),"",SUMIFS($H$2:$H$2001,$A$2:$A$2001,$A860,$B$2:$B$2001,$B860))</f>
        <v/>
      </c>
      <c r="N860" s="20">
        <f>IF($M860="","",IF($M860&lt;=0,"Sin stock: reponer ya",IF($M860&lt;IFERROR(N(INDEX(Vinos!$N$2:$N$301,MATCH($B860,Vinos!$A$2:$A$301,0))),0),"Bajo mínimo: reponer","OK")))</f>
        <v/>
      </c>
      <c r="O860" s="14" t="n"/>
      <c r="P860" s="14" t="n"/>
      <c r="Q860" s="20">
        <f>IF($B860="","",IFERROR(INDEX(Vinos!$C$2:$C$301,MATCH($B860,Vinos!$A$2:$A$301,0)),""))</f>
        <v/>
      </c>
      <c r="R860" s="20">
        <f>IF(OR($A860="",$A860&lt;&gt;'Resumen del inventario'!$C$3,$N860="",$N860="OK"),"",IF(COUNTIFS($A$2:$A860,$A860,$B$2:$B860,$B860)=1,1,""))</f>
        <v/>
      </c>
      <c r="S860" s="20">
        <f>IF($R860=1,COUNTIF($R$2:$R860,1),"")</f>
        <v/>
      </c>
    </row>
    <row r="861">
      <c r="A861" s="19" t="n"/>
      <c r="B861" s="14" t="n"/>
      <c r="C861" s="20">
        <f>IF($B861="","",IFERROR(INDEX(Vinos!$B$2:$B$301,MATCH($B861,Vinos!$A$2:$A$301,0)),"Código no cargado"))</f>
        <v/>
      </c>
      <c r="D861" s="14" t="n"/>
      <c r="E861" s="14" t="n"/>
      <c r="F861" s="18" t="n"/>
      <c r="G861" s="18" t="n"/>
      <c r="H861" s="21">
        <f>IF(AND($F861="",$G861=""),"",N($F861)*IFERROR(N(INDEX(Vinos!$H$2:$H$301,MATCH($B861,Vinos!$A$2:$A$301,0))),0)+N($G861))</f>
        <v/>
      </c>
      <c r="I861" s="18" t="n"/>
      <c r="J861" s="21">
        <f>IF(OR($H861="",$I861=""),"",$H861-$I861)</f>
        <v/>
      </c>
      <c r="K861" s="16">
        <f>IF($H861="","",IFERROR(IF(INDEX(Vinos!$J$2:$J$301,MATCH($B861,Vinos!$A$2:$A$301,0))="","",$H861*INDEX(Vinos!$J$2:$J$301,MATCH($B861,Vinos!$A$2:$A$301,0))),""))</f>
        <v/>
      </c>
      <c r="L861" s="16">
        <f>IF($H861="","",IFERROR(IF(INDEX(Vinos!$K$2:$K$301,MATCH($B861,Vinos!$A$2:$A$301,0))="","",$H861*INDEX(Vinos!$K$2:$K$301,MATCH($B861,Vinos!$A$2:$A$301,0))),""))</f>
        <v/>
      </c>
      <c r="M861" s="21">
        <f>IF(OR($A861="",$B861=""),"",SUMIFS($H$2:$H$2001,$A$2:$A$2001,$A861,$B$2:$B$2001,$B861))</f>
        <v/>
      </c>
      <c r="N861" s="20">
        <f>IF($M861="","",IF($M861&lt;=0,"Sin stock: reponer ya",IF($M861&lt;IFERROR(N(INDEX(Vinos!$N$2:$N$301,MATCH($B861,Vinos!$A$2:$A$301,0))),0),"Bajo mínimo: reponer","OK")))</f>
        <v/>
      </c>
      <c r="O861" s="14" t="n"/>
      <c r="P861" s="14" t="n"/>
      <c r="Q861" s="20">
        <f>IF($B861="","",IFERROR(INDEX(Vinos!$C$2:$C$301,MATCH($B861,Vinos!$A$2:$A$301,0)),""))</f>
        <v/>
      </c>
      <c r="R861" s="20">
        <f>IF(OR($A861="",$A861&lt;&gt;'Resumen del inventario'!$C$3,$N861="",$N861="OK"),"",IF(COUNTIFS($A$2:$A861,$A861,$B$2:$B861,$B861)=1,1,""))</f>
        <v/>
      </c>
      <c r="S861" s="20">
        <f>IF($R861=1,COUNTIF($R$2:$R861,1),"")</f>
        <v/>
      </c>
    </row>
    <row r="862">
      <c r="A862" s="19" t="n"/>
      <c r="B862" s="14" t="n"/>
      <c r="C862" s="20">
        <f>IF($B862="","",IFERROR(INDEX(Vinos!$B$2:$B$301,MATCH($B862,Vinos!$A$2:$A$301,0)),"Código no cargado"))</f>
        <v/>
      </c>
      <c r="D862" s="14" t="n"/>
      <c r="E862" s="14" t="n"/>
      <c r="F862" s="18" t="n"/>
      <c r="G862" s="18" t="n"/>
      <c r="H862" s="21">
        <f>IF(AND($F862="",$G862=""),"",N($F862)*IFERROR(N(INDEX(Vinos!$H$2:$H$301,MATCH($B862,Vinos!$A$2:$A$301,0))),0)+N($G862))</f>
        <v/>
      </c>
      <c r="I862" s="18" t="n"/>
      <c r="J862" s="21">
        <f>IF(OR($H862="",$I862=""),"",$H862-$I862)</f>
        <v/>
      </c>
      <c r="K862" s="16">
        <f>IF($H862="","",IFERROR(IF(INDEX(Vinos!$J$2:$J$301,MATCH($B862,Vinos!$A$2:$A$301,0))="","",$H862*INDEX(Vinos!$J$2:$J$301,MATCH($B862,Vinos!$A$2:$A$301,0))),""))</f>
        <v/>
      </c>
      <c r="L862" s="16">
        <f>IF($H862="","",IFERROR(IF(INDEX(Vinos!$K$2:$K$301,MATCH($B862,Vinos!$A$2:$A$301,0))="","",$H862*INDEX(Vinos!$K$2:$K$301,MATCH($B862,Vinos!$A$2:$A$301,0))),""))</f>
        <v/>
      </c>
      <c r="M862" s="21">
        <f>IF(OR($A862="",$B862=""),"",SUMIFS($H$2:$H$2001,$A$2:$A$2001,$A862,$B$2:$B$2001,$B862))</f>
        <v/>
      </c>
      <c r="N862" s="20">
        <f>IF($M862="","",IF($M862&lt;=0,"Sin stock: reponer ya",IF($M862&lt;IFERROR(N(INDEX(Vinos!$N$2:$N$301,MATCH($B862,Vinos!$A$2:$A$301,0))),0),"Bajo mínimo: reponer","OK")))</f>
        <v/>
      </c>
      <c r="O862" s="14" t="n"/>
      <c r="P862" s="14" t="n"/>
      <c r="Q862" s="20">
        <f>IF($B862="","",IFERROR(INDEX(Vinos!$C$2:$C$301,MATCH($B862,Vinos!$A$2:$A$301,0)),""))</f>
        <v/>
      </c>
      <c r="R862" s="20">
        <f>IF(OR($A862="",$A862&lt;&gt;'Resumen del inventario'!$C$3,$N862="",$N862="OK"),"",IF(COUNTIFS($A$2:$A862,$A862,$B$2:$B862,$B862)=1,1,""))</f>
        <v/>
      </c>
      <c r="S862" s="20">
        <f>IF($R862=1,COUNTIF($R$2:$R862,1),"")</f>
        <v/>
      </c>
    </row>
    <row r="863">
      <c r="A863" s="19" t="n"/>
      <c r="B863" s="14" t="n"/>
      <c r="C863" s="20">
        <f>IF($B863="","",IFERROR(INDEX(Vinos!$B$2:$B$301,MATCH($B863,Vinos!$A$2:$A$301,0)),"Código no cargado"))</f>
        <v/>
      </c>
      <c r="D863" s="14" t="n"/>
      <c r="E863" s="14" t="n"/>
      <c r="F863" s="18" t="n"/>
      <c r="G863" s="18" t="n"/>
      <c r="H863" s="21">
        <f>IF(AND($F863="",$G863=""),"",N($F863)*IFERROR(N(INDEX(Vinos!$H$2:$H$301,MATCH($B863,Vinos!$A$2:$A$301,0))),0)+N($G863))</f>
        <v/>
      </c>
      <c r="I863" s="18" t="n"/>
      <c r="J863" s="21">
        <f>IF(OR($H863="",$I863=""),"",$H863-$I863)</f>
        <v/>
      </c>
      <c r="K863" s="16">
        <f>IF($H863="","",IFERROR(IF(INDEX(Vinos!$J$2:$J$301,MATCH($B863,Vinos!$A$2:$A$301,0))="","",$H863*INDEX(Vinos!$J$2:$J$301,MATCH($B863,Vinos!$A$2:$A$301,0))),""))</f>
        <v/>
      </c>
      <c r="L863" s="16">
        <f>IF($H863="","",IFERROR(IF(INDEX(Vinos!$K$2:$K$301,MATCH($B863,Vinos!$A$2:$A$301,0))="","",$H863*INDEX(Vinos!$K$2:$K$301,MATCH($B863,Vinos!$A$2:$A$301,0))),""))</f>
        <v/>
      </c>
      <c r="M863" s="21">
        <f>IF(OR($A863="",$B863=""),"",SUMIFS($H$2:$H$2001,$A$2:$A$2001,$A863,$B$2:$B$2001,$B863))</f>
        <v/>
      </c>
      <c r="N863" s="20">
        <f>IF($M863="","",IF($M863&lt;=0,"Sin stock: reponer ya",IF($M863&lt;IFERROR(N(INDEX(Vinos!$N$2:$N$301,MATCH($B863,Vinos!$A$2:$A$301,0))),0),"Bajo mínimo: reponer","OK")))</f>
        <v/>
      </c>
      <c r="O863" s="14" t="n"/>
      <c r="P863" s="14" t="n"/>
      <c r="Q863" s="20">
        <f>IF($B863="","",IFERROR(INDEX(Vinos!$C$2:$C$301,MATCH($B863,Vinos!$A$2:$A$301,0)),""))</f>
        <v/>
      </c>
      <c r="R863" s="20">
        <f>IF(OR($A863="",$A863&lt;&gt;'Resumen del inventario'!$C$3,$N863="",$N863="OK"),"",IF(COUNTIFS($A$2:$A863,$A863,$B$2:$B863,$B863)=1,1,""))</f>
        <v/>
      </c>
      <c r="S863" s="20">
        <f>IF($R863=1,COUNTIF($R$2:$R863,1),"")</f>
        <v/>
      </c>
    </row>
    <row r="864">
      <c r="A864" s="19" t="n"/>
      <c r="B864" s="14" t="n"/>
      <c r="C864" s="20">
        <f>IF($B864="","",IFERROR(INDEX(Vinos!$B$2:$B$301,MATCH($B864,Vinos!$A$2:$A$301,0)),"Código no cargado"))</f>
        <v/>
      </c>
      <c r="D864" s="14" t="n"/>
      <c r="E864" s="14" t="n"/>
      <c r="F864" s="18" t="n"/>
      <c r="G864" s="18" t="n"/>
      <c r="H864" s="21">
        <f>IF(AND($F864="",$G864=""),"",N($F864)*IFERROR(N(INDEX(Vinos!$H$2:$H$301,MATCH($B864,Vinos!$A$2:$A$301,0))),0)+N($G864))</f>
        <v/>
      </c>
      <c r="I864" s="18" t="n"/>
      <c r="J864" s="21">
        <f>IF(OR($H864="",$I864=""),"",$H864-$I864)</f>
        <v/>
      </c>
      <c r="K864" s="16">
        <f>IF($H864="","",IFERROR(IF(INDEX(Vinos!$J$2:$J$301,MATCH($B864,Vinos!$A$2:$A$301,0))="","",$H864*INDEX(Vinos!$J$2:$J$301,MATCH($B864,Vinos!$A$2:$A$301,0))),""))</f>
        <v/>
      </c>
      <c r="L864" s="16">
        <f>IF($H864="","",IFERROR(IF(INDEX(Vinos!$K$2:$K$301,MATCH($B864,Vinos!$A$2:$A$301,0))="","",$H864*INDEX(Vinos!$K$2:$K$301,MATCH($B864,Vinos!$A$2:$A$301,0))),""))</f>
        <v/>
      </c>
      <c r="M864" s="21">
        <f>IF(OR($A864="",$B864=""),"",SUMIFS($H$2:$H$2001,$A$2:$A$2001,$A864,$B$2:$B$2001,$B864))</f>
        <v/>
      </c>
      <c r="N864" s="20">
        <f>IF($M864="","",IF($M864&lt;=0,"Sin stock: reponer ya",IF($M864&lt;IFERROR(N(INDEX(Vinos!$N$2:$N$301,MATCH($B864,Vinos!$A$2:$A$301,0))),0),"Bajo mínimo: reponer","OK")))</f>
        <v/>
      </c>
      <c r="O864" s="14" t="n"/>
      <c r="P864" s="14" t="n"/>
      <c r="Q864" s="20">
        <f>IF($B864="","",IFERROR(INDEX(Vinos!$C$2:$C$301,MATCH($B864,Vinos!$A$2:$A$301,0)),""))</f>
        <v/>
      </c>
      <c r="R864" s="20">
        <f>IF(OR($A864="",$A864&lt;&gt;'Resumen del inventario'!$C$3,$N864="",$N864="OK"),"",IF(COUNTIFS($A$2:$A864,$A864,$B$2:$B864,$B864)=1,1,""))</f>
        <v/>
      </c>
      <c r="S864" s="20">
        <f>IF($R864=1,COUNTIF($R$2:$R864,1),"")</f>
        <v/>
      </c>
    </row>
    <row r="865">
      <c r="A865" s="19" t="n"/>
      <c r="B865" s="14" t="n"/>
      <c r="C865" s="20">
        <f>IF($B865="","",IFERROR(INDEX(Vinos!$B$2:$B$301,MATCH($B865,Vinos!$A$2:$A$301,0)),"Código no cargado"))</f>
        <v/>
      </c>
      <c r="D865" s="14" t="n"/>
      <c r="E865" s="14" t="n"/>
      <c r="F865" s="18" t="n"/>
      <c r="G865" s="18" t="n"/>
      <c r="H865" s="21">
        <f>IF(AND($F865="",$G865=""),"",N($F865)*IFERROR(N(INDEX(Vinos!$H$2:$H$301,MATCH($B865,Vinos!$A$2:$A$301,0))),0)+N($G865))</f>
        <v/>
      </c>
      <c r="I865" s="18" t="n"/>
      <c r="J865" s="21">
        <f>IF(OR($H865="",$I865=""),"",$H865-$I865)</f>
        <v/>
      </c>
      <c r="K865" s="16">
        <f>IF($H865="","",IFERROR(IF(INDEX(Vinos!$J$2:$J$301,MATCH($B865,Vinos!$A$2:$A$301,0))="","",$H865*INDEX(Vinos!$J$2:$J$301,MATCH($B865,Vinos!$A$2:$A$301,0))),""))</f>
        <v/>
      </c>
      <c r="L865" s="16">
        <f>IF($H865="","",IFERROR(IF(INDEX(Vinos!$K$2:$K$301,MATCH($B865,Vinos!$A$2:$A$301,0))="","",$H865*INDEX(Vinos!$K$2:$K$301,MATCH($B865,Vinos!$A$2:$A$301,0))),""))</f>
        <v/>
      </c>
      <c r="M865" s="21">
        <f>IF(OR($A865="",$B865=""),"",SUMIFS($H$2:$H$2001,$A$2:$A$2001,$A865,$B$2:$B$2001,$B865))</f>
        <v/>
      </c>
      <c r="N865" s="20">
        <f>IF($M865="","",IF($M865&lt;=0,"Sin stock: reponer ya",IF($M865&lt;IFERROR(N(INDEX(Vinos!$N$2:$N$301,MATCH($B865,Vinos!$A$2:$A$301,0))),0),"Bajo mínimo: reponer","OK")))</f>
        <v/>
      </c>
      <c r="O865" s="14" t="n"/>
      <c r="P865" s="14" t="n"/>
      <c r="Q865" s="20">
        <f>IF($B865="","",IFERROR(INDEX(Vinos!$C$2:$C$301,MATCH($B865,Vinos!$A$2:$A$301,0)),""))</f>
        <v/>
      </c>
      <c r="R865" s="20">
        <f>IF(OR($A865="",$A865&lt;&gt;'Resumen del inventario'!$C$3,$N865="",$N865="OK"),"",IF(COUNTIFS($A$2:$A865,$A865,$B$2:$B865,$B865)=1,1,""))</f>
        <v/>
      </c>
      <c r="S865" s="20">
        <f>IF($R865=1,COUNTIF($R$2:$R865,1),"")</f>
        <v/>
      </c>
    </row>
    <row r="866">
      <c r="A866" s="19" t="n"/>
      <c r="B866" s="14" t="n"/>
      <c r="C866" s="20">
        <f>IF($B866="","",IFERROR(INDEX(Vinos!$B$2:$B$301,MATCH($B866,Vinos!$A$2:$A$301,0)),"Código no cargado"))</f>
        <v/>
      </c>
      <c r="D866" s="14" t="n"/>
      <c r="E866" s="14" t="n"/>
      <c r="F866" s="18" t="n"/>
      <c r="G866" s="18" t="n"/>
      <c r="H866" s="21">
        <f>IF(AND($F866="",$G866=""),"",N($F866)*IFERROR(N(INDEX(Vinos!$H$2:$H$301,MATCH($B866,Vinos!$A$2:$A$301,0))),0)+N($G866))</f>
        <v/>
      </c>
      <c r="I866" s="18" t="n"/>
      <c r="J866" s="21">
        <f>IF(OR($H866="",$I866=""),"",$H866-$I866)</f>
        <v/>
      </c>
      <c r="K866" s="16">
        <f>IF($H866="","",IFERROR(IF(INDEX(Vinos!$J$2:$J$301,MATCH($B866,Vinos!$A$2:$A$301,0))="","",$H866*INDEX(Vinos!$J$2:$J$301,MATCH($B866,Vinos!$A$2:$A$301,0))),""))</f>
        <v/>
      </c>
      <c r="L866" s="16">
        <f>IF($H866="","",IFERROR(IF(INDEX(Vinos!$K$2:$K$301,MATCH($B866,Vinos!$A$2:$A$301,0))="","",$H866*INDEX(Vinos!$K$2:$K$301,MATCH($B866,Vinos!$A$2:$A$301,0))),""))</f>
        <v/>
      </c>
      <c r="M866" s="21">
        <f>IF(OR($A866="",$B866=""),"",SUMIFS($H$2:$H$2001,$A$2:$A$2001,$A866,$B$2:$B$2001,$B866))</f>
        <v/>
      </c>
      <c r="N866" s="20">
        <f>IF($M866="","",IF($M866&lt;=0,"Sin stock: reponer ya",IF($M866&lt;IFERROR(N(INDEX(Vinos!$N$2:$N$301,MATCH($B866,Vinos!$A$2:$A$301,0))),0),"Bajo mínimo: reponer","OK")))</f>
        <v/>
      </c>
      <c r="O866" s="14" t="n"/>
      <c r="P866" s="14" t="n"/>
      <c r="Q866" s="20">
        <f>IF($B866="","",IFERROR(INDEX(Vinos!$C$2:$C$301,MATCH($B866,Vinos!$A$2:$A$301,0)),""))</f>
        <v/>
      </c>
      <c r="R866" s="20">
        <f>IF(OR($A866="",$A866&lt;&gt;'Resumen del inventario'!$C$3,$N866="",$N866="OK"),"",IF(COUNTIFS($A$2:$A866,$A866,$B$2:$B866,$B866)=1,1,""))</f>
        <v/>
      </c>
      <c r="S866" s="20">
        <f>IF($R866=1,COUNTIF($R$2:$R866,1),"")</f>
        <v/>
      </c>
    </row>
    <row r="867">
      <c r="A867" s="19" t="n"/>
      <c r="B867" s="14" t="n"/>
      <c r="C867" s="20">
        <f>IF($B867="","",IFERROR(INDEX(Vinos!$B$2:$B$301,MATCH($B867,Vinos!$A$2:$A$301,0)),"Código no cargado"))</f>
        <v/>
      </c>
      <c r="D867" s="14" t="n"/>
      <c r="E867" s="14" t="n"/>
      <c r="F867" s="18" t="n"/>
      <c r="G867" s="18" t="n"/>
      <c r="H867" s="21">
        <f>IF(AND($F867="",$G867=""),"",N($F867)*IFERROR(N(INDEX(Vinos!$H$2:$H$301,MATCH($B867,Vinos!$A$2:$A$301,0))),0)+N($G867))</f>
        <v/>
      </c>
      <c r="I867" s="18" t="n"/>
      <c r="J867" s="21">
        <f>IF(OR($H867="",$I867=""),"",$H867-$I867)</f>
        <v/>
      </c>
      <c r="K867" s="16">
        <f>IF($H867="","",IFERROR(IF(INDEX(Vinos!$J$2:$J$301,MATCH($B867,Vinos!$A$2:$A$301,0))="","",$H867*INDEX(Vinos!$J$2:$J$301,MATCH($B867,Vinos!$A$2:$A$301,0))),""))</f>
        <v/>
      </c>
      <c r="L867" s="16">
        <f>IF($H867="","",IFERROR(IF(INDEX(Vinos!$K$2:$K$301,MATCH($B867,Vinos!$A$2:$A$301,0))="","",$H867*INDEX(Vinos!$K$2:$K$301,MATCH($B867,Vinos!$A$2:$A$301,0))),""))</f>
        <v/>
      </c>
      <c r="M867" s="21">
        <f>IF(OR($A867="",$B867=""),"",SUMIFS($H$2:$H$2001,$A$2:$A$2001,$A867,$B$2:$B$2001,$B867))</f>
        <v/>
      </c>
      <c r="N867" s="20">
        <f>IF($M867="","",IF($M867&lt;=0,"Sin stock: reponer ya",IF($M867&lt;IFERROR(N(INDEX(Vinos!$N$2:$N$301,MATCH($B867,Vinos!$A$2:$A$301,0))),0),"Bajo mínimo: reponer","OK")))</f>
        <v/>
      </c>
      <c r="O867" s="14" t="n"/>
      <c r="P867" s="14" t="n"/>
      <c r="Q867" s="20">
        <f>IF($B867="","",IFERROR(INDEX(Vinos!$C$2:$C$301,MATCH($B867,Vinos!$A$2:$A$301,0)),""))</f>
        <v/>
      </c>
      <c r="R867" s="20">
        <f>IF(OR($A867="",$A867&lt;&gt;'Resumen del inventario'!$C$3,$N867="",$N867="OK"),"",IF(COUNTIFS($A$2:$A867,$A867,$B$2:$B867,$B867)=1,1,""))</f>
        <v/>
      </c>
      <c r="S867" s="20">
        <f>IF($R867=1,COUNTIF($R$2:$R867,1),"")</f>
        <v/>
      </c>
    </row>
    <row r="868">
      <c r="A868" s="19" t="n"/>
      <c r="B868" s="14" t="n"/>
      <c r="C868" s="20">
        <f>IF($B868="","",IFERROR(INDEX(Vinos!$B$2:$B$301,MATCH($B868,Vinos!$A$2:$A$301,0)),"Código no cargado"))</f>
        <v/>
      </c>
      <c r="D868" s="14" t="n"/>
      <c r="E868" s="14" t="n"/>
      <c r="F868" s="18" t="n"/>
      <c r="G868" s="18" t="n"/>
      <c r="H868" s="21">
        <f>IF(AND($F868="",$G868=""),"",N($F868)*IFERROR(N(INDEX(Vinos!$H$2:$H$301,MATCH($B868,Vinos!$A$2:$A$301,0))),0)+N($G868))</f>
        <v/>
      </c>
      <c r="I868" s="18" t="n"/>
      <c r="J868" s="21">
        <f>IF(OR($H868="",$I868=""),"",$H868-$I868)</f>
        <v/>
      </c>
      <c r="K868" s="16">
        <f>IF($H868="","",IFERROR(IF(INDEX(Vinos!$J$2:$J$301,MATCH($B868,Vinos!$A$2:$A$301,0))="","",$H868*INDEX(Vinos!$J$2:$J$301,MATCH($B868,Vinos!$A$2:$A$301,0))),""))</f>
        <v/>
      </c>
      <c r="L868" s="16">
        <f>IF($H868="","",IFERROR(IF(INDEX(Vinos!$K$2:$K$301,MATCH($B868,Vinos!$A$2:$A$301,0))="","",$H868*INDEX(Vinos!$K$2:$K$301,MATCH($B868,Vinos!$A$2:$A$301,0))),""))</f>
        <v/>
      </c>
      <c r="M868" s="21">
        <f>IF(OR($A868="",$B868=""),"",SUMIFS($H$2:$H$2001,$A$2:$A$2001,$A868,$B$2:$B$2001,$B868))</f>
        <v/>
      </c>
      <c r="N868" s="20">
        <f>IF($M868="","",IF($M868&lt;=0,"Sin stock: reponer ya",IF($M868&lt;IFERROR(N(INDEX(Vinos!$N$2:$N$301,MATCH($B868,Vinos!$A$2:$A$301,0))),0),"Bajo mínimo: reponer","OK")))</f>
        <v/>
      </c>
      <c r="O868" s="14" t="n"/>
      <c r="P868" s="14" t="n"/>
      <c r="Q868" s="20">
        <f>IF($B868="","",IFERROR(INDEX(Vinos!$C$2:$C$301,MATCH($B868,Vinos!$A$2:$A$301,0)),""))</f>
        <v/>
      </c>
      <c r="R868" s="20">
        <f>IF(OR($A868="",$A868&lt;&gt;'Resumen del inventario'!$C$3,$N868="",$N868="OK"),"",IF(COUNTIFS($A$2:$A868,$A868,$B$2:$B868,$B868)=1,1,""))</f>
        <v/>
      </c>
      <c r="S868" s="20">
        <f>IF($R868=1,COUNTIF($R$2:$R868,1),"")</f>
        <v/>
      </c>
    </row>
    <row r="869">
      <c r="A869" s="19" t="n"/>
      <c r="B869" s="14" t="n"/>
      <c r="C869" s="20">
        <f>IF($B869="","",IFERROR(INDEX(Vinos!$B$2:$B$301,MATCH($B869,Vinos!$A$2:$A$301,0)),"Código no cargado"))</f>
        <v/>
      </c>
      <c r="D869" s="14" t="n"/>
      <c r="E869" s="14" t="n"/>
      <c r="F869" s="18" t="n"/>
      <c r="G869" s="18" t="n"/>
      <c r="H869" s="21">
        <f>IF(AND($F869="",$G869=""),"",N($F869)*IFERROR(N(INDEX(Vinos!$H$2:$H$301,MATCH($B869,Vinos!$A$2:$A$301,0))),0)+N($G869))</f>
        <v/>
      </c>
      <c r="I869" s="18" t="n"/>
      <c r="J869" s="21">
        <f>IF(OR($H869="",$I869=""),"",$H869-$I869)</f>
        <v/>
      </c>
      <c r="K869" s="16">
        <f>IF($H869="","",IFERROR(IF(INDEX(Vinos!$J$2:$J$301,MATCH($B869,Vinos!$A$2:$A$301,0))="","",$H869*INDEX(Vinos!$J$2:$J$301,MATCH($B869,Vinos!$A$2:$A$301,0))),""))</f>
        <v/>
      </c>
      <c r="L869" s="16">
        <f>IF($H869="","",IFERROR(IF(INDEX(Vinos!$K$2:$K$301,MATCH($B869,Vinos!$A$2:$A$301,0))="","",$H869*INDEX(Vinos!$K$2:$K$301,MATCH($B869,Vinos!$A$2:$A$301,0))),""))</f>
        <v/>
      </c>
      <c r="M869" s="21">
        <f>IF(OR($A869="",$B869=""),"",SUMIFS($H$2:$H$2001,$A$2:$A$2001,$A869,$B$2:$B$2001,$B869))</f>
        <v/>
      </c>
      <c r="N869" s="20">
        <f>IF($M869="","",IF($M869&lt;=0,"Sin stock: reponer ya",IF($M869&lt;IFERROR(N(INDEX(Vinos!$N$2:$N$301,MATCH($B869,Vinos!$A$2:$A$301,0))),0),"Bajo mínimo: reponer","OK")))</f>
        <v/>
      </c>
      <c r="O869" s="14" t="n"/>
      <c r="P869" s="14" t="n"/>
      <c r="Q869" s="20">
        <f>IF($B869="","",IFERROR(INDEX(Vinos!$C$2:$C$301,MATCH($B869,Vinos!$A$2:$A$301,0)),""))</f>
        <v/>
      </c>
      <c r="R869" s="20">
        <f>IF(OR($A869="",$A869&lt;&gt;'Resumen del inventario'!$C$3,$N869="",$N869="OK"),"",IF(COUNTIFS($A$2:$A869,$A869,$B$2:$B869,$B869)=1,1,""))</f>
        <v/>
      </c>
      <c r="S869" s="20">
        <f>IF($R869=1,COUNTIF($R$2:$R869,1),"")</f>
        <v/>
      </c>
    </row>
    <row r="870">
      <c r="A870" s="19" t="n"/>
      <c r="B870" s="14" t="n"/>
      <c r="C870" s="20">
        <f>IF($B870="","",IFERROR(INDEX(Vinos!$B$2:$B$301,MATCH($B870,Vinos!$A$2:$A$301,0)),"Código no cargado"))</f>
        <v/>
      </c>
      <c r="D870" s="14" t="n"/>
      <c r="E870" s="14" t="n"/>
      <c r="F870" s="18" t="n"/>
      <c r="G870" s="18" t="n"/>
      <c r="H870" s="21">
        <f>IF(AND($F870="",$G870=""),"",N($F870)*IFERROR(N(INDEX(Vinos!$H$2:$H$301,MATCH($B870,Vinos!$A$2:$A$301,0))),0)+N($G870))</f>
        <v/>
      </c>
      <c r="I870" s="18" t="n"/>
      <c r="J870" s="21">
        <f>IF(OR($H870="",$I870=""),"",$H870-$I870)</f>
        <v/>
      </c>
      <c r="K870" s="16">
        <f>IF($H870="","",IFERROR(IF(INDEX(Vinos!$J$2:$J$301,MATCH($B870,Vinos!$A$2:$A$301,0))="","",$H870*INDEX(Vinos!$J$2:$J$301,MATCH($B870,Vinos!$A$2:$A$301,0))),""))</f>
        <v/>
      </c>
      <c r="L870" s="16">
        <f>IF($H870="","",IFERROR(IF(INDEX(Vinos!$K$2:$K$301,MATCH($B870,Vinos!$A$2:$A$301,0))="","",$H870*INDEX(Vinos!$K$2:$K$301,MATCH($B870,Vinos!$A$2:$A$301,0))),""))</f>
        <v/>
      </c>
      <c r="M870" s="21">
        <f>IF(OR($A870="",$B870=""),"",SUMIFS($H$2:$H$2001,$A$2:$A$2001,$A870,$B$2:$B$2001,$B870))</f>
        <v/>
      </c>
      <c r="N870" s="20">
        <f>IF($M870="","",IF($M870&lt;=0,"Sin stock: reponer ya",IF($M870&lt;IFERROR(N(INDEX(Vinos!$N$2:$N$301,MATCH($B870,Vinos!$A$2:$A$301,0))),0),"Bajo mínimo: reponer","OK")))</f>
        <v/>
      </c>
      <c r="O870" s="14" t="n"/>
      <c r="P870" s="14" t="n"/>
      <c r="Q870" s="20">
        <f>IF($B870="","",IFERROR(INDEX(Vinos!$C$2:$C$301,MATCH($B870,Vinos!$A$2:$A$301,0)),""))</f>
        <v/>
      </c>
      <c r="R870" s="20">
        <f>IF(OR($A870="",$A870&lt;&gt;'Resumen del inventario'!$C$3,$N870="",$N870="OK"),"",IF(COUNTIFS($A$2:$A870,$A870,$B$2:$B870,$B870)=1,1,""))</f>
        <v/>
      </c>
      <c r="S870" s="20">
        <f>IF($R870=1,COUNTIF($R$2:$R870,1),"")</f>
        <v/>
      </c>
    </row>
    <row r="871">
      <c r="A871" s="19" t="n"/>
      <c r="B871" s="14" t="n"/>
      <c r="C871" s="20">
        <f>IF($B871="","",IFERROR(INDEX(Vinos!$B$2:$B$301,MATCH($B871,Vinos!$A$2:$A$301,0)),"Código no cargado"))</f>
        <v/>
      </c>
      <c r="D871" s="14" t="n"/>
      <c r="E871" s="14" t="n"/>
      <c r="F871" s="18" t="n"/>
      <c r="G871" s="18" t="n"/>
      <c r="H871" s="21">
        <f>IF(AND($F871="",$G871=""),"",N($F871)*IFERROR(N(INDEX(Vinos!$H$2:$H$301,MATCH($B871,Vinos!$A$2:$A$301,0))),0)+N($G871))</f>
        <v/>
      </c>
      <c r="I871" s="18" t="n"/>
      <c r="J871" s="21">
        <f>IF(OR($H871="",$I871=""),"",$H871-$I871)</f>
        <v/>
      </c>
      <c r="K871" s="16">
        <f>IF($H871="","",IFERROR(IF(INDEX(Vinos!$J$2:$J$301,MATCH($B871,Vinos!$A$2:$A$301,0))="","",$H871*INDEX(Vinos!$J$2:$J$301,MATCH($B871,Vinos!$A$2:$A$301,0))),""))</f>
        <v/>
      </c>
      <c r="L871" s="16">
        <f>IF($H871="","",IFERROR(IF(INDEX(Vinos!$K$2:$K$301,MATCH($B871,Vinos!$A$2:$A$301,0))="","",$H871*INDEX(Vinos!$K$2:$K$301,MATCH($B871,Vinos!$A$2:$A$301,0))),""))</f>
        <v/>
      </c>
      <c r="M871" s="21">
        <f>IF(OR($A871="",$B871=""),"",SUMIFS($H$2:$H$2001,$A$2:$A$2001,$A871,$B$2:$B$2001,$B871))</f>
        <v/>
      </c>
      <c r="N871" s="20">
        <f>IF($M871="","",IF($M871&lt;=0,"Sin stock: reponer ya",IF($M871&lt;IFERROR(N(INDEX(Vinos!$N$2:$N$301,MATCH($B871,Vinos!$A$2:$A$301,0))),0),"Bajo mínimo: reponer","OK")))</f>
        <v/>
      </c>
      <c r="O871" s="14" t="n"/>
      <c r="P871" s="14" t="n"/>
      <c r="Q871" s="20">
        <f>IF($B871="","",IFERROR(INDEX(Vinos!$C$2:$C$301,MATCH($B871,Vinos!$A$2:$A$301,0)),""))</f>
        <v/>
      </c>
      <c r="R871" s="20">
        <f>IF(OR($A871="",$A871&lt;&gt;'Resumen del inventario'!$C$3,$N871="",$N871="OK"),"",IF(COUNTIFS($A$2:$A871,$A871,$B$2:$B871,$B871)=1,1,""))</f>
        <v/>
      </c>
      <c r="S871" s="20">
        <f>IF($R871=1,COUNTIF($R$2:$R871,1),"")</f>
        <v/>
      </c>
    </row>
    <row r="872">
      <c r="A872" s="19" t="n"/>
      <c r="B872" s="14" t="n"/>
      <c r="C872" s="20">
        <f>IF($B872="","",IFERROR(INDEX(Vinos!$B$2:$B$301,MATCH($B872,Vinos!$A$2:$A$301,0)),"Código no cargado"))</f>
        <v/>
      </c>
      <c r="D872" s="14" t="n"/>
      <c r="E872" s="14" t="n"/>
      <c r="F872" s="18" t="n"/>
      <c r="G872" s="18" t="n"/>
      <c r="H872" s="21">
        <f>IF(AND($F872="",$G872=""),"",N($F872)*IFERROR(N(INDEX(Vinos!$H$2:$H$301,MATCH($B872,Vinos!$A$2:$A$301,0))),0)+N($G872))</f>
        <v/>
      </c>
      <c r="I872" s="18" t="n"/>
      <c r="J872" s="21">
        <f>IF(OR($H872="",$I872=""),"",$H872-$I872)</f>
        <v/>
      </c>
      <c r="K872" s="16">
        <f>IF($H872="","",IFERROR(IF(INDEX(Vinos!$J$2:$J$301,MATCH($B872,Vinos!$A$2:$A$301,0))="","",$H872*INDEX(Vinos!$J$2:$J$301,MATCH($B872,Vinos!$A$2:$A$301,0))),""))</f>
        <v/>
      </c>
      <c r="L872" s="16">
        <f>IF($H872="","",IFERROR(IF(INDEX(Vinos!$K$2:$K$301,MATCH($B872,Vinos!$A$2:$A$301,0))="","",$H872*INDEX(Vinos!$K$2:$K$301,MATCH($B872,Vinos!$A$2:$A$301,0))),""))</f>
        <v/>
      </c>
      <c r="M872" s="21">
        <f>IF(OR($A872="",$B872=""),"",SUMIFS($H$2:$H$2001,$A$2:$A$2001,$A872,$B$2:$B$2001,$B872))</f>
        <v/>
      </c>
      <c r="N872" s="20">
        <f>IF($M872="","",IF($M872&lt;=0,"Sin stock: reponer ya",IF($M872&lt;IFERROR(N(INDEX(Vinos!$N$2:$N$301,MATCH($B872,Vinos!$A$2:$A$301,0))),0),"Bajo mínimo: reponer","OK")))</f>
        <v/>
      </c>
      <c r="O872" s="14" t="n"/>
      <c r="P872" s="14" t="n"/>
      <c r="Q872" s="20">
        <f>IF($B872="","",IFERROR(INDEX(Vinos!$C$2:$C$301,MATCH($B872,Vinos!$A$2:$A$301,0)),""))</f>
        <v/>
      </c>
      <c r="R872" s="20">
        <f>IF(OR($A872="",$A872&lt;&gt;'Resumen del inventario'!$C$3,$N872="",$N872="OK"),"",IF(COUNTIFS($A$2:$A872,$A872,$B$2:$B872,$B872)=1,1,""))</f>
        <v/>
      </c>
      <c r="S872" s="20">
        <f>IF($R872=1,COUNTIF($R$2:$R872,1),"")</f>
        <v/>
      </c>
    </row>
    <row r="873">
      <c r="A873" s="19" t="n"/>
      <c r="B873" s="14" t="n"/>
      <c r="C873" s="20">
        <f>IF($B873="","",IFERROR(INDEX(Vinos!$B$2:$B$301,MATCH($B873,Vinos!$A$2:$A$301,0)),"Código no cargado"))</f>
        <v/>
      </c>
      <c r="D873" s="14" t="n"/>
      <c r="E873" s="14" t="n"/>
      <c r="F873" s="18" t="n"/>
      <c r="G873" s="18" t="n"/>
      <c r="H873" s="21">
        <f>IF(AND($F873="",$G873=""),"",N($F873)*IFERROR(N(INDEX(Vinos!$H$2:$H$301,MATCH($B873,Vinos!$A$2:$A$301,0))),0)+N($G873))</f>
        <v/>
      </c>
      <c r="I873" s="18" t="n"/>
      <c r="J873" s="21">
        <f>IF(OR($H873="",$I873=""),"",$H873-$I873)</f>
        <v/>
      </c>
      <c r="K873" s="16">
        <f>IF($H873="","",IFERROR(IF(INDEX(Vinos!$J$2:$J$301,MATCH($B873,Vinos!$A$2:$A$301,0))="","",$H873*INDEX(Vinos!$J$2:$J$301,MATCH($B873,Vinos!$A$2:$A$301,0))),""))</f>
        <v/>
      </c>
      <c r="L873" s="16">
        <f>IF($H873="","",IFERROR(IF(INDEX(Vinos!$K$2:$K$301,MATCH($B873,Vinos!$A$2:$A$301,0))="","",$H873*INDEX(Vinos!$K$2:$K$301,MATCH($B873,Vinos!$A$2:$A$301,0))),""))</f>
        <v/>
      </c>
      <c r="M873" s="21">
        <f>IF(OR($A873="",$B873=""),"",SUMIFS($H$2:$H$2001,$A$2:$A$2001,$A873,$B$2:$B$2001,$B873))</f>
        <v/>
      </c>
      <c r="N873" s="20">
        <f>IF($M873="","",IF($M873&lt;=0,"Sin stock: reponer ya",IF($M873&lt;IFERROR(N(INDEX(Vinos!$N$2:$N$301,MATCH($B873,Vinos!$A$2:$A$301,0))),0),"Bajo mínimo: reponer","OK")))</f>
        <v/>
      </c>
      <c r="O873" s="14" t="n"/>
      <c r="P873" s="14" t="n"/>
      <c r="Q873" s="20">
        <f>IF($B873="","",IFERROR(INDEX(Vinos!$C$2:$C$301,MATCH($B873,Vinos!$A$2:$A$301,0)),""))</f>
        <v/>
      </c>
      <c r="R873" s="20">
        <f>IF(OR($A873="",$A873&lt;&gt;'Resumen del inventario'!$C$3,$N873="",$N873="OK"),"",IF(COUNTIFS($A$2:$A873,$A873,$B$2:$B873,$B873)=1,1,""))</f>
        <v/>
      </c>
      <c r="S873" s="20">
        <f>IF($R873=1,COUNTIF($R$2:$R873,1),"")</f>
        <v/>
      </c>
    </row>
    <row r="874">
      <c r="A874" s="19" t="n"/>
      <c r="B874" s="14" t="n"/>
      <c r="C874" s="20">
        <f>IF($B874="","",IFERROR(INDEX(Vinos!$B$2:$B$301,MATCH($B874,Vinos!$A$2:$A$301,0)),"Código no cargado"))</f>
        <v/>
      </c>
      <c r="D874" s="14" t="n"/>
      <c r="E874" s="14" t="n"/>
      <c r="F874" s="18" t="n"/>
      <c r="G874" s="18" t="n"/>
      <c r="H874" s="21">
        <f>IF(AND($F874="",$G874=""),"",N($F874)*IFERROR(N(INDEX(Vinos!$H$2:$H$301,MATCH($B874,Vinos!$A$2:$A$301,0))),0)+N($G874))</f>
        <v/>
      </c>
      <c r="I874" s="18" t="n"/>
      <c r="J874" s="21">
        <f>IF(OR($H874="",$I874=""),"",$H874-$I874)</f>
        <v/>
      </c>
      <c r="K874" s="16">
        <f>IF($H874="","",IFERROR(IF(INDEX(Vinos!$J$2:$J$301,MATCH($B874,Vinos!$A$2:$A$301,0))="","",$H874*INDEX(Vinos!$J$2:$J$301,MATCH($B874,Vinos!$A$2:$A$301,0))),""))</f>
        <v/>
      </c>
      <c r="L874" s="16">
        <f>IF($H874="","",IFERROR(IF(INDEX(Vinos!$K$2:$K$301,MATCH($B874,Vinos!$A$2:$A$301,0))="","",$H874*INDEX(Vinos!$K$2:$K$301,MATCH($B874,Vinos!$A$2:$A$301,0))),""))</f>
        <v/>
      </c>
      <c r="M874" s="21">
        <f>IF(OR($A874="",$B874=""),"",SUMIFS($H$2:$H$2001,$A$2:$A$2001,$A874,$B$2:$B$2001,$B874))</f>
        <v/>
      </c>
      <c r="N874" s="20">
        <f>IF($M874="","",IF($M874&lt;=0,"Sin stock: reponer ya",IF($M874&lt;IFERROR(N(INDEX(Vinos!$N$2:$N$301,MATCH($B874,Vinos!$A$2:$A$301,0))),0),"Bajo mínimo: reponer","OK")))</f>
        <v/>
      </c>
      <c r="O874" s="14" t="n"/>
      <c r="P874" s="14" t="n"/>
      <c r="Q874" s="20">
        <f>IF($B874="","",IFERROR(INDEX(Vinos!$C$2:$C$301,MATCH($B874,Vinos!$A$2:$A$301,0)),""))</f>
        <v/>
      </c>
      <c r="R874" s="20">
        <f>IF(OR($A874="",$A874&lt;&gt;'Resumen del inventario'!$C$3,$N874="",$N874="OK"),"",IF(COUNTIFS($A$2:$A874,$A874,$B$2:$B874,$B874)=1,1,""))</f>
        <v/>
      </c>
      <c r="S874" s="20">
        <f>IF($R874=1,COUNTIF($R$2:$R874,1),"")</f>
        <v/>
      </c>
    </row>
    <row r="875">
      <c r="A875" s="19" t="n"/>
      <c r="B875" s="14" t="n"/>
      <c r="C875" s="20">
        <f>IF($B875="","",IFERROR(INDEX(Vinos!$B$2:$B$301,MATCH($B875,Vinos!$A$2:$A$301,0)),"Código no cargado"))</f>
        <v/>
      </c>
      <c r="D875" s="14" t="n"/>
      <c r="E875" s="14" t="n"/>
      <c r="F875" s="18" t="n"/>
      <c r="G875" s="18" t="n"/>
      <c r="H875" s="21">
        <f>IF(AND($F875="",$G875=""),"",N($F875)*IFERROR(N(INDEX(Vinos!$H$2:$H$301,MATCH($B875,Vinos!$A$2:$A$301,0))),0)+N($G875))</f>
        <v/>
      </c>
      <c r="I875" s="18" t="n"/>
      <c r="J875" s="21">
        <f>IF(OR($H875="",$I875=""),"",$H875-$I875)</f>
        <v/>
      </c>
      <c r="K875" s="16">
        <f>IF($H875="","",IFERROR(IF(INDEX(Vinos!$J$2:$J$301,MATCH($B875,Vinos!$A$2:$A$301,0))="","",$H875*INDEX(Vinos!$J$2:$J$301,MATCH($B875,Vinos!$A$2:$A$301,0))),""))</f>
        <v/>
      </c>
      <c r="L875" s="16">
        <f>IF($H875="","",IFERROR(IF(INDEX(Vinos!$K$2:$K$301,MATCH($B875,Vinos!$A$2:$A$301,0))="","",$H875*INDEX(Vinos!$K$2:$K$301,MATCH($B875,Vinos!$A$2:$A$301,0))),""))</f>
        <v/>
      </c>
      <c r="M875" s="21">
        <f>IF(OR($A875="",$B875=""),"",SUMIFS($H$2:$H$2001,$A$2:$A$2001,$A875,$B$2:$B$2001,$B875))</f>
        <v/>
      </c>
      <c r="N875" s="20">
        <f>IF($M875="","",IF($M875&lt;=0,"Sin stock: reponer ya",IF($M875&lt;IFERROR(N(INDEX(Vinos!$N$2:$N$301,MATCH($B875,Vinos!$A$2:$A$301,0))),0),"Bajo mínimo: reponer","OK")))</f>
        <v/>
      </c>
      <c r="O875" s="14" t="n"/>
      <c r="P875" s="14" t="n"/>
      <c r="Q875" s="20">
        <f>IF($B875="","",IFERROR(INDEX(Vinos!$C$2:$C$301,MATCH($B875,Vinos!$A$2:$A$301,0)),""))</f>
        <v/>
      </c>
      <c r="R875" s="20">
        <f>IF(OR($A875="",$A875&lt;&gt;'Resumen del inventario'!$C$3,$N875="",$N875="OK"),"",IF(COUNTIFS($A$2:$A875,$A875,$B$2:$B875,$B875)=1,1,""))</f>
        <v/>
      </c>
      <c r="S875" s="20">
        <f>IF($R875=1,COUNTIF($R$2:$R875,1),"")</f>
        <v/>
      </c>
    </row>
    <row r="876">
      <c r="A876" s="19" t="n"/>
      <c r="B876" s="14" t="n"/>
      <c r="C876" s="20">
        <f>IF($B876="","",IFERROR(INDEX(Vinos!$B$2:$B$301,MATCH($B876,Vinos!$A$2:$A$301,0)),"Código no cargado"))</f>
        <v/>
      </c>
      <c r="D876" s="14" t="n"/>
      <c r="E876" s="14" t="n"/>
      <c r="F876" s="18" t="n"/>
      <c r="G876" s="18" t="n"/>
      <c r="H876" s="21">
        <f>IF(AND($F876="",$G876=""),"",N($F876)*IFERROR(N(INDEX(Vinos!$H$2:$H$301,MATCH($B876,Vinos!$A$2:$A$301,0))),0)+N($G876))</f>
        <v/>
      </c>
      <c r="I876" s="18" t="n"/>
      <c r="J876" s="21">
        <f>IF(OR($H876="",$I876=""),"",$H876-$I876)</f>
        <v/>
      </c>
      <c r="K876" s="16">
        <f>IF($H876="","",IFERROR(IF(INDEX(Vinos!$J$2:$J$301,MATCH($B876,Vinos!$A$2:$A$301,0))="","",$H876*INDEX(Vinos!$J$2:$J$301,MATCH($B876,Vinos!$A$2:$A$301,0))),""))</f>
        <v/>
      </c>
      <c r="L876" s="16">
        <f>IF($H876="","",IFERROR(IF(INDEX(Vinos!$K$2:$K$301,MATCH($B876,Vinos!$A$2:$A$301,0))="","",$H876*INDEX(Vinos!$K$2:$K$301,MATCH($B876,Vinos!$A$2:$A$301,0))),""))</f>
        <v/>
      </c>
      <c r="M876" s="21">
        <f>IF(OR($A876="",$B876=""),"",SUMIFS($H$2:$H$2001,$A$2:$A$2001,$A876,$B$2:$B$2001,$B876))</f>
        <v/>
      </c>
      <c r="N876" s="20">
        <f>IF($M876="","",IF($M876&lt;=0,"Sin stock: reponer ya",IF($M876&lt;IFERROR(N(INDEX(Vinos!$N$2:$N$301,MATCH($B876,Vinos!$A$2:$A$301,0))),0),"Bajo mínimo: reponer","OK")))</f>
        <v/>
      </c>
      <c r="O876" s="14" t="n"/>
      <c r="P876" s="14" t="n"/>
      <c r="Q876" s="20">
        <f>IF($B876="","",IFERROR(INDEX(Vinos!$C$2:$C$301,MATCH($B876,Vinos!$A$2:$A$301,0)),""))</f>
        <v/>
      </c>
      <c r="R876" s="20">
        <f>IF(OR($A876="",$A876&lt;&gt;'Resumen del inventario'!$C$3,$N876="",$N876="OK"),"",IF(COUNTIFS($A$2:$A876,$A876,$B$2:$B876,$B876)=1,1,""))</f>
        <v/>
      </c>
      <c r="S876" s="20">
        <f>IF($R876=1,COUNTIF($R$2:$R876,1),"")</f>
        <v/>
      </c>
    </row>
    <row r="877">
      <c r="A877" s="19" t="n"/>
      <c r="B877" s="14" t="n"/>
      <c r="C877" s="20">
        <f>IF($B877="","",IFERROR(INDEX(Vinos!$B$2:$B$301,MATCH($B877,Vinos!$A$2:$A$301,0)),"Código no cargado"))</f>
        <v/>
      </c>
      <c r="D877" s="14" t="n"/>
      <c r="E877" s="14" t="n"/>
      <c r="F877" s="18" t="n"/>
      <c r="G877" s="18" t="n"/>
      <c r="H877" s="21">
        <f>IF(AND($F877="",$G877=""),"",N($F877)*IFERROR(N(INDEX(Vinos!$H$2:$H$301,MATCH($B877,Vinos!$A$2:$A$301,0))),0)+N($G877))</f>
        <v/>
      </c>
      <c r="I877" s="18" t="n"/>
      <c r="J877" s="21">
        <f>IF(OR($H877="",$I877=""),"",$H877-$I877)</f>
        <v/>
      </c>
      <c r="K877" s="16">
        <f>IF($H877="","",IFERROR(IF(INDEX(Vinos!$J$2:$J$301,MATCH($B877,Vinos!$A$2:$A$301,0))="","",$H877*INDEX(Vinos!$J$2:$J$301,MATCH($B877,Vinos!$A$2:$A$301,0))),""))</f>
        <v/>
      </c>
      <c r="L877" s="16">
        <f>IF($H877="","",IFERROR(IF(INDEX(Vinos!$K$2:$K$301,MATCH($B877,Vinos!$A$2:$A$301,0))="","",$H877*INDEX(Vinos!$K$2:$K$301,MATCH($B877,Vinos!$A$2:$A$301,0))),""))</f>
        <v/>
      </c>
      <c r="M877" s="21">
        <f>IF(OR($A877="",$B877=""),"",SUMIFS($H$2:$H$2001,$A$2:$A$2001,$A877,$B$2:$B$2001,$B877))</f>
        <v/>
      </c>
      <c r="N877" s="20">
        <f>IF($M877="","",IF($M877&lt;=0,"Sin stock: reponer ya",IF($M877&lt;IFERROR(N(INDEX(Vinos!$N$2:$N$301,MATCH($B877,Vinos!$A$2:$A$301,0))),0),"Bajo mínimo: reponer","OK")))</f>
        <v/>
      </c>
      <c r="O877" s="14" t="n"/>
      <c r="P877" s="14" t="n"/>
      <c r="Q877" s="20">
        <f>IF($B877="","",IFERROR(INDEX(Vinos!$C$2:$C$301,MATCH($B877,Vinos!$A$2:$A$301,0)),""))</f>
        <v/>
      </c>
      <c r="R877" s="20">
        <f>IF(OR($A877="",$A877&lt;&gt;'Resumen del inventario'!$C$3,$N877="",$N877="OK"),"",IF(COUNTIFS($A$2:$A877,$A877,$B$2:$B877,$B877)=1,1,""))</f>
        <v/>
      </c>
      <c r="S877" s="20">
        <f>IF($R877=1,COUNTIF($R$2:$R877,1),"")</f>
        <v/>
      </c>
    </row>
    <row r="878">
      <c r="A878" s="19" t="n"/>
      <c r="B878" s="14" t="n"/>
      <c r="C878" s="20">
        <f>IF($B878="","",IFERROR(INDEX(Vinos!$B$2:$B$301,MATCH($B878,Vinos!$A$2:$A$301,0)),"Código no cargado"))</f>
        <v/>
      </c>
      <c r="D878" s="14" t="n"/>
      <c r="E878" s="14" t="n"/>
      <c r="F878" s="18" t="n"/>
      <c r="G878" s="18" t="n"/>
      <c r="H878" s="21">
        <f>IF(AND($F878="",$G878=""),"",N($F878)*IFERROR(N(INDEX(Vinos!$H$2:$H$301,MATCH($B878,Vinos!$A$2:$A$301,0))),0)+N($G878))</f>
        <v/>
      </c>
      <c r="I878" s="18" t="n"/>
      <c r="J878" s="21">
        <f>IF(OR($H878="",$I878=""),"",$H878-$I878)</f>
        <v/>
      </c>
      <c r="K878" s="16">
        <f>IF($H878="","",IFERROR(IF(INDEX(Vinos!$J$2:$J$301,MATCH($B878,Vinos!$A$2:$A$301,0))="","",$H878*INDEX(Vinos!$J$2:$J$301,MATCH($B878,Vinos!$A$2:$A$301,0))),""))</f>
        <v/>
      </c>
      <c r="L878" s="16">
        <f>IF($H878="","",IFERROR(IF(INDEX(Vinos!$K$2:$K$301,MATCH($B878,Vinos!$A$2:$A$301,0))="","",$H878*INDEX(Vinos!$K$2:$K$301,MATCH($B878,Vinos!$A$2:$A$301,0))),""))</f>
        <v/>
      </c>
      <c r="M878" s="21">
        <f>IF(OR($A878="",$B878=""),"",SUMIFS($H$2:$H$2001,$A$2:$A$2001,$A878,$B$2:$B$2001,$B878))</f>
        <v/>
      </c>
      <c r="N878" s="20">
        <f>IF($M878="","",IF($M878&lt;=0,"Sin stock: reponer ya",IF($M878&lt;IFERROR(N(INDEX(Vinos!$N$2:$N$301,MATCH($B878,Vinos!$A$2:$A$301,0))),0),"Bajo mínimo: reponer","OK")))</f>
        <v/>
      </c>
      <c r="O878" s="14" t="n"/>
      <c r="P878" s="14" t="n"/>
      <c r="Q878" s="20">
        <f>IF($B878="","",IFERROR(INDEX(Vinos!$C$2:$C$301,MATCH($B878,Vinos!$A$2:$A$301,0)),""))</f>
        <v/>
      </c>
      <c r="R878" s="20">
        <f>IF(OR($A878="",$A878&lt;&gt;'Resumen del inventario'!$C$3,$N878="",$N878="OK"),"",IF(COUNTIFS($A$2:$A878,$A878,$B$2:$B878,$B878)=1,1,""))</f>
        <v/>
      </c>
      <c r="S878" s="20">
        <f>IF($R878=1,COUNTIF($R$2:$R878,1),"")</f>
        <v/>
      </c>
    </row>
    <row r="879">
      <c r="A879" s="19" t="n"/>
      <c r="B879" s="14" t="n"/>
      <c r="C879" s="20">
        <f>IF($B879="","",IFERROR(INDEX(Vinos!$B$2:$B$301,MATCH($B879,Vinos!$A$2:$A$301,0)),"Código no cargado"))</f>
        <v/>
      </c>
      <c r="D879" s="14" t="n"/>
      <c r="E879" s="14" t="n"/>
      <c r="F879" s="18" t="n"/>
      <c r="G879" s="18" t="n"/>
      <c r="H879" s="21">
        <f>IF(AND($F879="",$G879=""),"",N($F879)*IFERROR(N(INDEX(Vinos!$H$2:$H$301,MATCH($B879,Vinos!$A$2:$A$301,0))),0)+N($G879))</f>
        <v/>
      </c>
      <c r="I879" s="18" t="n"/>
      <c r="J879" s="21">
        <f>IF(OR($H879="",$I879=""),"",$H879-$I879)</f>
        <v/>
      </c>
      <c r="K879" s="16">
        <f>IF($H879="","",IFERROR(IF(INDEX(Vinos!$J$2:$J$301,MATCH($B879,Vinos!$A$2:$A$301,0))="","",$H879*INDEX(Vinos!$J$2:$J$301,MATCH($B879,Vinos!$A$2:$A$301,0))),""))</f>
        <v/>
      </c>
      <c r="L879" s="16">
        <f>IF($H879="","",IFERROR(IF(INDEX(Vinos!$K$2:$K$301,MATCH($B879,Vinos!$A$2:$A$301,0))="","",$H879*INDEX(Vinos!$K$2:$K$301,MATCH($B879,Vinos!$A$2:$A$301,0))),""))</f>
        <v/>
      </c>
      <c r="M879" s="21">
        <f>IF(OR($A879="",$B879=""),"",SUMIFS($H$2:$H$2001,$A$2:$A$2001,$A879,$B$2:$B$2001,$B879))</f>
        <v/>
      </c>
      <c r="N879" s="20">
        <f>IF($M879="","",IF($M879&lt;=0,"Sin stock: reponer ya",IF($M879&lt;IFERROR(N(INDEX(Vinos!$N$2:$N$301,MATCH($B879,Vinos!$A$2:$A$301,0))),0),"Bajo mínimo: reponer","OK")))</f>
        <v/>
      </c>
      <c r="O879" s="14" t="n"/>
      <c r="P879" s="14" t="n"/>
      <c r="Q879" s="20">
        <f>IF($B879="","",IFERROR(INDEX(Vinos!$C$2:$C$301,MATCH($B879,Vinos!$A$2:$A$301,0)),""))</f>
        <v/>
      </c>
      <c r="R879" s="20">
        <f>IF(OR($A879="",$A879&lt;&gt;'Resumen del inventario'!$C$3,$N879="",$N879="OK"),"",IF(COUNTIFS($A$2:$A879,$A879,$B$2:$B879,$B879)=1,1,""))</f>
        <v/>
      </c>
      <c r="S879" s="20">
        <f>IF($R879=1,COUNTIF($R$2:$R879,1),"")</f>
        <v/>
      </c>
    </row>
    <row r="880">
      <c r="A880" s="19" t="n"/>
      <c r="B880" s="14" t="n"/>
      <c r="C880" s="20">
        <f>IF($B880="","",IFERROR(INDEX(Vinos!$B$2:$B$301,MATCH($B880,Vinos!$A$2:$A$301,0)),"Código no cargado"))</f>
        <v/>
      </c>
      <c r="D880" s="14" t="n"/>
      <c r="E880" s="14" t="n"/>
      <c r="F880" s="18" t="n"/>
      <c r="G880" s="18" t="n"/>
      <c r="H880" s="21">
        <f>IF(AND($F880="",$G880=""),"",N($F880)*IFERROR(N(INDEX(Vinos!$H$2:$H$301,MATCH($B880,Vinos!$A$2:$A$301,0))),0)+N($G880))</f>
        <v/>
      </c>
      <c r="I880" s="18" t="n"/>
      <c r="J880" s="21">
        <f>IF(OR($H880="",$I880=""),"",$H880-$I880)</f>
        <v/>
      </c>
      <c r="K880" s="16">
        <f>IF($H880="","",IFERROR(IF(INDEX(Vinos!$J$2:$J$301,MATCH($B880,Vinos!$A$2:$A$301,0))="","",$H880*INDEX(Vinos!$J$2:$J$301,MATCH($B880,Vinos!$A$2:$A$301,0))),""))</f>
        <v/>
      </c>
      <c r="L880" s="16">
        <f>IF($H880="","",IFERROR(IF(INDEX(Vinos!$K$2:$K$301,MATCH($B880,Vinos!$A$2:$A$301,0))="","",$H880*INDEX(Vinos!$K$2:$K$301,MATCH($B880,Vinos!$A$2:$A$301,0))),""))</f>
        <v/>
      </c>
      <c r="M880" s="21">
        <f>IF(OR($A880="",$B880=""),"",SUMIFS($H$2:$H$2001,$A$2:$A$2001,$A880,$B$2:$B$2001,$B880))</f>
        <v/>
      </c>
      <c r="N880" s="20">
        <f>IF($M880="","",IF($M880&lt;=0,"Sin stock: reponer ya",IF($M880&lt;IFERROR(N(INDEX(Vinos!$N$2:$N$301,MATCH($B880,Vinos!$A$2:$A$301,0))),0),"Bajo mínimo: reponer","OK")))</f>
        <v/>
      </c>
      <c r="O880" s="14" t="n"/>
      <c r="P880" s="14" t="n"/>
      <c r="Q880" s="20">
        <f>IF($B880="","",IFERROR(INDEX(Vinos!$C$2:$C$301,MATCH($B880,Vinos!$A$2:$A$301,0)),""))</f>
        <v/>
      </c>
      <c r="R880" s="20">
        <f>IF(OR($A880="",$A880&lt;&gt;'Resumen del inventario'!$C$3,$N880="",$N880="OK"),"",IF(COUNTIFS($A$2:$A880,$A880,$B$2:$B880,$B880)=1,1,""))</f>
        <v/>
      </c>
      <c r="S880" s="20">
        <f>IF($R880=1,COUNTIF($R$2:$R880,1),"")</f>
        <v/>
      </c>
    </row>
    <row r="881">
      <c r="A881" s="19" t="n"/>
      <c r="B881" s="14" t="n"/>
      <c r="C881" s="20">
        <f>IF($B881="","",IFERROR(INDEX(Vinos!$B$2:$B$301,MATCH($B881,Vinos!$A$2:$A$301,0)),"Código no cargado"))</f>
        <v/>
      </c>
      <c r="D881" s="14" t="n"/>
      <c r="E881" s="14" t="n"/>
      <c r="F881" s="18" t="n"/>
      <c r="G881" s="18" t="n"/>
      <c r="H881" s="21">
        <f>IF(AND($F881="",$G881=""),"",N($F881)*IFERROR(N(INDEX(Vinos!$H$2:$H$301,MATCH($B881,Vinos!$A$2:$A$301,0))),0)+N($G881))</f>
        <v/>
      </c>
      <c r="I881" s="18" t="n"/>
      <c r="J881" s="21">
        <f>IF(OR($H881="",$I881=""),"",$H881-$I881)</f>
        <v/>
      </c>
      <c r="K881" s="16">
        <f>IF($H881="","",IFERROR(IF(INDEX(Vinos!$J$2:$J$301,MATCH($B881,Vinos!$A$2:$A$301,0))="","",$H881*INDEX(Vinos!$J$2:$J$301,MATCH($B881,Vinos!$A$2:$A$301,0))),""))</f>
        <v/>
      </c>
      <c r="L881" s="16">
        <f>IF($H881="","",IFERROR(IF(INDEX(Vinos!$K$2:$K$301,MATCH($B881,Vinos!$A$2:$A$301,0))="","",$H881*INDEX(Vinos!$K$2:$K$301,MATCH($B881,Vinos!$A$2:$A$301,0))),""))</f>
        <v/>
      </c>
      <c r="M881" s="21">
        <f>IF(OR($A881="",$B881=""),"",SUMIFS($H$2:$H$2001,$A$2:$A$2001,$A881,$B$2:$B$2001,$B881))</f>
        <v/>
      </c>
      <c r="N881" s="20">
        <f>IF($M881="","",IF($M881&lt;=0,"Sin stock: reponer ya",IF($M881&lt;IFERROR(N(INDEX(Vinos!$N$2:$N$301,MATCH($B881,Vinos!$A$2:$A$301,0))),0),"Bajo mínimo: reponer","OK")))</f>
        <v/>
      </c>
      <c r="O881" s="14" t="n"/>
      <c r="P881" s="14" t="n"/>
      <c r="Q881" s="20">
        <f>IF($B881="","",IFERROR(INDEX(Vinos!$C$2:$C$301,MATCH($B881,Vinos!$A$2:$A$301,0)),""))</f>
        <v/>
      </c>
      <c r="R881" s="20">
        <f>IF(OR($A881="",$A881&lt;&gt;'Resumen del inventario'!$C$3,$N881="",$N881="OK"),"",IF(COUNTIFS($A$2:$A881,$A881,$B$2:$B881,$B881)=1,1,""))</f>
        <v/>
      </c>
      <c r="S881" s="20">
        <f>IF($R881=1,COUNTIF($R$2:$R881,1),"")</f>
        <v/>
      </c>
    </row>
    <row r="882">
      <c r="A882" s="19" t="n"/>
      <c r="B882" s="14" t="n"/>
      <c r="C882" s="20">
        <f>IF($B882="","",IFERROR(INDEX(Vinos!$B$2:$B$301,MATCH($B882,Vinos!$A$2:$A$301,0)),"Código no cargado"))</f>
        <v/>
      </c>
      <c r="D882" s="14" t="n"/>
      <c r="E882" s="14" t="n"/>
      <c r="F882" s="18" t="n"/>
      <c r="G882" s="18" t="n"/>
      <c r="H882" s="21">
        <f>IF(AND($F882="",$G882=""),"",N($F882)*IFERROR(N(INDEX(Vinos!$H$2:$H$301,MATCH($B882,Vinos!$A$2:$A$301,0))),0)+N($G882))</f>
        <v/>
      </c>
      <c r="I882" s="18" t="n"/>
      <c r="J882" s="21">
        <f>IF(OR($H882="",$I882=""),"",$H882-$I882)</f>
        <v/>
      </c>
      <c r="K882" s="16">
        <f>IF($H882="","",IFERROR(IF(INDEX(Vinos!$J$2:$J$301,MATCH($B882,Vinos!$A$2:$A$301,0))="","",$H882*INDEX(Vinos!$J$2:$J$301,MATCH($B882,Vinos!$A$2:$A$301,0))),""))</f>
        <v/>
      </c>
      <c r="L882" s="16">
        <f>IF($H882="","",IFERROR(IF(INDEX(Vinos!$K$2:$K$301,MATCH($B882,Vinos!$A$2:$A$301,0))="","",$H882*INDEX(Vinos!$K$2:$K$301,MATCH($B882,Vinos!$A$2:$A$301,0))),""))</f>
        <v/>
      </c>
      <c r="M882" s="21">
        <f>IF(OR($A882="",$B882=""),"",SUMIFS($H$2:$H$2001,$A$2:$A$2001,$A882,$B$2:$B$2001,$B882))</f>
        <v/>
      </c>
      <c r="N882" s="20">
        <f>IF($M882="","",IF($M882&lt;=0,"Sin stock: reponer ya",IF($M882&lt;IFERROR(N(INDEX(Vinos!$N$2:$N$301,MATCH($B882,Vinos!$A$2:$A$301,0))),0),"Bajo mínimo: reponer","OK")))</f>
        <v/>
      </c>
      <c r="O882" s="14" t="n"/>
      <c r="P882" s="14" t="n"/>
      <c r="Q882" s="20">
        <f>IF($B882="","",IFERROR(INDEX(Vinos!$C$2:$C$301,MATCH($B882,Vinos!$A$2:$A$301,0)),""))</f>
        <v/>
      </c>
      <c r="R882" s="20">
        <f>IF(OR($A882="",$A882&lt;&gt;'Resumen del inventario'!$C$3,$N882="",$N882="OK"),"",IF(COUNTIFS($A$2:$A882,$A882,$B$2:$B882,$B882)=1,1,""))</f>
        <v/>
      </c>
      <c r="S882" s="20">
        <f>IF($R882=1,COUNTIF($R$2:$R882,1),"")</f>
        <v/>
      </c>
    </row>
    <row r="883">
      <c r="A883" s="19" t="n"/>
      <c r="B883" s="14" t="n"/>
      <c r="C883" s="20">
        <f>IF($B883="","",IFERROR(INDEX(Vinos!$B$2:$B$301,MATCH($B883,Vinos!$A$2:$A$301,0)),"Código no cargado"))</f>
        <v/>
      </c>
      <c r="D883" s="14" t="n"/>
      <c r="E883" s="14" t="n"/>
      <c r="F883" s="18" t="n"/>
      <c r="G883" s="18" t="n"/>
      <c r="H883" s="21">
        <f>IF(AND($F883="",$G883=""),"",N($F883)*IFERROR(N(INDEX(Vinos!$H$2:$H$301,MATCH($B883,Vinos!$A$2:$A$301,0))),0)+N($G883))</f>
        <v/>
      </c>
      <c r="I883" s="18" t="n"/>
      <c r="J883" s="21">
        <f>IF(OR($H883="",$I883=""),"",$H883-$I883)</f>
        <v/>
      </c>
      <c r="K883" s="16">
        <f>IF($H883="","",IFERROR(IF(INDEX(Vinos!$J$2:$J$301,MATCH($B883,Vinos!$A$2:$A$301,0))="","",$H883*INDEX(Vinos!$J$2:$J$301,MATCH($B883,Vinos!$A$2:$A$301,0))),""))</f>
        <v/>
      </c>
      <c r="L883" s="16">
        <f>IF($H883="","",IFERROR(IF(INDEX(Vinos!$K$2:$K$301,MATCH($B883,Vinos!$A$2:$A$301,0))="","",$H883*INDEX(Vinos!$K$2:$K$301,MATCH($B883,Vinos!$A$2:$A$301,0))),""))</f>
        <v/>
      </c>
      <c r="M883" s="21">
        <f>IF(OR($A883="",$B883=""),"",SUMIFS($H$2:$H$2001,$A$2:$A$2001,$A883,$B$2:$B$2001,$B883))</f>
        <v/>
      </c>
      <c r="N883" s="20">
        <f>IF($M883="","",IF($M883&lt;=0,"Sin stock: reponer ya",IF($M883&lt;IFERROR(N(INDEX(Vinos!$N$2:$N$301,MATCH($B883,Vinos!$A$2:$A$301,0))),0),"Bajo mínimo: reponer","OK")))</f>
        <v/>
      </c>
      <c r="O883" s="14" t="n"/>
      <c r="P883" s="14" t="n"/>
      <c r="Q883" s="20">
        <f>IF($B883="","",IFERROR(INDEX(Vinos!$C$2:$C$301,MATCH($B883,Vinos!$A$2:$A$301,0)),""))</f>
        <v/>
      </c>
      <c r="R883" s="20">
        <f>IF(OR($A883="",$A883&lt;&gt;'Resumen del inventario'!$C$3,$N883="",$N883="OK"),"",IF(COUNTIFS($A$2:$A883,$A883,$B$2:$B883,$B883)=1,1,""))</f>
        <v/>
      </c>
      <c r="S883" s="20">
        <f>IF($R883=1,COUNTIF($R$2:$R883,1),"")</f>
        <v/>
      </c>
    </row>
    <row r="884">
      <c r="A884" s="19" t="n"/>
      <c r="B884" s="14" t="n"/>
      <c r="C884" s="20">
        <f>IF($B884="","",IFERROR(INDEX(Vinos!$B$2:$B$301,MATCH($B884,Vinos!$A$2:$A$301,0)),"Código no cargado"))</f>
        <v/>
      </c>
      <c r="D884" s="14" t="n"/>
      <c r="E884" s="14" t="n"/>
      <c r="F884" s="18" t="n"/>
      <c r="G884" s="18" t="n"/>
      <c r="H884" s="21">
        <f>IF(AND($F884="",$G884=""),"",N($F884)*IFERROR(N(INDEX(Vinos!$H$2:$H$301,MATCH($B884,Vinos!$A$2:$A$301,0))),0)+N($G884))</f>
        <v/>
      </c>
      <c r="I884" s="18" t="n"/>
      <c r="J884" s="21">
        <f>IF(OR($H884="",$I884=""),"",$H884-$I884)</f>
        <v/>
      </c>
      <c r="K884" s="16">
        <f>IF($H884="","",IFERROR(IF(INDEX(Vinos!$J$2:$J$301,MATCH($B884,Vinos!$A$2:$A$301,0))="","",$H884*INDEX(Vinos!$J$2:$J$301,MATCH($B884,Vinos!$A$2:$A$301,0))),""))</f>
        <v/>
      </c>
      <c r="L884" s="16">
        <f>IF($H884="","",IFERROR(IF(INDEX(Vinos!$K$2:$K$301,MATCH($B884,Vinos!$A$2:$A$301,0))="","",$H884*INDEX(Vinos!$K$2:$K$301,MATCH($B884,Vinos!$A$2:$A$301,0))),""))</f>
        <v/>
      </c>
      <c r="M884" s="21">
        <f>IF(OR($A884="",$B884=""),"",SUMIFS($H$2:$H$2001,$A$2:$A$2001,$A884,$B$2:$B$2001,$B884))</f>
        <v/>
      </c>
      <c r="N884" s="20">
        <f>IF($M884="","",IF($M884&lt;=0,"Sin stock: reponer ya",IF($M884&lt;IFERROR(N(INDEX(Vinos!$N$2:$N$301,MATCH($B884,Vinos!$A$2:$A$301,0))),0),"Bajo mínimo: reponer","OK")))</f>
        <v/>
      </c>
      <c r="O884" s="14" t="n"/>
      <c r="P884" s="14" t="n"/>
      <c r="Q884" s="20">
        <f>IF($B884="","",IFERROR(INDEX(Vinos!$C$2:$C$301,MATCH($B884,Vinos!$A$2:$A$301,0)),""))</f>
        <v/>
      </c>
      <c r="R884" s="20">
        <f>IF(OR($A884="",$A884&lt;&gt;'Resumen del inventario'!$C$3,$N884="",$N884="OK"),"",IF(COUNTIFS($A$2:$A884,$A884,$B$2:$B884,$B884)=1,1,""))</f>
        <v/>
      </c>
      <c r="S884" s="20">
        <f>IF($R884=1,COUNTIF($R$2:$R884,1),"")</f>
        <v/>
      </c>
    </row>
    <row r="885">
      <c r="A885" s="19" t="n"/>
      <c r="B885" s="14" t="n"/>
      <c r="C885" s="20">
        <f>IF($B885="","",IFERROR(INDEX(Vinos!$B$2:$B$301,MATCH($B885,Vinos!$A$2:$A$301,0)),"Código no cargado"))</f>
        <v/>
      </c>
      <c r="D885" s="14" t="n"/>
      <c r="E885" s="14" t="n"/>
      <c r="F885" s="18" t="n"/>
      <c r="G885" s="18" t="n"/>
      <c r="H885" s="21">
        <f>IF(AND($F885="",$G885=""),"",N($F885)*IFERROR(N(INDEX(Vinos!$H$2:$H$301,MATCH($B885,Vinos!$A$2:$A$301,0))),0)+N($G885))</f>
        <v/>
      </c>
      <c r="I885" s="18" t="n"/>
      <c r="J885" s="21">
        <f>IF(OR($H885="",$I885=""),"",$H885-$I885)</f>
        <v/>
      </c>
      <c r="K885" s="16">
        <f>IF($H885="","",IFERROR(IF(INDEX(Vinos!$J$2:$J$301,MATCH($B885,Vinos!$A$2:$A$301,0))="","",$H885*INDEX(Vinos!$J$2:$J$301,MATCH($B885,Vinos!$A$2:$A$301,0))),""))</f>
        <v/>
      </c>
      <c r="L885" s="16">
        <f>IF($H885="","",IFERROR(IF(INDEX(Vinos!$K$2:$K$301,MATCH($B885,Vinos!$A$2:$A$301,0))="","",$H885*INDEX(Vinos!$K$2:$K$301,MATCH($B885,Vinos!$A$2:$A$301,0))),""))</f>
        <v/>
      </c>
      <c r="M885" s="21">
        <f>IF(OR($A885="",$B885=""),"",SUMIFS($H$2:$H$2001,$A$2:$A$2001,$A885,$B$2:$B$2001,$B885))</f>
        <v/>
      </c>
      <c r="N885" s="20">
        <f>IF($M885="","",IF($M885&lt;=0,"Sin stock: reponer ya",IF($M885&lt;IFERROR(N(INDEX(Vinos!$N$2:$N$301,MATCH($B885,Vinos!$A$2:$A$301,0))),0),"Bajo mínimo: reponer","OK")))</f>
        <v/>
      </c>
      <c r="O885" s="14" t="n"/>
      <c r="P885" s="14" t="n"/>
      <c r="Q885" s="20">
        <f>IF($B885="","",IFERROR(INDEX(Vinos!$C$2:$C$301,MATCH($B885,Vinos!$A$2:$A$301,0)),""))</f>
        <v/>
      </c>
      <c r="R885" s="20">
        <f>IF(OR($A885="",$A885&lt;&gt;'Resumen del inventario'!$C$3,$N885="",$N885="OK"),"",IF(COUNTIFS($A$2:$A885,$A885,$B$2:$B885,$B885)=1,1,""))</f>
        <v/>
      </c>
      <c r="S885" s="20">
        <f>IF($R885=1,COUNTIF($R$2:$R885,1),"")</f>
        <v/>
      </c>
    </row>
    <row r="886">
      <c r="A886" s="19" t="n"/>
      <c r="B886" s="14" t="n"/>
      <c r="C886" s="20">
        <f>IF($B886="","",IFERROR(INDEX(Vinos!$B$2:$B$301,MATCH($B886,Vinos!$A$2:$A$301,0)),"Código no cargado"))</f>
        <v/>
      </c>
      <c r="D886" s="14" t="n"/>
      <c r="E886" s="14" t="n"/>
      <c r="F886" s="18" t="n"/>
      <c r="G886" s="18" t="n"/>
      <c r="H886" s="21">
        <f>IF(AND($F886="",$G886=""),"",N($F886)*IFERROR(N(INDEX(Vinos!$H$2:$H$301,MATCH($B886,Vinos!$A$2:$A$301,0))),0)+N($G886))</f>
        <v/>
      </c>
      <c r="I886" s="18" t="n"/>
      <c r="J886" s="21">
        <f>IF(OR($H886="",$I886=""),"",$H886-$I886)</f>
        <v/>
      </c>
      <c r="K886" s="16">
        <f>IF($H886="","",IFERROR(IF(INDEX(Vinos!$J$2:$J$301,MATCH($B886,Vinos!$A$2:$A$301,0))="","",$H886*INDEX(Vinos!$J$2:$J$301,MATCH($B886,Vinos!$A$2:$A$301,0))),""))</f>
        <v/>
      </c>
      <c r="L886" s="16">
        <f>IF($H886="","",IFERROR(IF(INDEX(Vinos!$K$2:$K$301,MATCH($B886,Vinos!$A$2:$A$301,0))="","",$H886*INDEX(Vinos!$K$2:$K$301,MATCH($B886,Vinos!$A$2:$A$301,0))),""))</f>
        <v/>
      </c>
      <c r="M886" s="21">
        <f>IF(OR($A886="",$B886=""),"",SUMIFS($H$2:$H$2001,$A$2:$A$2001,$A886,$B$2:$B$2001,$B886))</f>
        <v/>
      </c>
      <c r="N886" s="20">
        <f>IF($M886="","",IF($M886&lt;=0,"Sin stock: reponer ya",IF($M886&lt;IFERROR(N(INDEX(Vinos!$N$2:$N$301,MATCH($B886,Vinos!$A$2:$A$301,0))),0),"Bajo mínimo: reponer","OK")))</f>
        <v/>
      </c>
      <c r="O886" s="14" t="n"/>
      <c r="P886" s="14" t="n"/>
      <c r="Q886" s="20">
        <f>IF($B886="","",IFERROR(INDEX(Vinos!$C$2:$C$301,MATCH($B886,Vinos!$A$2:$A$301,0)),""))</f>
        <v/>
      </c>
      <c r="R886" s="20">
        <f>IF(OR($A886="",$A886&lt;&gt;'Resumen del inventario'!$C$3,$N886="",$N886="OK"),"",IF(COUNTIFS($A$2:$A886,$A886,$B$2:$B886,$B886)=1,1,""))</f>
        <v/>
      </c>
      <c r="S886" s="20">
        <f>IF($R886=1,COUNTIF($R$2:$R886,1),"")</f>
        <v/>
      </c>
    </row>
    <row r="887">
      <c r="A887" s="19" t="n"/>
      <c r="B887" s="14" t="n"/>
      <c r="C887" s="20">
        <f>IF($B887="","",IFERROR(INDEX(Vinos!$B$2:$B$301,MATCH($B887,Vinos!$A$2:$A$301,0)),"Código no cargado"))</f>
        <v/>
      </c>
      <c r="D887" s="14" t="n"/>
      <c r="E887" s="14" t="n"/>
      <c r="F887" s="18" t="n"/>
      <c r="G887" s="18" t="n"/>
      <c r="H887" s="21">
        <f>IF(AND($F887="",$G887=""),"",N($F887)*IFERROR(N(INDEX(Vinos!$H$2:$H$301,MATCH($B887,Vinos!$A$2:$A$301,0))),0)+N($G887))</f>
        <v/>
      </c>
      <c r="I887" s="18" t="n"/>
      <c r="J887" s="21">
        <f>IF(OR($H887="",$I887=""),"",$H887-$I887)</f>
        <v/>
      </c>
      <c r="K887" s="16">
        <f>IF($H887="","",IFERROR(IF(INDEX(Vinos!$J$2:$J$301,MATCH($B887,Vinos!$A$2:$A$301,0))="","",$H887*INDEX(Vinos!$J$2:$J$301,MATCH($B887,Vinos!$A$2:$A$301,0))),""))</f>
        <v/>
      </c>
      <c r="L887" s="16">
        <f>IF($H887="","",IFERROR(IF(INDEX(Vinos!$K$2:$K$301,MATCH($B887,Vinos!$A$2:$A$301,0))="","",$H887*INDEX(Vinos!$K$2:$K$301,MATCH($B887,Vinos!$A$2:$A$301,0))),""))</f>
        <v/>
      </c>
      <c r="M887" s="21">
        <f>IF(OR($A887="",$B887=""),"",SUMIFS($H$2:$H$2001,$A$2:$A$2001,$A887,$B$2:$B$2001,$B887))</f>
        <v/>
      </c>
      <c r="N887" s="20">
        <f>IF($M887="","",IF($M887&lt;=0,"Sin stock: reponer ya",IF($M887&lt;IFERROR(N(INDEX(Vinos!$N$2:$N$301,MATCH($B887,Vinos!$A$2:$A$301,0))),0),"Bajo mínimo: reponer","OK")))</f>
        <v/>
      </c>
      <c r="O887" s="14" t="n"/>
      <c r="P887" s="14" t="n"/>
      <c r="Q887" s="20">
        <f>IF($B887="","",IFERROR(INDEX(Vinos!$C$2:$C$301,MATCH($B887,Vinos!$A$2:$A$301,0)),""))</f>
        <v/>
      </c>
      <c r="R887" s="20">
        <f>IF(OR($A887="",$A887&lt;&gt;'Resumen del inventario'!$C$3,$N887="",$N887="OK"),"",IF(COUNTIFS($A$2:$A887,$A887,$B$2:$B887,$B887)=1,1,""))</f>
        <v/>
      </c>
      <c r="S887" s="20">
        <f>IF($R887=1,COUNTIF($R$2:$R887,1),"")</f>
        <v/>
      </c>
    </row>
    <row r="888">
      <c r="A888" s="19" t="n"/>
      <c r="B888" s="14" t="n"/>
      <c r="C888" s="20">
        <f>IF($B888="","",IFERROR(INDEX(Vinos!$B$2:$B$301,MATCH($B888,Vinos!$A$2:$A$301,0)),"Código no cargado"))</f>
        <v/>
      </c>
      <c r="D888" s="14" t="n"/>
      <c r="E888" s="14" t="n"/>
      <c r="F888" s="18" t="n"/>
      <c r="G888" s="18" t="n"/>
      <c r="H888" s="21">
        <f>IF(AND($F888="",$G888=""),"",N($F888)*IFERROR(N(INDEX(Vinos!$H$2:$H$301,MATCH($B888,Vinos!$A$2:$A$301,0))),0)+N($G888))</f>
        <v/>
      </c>
      <c r="I888" s="18" t="n"/>
      <c r="J888" s="21">
        <f>IF(OR($H888="",$I888=""),"",$H888-$I888)</f>
        <v/>
      </c>
      <c r="K888" s="16">
        <f>IF($H888="","",IFERROR(IF(INDEX(Vinos!$J$2:$J$301,MATCH($B888,Vinos!$A$2:$A$301,0))="","",$H888*INDEX(Vinos!$J$2:$J$301,MATCH($B888,Vinos!$A$2:$A$301,0))),""))</f>
        <v/>
      </c>
      <c r="L888" s="16">
        <f>IF($H888="","",IFERROR(IF(INDEX(Vinos!$K$2:$K$301,MATCH($B888,Vinos!$A$2:$A$301,0))="","",$H888*INDEX(Vinos!$K$2:$K$301,MATCH($B888,Vinos!$A$2:$A$301,0))),""))</f>
        <v/>
      </c>
      <c r="M888" s="21">
        <f>IF(OR($A888="",$B888=""),"",SUMIFS($H$2:$H$2001,$A$2:$A$2001,$A888,$B$2:$B$2001,$B888))</f>
        <v/>
      </c>
      <c r="N888" s="20">
        <f>IF($M888="","",IF($M888&lt;=0,"Sin stock: reponer ya",IF($M888&lt;IFERROR(N(INDEX(Vinos!$N$2:$N$301,MATCH($B888,Vinos!$A$2:$A$301,0))),0),"Bajo mínimo: reponer","OK")))</f>
        <v/>
      </c>
      <c r="O888" s="14" t="n"/>
      <c r="P888" s="14" t="n"/>
      <c r="Q888" s="20">
        <f>IF($B888="","",IFERROR(INDEX(Vinos!$C$2:$C$301,MATCH($B888,Vinos!$A$2:$A$301,0)),""))</f>
        <v/>
      </c>
      <c r="R888" s="20">
        <f>IF(OR($A888="",$A888&lt;&gt;'Resumen del inventario'!$C$3,$N888="",$N888="OK"),"",IF(COUNTIFS($A$2:$A888,$A888,$B$2:$B888,$B888)=1,1,""))</f>
        <v/>
      </c>
      <c r="S888" s="20">
        <f>IF($R888=1,COUNTIF($R$2:$R888,1),"")</f>
        <v/>
      </c>
    </row>
    <row r="889">
      <c r="A889" s="19" t="n"/>
      <c r="B889" s="14" t="n"/>
      <c r="C889" s="20">
        <f>IF($B889="","",IFERROR(INDEX(Vinos!$B$2:$B$301,MATCH($B889,Vinos!$A$2:$A$301,0)),"Código no cargado"))</f>
        <v/>
      </c>
      <c r="D889" s="14" t="n"/>
      <c r="E889" s="14" t="n"/>
      <c r="F889" s="18" t="n"/>
      <c r="G889" s="18" t="n"/>
      <c r="H889" s="21">
        <f>IF(AND($F889="",$G889=""),"",N($F889)*IFERROR(N(INDEX(Vinos!$H$2:$H$301,MATCH($B889,Vinos!$A$2:$A$301,0))),0)+N($G889))</f>
        <v/>
      </c>
      <c r="I889" s="18" t="n"/>
      <c r="J889" s="21">
        <f>IF(OR($H889="",$I889=""),"",$H889-$I889)</f>
        <v/>
      </c>
      <c r="K889" s="16">
        <f>IF($H889="","",IFERROR(IF(INDEX(Vinos!$J$2:$J$301,MATCH($B889,Vinos!$A$2:$A$301,0))="","",$H889*INDEX(Vinos!$J$2:$J$301,MATCH($B889,Vinos!$A$2:$A$301,0))),""))</f>
        <v/>
      </c>
      <c r="L889" s="16">
        <f>IF($H889="","",IFERROR(IF(INDEX(Vinos!$K$2:$K$301,MATCH($B889,Vinos!$A$2:$A$301,0))="","",$H889*INDEX(Vinos!$K$2:$K$301,MATCH($B889,Vinos!$A$2:$A$301,0))),""))</f>
        <v/>
      </c>
      <c r="M889" s="21">
        <f>IF(OR($A889="",$B889=""),"",SUMIFS($H$2:$H$2001,$A$2:$A$2001,$A889,$B$2:$B$2001,$B889))</f>
        <v/>
      </c>
      <c r="N889" s="20">
        <f>IF($M889="","",IF($M889&lt;=0,"Sin stock: reponer ya",IF($M889&lt;IFERROR(N(INDEX(Vinos!$N$2:$N$301,MATCH($B889,Vinos!$A$2:$A$301,0))),0),"Bajo mínimo: reponer","OK")))</f>
        <v/>
      </c>
      <c r="O889" s="14" t="n"/>
      <c r="P889" s="14" t="n"/>
      <c r="Q889" s="20">
        <f>IF($B889="","",IFERROR(INDEX(Vinos!$C$2:$C$301,MATCH($B889,Vinos!$A$2:$A$301,0)),""))</f>
        <v/>
      </c>
      <c r="R889" s="20">
        <f>IF(OR($A889="",$A889&lt;&gt;'Resumen del inventario'!$C$3,$N889="",$N889="OK"),"",IF(COUNTIFS($A$2:$A889,$A889,$B$2:$B889,$B889)=1,1,""))</f>
        <v/>
      </c>
      <c r="S889" s="20">
        <f>IF($R889=1,COUNTIF($R$2:$R889,1),"")</f>
        <v/>
      </c>
    </row>
    <row r="890">
      <c r="A890" s="19" t="n"/>
      <c r="B890" s="14" t="n"/>
      <c r="C890" s="20">
        <f>IF($B890="","",IFERROR(INDEX(Vinos!$B$2:$B$301,MATCH($B890,Vinos!$A$2:$A$301,0)),"Código no cargado"))</f>
        <v/>
      </c>
      <c r="D890" s="14" t="n"/>
      <c r="E890" s="14" t="n"/>
      <c r="F890" s="18" t="n"/>
      <c r="G890" s="18" t="n"/>
      <c r="H890" s="21">
        <f>IF(AND($F890="",$G890=""),"",N($F890)*IFERROR(N(INDEX(Vinos!$H$2:$H$301,MATCH($B890,Vinos!$A$2:$A$301,0))),0)+N($G890))</f>
        <v/>
      </c>
      <c r="I890" s="18" t="n"/>
      <c r="J890" s="21">
        <f>IF(OR($H890="",$I890=""),"",$H890-$I890)</f>
        <v/>
      </c>
      <c r="K890" s="16">
        <f>IF($H890="","",IFERROR(IF(INDEX(Vinos!$J$2:$J$301,MATCH($B890,Vinos!$A$2:$A$301,0))="","",$H890*INDEX(Vinos!$J$2:$J$301,MATCH($B890,Vinos!$A$2:$A$301,0))),""))</f>
        <v/>
      </c>
      <c r="L890" s="16">
        <f>IF($H890="","",IFERROR(IF(INDEX(Vinos!$K$2:$K$301,MATCH($B890,Vinos!$A$2:$A$301,0))="","",$H890*INDEX(Vinos!$K$2:$K$301,MATCH($B890,Vinos!$A$2:$A$301,0))),""))</f>
        <v/>
      </c>
      <c r="M890" s="21">
        <f>IF(OR($A890="",$B890=""),"",SUMIFS($H$2:$H$2001,$A$2:$A$2001,$A890,$B$2:$B$2001,$B890))</f>
        <v/>
      </c>
      <c r="N890" s="20">
        <f>IF($M890="","",IF($M890&lt;=0,"Sin stock: reponer ya",IF($M890&lt;IFERROR(N(INDEX(Vinos!$N$2:$N$301,MATCH($B890,Vinos!$A$2:$A$301,0))),0),"Bajo mínimo: reponer","OK")))</f>
        <v/>
      </c>
      <c r="O890" s="14" t="n"/>
      <c r="P890" s="14" t="n"/>
      <c r="Q890" s="20">
        <f>IF($B890="","",IFERROR(INDEX(Vinos!$C$2:$C$301,MATCH($B890,Vinos!$A$2:$A$301,0)),""))</f>
        <v/>
      </c>
      <c r="R890" s="20">
        <f>IF(OR($A890="",$A890&lt;&gt;'Resumen del inventario'!$C$3,$N890="",$N890="OK"),"",IF(COUNTIFS($A$2:$A890,$A890,$B$2:$B890,$B890)=1,1,""))</f>
        <v/>
      </c>
      <c r="S890" s="20">
        <f>IF($R890=1,COUNTIF($R$2:$R890,1),"")</f>
        <v/>
      </c>
    </row>
    <row r="891">
      <c r="A891" s="19" t="n"/>
      <c r="B891" s="14" t="n"/>
      <c r="C891" s="20">
        <f>IF($B891="","",IFERROR(INDEX(Vinos!$B$2:$B$301,MATCH($B891,Vinos!$A$2:$A$301,0)),"Código no cargado"))</f>
        <v/>
      </c>
      <c r="D891" s="14" t="n"/>
      <c r="E891" s="14" t="n"/>
      <c r="F891" s="18" t="n"/>
      <c r="G891" s="18" t="n"/>
      <c r="H891" s="21">
        <f>IF(AND($F891="",$G891=""),"",N($F891)*IFERROR(N(INDEX(Vinos!$H$2:$H$301,MATCH($B891,Vinos!$A$2:$A$301,0))),0)+N($G891))</f>
        <v/>
      </c>
      <c r="I891" s="18" t="n"/>
      <c r="J891" s="21">
        <f>IF(OR($H891="",$I891=""),"",$H891-$I891)</f>
        <v/>
      </c>
      <c r="K891" s="16">
        <f>IF($H891="","",IFERROR(IF(INDEX(Vinos!$J$2:$J$301,MATCH($B891,Vinos!$A$2:$A$301,0))="","",$H891*INDEX(Vinos!$J$2:$J$301,MATCH($B891,Vinos!$A$2:$A$301,0))),""))</f>
        <v/>
      </c>
      <c r="L891" s="16">
        <f>IF($H891="","",IFERROR(IF(INDEX(Vinos!$K$2:$K$301,MATCH($B891,Vinos!$A$2:$A$301,0))="","",$H891*INDEX(Vinos!$K$2:$K$301,MATCH($B891,Vinos!$A$2:$A$301,0))),""))</f>
        <v/>
      </c>
      <c r="M891" s="21">
        <f>IF(OR($A891="",$B891=""),"",SUMIFS($H$2:$H$2001,$A$2:$A$2001,$A891,$B$2:$B$2001,$B891))</f>
        <v/>
      </c>
      <c r="N891" s="20">
        <f>IF($M891="","",IF($M891&lt;=0,"Sin stock: reponer ya",IF($M891&lt;IFERROR(N(INDEX(Vinos!$N$2:$N$301,MATCH($B891,Vinos!$A$2:$A$301,0))),0),"Bajo mínimo: reponer","OK")))</f>
        <v/>
      </c>
      <c r="O891" s="14" t="n"/>
      <c r="P891" s="14" t="n"/>
      <c r="Q891" s="20">
        <f>IF($B891="","",IFERROR(INDEX(Vinos!$C$2:$C$301,MATCH($B891,Vinos!$A$2:$A$301,0)),""))</f>
        <v/>
      </c>
      <c r="R891" s="20">
        <f>IF(OR($A891="",$A891&lt;&gt;'Resumen del inventario'!$C$3,$N891="",$N891="OK"),"",IF(COUNTIFS($A$2:$A891,$A891,$B$2:$B891,$B891)=1,1,""))</f>
        <v/>
      </c>
      <c r="S891" s="20">
        <f>IF($R891=1,COUNTIF($R$2:$R891,1),"")</f>
        <v/>
      </c>
    </row>
    <row r="892">
      <c r="A892" s="19" t="n"/>
      <c r="B892" s="14" t="n"/>
      <c r="C892" s="20">
        <f>IF($B892="","",IFERROR(INDEX(Vinos!$B$2:$B$301,MATCH($B892,Vinos!$A$2:$A$301,0)),"Código no cargado"))</f>
        <v/>
      </c>
      <c r="D892" s="14" t="n"/>
      <c r="E892" s="14" t="n"/>
      <c r="F892" s="18" t="n"/>
      <c r="G892" s="18" t="n"/>
      <c r="H892" s="21">
        <f>IF(AND($F892="",$G892=""),"",N($F892)*IFERROR(N(INDEX(Vinos!$H$2:$H$301,MATCH($B892,Vinos!$A$2:$A$301,0))),0)+N($G892))</f>
        <v/>
      </c>
      <c r="I892" s="18" t="n"/>
      <c r="J892" s="21">
        <f>IF(OR($H892="",$I892=""),"",$H892-$I892)</f>
        <v/>
      </c>
      <c r="K892" s="16">
        <f>IF($H892="","",IFERROR(IF(INDEX(Vinos!$J$2:$J$301,MATCH($B892,Vinos!$A$2:$A$301,0))="","",$H892*INDEX(Vinos!$J$2:$J$301,MATCH($B892,Vinos!$A$2:$A$301,0))),""))</f>
        <v/>
      </c>
      <c r="L892" s="16">
        <f>IF($H892="","",IFERROR(IF(INDEX(Vinos!$K$2:$K$301,MATCH($B892,Vinos!$A$2:$A$301,0))="","",$H892*INDEX(Vinos!$K$2:$K$301,MATCH($B892,Vinos!$A$2:$A$301,0))),""))</f>
        <v/>
      </c>
      <c r="M892" s="21">
        <f>IF(OR($A892="",$B892=""),"",SUMIFS($H$2:$H$2001,$A$2:$A$2001,$A892,$B$2:$B$2001,$B892))</f>
        <v/>
      </c>
      <c r="N892" s="20">
        <f>IF($M892="","",IF($M892&lt;=0,"Sin stock: reponer ya",IF($M892&lt;IFERROR(N(INDEX(Vinos!$N$2:$N$301,MATCH($B892,Vinos!$A$2:$A$301,0))),0),"Bajo mínimo: reponer","OK")))</f>
        <v/>
      </c>
      <c r="O892" s="14" t="n"/>
      <c r="P892" s="14" t="n"/>
      <c r="Q892" s="20">
        <f>IF($B892="","",IFERROR(INDEX(Vinos!$C$2:$C$301,MATCH($B892,Vinos!$A$2:$A$301,0)),""))</f>
        <v/>
      </c>
      <c r="R892" s="20">
        <f>IF(OR($A892="",$A892&lt;&gt;'Resumen del inventario'!$C$3,$N892="",$N892="OK"),"",IF(COUNTIFS($A$2:$A892,$A892,$B$2:$B892,$B892)=1,1,""))</f>
        <v/>
      </c>
      <c r="S892" s="20">
        <f>IF($R892=1,COUNTIF($R$2:$R892,1),"")</f>
        <v/>
      </c>
    </row>
    <row r="893">
      <c r="A893" s="19" t="n"/>
      <c r="B893" s="14" t="n"/>
      <c r="C893" s="20">
        <f>IF($B893="","",IFERROR(INDEX(Vinos!$B$2:$B$301,MATCH($B893,Vinos!$A$2:$A$301,0)),"Código no cargado"))</f>
        <v/>
      </c>
      <c r="D893" s="14" t="n"/>
      <c r="E893" s="14" t="n"/>
      <c r="F893" s="18" t="n"/>
      <c r="G893" s="18" t="n"/>
      <c r="H893" s="21">
        <f>IF(AND($F893="",$G893=""),"",N($F893)*IFERROR(N(INDEX(Vinos!$H$2:$H$301,MATCH($B893,Vinos!$A$2:$A$301,0))),0)+N($G893))</f>
        <v/>
      </c>
      <c r="I893" s="18" t="n"/>
      <c r="J893" s="21">
        <f>IF(OR($H893="",$I893=""),"",$H893-$I893)</f>
        <v/>
      </c>
      <c r="K893" s="16">
        <f>IF($H893="","",IFERROR(IF(INDEX(Vinos!$J$2:$J$301,MATCH($B893,Vinos!$A$2:$A$301,0))="","",$H893*INDEX(Vinos!$J$2:$J$301,MATCH($B893,Vinos!$A$2:$A$301,0))),""))</f>
        <v/>
      </c>
      <c r="L893" s="16">
        <f>IF($H893="","",IFERROR(IF(INDEX(Vinos!$K$2:$K$301,MATCH($B893,Vinos!$A$2:$A$301,0))="","",$H893*INDEX(Vinos!$K$2:$K$301,MATCH($B893,Vinos!$A$2:$A$301,0))),""))</f>
        <v/>
      </c>
      <c r="M893" s="21">
        <f>IF(OR($A893="",$B893=""),"",SUMIFS($H$2:$H$2001,$A$2:$A$2001,$A893,$B$2:$B$2001,$B893))</f>
        <v/>
      </c>
      <c r="N893" s="20">
        <f>IF($M893="","",IF($M893&lt;=0,"Sin stock: reponer ya",IF($M893&lt;IFERROR(N(INDEX(Vinos!$N$2:$N$301,MATCH($B893,Vinos!$A$2:$A$301,0))),0),"Bajo mínimo: reponer","OK")))</f>
        <v/>
      </c>
      <c r="O893" s="14" t="n"/>
      <c r="P893" s="14" t="n"/>
      <c r="Q893" s="20">
        <f>IF($B893="","",IFERROR(INDEX(Vinos!$C$2:$C$301,MATCH($B893,Vinos!$A$2:$A$301,0)),""))</f>
        <v/>
      </c>
      <c r="R893" s="20">
        <f>IF(OR($A893="",$A893&lt;&gt;'Resumen del inventario'!$C$3,$N893="",$N893="OK"),"",IF(COUNTIFS($A$2:$A893,$A893,$B$2:$B893,$B893)=1,1,""))</f>
        <v/>
      </c>
      <c r="S893" s="20">
        <f>IF($R893=1,COUNTIF($R$2:$R893,1),"")</f>
        <v/>
      </c>
    </row>
    <row r="894">
      <c r="A894" s="19" t="n"/>
      <c r="B894" s="14" t="n"/>
      <c r="C894" s="20">
        <f>IF($B894="","",IFERROR(INDEX(Vinos!$B$2:$B$301,MATCH($B894,Vinos!$A$2:$A$301,0)),"Código no cargado"))</f>
        <v/>
      </c>
      <c r="D894" s="14" t="n"/>
      <c r="E894" s="14" t="n"/>
      <c r="F894" s="18" t="n"/>
      <c r="G894" s="18" t="n"/>
      <c r="H894" s="21">
        <f>IF(AND($F894="",$G894=""),"",N($F894)*IFERROR(N(INDEX(Vinos!$H$2:$H$301,MATCH($B894,Vinos!$A$2:$A$301,0))),0)+N($G894))</f>
        <v/>
      </c>
      <c r="I894" s="18" t="n"/>
      <c r="J894" s="21">
        <f>IF(OR($H894="",$I894=""),"",$H894-$I894)</f>
        <v/>
      </c>
      <c r="K894" s="16">
        <f>IF($H894="","",IFERROR(IF(INDEX(Vinos!$J$2:$J$301,MATCH($B894,Vinos!$A$2:$A$301,0))="","",$H894*INDEX(Vinos!$J$2:$J$301,MATCH($B894,Vinos!$A$2:$A$301,0))),""))</f>
        <v/>
      </c>
      <c r="L894" s="16">
        <f>IF($H894="","",IFERROR(IF(INDEX(Vinos!$K$2:$K$301,MATCH($B894,Vinos!$A$2:$A$301,0))="","",$H894*INDEX(Vinos!$K$2:$K$301,MATCH($B894,Vinos!$A$2:$A$301,0))),""))</f>
        <v/>
      </c>
      <c r="M894" s="21">
        <f>IF(OR($A894="",$B894=""),"",SUMIFS($H$2:$H$2001,$A$2:$A$2001,$A894,$B$2:$B$2001,$B894))</f>
        <v/>
      </c>
      <c r="N894" s="20">
        <f>IF($M894="","",IF($M894&lt;=0,"Sin stock: reponer ya",IF($M894&lt;IFERROR(N(INDEX(Vinos!$N$2:$N$301,MATCH($B894,Vinos!$A$2:$A$301,0))),0),"Bajo mínimo: reponer","OK")))</f>
        <v/>
      </c>
      <c r="O894" s="14" t="n"/>
      <c r="P894" s="14" t="n"/>
      <c r="Q894" s="20">
        <f>IF($B894="","",IFERROR(INDEX(Vinos!$C$2:$C$301,MATCH($B894,Vinos!$A$2:$A$301,0)),""))</f>
        <v/>
      </c>
      <c r="R894" s="20">
        <f>IF(OR($A894="",$A894&lt;&gt;'Resumen del inventario'!$C$3,$N894="",$N894="OK"),"",IF(COUNTIFS($A$2:$A894,$A894,$B$2:$B894,$B894)=1,1,""))</f>
        <v/>
      </c>
      <c r="S894" s="20">
        <f>IF($R894=1,COUNTIF($R$2:$R894,1),"")</f>
        <v/>
      </c>
    </row>
    <row r="895">
      <c r="A895" s="19" t="n"/>
      <c r="B895" s="14" t="n"/>
      <c r="C895" s="20">
        <f>IF($B895="","",IFERROR(INDEX(Vinos!$B$2:$B$301,MATCH($B895,Vinos!$A$2:$A$301,0)),"Código no cargado"))</f>
        <v/>
      </c>
      <c r="D895" s="14" t="n"/>
      <c r="E895" s="14" t="n"/>
      <c r="F895" s="18" t="n"/>
      <c r="G895" s="18" t="n"/>
      <c r="H895" s="21">
        <f>IF(AND($F895="",$G895=""),"",N($F895)*IFERROR(N(INDEX(Vinos!$H$2:$H$301,MATCH($B895,Vinos!$A$2:$A$301,0))),0)+N($G895))</f>
        <v/>
      </c>
      <c r="I895" s="18" t="n"/>
      <c r="J895" s="21">
        <f>IF(OR($H895="",$I895=""),"",$H895-$I895)</f>
        <v/>
      </c>
      <c r="K895" s="16">
        <f>IF($H895="","",IFERROR(IF(INDEX(Vinos!$J$2:$J$301,MATCH($B895,Vinos!$A$2:$A$301,0))="","",$H895*INDEX(Vinos!$J$2:$J$301,MATCH($B895,Vinos!$A$2:$A$301,0))),""))</f>
        <v/>
      </c>
      <c r="L895" s="16">
        <f>IF($H895="","",IFERROR(IF(INDEX(Vinos!$K$2:$K$301,MATCH($B895,Vinos!$A$2:$A$301,0))="","",$H895*INDEX(Vinos!$K$2:$K$301,MATCH($B895,Vinos!$A$2:$A$301,0))),""))</f>
        <v/>
      </c>
      <c r="M895" s="21">
        <f>IF(OR($A895="",$B895=""),"",SUMIFS($H$2:$H$2001,$A$2:$A$2001,$A895,$B$2:$B$2001,$B895))</f>
        <v/>
      </c>
      <c r="N895" s="20">
        <f>IF($M895="","",IF($M895&lt;=0,"Sin stock: reponer ya",IF($M895&lt;IFERROR(N(INDEX(Vinos!$N$2:$N$301,MATCH($B895,Vinos!$A$2:$A$301,0))),0),"Bajo mínimo: reponer","OK")))</f>
        <v/>
      </c>
      <c r="O895" s="14" t="n"/>
      <c r="P895" s="14" t="n"/>
      <c r="Q895" s="20">
        <f>IF($B895="","",IFERROR(INDEX(Vinos!$C$2:$C$301,MATCH($B895,Vinos!$A$2:$A$301,0)),""))</f>
        <v/>
      </c>
      <c r="R895" s="20">
        <f>IF(OR($A895="",$A895&lt;&gt;'Resumen del inventario'!$C$3,$N895="",$N895="OK"),"",IF(COUNTIFS($A$2:$A895,$A895,$B$2:$B895,$B895)=1,1,""))</f>
        <v/>
      </c>
      <c r="S895" s="20">
        <f>IF($R895=1,COUNTIF($R$2:$R895,1),"")</f>
        <v/>
      </c>
    </row>
    <row r="896">
      <c r="A896" s="19" t="n"/>
      <c r="B896" s="14" t="n"/>
      <c r="C896" s="20">
        <f>IF($B896="","",IFERROR(INDEX(Vinos!$B$2:$B$301,MATCH($B896,Vinos!$A$2:$A$301,0)),"Código no cargado"))</f>
        <v/>
      </c>
      <c r="D896" s="14" t="n"/>
      <c r="E896" s="14" t="n"/>
      <c r="F896" s="18" t="n"/>
      <c r="G896" s="18" t="n"/>
      <c r="H896" s="21">
        <f>IF(AND($F896="",$G896=""),"",N($F896)*IFERROR(N(INDEX(Vinos!$H$2:$H$301,MATCH($B896,Vinos!$A$2:$A$301,0))),0)+N($G896))</f>
        <v/>
      </c>
      <c r="I896" s="18" t="n"/>
      <c r="J896" s="21">
        <f>IF(OR($H896="",$I896=""),"",$H896-$I896)</f>
        <v/>
      </c>
      <c r="K896" s="16">
        <f>IF($H896="","",IFERROR(IF(INDEX(Vinos!$J$2:$J$301,MATCH($B896,Vinos!$A$2:$A$301,0))="","",$H896*INDEX(Vinos!$J$2:$J$301,MATCH($B896,Vinos!$A$2:$A$301,0))),""))</f>
        <v/>
      </c>
      <c r="L896" s="16">
        <f>IF($H896="","",IFERROR(IF(INDEX(Vinos!$K$2:$K$301,MATCH($B896,Vinos!$A$2:$A$301,0))="","",$H896*INDEX(Vinos!$K$2:$K$301,MATCH($B896,Vinos!$A$2:$A$301,0))),""))</f>
        <v/>
      </c>
      <c r="M896" s="21">
        <f>IF(OR($A896="",$B896=""),"",SUMIFS($H$2:$H$2001,$A$2:$A$2001,$A896,$B$2:$B$2001,$B896))</f>
        <v/>
      </c>
      <c r="N896" s="20">
        <f>IF($M896="","",IF($M896&lt;=0,"Sin stock: reponer ya",IF($M896&lt;IFERROR(N(INDEX(Vinos!$N$2:$N$301,MATCH($B896,Vinos!$A$2:$A$301,0))),0),"Bajo mínimo: reponer","OK")))</f>
        <v/>
      </c>
      <c r="O896" s="14" t="n"/>
      <c r="P896" s="14" t="n"/>
      <c r="Q896" s="20">
        <f>IF($B896="","",IFERROR(INDEX(Vinos!$C$2:$C$301,MATCH($B896,Vinos!$A$2:$A$301,0)),""))</f>
        <v/>
      </c>
      <c r="R896" s="20">
        <f>IF(OR($A896="",$A896&lt;&gt;'Resumen del inventario'!$C$3,$N896="",$N896="OK"),"",IF(COUNTIFS($A$2:$A896,$A896,$B$2:$B896,$B896)=1,1,""))</f>
        <v/>
      </c>
      <c r="S896" s="20">
        <f>IF($R896=1,COUNTIF($R$2:$R896,1),"")</f>
        <v/>
      </c>
    </row>
    <row r="897">
      <c r="A897" s="19" t="n"/>
      <c r="B897" s="14" t="n"/>
      <c r="C897" s="20">
        <f>IF($B897="","",IFERROR(INDEX(Vinos!$B$2:$B$301,MATCH($B897,Vinos!$A$2:$A$301,0)),"Código no cargado"))</f>
        <v/>
      </c>
      <c r="D897" s="14" t="n"/>
      <c r="E897" s="14" t="n"/>
      <c r="F897" s="18" t="n"/>
      <c r="G897" s="18" t="n"/>
      <c r="H897" s="21">
        <f>IF(AND($F897="",$G897=""),"",N($F897)*IFERROR(N(INDEX(Vinos!$H$2:$H$301,MATCH($B897,Vinos!$A$2:$A$301,0))),0)+N($G897))</f>
        <v/>
      </c>
      <c r="I897" s="18" t="n"/>
      <c r="J897" s="21">
        <f>IF(OR($H897="",$I897=""),"",$H897-$I897)</f>
        <v/>
      </c>
      <c r="K897" s="16">
        <f>IF($H897="","",IFERROR(IF(INDEX(Vinos!$J$2:$J$301,MATCH($B897,Vinos!$A$2:$A$301,0))="","",$H897*INDEX(Vinos!$J$2:$J$301,MATCH($B897,Vinos!$A$2:$A$301,0))),""))</f>
        <v/>
      </c>
      <c r="L897" s="16">
        <f>IF($H897="","",IFERROR(IF(INDEX(Vinos!$K$2:$K$301,MATCH($B897,Vinos!$A$2:$A$301,0))="","",$H897*INDEX(Vinos!$K$2:$K$301,MATCH($B897,Vinos!$A$2:$A$301,0))),""))</f>
        <v/>
      </c>
      <c r="M897" s="21">
        <f>IF(OR($A897="",$B897=""),"",SUMIFS($H$2:$H$2001,$A$2:$A$2001,$A897,$B$2:$B$2001,$B897))</f>
        <v/>
      </c>
      <c r="N897" s="20">
        <f>IF($M897="","",IF($M897&lt;=0,"Sin stock: reponer ya",IF($M897&lt;IFERROR(N(INDEX(Vinos!$N$2:$N$301,MATCH($B897,Vinos!$A$2:$A$301,0))),0),"Bajo mínimo: reponer","OK")))</f>
        <v/>
      </c>
      <c r="O897" s="14" t="n"/>
      <c r="P897" s="14" t="n"/>
      <c r="Q897" s="20">
        <f>IF($B897="","",IFERROR(INDEX(Vinos!$C$2:$C$301,MATCH($B897,Vinos!$A$2:$A$301,0)),""))</f>
        <v/>
      </c>
      <c r="R897" s="20">
        <f>IF(OR($A897="",$A897&lt;&gt;'Resumen del inventario'!$C$3,$N897="",$N897="OK"),"",IF(COUNTIFS($A$2:$A897,$A897,$B$2:$B897,$B897)=1,1,""))</f>
        <v/>
      </c>
      <c r="S897" s="20">
        <f>IF($R897=1,COUNTIF($R$2:$R897,1),"")</f>
        <v/>
      </c>
    </row>
    <row r="898">
      <c r="A898" s="19" t="n"/>
      <c r="B898" s="14" t="n"/>
      <c r="C898" s="20">
        <f>IF($B898="","",IFERROR(INDEX(Vinos!$B$2:$B$301,MATCH($B898,Vinos!$A$2:$A$301,0)),"Código no cargado"))</f>
        <v/>
      </c>
      <c r="D898" s="14" t="n"/>
      <c r="E898" s="14" t="n"/>
      <c r="F898" s="18" t="n"/>
      <c r="G898" s="18" t="n"/>
      <c r="H898" s="21">
        <f>IF(AND($F898="",$G898=""),"",N($F898)*IFERROR(N(INDEX(Vinos!$H$2:$H$301,MATCH($B898,Vinos!$A$2:$A$301,0))),0)+N($G898))</f>
        <v/>
      </c>
      <c r="I898" s="18" t="n"/>
      <c r="J898" s="21">
        <f>IF(OR($H898="",$I898=""),"",$H898-$I898)</f>
        <v/>
      </c>
      <c r="K898" s="16">
        <f>IF($H898="","",IFERROR(IF(INDEX(Vinos!$J$2:$J$301,MATCH($B898,Vinos!$A$2:$A$301,0))="","",$H898*INDEX(Vinos!$J$2:$J$301,MATCH($B898,Vinos!$A$2:$A$301,0))),""))</f>
        <v/>
      </c>
      <c r="L898" s="16">
        <f>IF($H898="","",IFERROR(IF(INDEX(Vinos!$K$2:$K$301,MATCH($B898,Vinos!$A$2:$A$301,0))="","",$H898*INDEX(Vinos!$K$2:$K$301,MATCH($B898,Vinos!$A$2:$A$301,0))),""))</f>
        <v/>
      </c>
      <c r="M898" s="21">
        <f>IF(OR($A898="",$B898=""),"",SUMIFS($H$2:$H$2001,$A$2:$A$2001,$A898,$B$2:$B$2001,$B898))</f>
        <v/>
      </c>
      <c r="N898" s="20">
        <f>IF($M898="","",IF($M898&lt;=0,"Sin stock: reponer ya",IF($M898&lt;IFERROR(N(INDEX(Vinos!$N$2:$N$301,MATCH($B898,Vinos!$A$2:$A$301,0))),0),"Bajo mínimo: reponer","OK")))</f>
        <v/>
      </c>
      <c r="O898" s="14" t="n"/>
      <c r="P898" s="14" t="n"/>
      <c r="Q898" s="20">
        <f>IF($B898="","",IFERROR(INDEX(Vinos!$C$2:$C$301,MATCH($B898,Vinos!$A$2:$A$301,0)),""))</f>
        <v/>
      </c>
      <c r="R898" s="20">
        <f>IF(OR($A898="",$A898&lt;&gt;'Resumen del inventario'!$C$3,$N898="",$N898="OK"),"",IF(COUNTIFS($A$2:$A898,$A898,$B$2:$B898,$B898)=1,1,""))</f>
        <v/>
      </c>
      <c r="S898" s="20">
        <f>IF($R898=1,COUNTIF($R$2:$R898,1),"")</f>
        <v/>
      </c>
    </row>
    <row r="899">
      <c r="A899" s="19" t="n"/>
      <c r="B899" s="14" t="n"/>
      <c r="C899" s="20">
        <f>IF($B899="","",IFERROR(INDEX(Vinos!$B$2:$B$301,MATCH($B899,Vinos!$A$2:$A$301,0)),"Código no cargado"))</f>
        <v/>
      </c>
      <c r="D899" s="14" t="n"/>
      <c r="E899" s="14" t="n"/>
      <c r="F899" s="18" t="n"/>
      <c r="G899" s="18" t="n"/>
      <c r="H899" s="21">
        <f>IF(AND($F899="",$G899=""),"",N($F899)*IFERROR(N(INDEX(Vinos!$H$2:$H$301,MATCH($B899,Vinos!$A$2:$A$301,0))),0)+N($G899))</f>
        <v/>
      </c>
      <c r="I899" s="18" t="n"/>
      <c r="J899" s="21">
        <f>IF(OR($H899="",$I899=""),"",$H899-$I899)</f>
        <v/>
      </c>
      <c r="K899" s="16">
        <f>IF($H899="","",IFERROR(IF(INDEX(Vinos!$J$2:$J$301,MATCH($B899,Vinos!$A$2:$A$301,0))="","",$H899*INDEX(Vinos!$J$2:$J$301,MATCH($B899,Vinos!$A$2:$A$301,0))),""))</f>
        <v/>
      </c>
      <c r="L899" s="16">
        <f>IF($H899="","",IFERROR(IF(INDEX(Vinos!$K$2:$K$301,MATCH($B899,Vinos!$A$2:$A$301,0))="","",$H899*INDEX(Vinos!$K$2:$K$301,MATCH($B899,Vinos!$A$2:$A$301,0))),""))</f>
        <v/>
      </c>
      <c r="M899" s="21">
        <f>IF(OR($A899="",$B899=""),"",SUMIFS($H$2:$H$2001,$A$2:$A$2001,$A899,$B$2:$B$2001,$B899))</f>
        <v/>
      </c>
      <c r="N899" s="20">
        <f>IF($M899="","",IF($M899&lt;=0,"Sin stock: reponer ya",IF($M899&lt;IFERROR(N(INDEX(Vinos!$N$2:$N$301,MATCH($B899,Vinos!$A$2:$A$301,0))),0),"Bajo mínimo: reponer","OK")))</f>
        <v/>
      </c>
      <c r="O899" s="14" t="n"/>
      <c r="P899" s="14" t="n"/>
      <c r="Q899" s="20">
        <f>IF($B899="","",IFERROR(INDEX(Vinos!$C$2:$C$301,MATCH($B899,Vinos!$A$2:$A$301,0)),""))</f>
        <v/>
      </c>
      <c r="R899" s="20">
        <f>IF(OR($A899="",$A899&lt;&gt;'Resumen del inventario'!$C$3,$N899="",$N899="OK"),"",IF(COUNTIFS($A$2:$A899,$A899,$B$2:$B899,$B899)=1,1,""))</f>
        <v/>
      </c>
      <c r="S899" s="20">
        <f>IF($R899=1,COUNTIF($R$2:$R899,1),"")</f>
        <v/>
      </c>
    </row>
    <row r="900">
      <c r="A900" s="19" t="n"/>
      <c r="B900" s="14" t="n"/>
      <c r="C900" s="20">
        <f>IF($B900="","",IFERROR(INDEX(Vinos!$B$2:$B$301,MATCH($B900,Vinos!$A$2:$A$301,0)),"Código no cargado"))</f>
        <v/>
      </c>
      <c r="D900" s="14" t="n"/>
      <c r="E900" s="14" t="n"/>
      <c r="F900" s="18" t="n"/>
      <c r="G900" s="18" t="n"/>
      <c r="H900" s="21">
        <f>IF(AND($F900="",$G900=""),"",N($F900)*IFERROR(N(INDEX(Vinos!$H$2:$H$301,MATCH($B900,Vinos!$A$2:$A$301,0))),0)+N($G900))</f>
        <v/>
      </c>
      <c r="I900" s="18" t="n"/>
      <c r="J900" s="21">
        <f>IF(OR($H900="",$I900=""),"",$H900-$I900)</f>
        <v/>
      </c>
      <c r="K900" s="16">
        <f>IF($H900="","",IFERROR(IF(INDEX(Vinos!$J$2:$J$301,MATCH($B900,Vinos!$A$2:$A$301,0))="","",$H900*INDEX(Vinos!$J$2:$J$301,MATCH($B900,Vinos!$A$2:$A$301,0))),""))</f>
        <v/>
      </c>
      <c r="L900" s="16">
        <f>IF($H900="","",IFERROR(IF(INDEX(Vinos!$K$2:$K$301,MATCH($B900,Vinos!$A$2:$A$301,0))="","",$H900*INDEX(Vinos!$K$2:$K$301,MATCH($B900,Vinos!$A$2:$A$301,0))),""))</f>
        <v/>
      </c>
      <c r="M900" s="21">
        <f>IF(OR($A900="",$B900=""),"",SUMIFS($H$2:$H$2001,$A$2:$A$2001,$A900,$B$2:$B$2001,$B900))</f>
        <v/>
      </c>
      <c r="N900" s="20">
        <f>IF($M900="","",IF($M900&lt;=0,"Sin stock: reponer ya",IF($M900&lt;IFERROR(N(INDEX(Vinos!$N$2:$N$301,MATCH($B900,Vinos!$A$2:$A$301,0))),0),"Bajo mínimo: reponer","OK")))</f>
        <v/>
      </c>
      <c r="O900" s="14" t="n"/>
      <c r="P900" s="14" t="n"/>
      <c r="Q900" s="20">
        <f>IF($B900="","",IFERROR(INDEX(Vinos!$C$2:$C$301,MATCH($B900,Vinos!$A$2:$A$301,0)),""))</f>
        <v/>
      </c>
      <c r="R900" s="20">
        <f>IF(OR($A900="",$A900&lt;&gt;'Resumen del inventario'!$C$3,$N900="",$N900="OK"),"",IF(COUNTIFS($A$2:$A900,$A900,$B$2:$B900,$B900)=1,1,""))</f>
        <v/>
      </c>
      <c r="S900" s="20">
        <f>IF($R900=1,COUNTIF($R$2:$R900,1),"")</f>
        <v/>
      </c>
    </row>
    <row r="901">
      <c r="A901" s="19" t="n"/>
      <c r="B901" s="14" t="n"/>
      <c r="C901" s="20">
        <f>IF($B901="","",IFERROR(INDEX(Vinos!$B$2:$B$301,MATCH($B901,Vinos!$A$2:$A$301,0)),"Código no cargado"))</f>
        <v/>
      </c>
      <c r="D901" s="14" t="n"/>
      <c r="E901" s="14" t="n"/>
      <c r="F901" s="18" t="n"/>
      <c r="G901" s="18" t="n"/>
      <c r="H901" s="21">
        <f>IF(AND($F901="",$G901=""),"",N($F901)*IFERROR(N(INDEX(Vinos!$H$2:$H$301,MATCH($B901,Vinos!$A$2:$A$301,0))),0)+N($G901))</f>
        <v/>
      </c>
      <c r="I901" s="18" t="n"/>
      <c r="J901" s="21">
        <f>IF(OR($H901="",$I901=""),"",$H901-$I901)</f>
        <v/>
      </c>
      <c r="K901" s="16">
        <f>IF($H901="","",IFERROR(IF(INDEX(Vinos!$J$2:$J$301,MATCH($B901,Vinos!$A$2:$A$301,0))="","",$H901*INDEX(Vinos!$J$2:$J$301,MATCH($B901,Vinos!$A$2:$A$301,0))),""))</f>
        <v/>
      </c>
      <c r="L901" s="16">
        <f>IF($H901="","",IFERROR(IF(INDEX(Vinos!$K$2:$K$301,MATCH($B901,Vinos!$A$2:$A$301,0))="","",$H901*INDEX(Vinos!$K$2:$K$301,MATCH($B901,Vinos!$A$2:$A$301,0))),""))</f>
        <v/>
      </c>
      <c r="M901" s="21">
        <f>IF(OR($A901="",$B901=""),"",SUMIFS($H$2:$H$2001,$A$2:$A$2001,$A901,$B$2:$B$2001,$B901))</f>
        <v/>
      </c>
      <c r="N901" s="20">
        <f>IF($M901="","",IF($M901&lt;=0,"Sin stock: reponer ya",IF($M901&lt;IFERROR(N(INDEX(Vinos!$N$2:$N$301,MATCH($B901,Vinos!$A$2:$A$301,0))),0),"Bajo mínimo: reponer","OK")))</f>
        <v/>
      </c>
      <c r="O901" s="14" t="n"/>
      <c r="P901" s="14" t="n"/>
      <c r="Q901" s="20">
        <f>IF($B901="","",IFERROR(INDEX(Vinos!$C$2:$C$301,MATCH($B901,Vinos!$A$2:$A$301,0)),""))</f>
        <v/>
      </c>
      <c r="R901" s="20">
        <f>IF(OR($A901="",$A901&lt;&gt;'Resumen del inventario'!$C$3,$N901="",$N901="OK"),"",IF(COUNTIFS($A$2:$A901,$A901,$B$2:$B901,$B901)=1,1,""))</f>
        <v/>
      </c>
      <c r="S901" s="20">
        <f>IF($R901=1,COUNTIF($R$2:$R901,1),"")</f>
        <v/>
      </c>
    </row>
    <row r="902">
      <c r="A902" s="19" t="n"/>
      <c r="B902" s="14" t="n"/>
      <c r="C902" s="20">
        <f>IF($B902="","",IFERROR(INDEX(Vinos!$B$2:$B$301,MATCH($B902,Vinos!$A$2:$A$301,0)),"Código no cargado"))</f>
        <v/>
      </c>
      <c r="D902" s="14" t="n"/>
      <c r="E902" s="14" t="n"/>
      <c r="F902" s="18" t="n"/>
      <c r="G902" s="18" t="n"/>
      <c r="H902" s="21">
        <f>IF(AND($F902="",$G902=""),"",N($F902)*IFERROR(N(INDEX(Vinos!$H$2:$H$301,MATCH($B902,Vinos!$A$2:$A$301,0))),0)+N($G902))</f>
        <v/>
      </c>
      <c r="I902" s="18" t="n"/>
      <c r="J902" s="21">
        <f>IF(OR($H902="",$I902=""),"",$H902-$I902)</f>
        <v/>
      </c>
      <c r="K902" s="16">
        <f>IF($H902="","",IFERROR(IF(INDEX(Vinos!$J$2:$J$301,MATCH($B902,Vinos!$A$2:$A$301,0))="","",$H902*INDEX(Vinos!$J$2:$J$301,MATCH($B902,Vinos!$A$2:$A$301,0))),""))</f>
        <v/>
      </c>
      <c r="L902" s="16">
        <f>IF($H902="","",IFERROR(IF(INDEX(Vinos!$K$2:$K$301,MATCH($B902,Vinos!$A$2:$A$301,0))="","",$H902*INDEX(Vinos!$K$2:$K$301,MATCH($B902,Vinos!$A$2:$A$301,0))),""))</f>
        <v/>
      </c>
      <c r="M902" s="21">
        <f>IF(OR($A902="",$B902=""),"",SUMIFS($H$2:$H$2001,$A$2:$A$2001,$A902,$B$2:$B$2001,$B902))</f>
        <v/>
      </c>
      <c r="N902" s="20">
        <f>IF($M902="","",IF($M902&lt;=0,"Sin stock: reponer ya",IF($M902&lt;IFERROR(N(INDEX(Vinos!$N$2:$N$301,MATCH($B902,Vinos!$A$2:$A$301,0))),0),"Bajo mínimo: reponer","OK")))</f>
        <v/>
      </c>
      <c r="O902" s="14" t="n"/>
      <c r="P902" s="14" t="n"/>
      <c r="Q902" s="20">
        <f>IF($B902="","",IFERROR(INDEX(Vinos!$C$2:$C$301,MATCH($B902,Vinos!$A$2:$A$301,0)),""))</f>
        <v/>
      </c>
      <c r="R902" s="20">
        <f>IF(OR($A902="",$A902&lt;&gt;'Resumen del inventario'!$C$3,$N902="",$N902="OK"),"",IF(COUNTIFS($A$2:$A902,$A902,$B$2:$B902,$B902)=1,1,""))</f>
        <v/>
      </c>
      <c r="S902" s="20">
        <f>IF($R902=1,COUNTIF($R$2:$R902,1),"")</f>
        <v/>
      </c>
    </row>
    <row r="903">
      <c r="A903" s="19" t="n"/>
      <c r="B903" s="14" t="n"/>
      <c r="C903" s="20">
        <f>IF($B903="","",IFERROR(INDEX(Vinos!$B$2:$B$301,MATCH($B903,Vinos!$A$2:$A$301,0)),"Código no cargado"))</f>
        <v/>
      </c>
      <c r="D903" s="14" t="n"/>
      <c r="E903" s="14" t="n"/>
      <c r="F903" s="18" t="n"/>
      <c r="G903" s="18" t="n"/>
      <c r="H903" s="21">
        <f>IF(AND($F903="",$G903=""),"",N($F903)*IFERROR(N(INDEX(Vinos!$H$2:$H$301,MATCH($B903,Vinos!$A$2:$A$301,0))),0)+N($G903))</f>
        <v/>
      </c>
      <c r="I903" s="18" t="n"/>
      <c r="J903" s="21">
        <f>IF(OR($H903="",$I903=""),"",$H903-$I903)</f>
        <v/>
      </c>
      <c r="K903" s="16">
        <f>IF($H903="","",IFERROR(IF(INDEX(Vinos!$J$2:$J$301,MATCH($B903,Vinos!$A$2:$A$301,0))="","",$H903*INDEX(Vinos!$J$2:$J$301,MATCH($B903,Vinos!$A$2:$A$301,0))),""))</f>
        <v/>
      </c>
      <c r="L903" s="16">
        <f>IF($H903="","",IFERROR(IF(INDEX(Vinos!$K$2:$K$301,MATCH($B903,Vinos!$A$2:$A$301,0))="","",$H903*INDEX(Vinos!$K$2:$K$301,MATCH($B903,Vinos!$A$2:$A$301,0))),""))</f>
        <v/>
      </c>
      <c r="M903" s="21">
        <f>IF(OR($A903="",$B903=""),"",SUMIFS($H$2:$H$2001,$A$2:$A$2001,$A903,$B$2:$B$2001,$B903))</f>
        <v/>
      </c>
      <c r="N903" s="20">
        <f>IF($M903="","",IF($M903&lt;=0,"Sin stock: reponer ya",IF($M903&lt;IFERROR(N(INDEX(Vinos!$N$2:$N$301,MATCH($B903,Vinos!$A$2:$A$301,0))),0),"Bajo mínimo: reponer","OK")))</f>
        <v/>
      </c>
      <c r="O903" s="14" t="n"/>
      <c r="P903" s="14" t="n"/>
      <c r="Q903" s="20">
        <f>IF($B903="","",IFERROR(INDEX(Vinos!$C$2:$C$301,MATCH($B903,Vinos!$A$2:$A$301,0)),""))</f>
        <v/>
      </c>
      <c r="R903" s="20">
        <f>IF(OR($A903="",$A903&lt;&gt;'Resumen del inventario'!$C$3,$N903="",$N903="OK"),"",IF(COUNTIFS($A$2:$A903,$A903,$B$2:$B903,$B903)=1,1,""))</f>
        <v/>
      </c>
      <c r="S903" s="20">
        <f>IF($R903=1,COUNTIF($R$2:$R903,1),"")</f>
        <v/>
      </c>
    </row>
    <row r="904">
      <c r="A904" s="19" t="n"/>
      <c r="B904" s="14" t="n"/>
      <c r="C904" s="20">
        <f>IF($B904="","",IFERROR(INDEX(Vinos!$B$2:$B$301,MATCH($B904,Vinos!$A$2:$A$301,0)),"Código no cargado"))</f>
        <v/>
      </c>
      <c r="D904" s="14" t="n"/>
      <c r="E904" s="14" t="n"/>
      <c r="F904" s="18" t="n"/>
      <c r="G904" s="18" t="n"/>
      <c r="H904" s="21">
        <f>IF(AND($F904="",$G904=""),"",N($F904)*IFERROR(N(INDEX(Vinos!$H$2:$H$301,MATCH($B904,Vinos!$A$2:$A$301,0))),0)+N($G904))</f>
        <v/>
      </c>
      <c r="I904" s="18" t="n"/>
      <c r="J904" s="21">
        <f>IF(OR($H904="",$I904=""),"",$H904-$I904)</f>
        <v/>
      </c>
      <c r="K904" s="16">
        <f>IF($H904="","",IFERROR(IF(INDEX(Vinos!$J$2:$J$301,MATCH($B904,Vinos!$A$2:$A$301,0))="","",$H904*INDEX(Vinos!$J$2:$J$301,MATCH($B904,Vinos!$A$2:$A$301,0))),""))</f>
        <v/>
      </c>
      <c r="L904" s="16">
        <f>IF($H904="","",IFERROR(IF(INDEX(Vinos!$K$2:$K$301,MATCH($B904,Vinos!$A$2:$A$301,0))="","",$H904*INDEX(Vinos!$K$2:$K$301,MATCH($B904,Vinos!$A$2:$A$301,0))),""))</f>
        <v/>
      </c>
      <c r="M904" s="21">
        <f>IF(OR($A904="",$B904=""),"",SUMIFS($H$2:$H$2001,$A$2:$A$2001,$A904,$B$2:$B$2001,$B904))</f>
        <v/>
      </c>
      <c r="N904" s="20">
        <f>IF($M904="","",IF($M904&lt;=0,"Sin stock: reponer ya",IF($M904&lt;IFERROR(N(INDEX(Vinos!$N$2:$N$301,MATCH($B904,Vinos!$A$2:$A$301,0))),0),"Bajo mínimo: reponer","OK")))</f>
        <v/>
      </c>
      <c r="O904" s="14" t="n"/>
      <c r="P904" s="14" t="n"/>
      <c r="Q904" s="20">
        <f>IF($B904="","",IFERROR(INDEX(Vinos!$C$2:$C$301,MATCH($B904,Vinos!$A$2:$A$301,0)),""))</f>
        <v/>
      </c>
      <c r="R904" s="20">
        <f>IF(OR($A904="",$A904&lt;&gt;'Resumen del inventario'!$C$3,$N904="",$N904="OK"),"",IF(COUNTIFS($A$2:$A904,$A904,$B$2:$B904,$B904)=1,1,""))</f>
        <v/>
      </c>
      <c r="S904" s="20">
        <f>IF($R904=1,COUNTIF($R$2:$R904,1),"")</f>
        <v/>
      </c>
    </row>
    <row r="905">
      <c r="A905" s="19" t="n"/>
      <c r="B905" s="14" t="n"/>
      <c r="C905" s="20">
        <f>IF($B905="","",IFERROR(INDEX(Vinos!$B$2:$B$301,MATCH($B905,Vinos!$A$2:$A$301,0)),"Código no cargado"))</f>
        <v/>
      </c>
      <c r="D905" s="14" t="n"/>
      <c r="E905" s="14" t="n"/>
      <c r="F905" s="18" t="n"/>
      <c r="G905" s="18" t="n"/>
      <c r="H905" s="21">
        <f>IF(AND($F905="",$G905=""),"",N($F905)*IFERROR(N(INDEX(Vinos!$H$2:$H$301,MATCH($B905,Vinos!$A$2:$A$301,0))),0)+N($G905))</f>
        <v/>
      </c>
      <c r="I905" s="18" t="n"/>
      <c r="J905" s="21">
        <f>IF(OR($H905="",$I905=""),"",$H905-$I905)</f>
        <v/>
      </c>
      <c r="K905" s="16">
        <f>IF($H905="","",IFERROR(IF(INDEX(Vinos!$J$2:$J$301,MATCH($B905,Vinos!$A$2:$A$301,0))="","",$H905*INDEX(Vinos!$J$2:$J$301,MATCH($B905,Vinos!$A$2:$A$301,0))),""))</f>
        <v/>
      </c>
      <c r="L905" s="16">
        <f>IF($H905="","",IFERROR(IF(INDEX(Vinos!$K$2:$K$301,MATCH($B905,Vinos!$A$2:$A$301,0))="","",$H905*INDEX(Vinos!$K$2:$K$301,MATCH($B905,Vinos!$A$2:$A$301,0))),""))</f>
        <v/>
      </c>
      <c r="M905" s="21">
        <f>IF(OR($A905="",$B905=""),"",SUMIFS($H$2:$H$2001,$A$2:$A$2001,$A905,$B$2:$B$2001,$B905))</f>
        <v/>
      </c>
      <c r="N905" s="20">
        <f>IF($M905="","",IF($M905&lt;=0,"Sin stock: reponer ya",IF($M905&lt;IFERROR(N(INDEX(Vinos!$N$2:$N$301,MATCH($B905,Vinos!$A$2:$A$301,0))),0),"Bajo mínimo: reponer","OK")))</f>
        <v/>
      </c>
      <c r="O905" s="14" t="n"/>
      <c r="P905" s="14" t="n"/>
      <c r="Q905" s="20">
        <f>IF($B905="","",IFERROR(INDEX(Vinos!$C$2:$C$301,MATCH($B905,Vinos!$A$2:$A$301,0)),""))</f>
        <v/>
      </c>
      <c r="R905" s="20">
        <f>IF(OR($A905="",$A905&lt;&gt;'Resumen del inventario'!$C$3,$N905="",$N905="OK"),"",IF(COUNTIFS($A$2:$A905,$A905,$B$2:$B905,$B905)=1,1,""))</f>
        <v/>
      </c>
      <c r="S905" s="20">
        <f>IF($R905=1,COUNTIF($R$2:$R905,1),"")</f>
        <v/>
      </c>
    </row>
    <row r="906">
      <c r="A906" s="19" t="n"/>
      <c r="B906" s="14" t="n"/>
      <c r="C906" s="20">
        <f>IF($B906="","",IFERROR(INDEX(Vinos!$B$2:$B$301,MATCH($B906,Vinos!$A$2:$A$301,0)),"Código no cargado"))</f>
        <v/>
      </c>
      <c r="D906" s="14" t="n"/>
      <c r="E906" s="14" t="n"/>
      <c r="F906" s="18" t="n"/>
      <c r="G906" s="18" t="n"/>
      <c r="H906" s="21">
        <f>IF(AND($F906="",$G906=""),"",N($F906)*IFERROR(N(INDEX(Vinos!$H$2:$H$301,MATCH($B906,Vinos!$A$2:$A$301,0))),0)+N($G906))</f>
        <v/>
      </c>
      <c r="I906" s="18" t="n"/>
      <c r="J906" s="21">
        <f>IF(OR($H906="",$I906=""),"",$H906-$I906)</f>
        <v/>
      </c>
      <c r="K906" s="16">
        <f>IF($H906="","",IFERROR(IF(INDEX(Vinos!$J$2:$J$301,MATCH($B906,Vinos!$A$2:$A$301,0))="","",$H906*INDEX(Vinos!$J$2:$J$301,MATCH($B906,Vinos!$A$2:$A$301,0))),""))</f>
        <v/>
      </c>
      <c r="L906" s="16">
        <f>IF($H906="","",IFERROR(IF(INDEX(Vinos!$K$2:$K$301,MATCH($B906,Vinos!$A$2:$A$301,0))="","",$H906*INDEX(Vinos!$K$2:$K$301,MATCH($B906,Vinos!$A$2:$A$301,0))),""))</f>
        <v/>
      </c>
      <c r="M906" s="21">
        <f>IF(OR($A906="",$B906=""),"",SUMIFS($H$2:$H$2001,$A$2:$A$2001,$A906,$B$2:$B$2001,$B906))</f>
        <v/>
      </c>
      <c r="N906" s="20">
        <f>IF($M906="","",IF($M906&lt;=0,"Sin stock: reponer ya",IF($M906&lt;IFERROR(N(INDEX(Vinos!$N$2:$N$301,MATCH($B906,Vinos!$A$2:$A$301,0))),0),"Bajo mínimo: reponer","OK")))</f>
        <v/>
      </c>
      <c r="O906" s="14" t="n"/>
      <c r="P906" s="14" t="n"/>
      <c r="Q906" s="20">
        <f>IF($B906="","",IFERROR(INDEX(Vinos!$C$2:$C$301,MATCH($B906,Vinos!$A$2:$A$301,0)),""))</f>
        <v/>
      </c>
      <c r="R906" s="20">
        <f>IF(OR($A906="",$A906&lt;&gt;'Resumen del inventario'!$C$3,$N906="",$N906="OK"),"",IF(COUNTIFS($A$2:$A906,$A906,$B$2:$B906,$B906)=1,1,""))</f>
        <v/>
      </c>
      <c r="S906" s="20">
        <f>IF($R906=1,COUNTIF($R$2:$R906,1),"")</f>
        <v/>
      </c>
    </row>
    <row r="907">
      <c r="A907" s="19" t="n"/>
      <c r="B907" s="14" t="n"/>
      <c r="C907" s="20">
        <f>IF($B907="","",IFERROR(INDEX(Vinos!$B$2:$B$301,MATCH($B907,Vinos!$A$2:$A$301,0)),"Código no cargado"))</f>
        <v/>
      </c>
      <c r="D907" s="14" t="n"/>
      <c r="E907" s="14" t="n"/>
      <c r="F907" s="18" t="n"/>
      <c r="G907" s="18" t="n"/>
      <c r="H907" s="21">
        <f>IF(AND($F907="",$G907=""),"",N($F907)*IFERROR(N(INDEX(Vinos!$H$2:$H$301,MATCH($B907,Vinos!$A$2:$A$301,0))),0)+N($G907))</f>
        <v/>
      </c>
      <c r="I907" s="18" t="n"/>
      <c r="J907" s="21">
        <f>IF(OR($H907="",$I907=""),"",$H907-$I907)</f>
        <v/>
      </c>
      <c r="K907" s="16">
        <f>IF($H907="","",IFERROR(IF(INDEX(Vinos!$J$2:$J$301,MATCH($B907,Vinos!$A$2:$A$301,0))="","",$H907*INDEX(Vinos!$J$2:$J$301,MATCH($B907,Vinos!$A$2:$A$301,0))),""))</f>
        <v/>
      </c>
      <c r="L907" s="16">
        <f>IF($H907="","",IFERROR(IF(INDEX(Vinos!$K$2:$K$301,MATCH($B907,Vinos!$A$2:$A$301,0))="","",$H907*INDEX(Vinos!$K$2:$K$301,MATCH($B907,Vinos!$A$2:$A$301,0))),""))</f>
        <v/>
      </c>
      <c r="M907" s="21">
        <f>IF(OR($A907="",$B907=""),"",SUMIFS($H$2:$H$2001,$A$2:$A$2001,$A907,$B$2:$B$2001,$B907))</f>
        <v/>
      </c>
      <c r="N907" s="20">
        <f>IF($M907="","",IF($M907&lt;=0,"Sin stock: reponer ya",IF($M907&lt;IFERROR(N(INDEX(Vinos!$N$2:$N$301,MATCH($B907,Vinos!$A$2:$A$301,0))),0),"Bajo mínimo: reponer","OK")))</f>
        <v/>
      </c>
      <c r="O907" s="14" t="n"/>
      <c r="P907" s="14" t="n"/>
      <c r="Q907" s="20">
        <f>IF($B907="","",IFERROR(INDEX(Vinos!$C$2:$C$301,MATCH($B907,Vinos!$A$2:$A$301,0)),""))</f>
        <v/>
      </c>
      <c r="R907" s="20">
        <f>IF(OR($A907="",$A907&lt;&gt;'Resumen del inventario'!$C$3,$N907="",$N907="OK"),"",IF(COUNTIFS($A$2:$A907,$A907,$B$2:$B907,$B907)=1,1,""))</f>
        <v/>
      </c>
      <c r="S907" s="20">
        <f>IF($R907=1,COUNTIF($R$2:$R907,1),"")</f>
        <v/>
      </c>
    </row>
    <row r="908">
      <c r="A908" s="19" t="n"/>
      <c r="B908" s="14" t="n"/>
      <c r="C908" s="20">
        <f>IF($B908="","",IFERROR(INDEX(Vinos!$B$2:$B$301,MATCH($B908,Vinos!$A$2:$A$301,0)),"Código no cargado"))</f>
        <v/>
      </c>
      <c r="D908" s="14" t="n"/>
      <c r="E908" s="14" t="n"/>
      <c r="F908" s="18" t="n"/>
      <c r="G908" s="18" t="n"/>
      <c r="H908" s="21">
        <f>IF(AND($F908="",$G908=""),"",N($F908)*IFERROR(N(INDEX(Vinos!$H$2:$H$301,MATCH($B908,Vinos!$A$2:$A$301,0))),0)+N($G908))</f>
        <v/>
      </c>
      <c r="I908" s="18" t="n"/>
      <c r="J908" s="21">
        <f>IF(OR($H908="",$I908=""),"",$H908-$I908)</f>
        <v/>
      </c>
      <c r="K908" s="16">
        <f>IF($H908="","",IFERROR(IF(INDEX(Vinos!$J$2:$J$301,MATCH($B908,Vinos!$A$2:$A$301,0))="","",$H908*INDEX(Vinos!$J$2:$J$301,MATCH($B908,Vinos!$A$2:$A$301,0))),""))</f>
        <v/>
      </c>
      <c r="L908" s="16">
        <f>IF($H908="","",IFERROR(IF(INDEX(Vinos!$K$2:$K$301,MATCH($B908,Vinos!$A$2:$A$301,0))="","",$H908*INDEX(Vinos!$K$2:$K$301,MATCH($B908,Vinos!$A$2:$A$301,0))),""))</f>
        <v/>
      </c>
      <c r="M908" s="21">
        <f>IF(OR($A908="",$B908=""),"",SUMIFS($H$2:$H$2001,$A$2:$A$2001,$A908,$B$2:$B$2001,$B908))</f>
        <v/>
      </c>
      <c r="N908" s="20">
        <f>IF($M908="","",IF($M908&lt;=0,"Sin stock: reponer ya",IF($M908&lt;IFERROR(N(INDEX(Vinos!$N$2:$N$301,MATCH($B908,Vinos!$A$2:$A$301,0))),0),"Bajo mínimo: reponer","OK")))</f>
        <v/>
      </c>
      <c r="O908" s="14" t="n"/>
      <c r="P908" s="14" t="n"/>
      <c r="Q908" s="20">
        <f>IF($B908="","",IFERROR(INDEX(Vinos!$C$2:$C$301,MATCH($B908,Vinos!$A$2:$A$301,0)),""))</f>
        <v/>
      </c>
      <c r="R908" s="20">
        <f>IF(OR($A908="",$A908&lt;&gt;'Resumen del inventario'!$C$3,$N908="",$N908="OK"),"",IF(COUNTIFS($A$2:$A908,$A908,$B$2:$B908,$B908)=1,1,""))</f>
        <v/>
      </c>
      <c r="S908" s="20">
        <f>IF($R908=1,COUNTIF($R$2:$R908,1),"")</f>
        <v/>
      </c>
    </row>
    <row r="909">
      <c r="A909" s="19" t="n"/>
      <c r="B909" s="14" t="n"/>
      <c r="C909" s="20">
        <f>IF($B909="","",IFERROR(INDEX(Vinos!$B$2:$B$301,MATCH($B909,Vinos!$A$2:$A$301,0)),"Código no cargado"))</f>
        <v/>
      </c>
      <c r="D909" s="14" t="n"/>
      <c r="E909" s="14" t="n"/>
      <c r="F909" s="18" t="n"/>
      <c r="G909" s="18" t="n"/>
      <c r="H909" s="21">
        <f>IF(AND($F909="",$G909=""),"",N($F909)*IFERROR(N(INDEX(Vinos!$H$2:$H$301,MATCH($B909,Vinos!$A$2:$A$301,0))),0)+N($G909))</f>
        <v/>
      </c>
      <c r="I909" s="18" t="n"/>
      <c r="J909" s="21">
        <f>IF(OR($H909="",$I909=""),"",$H909-$I909)</f>
        <v/>
      </c>
      <c r="K909" s="16">
        <f>IF($H909="","",IFERROR(IF(INDEX(Vinos!$J$2:$J$301,MATCH($B909,Vinos!$A$2:$A$301,0))="","",$H909*INDEX(Vinos!$J$2:$J$301,MATCH($B909,Vinos!$A$2:$A$301,0))),""))</f>
        <v/>
      </c>
      <c r="L909" s="16">
        <f>IF($H909="","",IFERROR(IF(INDEX(Vinos!$K$2:$K$301,MATCH($B909,Vinos!$A$2:$A$301,0))="","",$H909*INDEX(Vinos!$K$2:$K$301,MATCH($B909,Vinos!$A$2:$A$301,0))),""))</f>
        <v/>
      </c>
      <c r="M909" s="21">
        <f>IF(OR($A909="",$B909=""),"",SUMIFS($H$2:$H$2001,$A$2:$A$2001,$A909,$B$2:$B$2001,$B909))</f>
        <v/>
      </c>
      <c r="N909" s="20">
        <f>IF($M909="","",IF($M909&lt;=0,"Sin stock: reponer ya",IF($M909&lt;IFERROR(N(INDEX(Vinos!$N$2:$N$301,MATCH($B909,Vinos!$A$2:$A$301,0))),0),"Bajo mínimo: reponer","OK")))</f>
        <v/>
      </c>
      <c r="O909" s="14" t="n"/>
      <c r="P909" s="14" t="n"/>
      <c r="Q909" s="20">
        <f>IF($B909="","",IFERROR(INDEX(Vinos!$C$2:$C$301,MATCH($B909,Vinos!$A$2:$A$301,0)),""))</f>
        <v/>
      </c>
      <c r="R909" s="20">
        <f>IF(OR($A909="",$A909&lt;&gt;'Resumen del inventario'!$C$3,$N909="",$N909="OK"),"",IF(COUNTIFS($A$2:$A909,$A909,$B$2:$B909,$B909)=1,1,""))</f>
        <v/>
      </c>
      <c r="S909" s="20">
        <f>IF($R909=1,COUNTIF($R$2:$R909,1),"")</f>
        <v/>
      </c>
    </row>
    <row r="910">
      <c r="A910" s="19" t="n"/>
      <c r="B910" s="14" t="n"/>
      <c r="C910" s="20">
        <f>IF($B910="","",IFERROR(INDEX(Vinos!$B$2:$B$301,MATCH($B910,Vinos!$A$2:$A$301,0)),"Código no cargado"))</f>
        <v/>
      </c>
      <c r="D910" s="14" t="n"/>
      <c r="E910" s="14" t="n"/>
      <c r="F910" s="18" t="n"/>
      <c r="G910" s="18" t="n"/>
      <c r="H910" s="21">
        <f>IF(AND($F910="",$G910=""),"",N($F910)*IFERROR(N(INDEX(Vinos!$H$2:$H$301,MATCH($B910,Vinos!$A$2:$A$301,0))),0)+N($G910))</f>
        <v/>
      </c>
      <c r="I910" s="18" t="n"/>
      <c r="J910" s="21">
        <f>IF(OR($H910="",$I910=""),"",$H910-$I910)</f>
        <v/>
      </c>
      <c r="K910" s="16">
        <f>IF($H910="","",IFERROR(IF(INDEX(Vinos!$J$2:$J$301,MATCH($B910,Vinos!$A$2:$A$301,0))="","",$H910*INDEX(Vinos!$J$2:$J$301,MATCH($B910,Vinos!$A$2:$A$301,0))),""))</f>
        <v/>
      </c>
      <c r="L910" s="16">
        <f>IF($H910="","",IFERROR(IF(INDEX(Vinos!$K$2:$K$301,MATCH($B910,Vinos!$A$2:$A$301,0))="","",$H910*INDEX(Vinos!$K$2:$K$301,MATCH($B910,Vinos!$A$2:$A$301,0))),""))</f>
        <v/>
      </c>
      <c r="M910" s="21">
        <f>IF(OR($A910="",$B910=""),"",SUMIFS($H$2:$H$2001,$A$2:$A$2001,$A910,$B$2:$B$2001,$B910))</f>
        <v/>
      </c>
      <c r="N910" s="20">
        <f>IF($M910="","",IF($M910&lt;=0,"Sin stock: reponer ya",IF($M910&lt;IFERROR(N(INDEX(Vinos!$N$2:$N$301,MATCH($B910,Vinos!$A$2:$A$301,0))),0),"Bajo mínimo: reponer","OK")))</f>
        <v/>
      </c>
      <c r="O910" s="14" t="n"/>
      <c r="P910" s="14" t="n"/>
      <c r="Q910" s="20">
        <f>IF($B910="","",IFERROR(INDEX(Vinos!$C$2:$C$301,MATCH($B910,Vinos!$A$2:$A$301,0)),""))</f>
        <v/>
      </c>
      <c r="R910" s="20">
        <f>IF(OR($A910="",$A910&lt;&gt;'Resumen del inventario'!$C$3,$N910="",$N910="OK"),"",IF(COUNTIFS($A$2:$A910,$A910,$B$2:$B910,$B910)=1,1,""))</f>
        <v/>
      </c>
      <c r="S910" s="20">
        <f>IF($R910=1,COUNTIF($R$2:$R910,1),"")</f>
        <v/>
      </c>
    </row>
    <row r="911">
      <c r="A911" s="19" t="n"/>
      <c r="B911" s="14" t="n"/>
      <c r="C911" s="20">
        <f>IF($B911="","",IFERROR(INDEX(Vinos!$B$2:$B$301,MATCH($B911,Vinos!$A$2:$A$301,0)),"Código no cargado"))</f>
        <v/>
      </c>
      <c r="D911" s="14" t="n"/>
      <c r="E911" s="14" t="n"/>
      <c r="F911" s="18" t="n"/>
      <c r="G911" s="18" t="n"/>
      <c r="H911" s="21">
        <f>IF(AND($F911="",$G911=""),"",N($F911)*IFERROR(N(INDEX(Vinos!$H$2:$H$301,MATCH($B911,Vinos!$A$2:$A$301,0))),0)+N($G911))</f>
        <v/>
      </c>
      <c r="I911" s="18" t="n"/>
      <c r="J911" s="21">
        <f>IF(OR($H911="",$I911=""),"",$H911-$I911)</f>
        <v/>
      </c>
      <c r="K911" s="16">
        <f>IF($H911="","",IFERROR(IF(INDEX(Vinos!$J$2:$J$301,MATCH($B911,Vinos!$A$2:$A$301,0))="","",$H911*INDEX(Vinos!$J$2:$J$301,MATCH($B911,Vinos!$A$2:$A$301,0))),""))</f>
        <v/>
      </c>
      <c r="L911" s="16">
        <f>IF($H911="","",IFERROR(IF(INDEX(Vinos!$K$2:$K$301,MATCH($B911,Vinos!$A$2:$A$301,0))="","",$H911*INDEX(Vinos!$K$2:$K$301,MATCH($B911,Vinos!$A$2:$A$301,0))),""))</f>
        <v/>
      </c>
      <c r="M911" s="21">
        <f>IF(OR($A911="",$B911=""),"",SUMIFS($H$2:$H$2001,$A$2:$A$2001,$A911,$B$2:$B$2001,$B911))</f>
        <v/>
      </c>
      <c r="N911" s="20">
        <f>IF($M911="","",IF($M911&lt;=0,"Sin stock: reponer ya",IF($M911&lt;IFERROR(N(INDEX(Vinos!$N$2:$N$301,MATCH($B911,Vinos!$A$2:$A$301,0))),0),"Bajo mínimo: reponer","OK")))</f>
        <v/>
      </c>
      <c r="O911" s="14" t="n"/>
      <c r="P911" s="14" t="n"/>
      <c r="Q911" s="20">
        <f>IF($B911="","",IFERROR(INDEX(Vinos!$C$2:$C$301,MATCH($B911,Vinos!$A$2:$A$301,0)),""))</f>
        <v/>
      </c>
      <c r="R911" s="20">
        <f>IF(OR($A911="",$A911&lt;&gt;'Resumen del inventario'!$C$3,$N911="",$N911="OK"),"",IF(COUNTIFS($A$2:$A911,$A911,$B$2:$B911,$B911)=1,1,""))</f>
        <v/>
      </c>
      <c r="S911" s="20">
        <f>IF($R911=1,COUNTIF($R$2:$R911,1),"")</f>
        <v/>
      </c>
    </row>
    <row r="912">
      <c r="A912" s="19" t="n"/>
      <c r="B912" s="14" t="n"/>
      <c r="C912" s="20">
        <f>IF($B912="","",IFERROR(INDEX(Vinos!$B$2:$B$301,MATCH($B912,Vinos!$A$2:$A$301,0)),"Código no cargado"))</f>
        <v/>
      </c>
      <c r="D912" s="14" t="n"/>
      <c r="E912" s="14" t="n"/>
      <c r="F912" s="18" t="n"/>
      <c r="G912" s="18" t="n"/>
      <c r="H912" s="21">
        <f>IF(AND($F912="",$G912=""),"",N($F912)*IFERROR(N(INDEX(Vinos!$H$2:$H$301,MATCH($B912,Vinos!$A$2:$A$301,0))),0)+N($G912))</f>
        <v/>
      </c>
      <c r="I912" s="18" t="n"/>
      <c r="J912" s="21">
        <f>IF(OR($H912="",$I912=""),"",$H912-$I912)</f>
        <v/>
      </c>
      <c r="K912" s="16">
        <f>IF($H912="","",IFERROR(IF(INDEX(Vinos!$J$2:$J$301,MATCH($B912,Vinos!$A$2:$A$301,0))="","",$H912*INDEX(Vinos!$J$2:$J$301,MATCH($B912,Vinos!$A$2:$A$301,0))),""))</f>
        <v/>
      </c>
      <c r="L912" s="16">
        <f>IF($H912="","",IFERROR(IF(INDEX(Vinos!$K$2:$K$301,MATCH($B912,Vinos!$A$2:$A$301,0))="","",$H912*INDEX(Vinos!$K$2:$K$301,MATCH($B912,Vinos!$A$2:$A$301,0))),""))</f>
        <v/>
      </c>
      <c r="M912" s="21">
        <f>IF(OR($A912="",$B912=""),"",SUMIFS($H$2:$H$2001,$A$2:$A$2001,$A912,$B$2:$B$2001,$B912))</f>
        <v/>
      </c>
      <c r="N912" s="20">
        <f>IF($M912="","",IF($M912&lt;=0,"Sin stock: reponer ya",IF($M912&lt;IFERROR(N(INDEX(Vinos!$N$2:$N$301,MATCH($B912,Vinos!$A$2:$A$301,0))),0),"Bajo mínimo: reponer","OK")))</f>
        <v/>
      </c>
      <c r="O912" s="14" t="n"/>
      <c r="P912" s="14" t="n"/>
      <c r="Q912" s="20">
        <f>IF($B912="","",IFERROR(INDEX(Vinos!$C$2:$C$301,MATCH($B912,Vinos!$A$2:$A$301,0)),""))</f>
        <v/>
      </c>
      <c r="R912" s="20">
        <f>IF(OR($A912="",$A912&lt;&gt;'Resumen del inventario'!$C$3,$N912="",$N912="OK"),"",IF(COUNTIFS($A$2:$A912,$A912,$B$2:$B912,$B912)=1,1,""))</f>
        <v/>
      </c>
      <c r="S912" s="20">
        <f>IF($R912=1,COUNTIF($R$2:$R912,1),"")</f>
        <v/>
      </c>
    </row>
    <row r="913">
      <c r="A913" s="19" t="n"/>
      <c r="B913" s="14" t="n"/>
      <c r="C913" s="20">
        <f>IF($B913="","",IFERROR(INDEX(Vinos!$B$2:$B$301,MATCH($B913,Vinos!$A$2:$A$301,0)),"Código no cargado"))</f>
        <v/>
      </c>
      <c r="D913" s="14" t="n"/>
      <c r="E913" s="14" t="n"/>
      <c r="F913" s="18" t="n"/>
      <c r="G913" s="18" t="n"/>
      <c r="H913" s="21">
        <f>IF(AND($F913="",$G913=""),"",N($F913)*IFERROR(N(INDEX(Vinos!$H$2:$H$301,MATCH($B913,Vinos!$A$2:$A$301,0))),0)+N($G913))</f>
        <v/>
      </c>
      <c r="I913" s="18" t="n"/>
      <c r="J913" s="21">
        <f>IF(OR($H913="",$I913=""),"",$H913-$I913)</f>
        <v/>
      </c>
      <c r="K913" s="16">
        <f>IF($H913="","",IFERROR(IF(INDEX(Vinos!$J$2:$J$301,MATCH($B913,Vinos!$A$2:$A$301,0))="","",$H913*INDEX(Vinos!$J$2:$J$301,MATCH($B913,Vinos!$A$2:$A$301,0))),""))</f>
        <v/>
      </c>
      <c r="L913" s="16">
        <f>IF($H913="","",IFERROR(IF(INDEX(Vinos!$K$2:$K$301,MATCH($B913,Vinos!$A$2:$A$301,0))="","",$H913*INDEX(Vinos!$K$2:$K$301,MATCH($B913,Vinos!$A$2:$A$301,0))),""))</f>
        <v/>
      </c>
      <c r="M913" s="21">
        <f>IF(OR($A913="",$B913=""),"",SUMIFS($H$2:$H$2001,$A$2:$A$2001,$A913,$B$2:$B$2001,$B913))</f>
        <v/>
      </c>
      <c r="N913" s="20">
        <f>IF($M913="","",IF($M913&lt;=0,"Sin stock: reponer ya",IF($M913&lt;IFERROR(N(INDEX(Vinos!$N$2:$N$301,MATCH($B913,Vinos!$A$2:$A$301,0))),0),"Bajo mínimo: reponer","OK")))</f>
        <v/>
      </c>
      <c r="O913" s="14" t="n"/>
      <c r="P913" s="14" t="n"/>
      <c r="Q913" s="20">
        <f>IF($B913="","",IFERROR(INDEX(Vinos!$C$2:$C$301,MATCH($B913,Vinos!$A$2:$A$301,0)),""))</f>
        <v/>
      </c>
      <c r="R913" s="20">
        <f>IF(OR($A913="",$A913&lt;&gt;'Resumen del inventario'!$C$3,$N913="",$N913="OK"),"",IF(COUNTIFS($A$2:$A913,$A913,$B$2:$B913,$B913)=1,1,""))</f>
        <v/>
      </c>
      <c r="S913" s="20">
        <f>IF($R913=1,COUNTIF($R$2:$R913,1),"")</f>
        <v/>
      </c>
    </row>
    <row r="914">
      <c r="A914" s="19" t="n"/>
      <c r="B914" s="14" t="n"/>
      <c r="C914" s="20">
        <f>IF($B914="","",IFERROR(INDEX(Vinos!$B$2:$B$301,MATCH($B914,Vinos!$A$2:$A$301,0)),"Código no cargado"))</f>
        <v/>
      </c>
      <c r="D914" s="14" t="n"/>
      <c r="E914" s="14" t="n"/>
      <c r="F914" s="18" t="n"/>
      <c r="G914" s="18" t="n"/>
      <c r="H914" s="21">
        <f>IF(AND($F914="",$G914=""),"",N($F914)*IFERROR(N(INDEX(Vinos!$H$2:$H$301,MATCH($B914,Vinos!$A$2:$A$301,0))),0)+N($G914))</f>
        <v/>
      </c>
      <c r="I914" s="18" t="n"/>
      <c r="J914" s="21">
        <f>IF(OR($H914="",$I914=""),"",$H914-$I914)</f>
        <v/>
      </c>
      <c r="K914" s="16">
        <f>IF($H914="","",IFERROR(IF(INDEX(Vinos!$J$2:$J$301,MATCH($B914,Vinos!$A$2:$A$301,0))="","",$H914*INDEX(Vinos!$J$2:$J$301,MATCH($B914,Vinos!$A$2:$A$301,0))),""))</f>
        <v/>
      </c>
      <c r="L914" s="16">
        <f>IF($H914="","",IFERROR(IF(INDEX(Vinos!$K$2:$K$301,MATCH($B914,Vinos!$A$2:$A$301,0))="","",$H914*INDEX(Vinos!$K$2:$K$301,MATCH($B914,Vinos!$A$2:$A$301,0))),""))</f>
        <v/>
      </c>
      <c r="M914" s="21">
        <f>IF(OR($A914="",$B914=""),"",SUMIFS($H$2:$H$2001,$A$2:$A$2001,$A914,$B$2:$B$2001,$B914))</f>
        <v/>
      </c>
      <c r="N914" s="20">
        <f>IF($M914="","",IF($M914&lt;=0,"Sin stock: reponer ya",IF($M914&lt;IFERROR(N(INDEX(Vinos!$N$2:$N$301,MATCH($B914,Vinos!$A$2:$A$301,0))),0),"Bajo mínimo: reponer","OK")))</f>
        <v/>
      </c>
      <c r="O914" s="14" t="n"/>
      <c r="P914" s="14" t="n"/>
      <c r="Q914" s="20">
        <f>IF($B914="","",IFERROR(INDEX(Vinos!$C$2:$C$301,MATCH($B914,Vinos!$A$2:$A$301,0)),""))</f>
        <v/>
      </c>
      <c r="R914" s="20">
        <f>IF(OR($A914="",$A914&lt;&gt;'Resumen del inventario'!$C$3,$N914="",$N914="OK"),"",IF(COUNTIFS($A$2:$A914,$A914,$B$2:$B914,$B914)=1,1,""))</f>
        <v/>
      </c>
      <c r="S914" s="20">
        <f>IF($R914=1,COUNTIF($R$2:$R914,1),"")</f>
        <v/>
      </c>
    </row>
    <row r="915">
      <c r="A915" s="19" t="n"/>
      <c r="B915" s="14" t="n"/>
      <c r="C915" s="20">
        <f>IF($B915="","",IFERROR(INDEX(Vinos!$B$2:$B$301,MATCH($B915,Vinos!$A$2:$A$301,0)),"Código no cargado"))</f>
        <v/>
      </c>
      <c r="D915" s="14" t="n"/>
      <c r="E915" s="14" t="n"/>
      <c r="F915" s="18" t="n"/>
      <c r="G915" s="18" t="n"/>
      <c r="H915" s="21">
        <f>IF(AND($F915="",$G915=""),"",N($F915)*IFERROR(N(INDEX(Vinos!$H$2:$H$301,MATCH($B915,Vinos!$A$2:$A$301,0))),0)+N($G915))</f>
        <v/>
      </c>
      <c r="I915" s="18" t="n"/>
      <c r="J915" s="21">
        <f>IF(OR($H915="",$I915=""),"",$H915-$I915)</f>
        <v/>
      </c>
      <c r="K915" s="16">
        <f>IF($H915="","",IFERROR(IF(INDEX(Vinos!$J$2:$J$301,MATCH($B915,Vinos!$A$2:$A$301,0))="","",$H915*INDEX(Vinos!$J$2:$J$301,MATCH($B915,Vinos!$A$2:$A$301,0))),""))</f>
        <v/>
      </c>
      <c r="L915" s="16">
        <f>IF($H915="","",IFERROR(IF(INDEX(Vinos!$K$2:$K$301,MATCH($B915,Vinos!$A$2:$A$301,0))="","",$H915*INDEX(Vinos!$K$2:$K$301,MATCH($B915,Vinos!$A$2:$A$301,0))),""))</f>
        <v/>
      </c>
      <c r="M915" s="21">
        <f>IF(OR($A915="",$B915=""),"",SUMIFS($H$2:$H$2001,$A$2:$A$2001,$A915,$B$2:$B$2001,$B915))</f>
        <v/>
      </c>
      <c r="N915" s="20">
        <f>IF($M915="","",IF($M915&lt;=0,"Sin stock: reponer ya",IF($M915&lt;IFERROR(N(INDEX(Vinos!$N$2:$N$301,MATCH($B915,Vinos!$A$2:$A$301,0))),0),"Bajo mínimo: reponer","OK")))</f>
        <v/>
      </c>
      <c r="O915" s="14" t="n"/>
      <c r="P915" s="14" t="n"/>
      <c r="Q915" s="20">
        <f>IF($B915="","",IFERROR(INDEX(Vinos!$C$2:$C$301,MATCH($B915,Vinos!$A$2:$A$301,0)),""))</f>
        <v/>
      </c>
      <c r="R915" s="20">
        <f>IF(OR($A915="",$A915&lt;&gt;'Resumen del inventario'!$C$3,$N915="",$N915="OK"),"",IF(COUNTIFS($A$2:$A915,$A915,$B$2:$B915,$B915)=1,1,""))</f>
        <v/>
      </c>
      <c r="S915" s="20">
        <f>IF($R915=1,COUNTIF($R$2:$R915,1),"")</f>
        <v/>
      </c>
    </row>
    <row r="916">
      <c r="A916" s="19" t="n"/>
      <c r="B916" s="14" t="n"/>
      <c r="C916" s="20">
        <f>IF($B916="","",IFERROR(INDEX(Vinos!$B$2:$B$301,MATCH($B916,Vinos!$A$2:$A$301,0)),"Código no cargado"))</f>
        <v/>
      </c>
      <c r="D916" s="14" t="n"/>
      <c r="E916" s="14" t="n"/>
      <c r="F916" s="18" t="n"/>
      <c r="G916" s="18" t="n"/>
      <c r="H916" s="21">
        <f>IF(AND($F916="",$G916=""),"",N($F916)*IFERROR(N(INDEX(Vinos!$H$2:$H$301,MATCH($B916,Vinos!$A$2:$A$301,0))),0)+N($G916))</f>
        <v/>
      </c>
      <c r="I916" s="18" t="n"/>
      <c r="J916" s="21">
        <f>IF(OR($H916="",$I916=""),"",$H916-$I916)</f>
        <v/>
      </c>
      <c r="K916" s="16">
        <f>IF($H916="","",IFERROR(IF(INDEX(Vinos!$J$2:$J$301,MATCH($B916,Vinos!$A$2:$A$301,0))="","",$H916*INDEX(Vinos!$J$2:$J$301,MATCH($B916,Vinos!$A$2:$A$301,0))),""))</f>
        <v/>
      </c>
      <c r="L916" s="16">
        <f>IF($H916="","",IFERROR(IF(INDEX(Vinos!$K$2:$K$301,MATCH($B916,Vinos!$A$2:$A$301,0))="","",$H916*INDEX(Vinos!$K$2:$K$301,MATCH($B916,Vinos!$A$2:$A$301,0))),""))</f>
        <v/>
      </c>
      <c r="M916" s="21">
        <f>IF(OR($A916="",$B916=""),"",SUMIFS($H$2:$H$2001,$A$2:$A$2001,$A916,$B$2:$B$2001,$B916))</f>
        <v/>
      </c>
      <c r="N916" s="20">
        <f>IF($M916="","",IF($M916&lt;=0,"Sin stock: reponer ya",IF($M916&lt;IFERROR(N(INDEX(Vinos!$N$2:$N$301,MATCH($B916,Vinos!$A$2:$A$301,0))),0),"Bajo mínimo: reponer","OK")))</f>
        <v/>
      </c>
      <c r="O916" s="14" t="n"/>
      <c r="P916" s="14" t="n"/>
      <c r="Q916" s="20">
        <f>IF($B916="","",IFERROR(INDEX(Vinos!$C$2:$C$301,MATCH($B916,Vinos!$A$2:$A$301,0)),""))</f>
        <v/>
      </c>
      <c r="R916" s="20">
        <f>IF(OR($A916="",$A916&lt;&gt;'Resumen del inventario'!$C$3,$N916="",$N916="OK"),"",IF(COUNTIFS($A$2:$A916,$A916,$B$2:$B916,$B916)=1,1,""))</f>
        <v/>
      </c>
      <c r="S916" s="20">
        <f>IF($R916=1,COUNTIF($R$2:$R916,1),"")</f>
        <v/>
      </c>
    </row>
    <row r="917">
      <c r="A917" s="19" t="n"/>
      <c r="B917" s="14" t="n"/>
      <c r="C917" s="20">
        <f>IF($B917="","",IFERROR(INDEX(Vinos!$B$2:$B$301,MATCH($B917,Vinos!$A$2:$A$301,0)),"Código no cargado"))</f>
        <v/>
      </c>
      <c r="D917" s="14" t="n"/>
      <c r="E917" s="14" t="n"/>
      <c r="F917" s="18" t="n"/>
      <c r="G917" s="18" t="n"/>
      <c r="H917" s="21">
        <f>IF(AND($F917="",$G917=""),"",N($F917)*IFERROR(N(INDEX(Vinos!$H$2:$H$301,MATCH($B917,Vinos!$A$2:$A$301,0))),0)+N($G917))</f>
        <v/>
      </c>
      <c r="I917" s="18" t="n"/>
      <c r="J917" s="21">
        <f>IF(OR($H917="",$I917=""),"",$H917-$I917)</f>
        <v/>
      </c>
      <c r="K917" s="16">
        <f>IF($H917="","",IFERROR(IF(INDEX(Vinos!$J$2:$J$301,MATCH($B917,Vinos!$A$2:$A$301,0))="","",$H917*INDEX(Vinos!$J$2:$J$301,MATCH($B917,Vinos!$A$2:$A$301,0))),""))</f>
        <v/>
      </c>
      <c r="L917" s="16">
        <f>IF($H917="","",IFERROR(IF(INDEX(Vinos!$K$2:$K$301,MATCH($B917,Vinos!$A$2:$A$301,0))="","",$H917*INDEX(Vinos!$K$2:$K$301,MATCH($B917,Vinos!$A$2:$A$301,0))),""))</f>
        <v/>
      </c>
      <c r="M917" s="21">
        <f>IF(OR($A917="",$B917=""),"",SUMIFS($H$2:$H$2001,$A$2:$A$2001,$A917,$B$2:$B$2001,$B917))</f>
        <v/>
      </c>
      <c r="N917" s="20">
        <f>IF($M917="","",IF($M917&lt;=0,"Sin stock: reponer ya",IF($M917&lt;IFERROR(N(INDEX(Vinos!$N$2:$N$301,MATCH($B917,Vinos!$A$2:$A$301,0))),0),"Bajo mínimo: reponer","OK")))</f>
        <v/>
      </c>
      <c r="O917" s="14" t="n"/>
      <c r="P917" s="14" t="n"/>
      <c r="Q917" s="20">
        <f>IF($B917="","",IFERROR(INDEX(Vinos!$C$2:$C$301,MATCH($B917,Vinos!$A$2:$A$301,0)),""))</f>
        <v/>
      </c>
      <c r="R917" s="20">
        <f>IF(OR($A917="",$A917&lt;&gt;'Resumen del inventario'!$C$3,$N917="",$N917="OK"),"",IF(COUNTIFS($A$2:$A917,$A917,$B$2:$B917,$B917)=1,1,""))</f>
        <v/>
      </c>
      <c r="S917" s="20">
        <f>IF($R917=1,COUNTIF($R$2:$R917,1),"")</f>
        <v/>
      </c>
    </row>
    <row r="918">
      <c r="A918" s="19" t="n"/>
      <c r="B918" s="14" t="n"/>
      <c r="C918" s="20">
        <f>IF($B918="","",IFERROR(INDEX(Vinos!$B$2:$B$301,MATCH($B918,Vinos!$A$2:$A$301,0)),"Código no cargado"))</f>
        <v/>
      </c>
      <c r="D918" s="14" t="n"/>
      <c r="E918" s="14" t="n"/>
      <c r="F918" s="18" t="n"/>
      <c r="G918" s="18" t="n"/>
      <c r="H918" s="21">
        <f>IF(AND($F918="",$G918=""),"",N($F918)*IFERROR(N(INDEX(Vinos!$H$2:$H$301,MATCH($B918,Vinos!$A$2:$A$301,0))),0)+N($G918))</f>
        <v/>
      </c>
      <c r="I918" s="18" t="n"/>
      <c r="J918" s="21">
        <f>IF(OR($H918="",$I918=""),"",$H918-$I918)</f>
        <v/>
      </c>
      <c r="K918" s="16">
        <f>IF($H918="","",IFERROR(IF(INDEX(Vinos!$J$2:$J$301,MATCH($B918,Vinos!$A$2:$A$301,0))="","",$H918*INDEX(Vinos!$J$2:$J$301,MATCH($B918,Vinos!$A$2:$A$301,0))),""))</f>
        <v/>
      </c>
      <c r="L918" s="16">
        <f>IF($H918="","",IFERROR(IF(INDEX(Vinos!$K$2:$K$301,MATCH($B918,Vinos!$A$2:$A$301,0))="","",$H918*INDEX(Vinos!$K$2:$K$301,MATCH($B918,Vinos!$A$2:$A$301,0))),""))</f>
        <v/>
      </c>
      <c r="M918" s="21">
        <f>IF(OR($A918="",$B918=""),"",SUMIFS($H$2:$H$2001,$A$2:$A$2001,$A918,$B$2:$B$2001,$B918))</f>
        <v/>
      </c>
      <c r="N918" s="20">
        <f>IF($M918="","",IF($M918&lt;=0,"Sin stock: reponer ya",IF($M918&lt;IFERROR(N(INDEX(Vinos!$N$2:$N$301,MATCH($B918,Vinos!$A$2:$A$301,0))),0),"Bajo mínimo: reponer","OK")))</f>
        <v/>
      </c>
      <c r="O918" s="14" t="n"/>
      <c r="P918" s="14" t="n"/>
      <c r="Q918" s="20">
        <f>IF($B918="","",IFERROR(INDEX(Vinos!$C$2:$C$301,MATCH($B918,Vinos!$A$2:$A$301,0)),""))</f>
        <v/>
      </c>
      <c r="R918" s="20">
        <f>IF(OR($A918="",$A918&lt;&gt;'Resumen del inventario'!$C$3,$N918="",$N918="OK"),"",IF(COUNTIFS($A$2:$A918,$A918,$B$2:$B918,$B918)=1,1,""))</f>
        <v/>
      </c>
      <c r="S918" s="20">
        <f>IF($R918=1,COUNTIF($R$2:$R918,1),"")</f>
        <v/>
      </c>
    </row>
    <row r="919">
      <c r="A919" s="19" t="n"/>
      <c r="B919" s="14" t="n"/>
      <c r="C919" s="20">
        <f>IF($B919="","",IFERROR(INDEX(Vinos!$B$2:$B$301,MATCH($B919,Vinos!$A$2:$A$301,0)),"Código no cargado"))</f>
        <v/>
      </c>
      <c r="D919" s="14" t="n"/>
      <c r="E919" s="14" t="n"/>
      <c r="F919" s="18" t="n"/>
      <c r="G919" s="18" t="n"/>
      <c r="H919" s="21">
        <f>IF(AND($F919="",$G919=""),"",N($F919)*IFERROR(N(INDEX(Vinos!$H$2:$H$301,MATCH($B919,Vinos!$A$2:$A$301,0))),0)+N($G919))</f>
        <v/>
      </c>
      <c r="I919" s="18" t="n"/>
      <c r="J919" s="21">
        <f>IF(OR($H919="",$I919=""),"",$H919-$I919)</f>
        <v/>
      </c>
      <c r="K919" s="16">
        <f>IF($H919="","",IFERROR(IF(INDEX(Vinos!$J$2:$J$301,MATCH($B919,Vinos!$A$2:$A$301,0))="","",$H919*INDEX(Vinos!$J$2:$J$301,MATCH($B919,Vinos!$A$2:$A$301,0))),""))</f>
        <v/>
      </c>
      <c r="L919" s="16">
        <f>IF($H919="","",IFERROR(IF(INDEX(Vinos!$K$2:$K$301,MATCH($B919,Vinos!$A$2:$A$301,0))="","",$H919*INDEX(Vinos!$K$2:$K$301,MATCH($B919,Vinos!$A$2:$A$301,0))),""))</f>
        <v/>
      </c>
      <c r="M919" s="21">
        <f>IF(OR($A919="",$B919=""),"",SUMIFS($H$2:$H$2001,$A$2:$A$2001,$A919,$B$2:$B$2001,$B919))</f>
        <v/>
      </c>
      <c r="N919" s="20">
        <f>IF($M919="","",IF($M919&lt;=0,"Sin stock: reponer ya",IF($M919&lt;IFERROR(N(INDEX(Vinos!$N$2:$N$301,MATCH($B919,Vinos!$A$2:$A$301,0))),0),"Bajo mínimo: reponer","OK")))</f>
        <v/>
      </c>
      <c r="O919" s="14" t="n"/>
      <c r="P919" s="14" t="n"/>
      <c r="Q919" s="20">
        <f>IF($B919="","",IFERROR(INDEX(Vinos!$C$2:$C$301,MATCH($B919,Vinos!$A$2:$A$301,0)),""))</f>
        <v/>
      </c>
      <c r="R919" s="20">
        <f>IF(OR($A919="",$A919&lt;&gt;'Resumen del inventario'!$C$3,$N919="",$N919="OK"),"",IF(COUNTIFS($A$2:$A919,$A919,$B$2:$B919,$B919)=1,1,""))</f>
        <v/>
      </c>
      <c r="S919" s="20">
        <f>IF($R919=1,COUNTIF($R$2:$R919,1),"")</f>
        <v/>
      </c>
    </row>
    <row r="920">
      <c r="A920" s="19" t="n"/>
      <c r="B920" s="14" t="n"/>
      <c r="C920" s="20">
        <f>IF($B920="","",IFERROR(INDEX(Vinos!$B$2:$B$301,MATCH($B920,Vinos!$A$2:$A$301,0)),"Código no cargado"))</f>
        <v/>
      </c>
      <c r="D920" s="14" t="n"/>
      <c r="E920" s="14" t="n"/>
      <c r="F920" s="18" t="n"/>
      <c r="G920" s="18" t="n"/>
      <c r="H920" s="21">
        <f>IF(AND($F920="",$G920=""),"",N($F920)*IFERROR(N(INDEX(Vinos!$H$2:$H$301,MATCH($B920,Vinos!$A$2:$A$301,0))),0)+N($G920))</f>
        <v/>
      </c>
      <c r="I920" s="18" t="n"/>
      <c r="J920" s="21">
        <f>IF(OR($H920="",$I920=""),"",$H920-$I920)</f>
        <v/>
      </c>
      <c r="K920" s="16">
        <f>IF($H920="","",IFERROR(IF(INDEX(Vinos!$J$2:$J$301,MATCH($B920,Vinos!$A$2:$A$301,0))="","",$H920*INDEX(Vinos!$J$2:$J$301,MATCH($B920,Vinos!$A$2:$A$301,0))),""))</f>
        <v/>
      </c>
      <c r="L920" s="16">
        <f>IF($H920="","",IFERROR(IF(INDEX(Vinos!$K$2:$K$301,MATCH($B920,Vinos!$A$2:$A$301,0))="","",$H920*INDEX(Vinos!$K$2:$K$301,MATCH($B920,Vinos!$A$2:$A$301,0))),""))</f>
        <v/>
      </c>
      <c r="M920" s="21">
        <f>IF(OR($A920="",$B920=""),"",SUMIFS($H$2:$H$2001,$A$2:$A$2001,$A920,$B$2:$B$2001,$B920))</f>
        <v/>
      </c>
      <c r="N920" s="20">
        <f>IF($M920="","",IF($M920&lt;=0,"Sin stock: reponer ya",IF($M920&lt;IFERROR(N(INDEX(Vinos!$N$2:$N$301,MATCH($B920,Vinos!$A$2:$A$301,0))),0),"Bajo mínimo: reponer","OK")))</f>
        <v/>
      </c>
      <c r="O920" s="14" t="n"/>
      <c r="P920" s="14" t="n"/>
      <c r="Q920" s="20">
        <f>IF($B920="","",IFERROR(INDEX(Vinos!$C$2:$C$301,MATCH($B920,Vinos!$A$2:$A$301,0)),""))</f>
        <v/>
      </c>
      <c r="R920" s="20">
        <f>IF(OR($A920="",$A920&lt;&gt;'Resumen del inventario'!$C$3,$N920="",$N920="OK"),"",IF(COUNTIFS($A$2:$A920,$A920,$B$2:$B920,$B920)=1,1,""))</f>
        <v/>
      </c>
      <c r="S920" s="20">
        <f>IF($R920=1,COUNTIF($R$2:$R920,1),"")</f>
        <v/>
      </c>
    </row>
    <row r="921">
      <c r="A921" s="19" t="n"/>
      <c r="B921" s="14" t="n"/>
      <c r="C921" s="20">
        <f>IF($B921="","",IFERROR(INDEX(Vinos!$B$2:$B$301,MATCH($B921,Vinos!$A$2:$A$301,0)),"Código no cargado"))</f>
        <v/>
      </c>
      <c r="D921" s="14" t="n"/>
      <c r="E921" s="14" t="n"/>
      <c r="F921" s="18" t="n"/>
      <c r="G921" s="18" t="n"/>
      <c r="H921" s="21">
        <f>IF(AND($F921="",$G921=""),"",N($F921)*IFERROR(N(INDEX(Vinos!$H$2:$H$301,MATCH($B921,Vinos!$A$2:$A$301,0))),0)+N($G921))</f>
        <v/>
      </c>
      <c r="I921" s="18" t="n"/>
      <c r="J921" s="21">
        <f>IF(OR($H921="",$I921=""),"",$H921-$I921)</f>
        <v/>
      </c>
      <c r="K921" s="16">
        <f>IF($H921="","",IFERROR(IF(INDEX(Vinos!$J$2:$J$301,MATCH($B921,Vinos!$A$2:$A$301,0))="","",$H921*INDEX(Vinos!$J$2:$J$301,MATCH($B921,Vinos!$A$2:$A$301,0))),""))</f>
        <v/>
      </c>
      <c r="L921" s="16">
        <f>IF($H921="","",IFERROR(IF(INDEX(Vinos!$K$2:$K$301,MATCH($B921,Vinos!$A$2:$A$301,0))="","",$H921*INDEX(Vinos!$K$2:$K$301,MATCH($B921,Vinos!$A$2:$A$301,0))),""))</f>
        <v/>
      </c>
      <c r="M921" s="21">
        <f>IF(OR($A921="",$B921=""),"",SUMIFS($H$2:$H$2001,$A$2:$A$2001,$A921,$B$2:$B$2001,$B921))</f>
        <v/>
      </c>
      <c r="N921" s="20">
        <f>IF($M921="","",IF($M921&lt;=0,"Sin stock: reponer ya",IF($M921&lt;IFERROR(N(INDEX(Vinos!$N$2:$N$301,MATCH($B921,Vinos!$A$2:$A$301,0))),0),"Bajo mínimo: reponer","OK")))</f>
        <v/>
      </c>
      <c r="O921" s="14" t="n"/>
      <c r="P921" s="14" t="n"/>
      <c r="Q921" s="20">
        <f>IF($B921="","",IFERROR(INDEX(Vinos!$C$2:$C$301,MATCH($B921,Vinos!$A$2:$A$301,0)),""))</f>
        <v/>
      </c>
      <c r="R921" s="20">
        <f>IF(OR($A921="",$A921&lt;&gt;'Resumen del inventario'!$C$3,$N921="",$N921="OK"),"",IF(COUNTIFS($A$2:$A921,$A921,$B$2:$B921,$B921)=1,1,""))</f>
        <v/>
      </c>
      <c r="S921" s="20">
        <f>IF($R921=1,COUNTIF($R$2:$R921,1),"")</f>
        <v/>
      </c>
    </row>
    <row r="922">
      <c r="A922" s="19" t="n"/>
      <c r="B922" s="14" t="n"/>
      <c r="C922" s="20">
        <f>IF($B922="","",IFERROR(INDEX(Vinos!$B$2:$B$301,MATCH($B922,Vinos!$A$2:$A$301,0)),"Código no cargado"))</f>
        <v/>
      </c>
      <c r="D922" s="14" t="n"/>
      <c r="E922" s="14" t="n"/>
      <c r="F922" s="18" t="n"/>
      <c r="G922" s="18" t="n"/>
      <c r="H922" s="21">
        <f>IF(AND($F922="",$G922=""),"",N($F922)*IFERROR(N(INDEX(Vinos!$H$2:$H$301,MATCH($B922,Vinos!$A$2:$A$301,0))),0)+N($G922))</f>
        <v/>
      </c>
      <c r="I922" s="18" t="n"/>
      <c r="J922" s="21">
        <f>IF(OR($H922="",$I922=""),"",$H922-$I922)</f>
        <v/>
      </c>
      <c r="K922" s="16">
        <f>IF($H922="","",IFERROR(IF(INDEX(Vinos!$J$2:$J$301,MATCH($B922,Vinos!$A$2:$A$301,0))="","",$H922*INDEX(Vinos!$J$2:$J$301,MATCH($B922,Vinos!$A$2:$A$301,0))),""))</f>
        <v/>
      </c>
      <c r="L922" s="16">
        <f>IF($H922="","",IFERROR(IF(INDEX(Vinos!$K$2:$K$301,MATCH($B922,Vinos!$A$2:$A$301,0))="","",$H922*INDEX(Vinos!$K$2:$K$301,MATCH($B922,Vinos!$A$2:$A$301,0))),""))</f>
        <v/>
      </c>
      <c r="M922" s="21">
        <f>IF(OR($A922="",$B922=""),"",SUMIFS($H$2:$H$2001,$A$2:$A$2001,$A922,$B$2:$B$2001,$B922))</f>
        <v/>
      </c>
      <c r="N922" s="20">
        <f>IF($M922="","",IF($M922&lt;=0,"Sin stock: reponer ya",IF($M922&lt;IFERROR(N(INDEX(Vinos!$N$2:$N$301,MATCH($B922,Vinos!$A$2:$A$301,0))),0),"Bajo mínimo: reponer","OK")))</f>
        <v/>
      </c>
      <c r="O922" s="14" t="n"/>
      <c r="P922" s="14" t="n"/>
      <c r="Q922" s="20">
        <f>IF($B922="","",IFERROR(INDEX(Vinos!$C$2:$C$301,MATCH($B922,Vinos!$A$2:$A$301,0)),""))</f>
        <v/>
      </c>
      <c r="R922" s="20">
        <f>IF(OR($A922="",$A922&lt;&gt;'Resumen del inventario'!$C$3,$N922="",$N922="OK"),"",IF(COUNTIFS($A$2:$A922,$A922,$B$2:$B922,$B922)=1,1,""))</f>
        <v/>
      </c>
      <c r="S922" s="20">
        <f>IF($R922=1,COUNTIF($R$2:$R922,1),"")</f>
        <v/>
      </c>
    </row>
    <row r="923">
      <c r="A923" s="19" t="n"/>
      <c r="B923" s="14" t="n"/>
      <c r="C923" s="20">
        <f>IF($B923="","",IFERROR(INDEX(Vinos!$B$2:$B$301,MATCH($B923,Vinos!$A$2:$A$301,0)),"Código no cargado"))</f>
        <v/>
      </c>
      <c r="D923" s="14" t="n"/>
      <c r="E923" s="14" t="n"/>
      <c r="F923" s="18" t="n"/>
      <c r="G923" s="18" t="n"/>
      <c r="H923" s="21">
        <f>IF(AND($F923="",$G923=""),"",N($F923)*IFERROR(N(INDEX(Vinos!$H$2:$H$301,MATCH($B923,Vinos!$A$2:$A$301,0))),0)+N($G923))</f>
        <v/>
      </c>
      <c r="I923" s="18" t="n"/>
      <c r="J923" s="21">
        <f>IF(OR($H923="",$I923=""),"",$H923-$I923)</f>
        <v/>
      </c>
      <c r="K923" s="16">
        <f>IF($H923="","",IFERROR(IF(INDEX(Vinos!$J$2:$J$301,MATCH($B923,Vinos!$A$2:$A$301,0))="","",$H923*INDEX(Vinos!$J$2:$J$301,MATCH($B923,Vinos!$A$2:$A$301,0))),""))</f>
        <v/>
      </c>
      <c r="L923" s="16">
        <f>IF($H923="","",IFERROR(IF(INDEX(Vinos!$K$2:$K$301,MATCH($B923,Vinos!$A$2:$A$301,0))="","",$H923*INDEX(Vinos!$K$2:$K$301,MATCH($B923,Vinos!$A$2:$A$301,0))),""))</f>
        <v/>
      </c>
      <c r="M923" s="21">
        <f>IF(OR($A923="",$B923=""),"",SUMIFS($H$2:$H$2001,$A$2:$A$2001,$A923,$B$2:$B$2001,$B923))</f>
        <v/>
      </c>
      <c r="N923" s="20">
        <f>IF($M923="","",IF($M923&lt;=0,"Sin stock: reponer ya",IF($M923&lt;IFERROR(N(INDEX(Vinos!$N$2:$N$301,MATCH($B923,Vinos!$A$2:$A$301,0))),0),"Bajo mínimo: reponer","OK")))</f>
        <v/>
      </c>
      <c r="O923" s="14" t="n"/>
      <c r="P923" s="14" t="n"/>
      <c r="Q923" s="20">
        <f>IF($B923="","",IFERROR(INDEX(Vinos!$C$2:$C$301,MATCH($B923,Vinos!$A$2:$A$301,0)),""))</f>
        <v/>
      </c>
      <c r="R923" s="20">
        <f>IF(OR($A923="",$A923&lt;&gt;'Resumen del inventario'!$C$3,$N923="",$N923="OK"),"",IF(COUNTIFS($A$2:$A923,$A923,$B$2:$B923,$B923)=1,1,""))</f>
        <v/>
      </c>
      <c r="S923" s="20">
        <f>IF($R923=1,COUNTIF($R$2:$R923,1),"")</f>
        <v/>
      </c>
    </row>
    <row r="924">
      <c r="A924" s="19" t="n"/>
      <c r="B924" s="14" t="n"/>
      <c r="C924" s="20">
        <f>IF($B924="","",IFERROR(INDEX(Vinos!$B$2:$B$301,MATCH($B924,Vinos!$A$2:$A$301,0)),"Código no cargado"))</f>
        <v/>
      </c>
      <c r="D924" s="14" t="n"/>
      <c r="E924" s="14" t="n"/>
      <c r="F924" s="18" t="n"/>
      <c r="G924" s="18" t="n"/>
      <c r="H924" s="21">
        <f>IF(AND($F924="",$G924=""),"",N($F924)*IFERROR(N(INDEX(Vinos!$H$2:$H$301,MATCH($B924,Vinos!$A$2:$A$301,0))),0)+N($G924))</f>
        <v/>
      </c>
      <c r="I924" s="18" t="n"/>
      <c r="J924" s="21">
        <f>IF(OR($H924="",$I924=""),"",$H924-$I924)</f>
        <v/>
      </c>
      <c r="K924" s="16">
        <f>IF($H924="","",IFERROR(IF(INDEX(Vinos!$J$2:$J$301,MATCH($B924,Vinos!$A$2:$A$301,0))="","",$H924*INDEX(Vinos!$J$2:$J$301,MATCH($B924,Vinos!$A$2:$A$301,0))),""))</f>
        <v/>
      </c>
      <c r="L924" s="16">
        <f>IF($H924="","",IFERROR(IF(INDEX(Vinos!$K$2:$K$301,MATCH($B924,Vinos!$A$2:$A$301,0))="","",$H924*INDEX(Vinos!$K$2:$K$301,MATCH($B924,Vinos!$A$2:$A$301,0))),""))</f>
        <v/>
      </c>
      <c r="M924" s="21">
        <f>IF(OR($A924="",$B924=""),"",SUMIFS($H$2:$H$2001,$A$2:$A$2001,$A924,$B$2:$B$2001,$B924))</f>
        <v/>
      </c>
      <c r="N924" s="20">
        <f>IF($M924="","",IF($M924&lt;=0,"Sin stock: reponer ya",IF($M924&lt;IFERROR(N(INDEX(Vinos!$N$2:$N$301,MATCH($B924,Vinos!$A$2:$A$301,0))),0),"Bajo mínimo: reponer","OK")))</f>
        <v/>
      </c>
      <c r="O924" s="14" t="n"/>
      <c r="P924" s="14" t="n"/>
      <c r="Q924" s="20">
        <f>IF($B924="","",IFERROR(INDEX(Vinos!$C$2:$C$301,MATCH($B924,Vinos!$A$2:$A$301,0)),""))</f>
        <v/>
      </c>
      <c r="R924" s="20">
        <f>IF(OR($A924="",$A924&lt;&gt;'Resumen del inventario'!$C$3,$N924="",$N924="OK"),"",IF(COUNTIFS($A$2:$A924,$A924,$B$2:$B924,$B924)=1,1,""))</f>
        <v/>
      </c>
      <c r="S924" s="20">
        <f>IF($R924=1,COUNTIF($R$2:$R924,1),"")</f>
        <v/>
      </c>
    </row>
    <row r="925">
      <c r="A925" s="19" t="n"/>
      <c r="B925" s="14" t="n"/>
      <c r="C925" s="20">
        <f>IF($B925="","",IFERROR(INDEX(Vinos!$B$2:$B$301,MATCH($B925,Vinos!$A$2:$A$301,0)),"Código no cargado"))</f>
        <v/>
      </c>
      <c r="D925" s="14" t="n"/>
      <c r="E925" s="14" t="n"/>
      <c r="F925" s="18" t="n"/>
      <c r="G925" s="18" t="n"/>
      <c r="H925" s="21">
        <f>IF(AND($F925="",$G925=""),"",N($F925)*IFERROR(N(INDEX(Vinos!$H$2:$H$301,MATCH($B925,Vinos!$A$2:$A$301,0))),0)+N($G925))</f>
        <v/>
      </c>
      <c r="I925" s="18" t="n"/>
      <c r="J925" s="21">
        <f>IF(OR($H925="",$I925=""),"",$H925-$I925)</f>
        <v/>
      </c>
      <c r="K925" s="16">
        <f>IF($H925="","",IFERROR(IF(INDEX(Vinos!$J$2:$J$301,MATCH($B925,Vinos!$A$2:$A$301,0))="","",$H925*INDEX(Vinos!$J$2:$J$301,MATCH($B925,Vinos!$A$2:$A$301,0))),""))</f>
        <v/>
      </c>
      <c r="L925" s="16">
        <f>IF($H925="","",IFERROR(IF(INDEX(Vinos!$K$2:$K$301,MATCH($B925,Vinos!$A$2:$A$301,0))="","",$H925*INDEX(Vinos!$K$2:$K$301,MATCH($B925,Vinos!$A$2:$A$301,0))),""))</f>
        <v/>
      </c>
      <c r="M925" s="21">
        <f>IF(OR($A925="",$B925=""),"",SUMIFS($H$2:$H$2001,$A$2:$A$2001,$A925,$B$2:$B$2001,$B925))</f>
        <v/>
      </c>
      <c r="N925" s="20">
        <f>IF($M925="","",IF($M925&lt;=0,"Sin stock: reponer ya",IF($M925&lt;IFERROR(N(INDEX(Vinos!$N$2:$N$301,MATCH($B925,Vinos!$A$2:$A$301,0))),0),"Bajo mínimo: reponer","OK")))</f>
        <v/>
      </c>
      <c r="O925" s="14" t="n"/>
      <c r="P925" s="14" t="n"/>
      <c r="Q925" s="20">
        <f>IF($B925="","",IFERROR(INDEX(Vinos!$C$2:$C$301,MATCH($B925,Vinos!$A$2:$A$301,0)),""))</f>
        <v/>
      </c>
      <c r="R925" s="20">
        <f>IF(OR($A925="",$A925&lt;&gt;'Resumen del inventario'!$C$3,$N925="",$N925="OK"),"",IF(COUNTIFS($A$2:$A925,$A925,$B$2:$B925,$B925)=1,1,""))</f>
        <v/>
      </c>
      <c r="S925" s="20">
        <f>IF($R925=1,COUNTIF($R$2:$R925,1),"")</f>
        <v/>
      </c>
    </row>
    <row r="926">
      <c r="A926" s="19" t="n"/>
      <c r="B926" s="14" t="n"/>
      <c r="C926" s="20">
        <f>IF($B926="","",IFERROR(INDEX(Vinos!$B$2:$B$301,MATCH($B926,Vinos!$A$2:$A$301,0)),"Código no cargado"))</f>
        <v/>
      </c>
      <c r="D926" s="14" t="n"/>
      <c r="E926" s="14" t="n"/>
      <c r="F926" s="18" t="n"/>
      <c r="G926" s="18" t="n"/>
      <c r="H926" s="21">
        <f>IF(AND($F926="",$G926=""),"",N($F926)*IFERROR(N(INDEX(Vinos!$H$2:$H$301,MATCH($B926,Vinos!$A$2:$A$301,0))),0)+N($G926))</f>
        <v/>
      </c>
      <c r="I926" s="18" t="n"/>
      <c r="J926" s="21">
        <f>IF(OR($H926="",$I926=""),"",$H926-$I926)</f>
        <v/>
      </c>
      <c r="K926" s="16">
        <f>IF($H926="","",IFERROR(IF(INDEX(Vinos!$J$2:$J$301,MATCH($B926,Vinos!$A$2:$A$301,0))="","",$H926*INDEX(Vinos!$J$2:$J$301,MATCH($B926,Vinos!$A$2:$A$301,0))),""))</f>
        <v/>
      </c>
      <c r="L926" s="16">
        <f>IF($H926="","",IFERROR(IF(INDEX(Vinos!$K$2:$K$301,MATCH($B926,Vinos!$A$2:$A$301,0))="","",$H926*INDEX(Vinos!$K$2:$K$301,MATCH($B926,Vinos!$A$2:$A$301,0))),""))</f>
        <v/>
      </c>
      <c r="M926" s="21">
        <f>IF(OR($A926="",$B926=""),"",SUMIFS($H$2:$H$2001,$A$2:$A$2001,$A926,$B$2:$B$2001,$B926))</f>
        <v/>
      </c>
      <c r="N926" s="20">
        <f>IF($M926="","",IF($M926&lt;=0,"Sin stock: reponer ya",IF($M926&lt;IFERROR(N(INDEX(Vinos!$N$2:$N$301,MATCH($B926,Vinos!$A$2:$A$301,0))),0),"Bajo mínimo: reponer","OK")))</f>
        <v/>
      </c>
      <c r="O926" s="14" t="n"/>
      <c r="P926" s="14" t="n"/>
      <c r="Q926" s="20">
        <f>IF($B926="","",IFERROR(INDEX(Vinos!$C$2:$C$301,MATCH($B926,Vinos!$A$2:$A$301,0)),""))</f>
        <v/>
      </c>
      <c r="R926" s="20">
        <f>IF(OR($A926="",$A926&lt;&gt;'Resumen del inventario'!$C$3,$N926="",$N926="OK"),"",IF(COUNTIFS($A$2:$A926,$A926,$B$2:$B926,$B926)=1,1,""))</f>
        <v/>
      </c>
      <c r="S926" s="20">
        <f>IF($R926=1,COUNTIF($R$2:$R926,1),"")</f>
        <v/>
      </c>
    </row>
    <row r="927">
      <c r="A927" s="19" t="n"/>
      <c r="B927" s="14" t="n"/>
      <c r="C927" s="20">
        <f>IF($B927="","",IFERROR(INDEX(Vinos!$B$2:$B$301,MATCH($B927,Vinos!$A$2:$A$301,0)),"Código no cargado"))</f>
        <v/>
      </c>
      <c r="D927" s="14" t="n"/>
      <c r="E927" s="14" t="n"/>
      <c r="F927" s="18" t="n"/>
      <c r="G927" s="18" t="n"/>
      <c r="H927" s="21">
        <f>IF(AND($F927="",$G927=""),"",N($F927)*IFERROR(N(INDEX(Vinos!$H$2:$H$301,MATCH($B927,Vinos!$A$2:$A$301,0))),0)+N($G927))</f>
        <v/>
      </c>
      <c r="I927" s="18" t="n"/>
      <c r="J927" s="21">
        <f>IF(OR($H927="",$I927=""),"",$H927-$I927)</f>
        <v/>
      </c>
      <c r="K927" s="16">
        <f>IF($H927="","",IFERROR(IF(INDEX(Vinos!$J$2:$J$301,MATCH($B927,Vinos!$A$2:$A$301,0))="","",$H927*INDEX(Vinos!$J$2:$J$301,MATCH($B927,Vinos!$A$2:$A$301,0))),""))</f>
        <v/>
      </c>
      <c r="L927" s="16">
        <f>IF($H927="","",IFERROR(IF(INDEX(Vinos!$K$2:$K$301,MATCH($B927,Vinos!$A$2:$A$301,0))="","",$H927*INDEX(Vinos!$K$2:$K$301,MATCH($B927,Vinos!$A$2:$A$301,0))),""))</f>
        <v/>
      </c>
      <c r="M927" s="21">
        <f>IF(OR($A927="",$B927=""),"",SUMIFS($H$2:$H$2001,$A$2:$A$2001,$A927,$B$2:$B$2001,$B927))</f>
        <v/>
      </c>
      <c r="N927" s="20">
        <f>IF($M927="","",IF($M927&lt;=0,"Sin stock: reponer ya",IF($M927&lt;IFERROR(N(INDEX(Vinos!$N$2:$N$301,MATCH($B927,Vinos!$A$2:$A$301,0))),0),"Bajo mínimo: reponer","OK")))</f>
        <v/>
      </c>
      <c r="O927" s="14" t="n"/>
      <c r="P927" s="14" t="n"/>
      <c r="Q927" s="20">
        <f>IF($B927="","",IFERROR(INDEX(Vinos!$C$2:$C$301,MATCH($B927,Vinos!$A$2:$A$301,0)),""))</f>
        <v/>
      </c>
      <c r="R927" s="20">
        <f>IF(OR($A927="",$A927&lt;&gt;'Resumen del inventario'!$C$3,$N927="",$N927="OK"),"",IF(COUNTIFS($A$2:$A927,$A927,$B$2:$B927,$B927)=1,1,""))</f>
        <v/>
      </c>
      <c r="S927" s="20">
        <f>IF($R927=1,COUNTIF($R$2:$R927,1),"")</f>
        <v/>
      </c>
    </row>
    <row r="928">
      <c r="A928" s="19" t="n"/>
      <c r="B928" s="14" t="n"/>
      <c r="C928" s="20">
        <f>IF($B928="","",IFERROR(INDEX(Vinos!$B$2:$B$301,MATCH($B928,Vinos!$A$2:$A$301,0)),"Código no cargado"))</f>
        <v/>
      </c>
      <c r="D928" s="14" t="n"/>
      <c r="E928" s="14" t="n"/>
      <c r="F928" s="18" t="n"/>
      <c r="G928" s="18" t="n"/>
      <c r="H928" s="21">
        <f>IF(AND($F928="",$G928=""),"",N($F928)*IFERROR(N(INDEX(Vinos!$H$2:$H$301,MATCH($B928,Vinos!$A$2:$A$301,0))),0)+N($G928))</f>
        <v/>
      </c>
      <c r="I928" s="18" t="n"/>
      <c r="J928" s="21">
        <f>IF(OR($H928="",$I928=""),"",$H928-$I928)</f>
        <v/>
      </c>
      <c r="K928" s="16">
        <f>IF($H928="","",IFERROR(IF(INDEX(Vinos!$J$2:$J$301,MATCH($B928,Vinos!$A$2:$A$301,0))="","",$H928*INDEX(Vinos!$J$2:$J$301,MATCH($B928,Vinos!$A$2:$A$301,0))),""))</f>
        <v/>
      </c>
      <c r="L928" s="16">
        <f>IF($H928="","",IFERROR(IF(INDEX(Vinos!$K$2:$K$301,MATCH($B928,Vinos!$A$2:$A$301,0))="","",$H928*INDEX(Vinos!$K$2:$K$301,MATCH($B928,Vinos!$A$2:$A$301,0))),""))</f>
        <v/>
      </c>
      <c r="M928" s="21">
        <f>IF(OR($A928="",$B928=""),"",SUMIFS($H$2:$H$2001,$A$2:$A$2001,$A928,$B$2:$B$2001,$B928))</f>
        <v/>
      </c>
      <c r="N928" s="20">
        <f>IF($M928="","",IF($M928&lt;=0,"Sin stock: reponer ya",IF($M928&lt;IFERROR(N(INDEX(Vinos!$N$2:$N$301,MATCH($B928,Vinos!$A$2:$A$301,0))),0),"Bajo mínimo: reponer","OK")))</f>
        <v/>
      </c>
      <c r="O928" s="14" t="n"/>
      <c r="P928" s="14" t="n"/>
      <c r="Q928" s="20">
        <f>IF($B928="","",IFERROR(INDEX(Vinos!$C$2:$C$301,MATCH($B928,Vinos!$A$2:$A$301,0)),""))</f>
        <v/>
      </c>
      <c r="R928" s="20">
        <f>IF(OR($A928="",$A928&lt;&gt;'Resumen del inventario'!$C$3,$N928="",$N928="OK"),"",IF(COUNTIFS($A$2:$A928,$A928,$B$2:$B928,$B928)=1,1,""))</f>
        <v/>
      </c>
      <c r="S928" s="20">
        <f>IF($R928=1,COUNTIF($R$2:$R928,1),"")</f>
        <v/>
      </c>
    </row>
    <row r="929">
      <c r="A929" s="19" t="n"/>
      <c r="B929" s="14" t="n"/>
      <c r="C929" s="20">
        <f>IF($B929="","",IFERROR(INDEX(Vinos!$B$2:$B$301,MATCH($B929,Vinos!$A$2:$A$301,0)),"Código no cargado"))</f>
        <v/>
      </c>
      <c r="D929" s="14" t="n"/>
      <c r="E929" s="14" t="n"/>
      <c r="F929" s="18" t="n"/>
      <c r="G929" s="18" t="n"/>
      <c r="H929" s="21">
        <f>IF(AND($F929="",$G929=""),"",N($F929)*IFERROR(N(INDEX(Vinos!$H$2:$H$301,MATCH($B929,Vinos!$A$2:$A$301,0))),0)+N($G929))</f>
        <v/>
      </c>
      <c r="I929" s="18" t="n"/>
      <c r="J929" s="21">
        <f>IF(OR($H929="",$I929=""),"",$H929-$I929)</f>
        <v/>
      </c>
      <c r="K929" s="16">
        <f>IF($H929="","",IFERROR(IF(INDEX(Vinos!$J$2:$J$301,MATCH($B929,Vinos!$A$2:$A$301,0))="","",$H929*INDEX(Vinos!$J$2:$J$301,MATCH($B929,Vinos!$A$2:$A$301,0))),""))</f>
        <v/>
      </c>
      <c r="L929" s="16">
        <f>IF($H929="","",IFERROR(IF(INDEX(Vinos!$K$2:$K$301,MATCH($B929,Vinos!$A$2:$A$301,0))="","",$H929*INDEX(Vinos!$K$2:$K$301,MATCH($B929,Vinos!$A$2:$A$301,0))),""))</f>
        <v/>
      </c>
      <c r="M929" s="21">
        <f>IF(OR($A929="",$B929=""),"",SUMIFS($H$2:$H$2001,$A$2:$A$2001,$A929,$B$2:$B$2001,$B929))</f>
        <v/>
      </c>
      <c r="N929" s="20">
        <f>IF($M929="","",IF($M929&lt;=0,"Sin stock: reponer ya",IF($M929&lt;IFERROR(N(INDEX(Vinos!$N$2:$N$301,MATCH($B929,Vinos!$A$2:$A$301,0))),0),"Bajo mínimo: reponer","OK")))</f>
        <v/>
      </c>
      <c r="O929" s="14" t="n"/>
      <c r="P929" s="14" t="n"/>
      <c r="Q929" s="20">
        <f>IF($B929="","",IFERROR(INDEX(Vinos!$C$2:$C$301,MATCH($B929,Vinos!$A$2:$A$301,0)),""))</f>
        <v/>
      </c>
      <c r="R929" s="20">
        <f>IF(OR($A929="",$A929&lt;&gt;'Resumen del inventario'!$C$3,$N929="",$N929="OK"),"",IF(COUNTIFS($A$2:$A929,$A929,$B$2:$B929,$B929)=1,1,""))</f>
        <v/>
      </c>
      <c r="S929" s="20">
        <f>IF($R929=1,COUNTIF($R$2:$R929,1),"")</f>
        <v/>
      </c>
    </row>
    <row r="930">
      <c r="A930" s="19" t="n"/>
      <c r="B930" s="14" t="n"/>
      <c r="C930" s="20">
        <f>IF($B930="","",IFERROR(INDEX(Vinos!$B$2:$B$301,MATCH($B930,Vinos!$A$2:$A$301,0)),"Código no cargado"))</f>
        <v/>
      </c>
      <c r="D930" s="14" t="n"/>
      <c r="E930" s="14" t="n"/>
      <c r="F930" s="18" t="n"/>
      <c r="G930" s="18" t="n"/>
      <c r="H930" s="21">
        <f>IF(AND($F930="",$G930=""),"",N($F930)*IFERROR(N(INDEX(Vinos!$H$2:$H$301,MATCH($B930,Vinos!$A$2:$A$301,0))),0)+N($G930))</f>
        <v/>
      </c>
      <c r="I930" s="18" t="n"/>
      <c r="J930" s="21">
        <f>IF(OR($H930="",$I930=""),"",$H930-$I930)</f>
        <v/>
      </c>
      <c r="K930" s="16">
        <f>IF($H930="","",IFERROR(IF(INDEX(Vinos!$J$2:$J$301,MATCH($B930,Vinos!$A$2:$A$301,0))="","",$H930*INDEX(Vinos!$J$2:$J$301,MATCH($B930,Vinos!$A$2:$A$301,0))),""))</f>
        <v/>
      </c>
      <c r="L930" s="16">
        <f>IF($H930="","",IFERROR(IF(INDEX(Vinos!$K$2:$K$301,MATCH($B930,Vinos!$A$2:$A$301,0))="","",$H930*INDEX(Vinos!$K$2:$K$301,MATCH($B930,Vinos!$A$2:$A$301,0))),""))</f>
        <v/>
      </c>
      <c r="M930" s="21">
        <f>IF(OR($A930="",$B930=""),"",SUMIFS($H$2:$H$2001,$A$2:$A$2001,$A930,$B$2:$B$2001,$B930))</f>
        <v/>
      </c>
      <c r="N930" s="20">
        <f>IF($M930="","",IF($M930&lt;=0,"Sin stock: reponer ya",IF($M930&lt;IFERROR(N(INDEX(Vinos!$N$2:$N$301,MATCH($B930,Vinos!$A$2:$A$301,0))),0),"Bajo mínimo: reponer","OK")))</f>
        <v/>
      </c>
      <c r="O930" s="14" t="n"/>
      <c r="P930" s="14" t="n"/>
      <c r="Q930" s="20">
        <f>IF($B930="","",IFERROR(INDEX(Vinos!$C$2:$C$301,MATCH($B930,Vinos!$A$2:$A$301,0)),""))</f>
        <v/>
      </c>
      <c r="R930" s="20">
        <f>IF(OR($A930="",$A930&lt;&gt;'Resumen del inventario'!$C$3,$N930="",$N930="OK"),"",IF(COUNTIFS($A$2:$A930,$A930,$B$2:$B930,$B930)=1,1,""))</f>
        <v/>
      </c>
      <c r="S930" s="20">
        <f>IF($R930=1,COUNTIF($R$2:$R930,1),"")</f>
        <v/>
      </c>
    </row>
    <row r="931">
      <c r="A931" s="19" t="n"/>
      <c r="B931" s="14" t="n"/>
      <c r="C931" s="20">
        <f>IF($B931="","",IFERROR(INDEX(Vinos!$B$2:$B$301,MATCH($B931,Vinos!$A$2:$A$301,0)),"Código no cargado"))</f>
        <v/>
      </c>
      <c r="D931" s="14" t="n"/>
      <c r="E931" s="14" t="n"/>
      <c r="F931" s="18" t="n"/>
      <c r="G931" s="18" t="n"/>
      <c r="H931" s="21">
        <f>IF(AND($F931="",$G931=""),"",N($F931)*IFERROR(N(INDEX(Vinos!$H$2:$H$301,MATCH($B931,Vinos!$A$2:$A$301,0))),0)+N($G931))</f>
        <v/>
      </c>
      <c r="I931" s="18" t="n"/>
      <c r="J931" s="21">
        <f>IF(OR($H931="",$I931=""),"",$H931-$I931)</f>
        <v/>
      </c>
      <c r="K931" s="16">
        <f>IF($H931="","",IFERROR(IF(INDEX(Vinos!$J$2:$J$301,MATCH($B931,Vinos!$A$2:$A$301,0))="","",$H931*INDEX(Vinos!$J$2:$J$301,MATCH($B931,Vinos!$A$2:$A$301,0))),""))</f>
        <v/>
      </c>
      <c r="L931" s="16">
        <f>IF($H931="","",IFERROR(IF(INDEX(Vinos!$K$2:$K$301,MATCH($B931,Vinos!$A$2:$A$301,0))="","",$H931*INDEX(Vinos!$K$2:$K$301,MATCH($B931,Vinos!$A$2:$A$301,0))),""))</f>
        <v/>
      </c>
      <c r="M931" s="21">
        <f>IF(OR($A931="",$B931=""),"",SUMIFS($H$2:$H$2001,$A$2:$A$2001,$A931,$B$2:$B$2001,$B931))</f>
        <v/>
      </c>
      <c r="N931" s="20">
        <f>IF($M931="","",IF($M931&lt;=0,"Sin stock: reponer ya",IF($M931&lt;IFERROR(N(INDEX(Vinos!$N$2:$N$301,MATCH($B931,Vinos!$A$2:$A$301,0))),0),"Bajo mínimo: reponer","OK")))</f>
        <v/>
      </c>
      <c r="O931" s="14" t="n"/>
      <c r="P931" s="14" t="n"/>
      <c r="Q931" s="20">
        <f>IF($B931="","",IFERROR(INDEX(Vinos!$C$2:$C$301,MATCH($B931,Vinos!$A$2:$A$301,0)),""))</f>
        <v/>
      </c>
      <c r="R931" s="20">
        <f>IF(OR($A931="",$A931&lt;&gt;'Resumen del inventario'!$C$3,$N931="",$N931="OK"),"",IF(COUNTIFS($A$2:$A931,$A931,$B$2:$B931,$B931)=1,1,""))</f>
        <v/>
      </c>
      <c r="S931" s="20">
        <f>IF($R931=1,COUNTIF($R$2:$R931,1),"")</f>
        <v/>
      </c>
    </row>
    <row r="932">
      <c r="A932" s="19" t="n"/>
      <c r="B932" s="14" t="n"/>
      <c r="C932" s="20">
        <f>IF($B932="","",IFERROR(INDEX(Vinos!$B$2:$B$301,MATCH($B932,Vinos!$A$2:$A$301,0)),"Código no cargado"))</f>
        <v/>
      </c>
      <c r="D932" s="14" t="n"/>
      <c r="E932" s="14" t="n"/>
      <c r="F932" s="18" t="n"/>
      <c r="G932" s="18" t="n"/>
      <c r="H932" s="21">
        <f>IF(AND($F932="",$G932=""),"",N($F932)*IFERROR(N(INDEX(Vinos!$H$2:$H$301,MATCH($B932,Vinos!$A$2:$A$301,0))),0)+N($G932))</f>
        <v/>
      </c>
      <c r="I932" s="18" t="n"/>
      <c r="J932" s="21">
        <f>IF(OR($H932="",$I932=""),"",$H932-$I932)</f>
        <v/>
      </c>
      <c r="K932" s="16">
        <f>IF($H932="","",IFERROR(IF(INDEX(Vinos!$J$2:$J$301,MATCH($B932,Vinos!$A$2:$A$301,0))="","",$H932*INDEX(Vinos!$J$2:$J$301,MATCH($B932,Vinos!$A$2:$A$301,0))),""))</f>
        <v/>
      </c>
      <c r="L932" s="16">
        <f>IF($H932="","",IFERROR(IF(INDEX(Vinos!$K$2:$K$301,MATCH($B932,Vinos!$A$2:$A$301,0))="","",$H932*INDEX(Vinos!$K$2:$K$301,MATCH($B932,Vinos!$A$2:$A$301,0))),""))</f>
        <v/>
      </c>
      <c r="M932" s="21">
        <f>IF(OR($A932="",$B932=""),"",SUMIFS($H$2:$H$2001,$A$2:$A$2001,$A932,$B$2:$B$2001,$B932))</f>
        <v/>
      </c>
      <c r="N932" s="20">
        <f>IF($M932="","",IF($M932&lt;=0,"Sin stock: reponer ya",IF($M932&lt;IFERROR(N(INDEX(Vinos!$N$2:$N$301,MATCH($B932,Vinos!$A$2:$A$301,0))),0),"Bajo mínimo: reponer","OK")))</f>
        <v/>
      </c>
      <c r="O932" s="14" t="n"/>
      <c r="P932" s="14" t="n"/>
      <c r="Q932" s="20">
        <f>IF($B932="","",IFERROR(INDEX(Vinos!$C$2:$C$301,MATCH($B932,Vinos!$A$2:$A$301,0)),""))</f>
        <v/>
      </c>
      <c r="R932" s="20">
        <f>IF(OR($A932="",$A932&lt;&gt;'Resumen del inventario'!$C$3,$N932="",$N932="OK"),"",IF(COUNTIFS($A$2:$A932,$A932,$B$2:$B932,$B932)=1,1,""))</f>
        <v/>
      </c>
      <c r="S932" s="20">
        <f>IF($R932=1,COUNTIF($R$2:$R932,1),"")</f>
        <v/>
      </c>
    </row>
    <row r="933">
      <c r="A933" s="19" t="n"/>
      <c r="B933" s="14" t="n"/>
      <c r="C933" s="20">
        <f>IF($B933="","",IFERROR(INDEX(Vinos!$B$2:$B$301,MATCH($B933,Vinos!$A$2:$A$301,0)),"Código no cargado"))</f>
        <v/>
      </c>
      <c r="D933" s="14" t="n"/>
      <c r="E933" s="14" t="n"/>
      <c r="F933" s="18" t="n"/>
      <c r="G933" s="18" t="n"/>
      <c r="H933" s="21">
        <f>IF(AND($F933="",$G933=""),"",N($F933)*IFERROR(N(INDEX(Vinos!$H$2:$H$301,MATCH($B933,Vinos!$A$2:$A$301,0))),0)+N($G933))</f>
        <v/>
      </c>
      <c r="I933" s="18" t="n"/>
      <c r="J933" s="21">
        <f>IF(OR($H933="",$I933=""),"",$H933-$I933)</f>
        <v/>
      </c>
      <c r="K933" s="16">
        <f>IF($H933="","",IFERROR(IF(INDEX(Vinos!$J$2:$J$301,MATCH($B933,Vinos!$A$2:$A$301,0))="","",$H933*INDEX(Vinos!$J$2:$J$301,MATCH($B933,Vinos!$A$2:$A$301,0))),""))</f>
        <v/>
      </c>
      <c r="L933" s="16">
        <f>IF($H933="","",IFERROR(IF(INDEX(Vinos!$K$2:$K$301,MATCH($B933,Vinos!$A$2:$A$301,0))="","",$H933*INDEX(Vinos!$K$2:$K$301,MATCH($B933,Vinos!$A$2:$A$301,0))),""))</f>
        <v/>
      </c>
      <c r="M933" s="21">
        <f>IF(OR($A933="",$B933=""),"",SUMIFS($H$2:$H$2001,$A$2:$A$2001,$A933,$B$2:$B$2001,$B933))</f>
        <v/>
      </c>
      <c r="N933" s="20">
        <f>IF($M933="","",IF($M933&lt;=0,"Sin stock: reponer ya",IF($M933&lt;IFERROR(N(INDEX(Vinos!$N$2:$N$301,MATCH($B933,Vinos!$A$2:$A$301,0))),0),"Bajo mínimo: reponer","OK")))</f>
        <v/>
      </c>
      <c r="O933" s="14" t="n"/>
      <c r="P933" s="14" t="n"/>
      <c r="Q933" s="20">
        <f>IF($B933="","",IFERROR(INDEX(Vinos!$C$2:$C$301,MATCH($B933,Vinos!$A$2:$A$301,0)),""))</f>
        <v/>
      </c>
      <c r="R933" s="20">
        <f>IF(OR($A933="",$A933&lt;&gt;'Resumen del inventario'!$C$3,$N933="",$N933="OK"),"",IF(COUNTIFS($A$2:$A933,$A933,$B$2:$B933,$B933)=1,1,""))</f>
        <v/>
      </c>
      <c r="S933" s="20">
        <f>IF($R933=1,COUNTIF($R$2:$R933,1),"")</f>
        <v/>
      </c>
    </row>
    <row r="934">
      <c r="A934" s="19" t="n"/>
      <c r="B934" s="14" t="n"/>
      <c r="C934" s="20">
        <f>IF($B934="","",IFERROR(INDEX(Vinos!$B$2:$B$301,MATCH($B934,Vinos!$A$2:$A$301,0)),"Código no cargado"))</f>
        <v/>
      </c>
      <c r="D934" s="14" t="n"/>
      <c r="E934" s="14" t="n"/>
      <c r="F934" s="18" t="n"/>
      <c r="G934" s="18" t="n"/>
      <c r="H934" s="21">
        <f>IF(AND($F934="",$G934=""),"",N($F934)*IFERROR(N(INDEX(Vinos!$H$2:$H$301,MATCH($B934,Vinos!$A$2:$A$301,0))),0)+N($G934))</f>
        <v/>
      </c>
      <c r="I934" s="18" t="n"/>
      <c r="J934" s="21">
        <f>IF(OR($H934="",$I934=""),"",$H934-$I934)</f>
        <v/>
      </c>
      <c r="K934" s="16">
        <f>IF($H934="","",IFERROR(IF(INDEX(Vinos!$J$2:$J$301,MATCH($B934,Vinos!$A$2:$A$301,0))="","",$H934*INDEX(Vinos!$J$2:$J$301,MATCH($B934,Vinos!$A$2:$A$301,0))),""))</f>
        <v/>
      </c>
      <c r="L934" s="16">
        <f>IF($H934="","",IFERROR(IF(INDEX(Vinos!$K$2:$K$301,MATCH($B934,Vinos!$A$2:$A$301,0))="","",$H934*INDEX(Vinos!$K$2:$K$301,MATCH($B934,Vinos!$A$2:$A$301,0))),""))</f>
        <v/>
      </c>
      <c r="M934" s="21">
        <f>IF(OR($A934="",$B934=""),"",SUMIFS($H$2:$H$2001,$A$2:$A$2001,$A934,$B$2:$B$2001,$B934))</f>
        <v/>
      </c>
      <c r="N934" s="20">
        <f>IF($M934="","",IF($M934&lt;=0,"Sin stock: reponer ya",IF($M934&lt;IFERROR(N(INDEX(Vinos!$N$2:$N$301,MATCH($B934,Vinos!$A$2:$A$301,0))),0),"Bajo mínimo: reponer","OK")))</f>
        <v/>
      </c>
      <c r="O934" s="14" t="n"/>
      <c r="P934" s="14" t="n"/>
      <c r="Q934" s="20">
        <f>IF($B934="","",IFERROR(INDEX(Vinos!$C$2:$C$301,MATCH($B934,Vinos!$A$2:$A$301,0)),""))</f>
        <v/>
      </c>
      <c r="R934" s="20">
        <f>IF(OR($A934="",$A934&lt;&gt;'Resumen del inventario'!$C$3,$N934="",$N934="OK"),"",IF(COUNTIFS($A$2:$A934,$A934,$B$2:$B934,$B934)=1,1,""))</f>
        <v/>
      </c>
      <c r="S934" s="20">
        <f>IF($R934=1,COUNTIF($R$2:$R934,1),"")</f>
        <v/>
      </c>
    </row>
    <row r="935">
      <c r="A935" s="19" t="n"/>
      <c r="B935" s="14" t="n"/>
      <c r="C935" s="20">
        <f>IF($B935="","",IFERROR(INDEX(Vinos!$B$2:$B$301,MATCH($B935,Vinos!$A$2:$A$301,0)),"Código no cargado"))</f>
        <v/>
      </c>
      <c r="D935" s="14" t="n"/>
      <c r="E935" s="14" t="n"/>
      <c r="F935" s="18" t="n"/>
      <c r="G935" s="18" t="n"/>
      <c r="H935" s="21">
        <f>IF(AND($F935="",$G935=""),"",N($F935)*IFERROR(N(INDEX(Vinos!$H$2:$H$301,MATCH($B935,Vinos!$A$2:$A$301,0))),0)+N($G935))</f>
        <v/>
      </c>
      <c r="I935" s="18" t="n"/>
      <c r="J935" s="21">
        <f>IF(OR($H935="",$I935=""),"",$H935-$I935)</f>
        <v/>
      </c>
      <c r="K935" s="16">
        <f>IF($H935="","",IFERROR(IF(INDEX(Vinos!$J$2:$J$301,MATCH($B935,Vinos!$A$2:$A$301,0))="","",$H935*INDEX(Vinos!$J$2:$J$301,MATCH($B935,Vinos!$A$2:$A$301,0))),""))</f>
        <v/>
      </c>
      <c r="L935" s="16">
        <f>IF($H935="","",IFERROR(IF(INDEX(Vinos!$K$2:$K$301,MATCH($B935,Vinos!$A$2:$A$301,0))="","",$H935*INDEX(Vinos!$K$2:$K$301,MATCH($B935,Vinos!$A$2:$A$301,0))),""))</f>
        <v/>
      </c>
      <c r="M935" s="21">
        <f>IF(OR($A935="",$B935=""),"",SUMIFS($H$2:$H$2001,$A$2:$A$2001,$A935,$B$2:$B$2001,$B935))</f>
        <v/>
      </c>
      <c r="N935" s="20">
        <f>IF($M935="","",IF($M935&lt;=0,"Sin stock: reponer ya",IF($M935&lt;IFERROR(N(INDEX(Vinos!$N$2:$N$301,MATCH($B935,Vinos!$A$2:$A$301,0))),0),"Bajo mínimo: reponer","OK")))</f>
        <v/>
      </c>
      <c r="O935" s="14" t="n"/>
      <c r="P935" s="14" t="n"/>
      <c r="Q935" s="20">
        <f>IF($B935="","",IFERROR(INDEX(Vinos!$C$2:$C$301,MATCH($B935,Vinos!$A$2:$A$301,0)),""))</f>
        <v/>
      </c>
      <c r="R935" s="20">
        <f>IF(OR($A935="",$A935&lt;&gt;'Resumen del inventario'!$C$3,$N935="",$N935="OK"),"",IF(COUNTIFS($A$2:$A935,$A935,$B$2:$B935,$B935)=1,1,""))</f>
        <v/>
      </c>
      <c r="S935" s="20">
        <f>IF($R935=1,COUNTIF($R$2:$R935,1),"")</f>
        <v/>
      </c>
    </row>
    <row r="936">
      <c r="A936" s="19" t="n"/>
      <c r="B936" s="14" t="n"/>
      <c r="C936" s="20">
        <f>IF($B936="","",IFERROR(INDEX(Vinos!$B$2:$B$301,MATCH($B936,Vinos!$A$2:$A$301,0)),"Código no cargado"))</f>
        <v/>
      </c>
      <c r="D936" s="14" t="n"/>
      <c r="E936" s="14" t="n"/>
      <c r="F936" s="18" t="n"/>
      <c r="G936" s="18" t="n"/>
      <c r="H936" s="21">
        <f>IF(AND($F936="",$G936=""),"",N($F936)*IFERROR(N(INDEX(Vinos!$H$2:$H$301,MATCH($B936,Vinos!$A$2:$A$301,0))),0)+N($G936))</f>
        <v/>
      </c>
      <c r="I936" s="18" t="n"/>
      <c r="J936" s="21">
        <f>IF(OR($H936="",$I936=""),"",$H936-$I936)</f>
        <v/>
      </c>
      <c r="K936" s="16">
        <f>IF($H936="","",IFERROR(IF(INDEX(Vinos!$J$2:$J$301,MATCH($B936,Vinos!$A$2:$A$301,0))="","",$H936*INDEX(Vinos!$J$2:$J$301,MATCH($B936,Vinos!$A$2:$A$301,0))),""))</f>
        <v/>
      </c>
      <c r="L936" s="16">
        <f>IF($H936="","",IFERROR(IF(INDEX(Vinos!$K$2:$K$301,MATCH($B936,Vinos!$A$2:$A$301,0))="","",$H936*INDEX(Vinos!$K$2:$K$301,MATCH($B936,Vinos!$A$2:$A$301,0))),""))</f>
        <v/>
      </c>
      <c r="M936" s="21">
        <f>IF(OR($A936="",$B936=""),"",SUMIFS($H$2:$H$2001,$A$2:$A$2001,$A936,$B$2:$B$2001,$B936))</f>
        <v/>
      </c>
      <c r="N936" s="20">
        <f>IF($M936="","",IF($M936&lt;=0,"Sin stock: reponer ya",IF($M936&lt;IFERROR(N(INDEX(Vinos!$N$2:$N$301,MATCH($B936,Vinos!$A$2:$A$301,0))),0),"Bajo mínimo: reponer","OK")))</f>
        <v/>
      </c>
      <c r="O936" s="14" t="n"/>
      <c r="P936" s="14" t="n"/>
      <c r="Q936" s="20">
        <f>IF($B936="","",IFERROR(INDEX(Vinos!$C$2:$C$301,MATCH($B936,Vinos!$A$2:$A$301,0)),""))</f>
        <v/>
      </c>
      <c r="R936" s="20">
        <f>IF(OR($A936="",$A936&lt;&gt;'Resumen del inventario'!$C$3,$N936="",$N936="OK"),"",IF(COUNTIFS($A$2:$A936,$A936,$B$2:$B936,$B936)=1,1,""))</f>
        <v/>
      </c>
      <c r="S936" s="20">
        <f>IF($R936=1,COUNTIF($R$2:$R936,1),"")</f>
        <v/>
      </c>
    </row>
    <row r="937">
      <c r="A937" s="19" t="n"/>
      <c r="B937" s="14" t="n"/>
      <c r="C937" s="20">
        <f>IF($B937="","",IFERROR(INDEX(Vinos!$B$2:$B$301,MATCH($B937,Vinos!$A$2:$A$301,0)),"Código no cargado"))</f>
        <v/>
      </c>
      <c r="D937" s="14" t="n"/>
      <c r="E937" s="14" t="n"/>
      <c r="F937" s="18" t="n"/>
      <c r="G937" s="18" t="n"/>
      <c r="H937" s="21">
        <f>IF(AND($F937="",$G937=""),"",N($F937)*IFERROR(N(INDEX(Vinos!$H$2:$H$301,MATCH($B937,Vinos!$A$2:$A$301,0))),0)+N($G937))</f>
        <v/>
      </c>
      <c r="I937" s="18" t="n"/>
      <c r="J937" s="21">
        <f>IF(OR($H937="",$I937=""),"",$H937-$I937)</f>
        <v/>
      </c>
      <c r="K937" s="16">
        <f>IF($H937="","",IFERROR(IF(INDEX(Vinos!$J$2:$J$301,MATCH($B937,Vinos!$A$2:$A$301,0))="","",$H937*INDEX(Vinos!$J$2:$J$301,MATCH($B937,Vinos!$A$2:$A$301,0))),""))</f>
        <v/>
      </c>
      <c r="L937" s="16">
        <f>IF($H937="","",IFERROR(IF(INDEX(Vinos!$K$2:$K$301,MATCH($B937,Vinos!$A$2:$A$301,0))="","",$H937*INDEX(Vinos!$K$2:$K$301,MATCH($B937,Vinos!$A$2:$A$301,0))),""))</f>
        <v/>
      </c>
      <c r="M937" s="21">
        <f>IF(OR($A937="",$B937=""),"",SUMIFS($H$2:$H$2001,$A$2:$A$2001,$A937,$B$2:$B$2001,$B937))</f>
        <v/>
      </c>
      <c r="N937" s="20">
        <f>IF($M937="","",IF($M937&lt;=0,"Sin stock: reponer ya",IF($M937&lt;IFERROR(N(INDEX(Vinos!$N$2:$N$301,MATCH($B937,Vinos!$A$2:$A$301,0))),0),"Bajo mínimo: reponer","OK")))</f>
        <v/>
      </c>
      <c r="O937" s="14" t="n"/>
      <c r="P937" s="14" t="n"/>
      <c r="Q937" s="20">
        <f>IF($B937="","",IFERROR(INDEX(Vinos!$C$2:$C$301,MATCH($B937,Vinos!$A$2:$A$301,0)),""))</f>
        <v/>
      </c>
      <c r="R937" s="20">
        <f>IF(OR($A937="",$A937&lt;&gt;'Resumen del inventario'!$C$3,$N937="",$N937="OK"),"",IF(COUNTIFS($A$2:$A937,$A937,$B$2:$B937,$B937)=1,1,""))</f>
        <v/>
      </c>
      <c r="S937" s="20">
        <f>IF($R937=1,COUNTIF($R$2:$R937,1),"")</f>
        <v/>
      </c>
    </row>
    <row r="938">
      <c r="A938" s="19" t="n"/>
      <c r="B938" s="14" t="n"/>
      <c r="C938" s="20">
        <f>IF($B938="","",IFERROR(INDEX(Vinos!$B$2:$B$301,MATCH($B938,Vinos!$A$2:$A$301,0)),"Código no cargado"))</f>
        <v/>
      </c>
      <c r="D938" s="14" t="n"/>
      <c r="E938" s="14" t="n"/>
      <c r="F938" s="18" t="n"/>
      <c r="G938" s="18" t="n"/>
      <c r="H938" s="21">
        <f>IF(AND($F938="",$G938=""),"",N($F938)*IFERROR(N(INDEX(Vinos!$H$2:$H$301,MATCH($B938,Vinos!$A$2:$A$301,0))),0)+N($G938))</f>
        <v/>
      </c>
      <c r="I938" s="18" t="n"/>
      <c r="J938" s="21">
        <f>IF(OR($H938="",$I938=""),"",$H938-$I938)</f>
        <v/>
      </c>
      <c r="K938" s="16">
        <f>IF($H938="","",IFERROR(IF(INDEX(Vinos!$J$2:$J$301,MATCH($B938,Vinos!$A$2:$A$301,0))="","",$H938*INDEX(Vinos!$J$2:$J$301,MATCH($B938,Vinos!$A$2:$A$301,0))),""))</f>
        <v/>
      </c>
      <c r="L938" s="16">
        <f>IF($H938="","",IFERROR(IF(INDEX(Vinos!$K$2:$K$301,MATCH($B938,Vinos!$A$2:$A$301,0))="","",$H938*INDEX(Vinos!$K$2:$K$301,MATCH($B938,Vinos!$A$2:$A$301,0))),""))</f>
        <v/>
      </c>
      <c r="M938" s="21">
        <f>IF(OR($A938="",$B938=""),"",SUMIFS($H$2:$H$2001,$A$2:$A$2001,$A938,$B$2:$B$2001,$B938))</f>
        <v/>
      </c>
      <c r="N938" s="20">
        <f>IF($M938="","",IF($M938&lt;=0,"Sin stock: reponer ya",IF($M938&lt;IFERROR(N(INDEX(Vinos!$N$2:$N$301,MATCH($B938,Vinos!$A$2:$A$301,0))),0),"Bajo mínimo: reponer","OK")))</f>
        <v/>
      </c>
      <c r="O938" s="14" t="n"/>
      <c r="P938" s="14" t="n"/>
      <c r="Q938" s="20">
        <f>IF($B938="","",IFERROR(INDEX(Vinos!$C$2:$C$301,MATCH($B938,Vinos!$A$2:$A$301,0)),""))</f>
        <v/>
      </c>
      <c r="R938" s="20">
        <f>IF(OR($A938="",$A938&lt;&gt;'Resumen del inventario'!$C$3,$N938="",$N938="OK"),"",IF(COUNTIFS($A$2:$A938,$A938,$B$2:$B938,$B938)=1,1,""))</f>
        <v/>
      </c>
      <c r="S938" s="20">
        <f>IF($R938=1,COUNTIF($R$2:$R938,1),"")</f>
        <v/>
      </c>
    </row>
    <row r="939">
      <c r="A939" s="19" t="n"/>
      <c r="B939" s="14" t="n"/>
      <c r="C939" s="20">
        <f>IF($B939="","",IFERROR(INDEX(Vinos!$B$2:$B$301,MATCH($B939,Vinos!$A$2:$A$301,0)),"Código no cargado"))</f>
        <v/>
      </c>
      <c r="D939" s="14" t="n"/>
      <c r="E939" s="14" t="n"/>
      <c r="F939" s="18" t="n"/>
      <c r="G939" s="18" t="n"/>
      <c r="H939" s="21">
        <f>IF(AND($F939="",$G939=""),"",N($F939)*IFERROR(N(INDEX(Vinos!$H$2:$H$301,MATCH($B939,Vinos!$A$2:$A$301,0))),0)+N($G939))</f>
        <v/>
      </c>
      <c r="I939" s="18" t="n"/>
      <c r="J939" s="21">
        <f>IF(OR($H939="",$I939=""),"",$H939-$I939)</f>
        <v/>
      </c>
      <c r="K939" s="16">
        <f>IF($H939="","",IFERROR(IF(INDEX(Vinos!$J$2:$J$301,MATCH($B939,Vinos!$A$2:$A$301,0))="","",$H939*INDEX(Vinos!$J$2:$J$301,MATCH($B939,Vinos!$A$2:$A$301,0))),""))</f>
        <v/>
      </c>
      <c r="L939" s="16">
        <f>IF($H939="","",IFERROR(IF(INDEX(Vinos!$K$2:$K$301,MATCH($B939,Vinos!$A$2:$A$301,0))="","",$H939*INDEX(Vinos!$K$2:$K$301,MATCH($B939,Vinos!$A$2:$A$301,0))),""))</f>
        <v/>
      </c>
      <c r="M939" s="21">
        <f>IF(OR($A939="",$B939=""),"",SUMIFS($H$2:$H$2001,$A$2:$A$2001,$A939,$B$2:$B$2001,$B939))</f>
        <v/>
      </c>
      <c r="N939" s="20">
        <f>IF($M939="","",IF($M939&lt;=0,"Sin stock: reponer ya",IF($M939&lt;IFERROR(N(INDEX(Vinos!$N$2:$N$301,MATCH($B939,Vinos!$A$2:$A$301,0))),0),"Bajo mínimo: reponer","OK")))</f>
        <v/>
      </c>
      <c r="O939" s="14" t="n"/>
      <c r="P939" s="14" t="n"/>
      <c r="Q939" s="20">
        <f>IF($B939="","",IFERROR(INDEX(Vinos!$C$2:$C$301,MATCH($B939,Vinos!$A$2:$A$301,0)),""))</f>
        <v/>
      </c>
      <c r="R939" s="20">
        <f>IF(OR($A939="",$A939&lt;&gt;'Resumen del inventario'!$C$3,$N939="",$N939="OK"),"",IF(COUNTIFS($A$2:$A939,$A939,$B$2:$B939,$B939)=1,1,""))</f>
        <v/>
      </c>
      <c r="S939" s="20">
        <f>IF($R939=1,COUNTIF($R$2:$R939,1),"")</f>
        <v/>
      </c>
    </row>
    <row r="940">
      <c r="A940" s="19" t="n"/>
      <c r="B940" s="14" t="n"/>
      <c r="C940" s="20">
        <f>IF($B940="","",IFERROR(INDEX(Vinos!$B$2:$B$301,MATCH($B940,Vinos!$A$2:$A$301,0)),"Código no cargado"))</f>
        <v/>
      </c>
      <c r="D940" s="14" t="n"/>
      <c r="E940" s="14" t="n"/>
      <c r="F940" s="18" t="n"/>
      <c r="G940" s="18" t="n"/>
      <c r="H940" s="21">
        <f>IF(AND($F940="",$G940=""),"",N($F940)*IFERROR(N(INDEX(Vinos!$H$2:$H$301,MATCH($B940,Vinos!$A$2:$A$301,0))),0)+N($G940))</f>
        <v/>
      </c>
      <c r="I940" s="18" t="n"/>
      <c r="J940" s="21">
        <f>IF(OR($H940="",$I940=""),"",$H940-$I940)</f>
        <v/>
      </c>
      <c r="K940" s="16">
        <f>IF($H940="","",IFERROR(IF(INDEX(Vinos!$J$2:$J$301,MATCH($B940,Vinos!$A$2:$A$301,0))="","",$H940*INDEX(Vinos!$J$2:$J$301,MATCH($B940,Vinos!$A$2:$A$301,0))),""))</f>
        <v/>
      </c>
      <c r="L940" s="16">
        <f>IF($H940="","",IFERROR(IF(INDEX(Vinos!$K$2:$K$301,MATCH($B940,Vinos!$A$2:$A$301,0))="","",$H940*INDEX(Vinos!$K$2:$K$301,MATCH($B940,Vinos!$A$2:$A$301,0))),""))</f>
        <v/>
      </c>
      <c r="M940" s="21">
        <f>IF(OR($A940="",$B940=""),"",SUMIFS($H$2:$H$2001,$A$2:$A$2001,$A940,$B$2:$B$2001,$B940))</f>
        <v/>
      </c>
      <c r="N940" s="20">
        <f>IF($M940="","",IF($M940&lt;=0,"Sin stock: reponer ya",IF($M940&lt;IFERROR(N(INDEX(Vinos!$N$2:$N$301,MATCH($B940,Vinos!$A$2:$A$301,0))),0),"Bajo mínimo: reponer","OK")))</f>
        <v/>
      </c>
      <c r="O940" s="14" t="n"/>
      <c r="P940" s="14" t="n"/>
      <c r="Q940" s="20">
        <f>IF($B940="","",IFERROR(INDEX(Vinos!$C$2:$C$301,MATCH($B940,Vinos!$A$2:$A$301,0)),""))</f>
        <v/>
      </c>
      <c r="R940" s="20">
        <f>IF(OR($A940="",$A940&lt;&gt;'Resumen del inventario'!$C$3,$N940="",$N940="OK"),"",IF(COUNTIFS($A$2:$A940,$A940,$B$2:$B940,$B940)=1,1,""))</f>
        <v/>
      </c>
      <c r="S940" s="20">
        <f>IF($R940=1,COUNTIF($R$2:$R940,1),"")</f>
        <v/>
      </c>
    </row>
    <row r="941">
      <c r="A941" s="19" t="n"/>
      <c r="B941" s="14" t="n"/>
      <c r="C941" s="20">
        <f>IF($B941="","",IFERROR(INDEX(Vinos!$B$2:$B$301,MATCH($B941,Vinos!$A$2:$A$301,0)),"Código no cargado"))</f>
        <v/>
      </c>
      <c r="D941" s="14" t="n"/>
      <c r="E941" s="14" t="n"/>
      <c r="F941" s="18" t="n"/>
      <c r="G941" s="18" t="n"/>
      <c r="H941" s="21">
        <f>IF(AND($F941="",$G941=""),"",N($F941)*IFERROR(N(INDEX(Vinos!$H$2:$H$301,MATCH($B941,Vinos!$A$2:$A$301,0))),0)+N($G941))</f>
        <v/>
      </c>
      <c r="I941" s="18" t="n"/>
      <c r="J941" s="21">
        <f>IF(OR($H941="",$I941=""),"",$H941-$I941)</f>
        <v/>
      </c>
      <c r="K941" s="16">
        <f>IF($H941="","",IFERROR(IF(INDEX(Vinos!$J$2:$J$301,MATCH($B941,Vinos!$A$2:$A$301,0))="","",$H941*INDEX(Vinos!$J$2:$J$301,MATCH($B941,Vinos!$A$2:$A$301,0))),""))</f>
        <v/>
      </c>
      <c r="L941" s="16">
        <f>IF($H941="","",IFERROR(IF(INDEX(Vinos!$K$2:$K$301,MATCH($B941,Vinos!$A$2:$A$301,0))="","",$H941*INDEX(Vinos!$K$2:$K$301,MATCH($B941,Vinos!$A$2:$A$301,0))),""))</f>
        <v/>
      </c>
      <c r="M941" s="21">
        <f>IF(OR($A941="",$B941=""),"",SUMIFS($H$2:$H$2001,$A$2:$A$2001,$A941,$B$2:$B$2001,$B941))</f>
        <v/>
      </c>
      <c r="N941" s="20">
        <f>IF($M941="","",IF($M941&lt;=0,"Sin stock: reponer ya",IF($M941&lt;IFERROR(N(INDEX(Vinos!$N$2:$N$301,MATCH($B941,Vinos!$A$2:$A$301,0))),0),"Bajo mínimo: reponer","OK")))</f>
        <v/>
      </c>
      <c r="O941" s="14" t="n"/>
      <c r="P941" s="14" t="n"/>
      <c r="Q941" s="20">
        <f>IF($B941="","",IFERROR(INDEX(Vinos!$C$2:$C$301,MATCH($B941,Vinos!$A$2:$A$301,0)),""))</f>
        <v/>
      </c>
      <c r="R941" s="20">
        <f>IF(OR($A941="",$A941&lt;&gt;'Resumen del inventario'!$C$3,$N941="",$N941="OK"),"",IF(COUNTIFS($A$2:$A941,$A941,$B$2:$B941,$B941)=1,1,""))</f>
        <v/>
      </c>
      <c r="S941" s="20">
        <f>IF($R941=1,COUNTIF($R$2:$R941,1),"")</f>
        <v/>
      </c>
    </row>
    <row r="942">
      <c r="A942" s="19" t="n"/>
      <c r="B942" s="14" t="n"/>
      <c r="C942" s="20">
        <f>IF($B942="","",IFERROR(INDEX(Vinos!$B$2:$B$301,MATCH($B942,Vinos!$A$2:$A$301,0)),"Código no cargado"))</f>
        <v/>
      </c>
      <c r="D942" s="14" t="n"/>
      <c r="E942" s="14" t="n"/>
      <c r="F942" s="18" t="n"/>
      <c r="G942" s="18" t="n"/>
      <c r="H942" s="21">
        <f>IF(AND($F942="",$G942=""),"",N($F942)*IFERROR(N(INDEX(Vinos!$H$2:$H$301,MATCH($B942,Vinos!$A$2:$A$301,0))),0)+N($G942))</f>
        <v/>
      </c>
      <c r="I942" s="18" t="n"/>
      <c r="J942" s="21">
        <f>IF(OR($H942="",$I942=""),"",$H942-$I942)</f>
        <v/>
      </c>
      <c r="K942" s="16">
        <f>IF($H942="","",IFERROR(IF(INDEX(Vinos!$J$2:$J$301,MATCH($B942,Vinos!$A$2:$A$301,0))="","",$H942*INDEX(Vinos!$J$2:$J$301,MATCH($B942,Vinos!$A$2:$A$301,0))),""))</f>
        <v/>
      </c>
      <c r="L942" s="16">
        <f>IF($H942="","",IFERROR(IF(INDEX(Vinos!$K$2:$K$301,MATCH($B942,Vinos!$A$2:$A$301,0))="","",$H942*INDEX(Vinos!$K$2:$K$301,MATCH($B942,Vinos!$A$2:$A$301,0))),""))</f>
        <v/>
      </c>
      <c r="M942" s="21">
        <f>IF(OR($A942="",$B942=""),"",SUMIFS($H$2:$H$2001,$A$2:$A$2001,$A942,$B$2:$B$2001,$B942))</f>
        <v/>
      </c>
      <c r="N942" s="20">
        <f>IF($M942="","",IF($M942&lt;=0,"Sin stock: reponer ya",IF($M942&lt;IFERROR(N(INDEX(Vinos!$N$2:$N$301,MATCH($B942,Vinos!$A$2:$A$301,0))),0),"Bajo mínimo: reponer","OK")))</f>
        <v/>
      </c>
      <c r="O942" s="14" t="n"/>
      <c r="P942" s="14" t="n"/>
      <c r="Q942" s="20">
        <f>IF($B942="","",IFERROR(INDEX(Vinos!$C$2:$C$301,MATCH($B942,Vinos!$A$2:$A$301,0)),""))</f>
        <v/>
      </c>
      <c r="R942" s="20">
        <f>IF(OR($A942="",$A942&lt;&gt;'Resumen del inventario'!$C$3,$N942="",$N942="OK"),"",IF(COUNTIFS($A$2:$A942,$A942,$B$2:$B942,$B942)=1,1,""))</f>
        <v/>
      </c>
      <c r="S942" s="20">
        <f>IF($R942=1,COUNTIF($R$2:$R942,1),"")</f>
        <v/>
      </c>
    </row>
    <row r="943">
      <c r="A943" s="19" t="n"/>
      <c r="B943" s="14" t="n"/>
      <c r="C943" s="20">
        <f>IF($B943="","",IFERROR(INDEX(Vinos!$B$2:$B$301,MATCH($B943,Vinos!$A$2:$A$301,0)),"Código no cargado"))</f>
        <v/>
      </c>
      <c r="D943" s="14" t="n"/>
      <c r="E943" s="14" t="n"/>
      <c r="F943" s="18" t="n"/>
      <c r="G943" s="18" t="n"/>
      <c r="H943" s="21">
        <f>IF(AND($F943="",$G943=""),"",N($F943)*IFERROR(N(INDEX(Vinos!$H$2:$H$301,MATCH($B943,Vinos!$A$2:$A$301,0))),0)+N($G943))</f>
        <v/>
      </c>
      <c r="I943" s="18" t="n"/>
      <c r="J943" s="21">
        <f>IF(OR($H943="",$I943=""),"",$H943-$I943)</f>
        <v/>
      </c>
      <c r="K943" s="16">
        <f>IF($H943="","",IFERROR(IF(INDEX(Vinos!$J$2:$J$301,MATCH($B943,Vinos!$A$2:$A$301,0))="","",$H943*INDEX(Vinos!$J$2:$J$301,MATCH($B943,Vinos!$A$2:$A$301,0))),""))</f>
        <v/>
      </c>
      <c r="L943" s="16">
        <f>IF($H943="","",IFERROR(IF(INDEX(Vinos!$K$2:$K$301,MATCH($B943,Vinos!$A$2:$A$301,0))="","",$H943*INDEX(Vinos!$K$2:$K$301,MATCH($B943,Vinos!$A$2:$A$301,0))),""))</f>
        <v/>
      </c>
      <c r="M943" s="21">
        <f>IF(OR($A943="",$B943=""),"",SUMIFS($H$2:$H$2001,$A$2:$A$2001,$A943,$B$2:$B$2001,$B943))</f>
        <v/>
      </c>
      <c r="N943" s="20">
        <f>IF($M943="","",IF($M943&lt;=0,"Sin stock: reponer ya",IF($M943&lt;IFERROR(N(INDEX(Vinos!$N$2:$N$301,MATCH($B943,Vinos!$A$2:$A$301,0))),0),"Bajo mínimo: reponer","OK")))</f>
        <v/>
      </c>
      <c r="O943" s="14" t="n"/>
      <c r="P943" s="14" t="n"/>
      <c r="Q943" s="20">
        <f>IF($B943="","",IFERROR(INDEX(Vinos!$C$2:$C$301,MATCH($B943,Vinos!$A$2:$A$301,0)),""))</f>
        <v/>
      </c>
      <c r="R943" s="20">
        <f>IF(OR($A943="",$A943&lt;&gt;'Resumen del inventario'!$C$3,$N943="",$N943="OK"),"",IF(COUNTIFS($A$2:$A943,$A943,$B$2:$B943,$B943)=1,1,""))</f>
        <v/>
      </c>
      <c r="S943" s="20">
        <f>IF($R943=1,COUNTIF($R$2:$R943,1),"")</f>
        <v/>
      </c>
    </row>
    <row r="944">
      <c r="A944" s="19" t="n"/>
      <c r="B944" s="14" t="n"/>
      <c r="C944" s="20">
        <f>IF($B944="","",IFERROR(INDEX(Vinos!$B$2:$B$301,MATCH($B944,Vinos!$A$2:$A$301,0)),"Código no cargado"))</f>
        <v/>
      </c>
      <c r="D944" s="14" t="n"/>
      <c r="E944" s="14" t="n"/>
      <c r="F944" s="18" t="n"/>
      <c r="G944" s="18" t="n"/>
      <c r="H944" s="21">
        <f>IF(AND($F944="",$G944=""),"",N($F944)*IFERROR(N(INDEX(Vinos!$H$2:$H$301,MATCH($B944,Vinos!$A$2:$A$301,0))),0)+N($G944))</f>
        <v/>
      </c>
      <c r="I944" s="18" t="n"/>
      <c r="J944" s="21">
        <f>IF(OR($H944="",$I944=""),"",$H944-$I944)</f>
        <v/>
      </c>
      <c r="K944" s="16">
        <f>IF($H944="","",IFERROR(IF(INDEX(Vinos!$J$2:$J$301,MATCH($B944,Vinos!$A$2:$A$301,0))="","",$H944*INDEX(Vinos!$J$2:$J$301,MATCH($B944,Vinos!$A$2:$A$301,0))),""))</f>
        <v/>
      </c>
      <c r="L944" s="16">
        <f>IF($H944="","",IFERROR(IF(INDEX(Vinos!$K$2:$K$301,MATCH($B944,Vinos!$A$2:$A$301,0))="","",$H944*INDEX(Vinos!$K$2:$K$301,MATCH($B944,Vinos!$A$2:$A$301,0))),""))</f>
        <v/>
      </c>
      <c r="M944" s="21">
        <f>IF(OR($A944="",$B944=""),"",SUMIFS($H$2:$H$2001,$A$2:$A$2001,$A944,$B$2:$B$2001,$B944))</f>
        <v/>
      </c>
      <c r="N944" s="20">
        <f>IF($M944="","",IF($M944&lt;=0,"Sin stock: reponer ya",IF($M944&lt;IFERROR(N(INDEX(Vinos!$N$2:$N$301,MATCH($B944,Vinos!$A$2:$A$301,0))),0),"Bajo mínimo: reponer","OK")))</f>
        <v/>
      </c>
      <c r="O944" s="14" t="n"/>
      <c r="P944" s="14" t="n"/>
      <c r="Q944" s="20">
        <f>IF($B944="","",IFERROR(INDEX(Vinos!$C$2:$C$301,MATCH($B944,Vinos!$A$2:$A$301,0)),""))</f>
        <v/>
      </c>
      <c r="R944" s="20">
        <f>IF(OR($A944="",$A944&lt;&gt;'Resumen del inventario'!$C$3,$N944="",$N944="OK"),"",IF(COUNTIFS($A$2:$A944,$A944,$B$2:$B944,$B944)=1,1,""))</f>
        <v/>
      </c>
      <c r="S944" s="20">
        <f>IF($R944=1,COUNTIF($R$2:$R944,1),"")</f>
        <v/>
      </c>
    </row>
    <row r="945">
      <c r="A945" s="19" t="n"/>
      <c r="B945" s="14" t="n"/>
      <c r="C945" s="20">
        <f>IF($B945="","",IFERROR(INDEX(Vinos!$B$2:$B$301,MATCH($B945,Vinos!$A$2:$A$301,0)),"Código no cargado"))</f>
        <v/>
      </c>
      <c r="D945" s="14" t="n"/>
      <c r="E945" s="14" t="n"/>
      <c r="F945" s="18" t="n"/>
      <c r="G945" s="18" t="n"/>
      <c r="H945" s="21">
        <f>IF(AND($F945="",$G945=""),"",N($F945)*IFERROR(N(INDEX(Vinos!$H$2:$H$301,MATCH($B945,Vinos!$A$2:$A$301,0))),0)+N($G945))</f>
        <v/>
      </c>
      <c r="I945" s="18" t="n"/>
      <c r="J945" s="21">
        <f>IF(OR($H945="",$I945=""),"",$H945-$I945)</f>
        <v/>
      </c>
      <c r="K945" s="16">
        <f>IF($H945="","",IFERROR(IF(INDEX(Vinos!$J$2:$J$301,MATCH($B945,Vinos!$A$2:$A$301,0))="","",$H945*INDEX(Vinos!$J$2:$J$301,MATCH($B945,Vinos!$A$2:$A$301,0))),""))</f>
        <v/>
      </c>
      <c r="L945" s="16">
        <f>IF($H945="","",IFERROR(IF(INDEX(Vinos!$K$2:$K$301,MATCH($B945,Vinos!$A$2:$A$301,0))="","",$H945*INDEX(Vinos!$K$2:$K$301,MATCH($B945,Vinos!$A$2:$A$301,0))),""))</f>
        <v/>
      </c>
      <c r="M945" s="21">
        <f>IF(OR($A945="",$B945=""),"",SUMIFS($H$2:$H$2001,$A$2:$A$2001,$A945,$B$2:$B$2001,$B945))</f>
        <v/>
      </c>
      <c r="N945" s="20">
        <f>IF($M945="","",IF($M945&lt;=0,"Sin stock: reponer ya",IF($M945&lt;IFERROR(N(INDEX(Vinos!$N$2:$N$301,MATCH($B945,Vinos!$A$2:$A$301,0))),0),"Bajo mínimo: reponer","OK")))</f>
        <v/>
      </c>
      <c r="O945" s="14" t="n"/>
      <c r="P945" s="14" t="n"/>
      <c r="Q945" s="20">
        <f>IF($B945="","",IFERROR(INDEX(Vinos!$C$2:$C$301,MATCH($B945,Vinos!$A$2:$A$301,0)),""))</f>
        <v/>
      </c>
      <c r="R945" s="20">
        <f>IF(OR($A945="",$A945&lt;&gt;'Resumen del inventario'!$C$3,$N945="",$N945="OK"),"",IF(COUNTIFS($A$2:$A945,$A945,$B$2:$B945,$B945)=1,1,""))</f>
        <v/>
      </c>
      <c r="S945" s="20">
        <f>IF($R945=1,COUNTIF($R$2:$R945,1),"")</f>
        <v/>
      </c>
    </row>
    <row r="946">
      <c r="A946" s="19" t="n"/>
      <c r="B946" s="14" t="n"/>
      <c r="C946" s="20">
        <f>IF($B946="","",IFERROR(INDEX(Vinos!$B$2:$B$301,MATCH($B946,Vinos!$A$2:$A$301,0)),"Código no cargado"))</f>
        <v/>
      </c>
      <c r="D946" s="14" t="n"/>
      <c r="E946" s="14" t="n"/>
      <c r="F946" s="18" t="n"/>
      <c r="G946" s="18" t="n"/>
      <c r="H946" s="21">
        <f>IF(AND($F946="",$G946=""),"",N($F946)*IFERROR(N(INDEX(Vinos!$H$2:$H$301,MATCH($B946,Vinos!$A$2:$A$301,0))),0)+N($G946))</f>
        <v/>
      </c>
      <c r="I946" s="18" t="n"/>
      <c r="J946" s="21">
        <f>IF(OR($H946="",$I946=""),"",$H946-$I946)</f>
        <v/>
      </c>
      <c r="K946" s="16">
        <f>IF($H946="","",IFERROR(IF(INDEX(Vinos!$J$2:$J$301,MATCH($B946,Vinos!$A$2:$A$301,0))="","",$H946*INDEX(Vinos!$J$2:$J$301,MATCH($B946,Vinos!$A$2:$A$301,0))),""))</f>
        <v/>
      </c>
      <c r="L946" s="16">
        <f>IF($H946="","",IFERROR(IF(INDEX(Vinos!$K$2:$K$301,MATCH($B946,Vinos!$A$2:$A$301,0))="","",$H946*INDEX(Vinos!$K$2:$K$301,MATCH($B946,Vinos!$A$2:$A$301,0))),""))</f>
        <v/>
      </c>
      <c r="M946" s="21">
        <f>IF(OR($A946="",$B946=""),"",SUMIFS($H$2:$H$2001,$A$2:$A$2001,$A946,$B$2:$B$2001,$B946))</f>
        <v/>
      </c>
      <c r="N946" s="20">
        <f>IF($M946="","",IF($M946&lt;=0,"Sin stock: reponer ya",IF($M946&lt;IFERROR(N(INDEX(Vinos!$N$2:$N$301,MATCH($B946,Vinos!$A$2:$A$301,0))),0),"Bajo mínimo: reponer","OK")))</f>
        <v/>
      </c>
      <c r="O946" s="14" t="n"/>
      <c r="P946" s="14" t="n"/>
      <c r="Q946" s="20">
        <f>IF($B946="","",IFERROR(INDEX(Vinos!$C$2:$C$301,MATCH($B946,Vinos!$A$2:$A$301,0)),""))</f>
        <v/>
      </c>
      <c r="R946" s="20">
        <f>IF(OR($A946="",$A946&lt;&gt;'Resumen del inventario'!$C$3,$N946="",$N946="OK"),"",IF(COUNTIFS($A$2:$A946,$A946,$B$2:$B946,$B946)=1,1,""))</f>
        <v/>
      </c>
      <c r="S946" s="20">
        <f>IF($R946=1,COUNTIF($R$2:$R946,1),"")</f>
        <v/>
      </c>
    </row>
    <row r="947">
      <c r="A947" s="19" t="n"/>
      <c r="B947" s="14" t="n"/>
      <c r="C947" s="20">
        <f>IF($B947="","",IFERROR(INDEX(Vinos!$B$2:$B$301,MATCH($B947,Vinos!$A$2:$A$301,0)),"Código no cargado"))</f>
        <v/>
      </c>
      <c r="D947" s="14" t="n"/>
      <c r="E947" s="14" t="n"/>
      <c r="F947" s="18" t="n"/>
      <c r="G947" s="18" t="n"/>
      <c r="H947" s="21">
        <f>IF(AND($F947="",$G947=""),"",N($F947)*IFERROR(N(INDEX(Vinos!$H$2:$H$301,MATCH($B947,Vinos!$A$2:$A$301,0))),0)+N($G947))</f>
        <v/>
      </c>
      <c r="I947" s="18" t="n"/>
      <c r="J947" s="21">
        <f>IF(OR($H947="",$I947=""),"",$H947-$I947)</f>
        <v/>
      </c>
      <c r="K947" s="16">
        <f>IF($H947="","",IFERROR(IF(INDEX(Vinos!$J$2:$J$301,MATCH($B947,Vinos!$A$2:$A$301,0))="","",$H947*INDEX(Vinos!$J$2:$J$301,MATCH($B947,Vinos!$A$2:$A$301,0))),""))</f>
        <v/>
      </c>
      <c r="L947" s="16">
        <f>IF($H947="","",IFERROR(IF(INDEX(Vinos!$K$2:$K$301,MATCH($B947,Vinos!$A$2:$A$301,0))="","",$H947*INDEX(Vinos!$K$2:$K$301,MATCH($B947,Vinos!$A$2:$A$301,0))),""))</f>
        <v/>
      </c>
      <c r="M947" s="21">
        <f>IF(OR($A947="",$B947=""),"",SUMIFS($H$2:$H$2001,$A$2:$A$2001,$A947,$B$2:$B$2001,$B947))</f>
        <v/>
      </c>
      <c r="N947" s="20">
        <f>IF($M947="","",IF($M947&lt;=0,"Sin stock: reponer ya",IF($M947&lt;IFERROR(N(INDEX(Vinos!$N$2:$N$301,MATCH($B947,Vinos!$A$2:$A$301,0))),0),"Bajo mínimo: reponer","OK")))</f>
        <v/>
      </c>
      <c r="O947" s="14" t="n"/>
      <c r="P947" s="14" t="n"/>
      <c r="Q947" s="20">
        <f>IF($B947="","",IFERROR(INDEX(Vinos!$C$2:$C$301,MATCH($B947,Vinos!$A$2:$A$301,0)),""))</f>
        <v/>
      </c>
      <c r="R947" s="20">
        <f>IF(OR($A947="",$A947&lt;&gt;'Resumen del inventario'!$C$3,$N947="",$N947="OK"),"",IF(COUNTIFS($A$2:$A947,$A947,$B$2:$B947,$B947)=1,1,""))</f>
        <v/>
      </c>
      <c r="S947" s="20">
        <f>IF($R947=1,COUNTIF($R$2:$R947,1),"")</f>
        <v/>
      </c>
    </row>
    <row r="948">
      <c r="A948" s="19" t="n"/>
      <c r="B948" s="14" t="n"/>
      <c r="C948" s="20">
        <f>IF($B948="","",IFERROR(INDEX(Vinos!$B$2:$B$301,MATCH($B948,Vinos!$A$2:$A$301,0)),"Código no cargado"))</f>
        <v/>
      </c>
      <c r="D948" s="14" t="n"/>
      <c r="E948" s="14" t="n"/>
      <c r="F948" s="18" t="n"/>
      <c r="G948" s="18" t="n"/>
      <c r="H948" s="21">
        <f>IF(AND($F948="",$G948=""),"",N($F948)*IFERROR(N(INDEX(Vinos!$H$2:$H$301,MATCH($B948,Vinos!$A$2:$A$301,0))),0)+N($G948))</f>
        <v/>
      </c>
      <c r="I948" s="18" t="n"/>
      <c r="J948" s="21">
        <f>IF(OR($H948="",$I948=""),"",$H948-$I948)</f>
        <v/>
      </c>
      <c r="K948" s="16">
        <f>IF($H948="","",IFERROR(IF(INDEX(Vinos!$J$2:$J$301,MATCH($B948,Vinos!$A$2:$A$301,0))="","",$H948*INDEX(Vinos!$J$2:$J$301,MATCH($B948,Vinos!$A$2:$A$301,0))),""))</f>
        <v/>
      </c>
      <c r="L948" s="16">
        <f>IF($H948="","",IFERROR(IF(INDEX(Vinos!$K$2:$K$301,MATCH($B948,Vinos!$A$2:$A$301,0))="","",$H948*INDEX(Vinos!$K$2:$K$301,MATCH($B948,Vinos!$A$2:$A$301,0))),""))</f>
        <v/>
      </c>
      <c r="M948" s="21">
        <f>IF(OR($A948="",$B948=""),"",SUMIFS($H$2:$H$2001,$A$2:$A$2001,$A948,$B$2:$B$2001,$B948))</f>
        <v/>
      </c>
      <c r="N948" s="20">
        <f>IF($M948="","",IF($M948&lt;=0,"Sin stock: reponer ya",IF($M948&lt;IFERROR(N(INDEX(Vinos!$N$2:$N$301,MATCH($B948,Vinos!$A$2:$A$301,0))),0),"Bajo mínimo: reponer","OK")))</f>
        <v/>
      </c>
      <c r="O948" s="14" t="n"/>
      <c r="P948" s="14" t="n"/>
      <c r="Q948" s="20">
        <f>IF($B948="","",IFERROR(INDEX(Vinos!$C$2:$C$301,MATCH($B948,Vinos!$A$2:$A$301,0)),""))</f>
        <v/>
      </c>
      <c r="R948" s="20">
        <f>IF(OR($A948="",$A948&lt;&gt;'Resumen del inventario'!$C$3,$N948="",$N948="OK"),"",IF(COUNTIFS($A$2:$A948,$A948,$B$2:$B948,$B948)=1,1,""))</f>
        <v/>
      </c>
      <c r="S948" s="20">
        <f>IF($R948=1,COUNTIF($R$2:$R948,1),"")</f>
        <v/>
      </c>
    </row>
    <row r="949">
      <c r="A949" s="19" t="n"/>
      <c r="B949" s="14" t="n"/>
      <c r="C949" s="20">
        <f>IF($B949="","",IFERROR(INDEX(Vinos!$B$2:$B$301,MATCH($B949,Vinos!$A$2:$A$301,0)),"Código no cargado"))</f>
        <v/>
      </c>
      <c r="D949" s="14" t="n"/>
      <c r="E949" s="14" t="n"/>
      <c r="F949" s="18" t="n"/>
      <c r="G949" s="18" t="n"/>
      <c r="H949" s="21">
        <f>IF(AND($F949="",$G949=""),"",N($F949)*IFERROR(N(INDEX(Vinos!$H$2:$H$301,MATCH($B949,Vinos!$A$2:$A$301,0))),0)+N($G949))</f>
        <v/>
      </c>
      <c r="I949" s="18" t="n"/>
      <c r="J949" s="21">
        <f>IF(OR($H949="",$I949=""),"",$H949-$I949)</f>
        <v/>
      </c>
      <c r="K949" s="16">
        <f>IF($H949="","",IFERROR(IF(INDEX(Vinos!$J$2:$J$301,MATCH($B949,Vinos!$A$2:$A$301,0))="","",$H949*INDEX(Vinos!$J$2:$J$301,MATCH($B949,Vinos!$A$2:$A$301,0))),""))</f>
        <v/>
      </c>
      <c r="L949" s="16">
        <f>IF($H949="","",IFERROR(IF(INDEX(Vinos!$K$2:$K$301,MATCH($B949,Vinos!$A$2:$A$301,0))="","",$H949*INDEX(Vinos!$K$2:$K$301,MATCH($B949,Vinos!$A$2:$A$301,0))),""))</f>
        <v/>
      </c>
      <c r="M949" s="21">
        <f>IF(OR($A949="",$B949=""),"",SUMIFS($H$2:$H$2001,$A$2:$A$2001,$A949,$B$2:$B$2001,$B949))</f>
        <v/>
      </c>
      <c r="N949" s="20">
        <f>IF($M949="","",IF($M949&lt;=0,"Sin stock: reponer ya",IF($M949&lt;IFERROR(N(INDEX(Vinos!$N$2:$N$301,MATCH($B949,Vinos!$A$2:$A$301,0))),0),"Bajo mínimo: reponer","OK")))</f>
        <v/>
      </c>
      <c r="O949" s="14" t="n"/>
      <c r="P949" s="14" t="n"/>
      <c r="Q949" s="20">
        <f>IF($B949="","",IFERROR(INDEX(Vinos!$C$2:$C$301,MATCH($B949,Vinos!$A$2:$A$301,0)),""))</f>
        <v/>
      </c>
      <c r="R949" s="20">
        <f>IF(OR($A949="",$A949&lt;&gt;'Resumen del inventario'!$C$3,$N949="",$N949="OK"),"",IF(COUNTIFS($A$2:$A949,$A949,$B$2:$B949,$B949)=1,1,""))</f>
        <v/>
      </c>
      <c r="S949" s="20">
        <f>IF($R949=1,COUNTIF($R$2:$R949,1),"")</f>
        <v/>
      </c>
    </row>
    <row r="950">
      <c r="A950" s="19" t="n"/>
      <c r="B950" s="14" t="n"/>
      <c r="C950" s="20">
        <f>IF($B950="","",IFERROR(INDEX(Vinos!$B$2:$B$301,MATCH($B950,Vinos!$A$2:$A$301,0)),"Código no cargado"))</f>
        <v/>
      </c>
      <c r="D950" s="14" t="n"/>
      <c r="E950" s="14" t="n"/>
      <c r="F950" s="18" t="n"/>
      <c r="G950" s="18" t="n"/>
      <c r="H950" s="21">
        <f>IF(AND($F950="",$G950=""),"",N($F950)*IFERROR(N(INDEX(Vinos!$H$2:$H$301,MATCH($B950,Vinos!$A$2:$A$301,0))),0)+N($G950))</f>
        <v/>
      </c>
      <c r="I950" s="18" t="n"/>
      <c r="J950" s="21">
        <f>IF(OR($H950="",$I950=""),"",$H950-$I950)</f>
        <v/>
      </c>
      <c r="K950" s="16">
        <f>IF($H950="","",IFERROR(IF(INDEX(Vinos!$J$2:$J$301,MATCH($B950,Vinos!$A$2:$A$301,0))="","",$H950*INDEX(Vinos!$J$2:$J$301,MATCH($B950,Vinos!$A$2:$A$301,0))),""))</f>
        <v/>
      </c>
      <c r="L950" s="16">
        <f>IF($H950="","",IFERROR(IF(INDEX(Vinos!$K$2:$K$301,MATCH($B950,Vinos!$A$2:$A$301,0))="","",$H950*INDEX(Vinos!$K$2:$K$301,MATCH($B950,Vinos!$A$2:$A$301,0))),""))</f>
        <v/>
      </c>
      <c r="M950" s="21">
        <f>IF(OR($A950="",$B950=""),"",SUMIFS($H$2:$H$2001,$A$2:$A$2001,$A950,$B$2:$B$2001,$B950))</f>
        <v/>
      </c>
      <c r="N950" s="20">
        <f>IF($M950="","",IF($M950&lt;=0,"Sin stock: reponer ya",IF($M950&lt;IFERROR(N(INDEX(Vinos!$N$2:$N$301,MATCH($B950,Vinos!$A$2:$A$301,0))),0),"Bajo mínimo: reponer","OK")))</f>
        <v/>
      </c>
      <c r="O950" s="14" t="n"/>
      <c r="P950" s="14" t="n"/>
      <c r="Q950" s="20">
        <f>IF($B950="","",IFERROR(INDEX(Vinos!$C$2:$C$301,MATCH($B950,Vinos!$A$2:$A$301,0)),""))</f>
        <v/>
      </c>
      <c r="R950" s="20">
        <f>IF(OR($A950="",$A950&lt;&gt;'Resumen del inventario'!$C$3,$N950="",$N950="OK"),"",IF(COUNTIFS($A$2:$A950,$A950,$B$2:$B950,$B950)=1,1,""))</f>
        <v/>
      </c>
      <c r="S950" s="20">
        <f>IF($R950=1,COUNTIF($R$2:$R950,1),"")</f>
        <v/>
      </c>
    </row>
    <row r="951">
      <c r="A951" s="19" t="n"/>
      <c r="B951" s="14" t="n"/>
      <c r="C951" s="20">
        <f>IF($B951="","",IFERROR(INDEX(Vinos!$B$2:$B$301,MATCH($B951,Vinos!$A$2:$A$301,0)),"Código no cargado"))</f>
        <v/>
      </c>
      <c r="D951" s="14" t="n"/>
      <c r="E951" s="14" t="n"/>
      <c r="F951" s="18" t="n"/>
      <c r="G951" s="18" t="n"/>
      <c r="H951" s="21">
        <f>IF(AND($F951="",$G951=""),"",N($F951)*IFERROR(N(INDEX(Vinos!$H$2:$H$301,MATCH($B951,Vinos!$A$2:$A$301,0))),0)+N($G951))</f>
        <v/>
      </c>
      <c r="I951" s="18" t="n"/>
      <c r="J951" s="21">
        <f>IF(OR($H951="",$I951=""),"",$H951-$I951)</f>
        <v/>
      </c>
      <c r="K951" s="16">
        <f>IF($H951="","",IFERROR(IF(INDEX(Vinos!$J$2:$J$301,MATCH($B951,Vinos!$A$2:$A$301,0))="","",$H951*INDEX(Vinos!$J$2:$J$301,MATCH($B951,Vinos!$A$2:$A$301,0))),""))</f>
        <v/>
      </c>
      <c r="L951" s="16">
        <f>IF($H951="","",IFERROR(IF(INDEX(Vinos!$K$2:$K$301,MATCH($B951,Vinos!$A$2:$A$301,0))="","",$H951*INDEX(Vinos!$K$2:$K$301,MATCH($B951,Vinos!$A$2:$A$301,0))),""))</f>
        <v/>
      </c>
      <c r="M951" s="21">
        <f>IF(OR($A951="",$B951=""),"",SUMIFS($H$2:$H$2001,$A$2:$A$2001,$A951,$B$2:$B$2001,$B951))</f>
        <v/>
      </c>
      <c r="N951" s="20">
        <f>IF($M951="","",IF($M951&lt;=0,"Sin stock: reponer ya",IF($M951&lt;IFERROR(N(INDEX(Vinos!$N$2:$N$301,MATCH($B951,Vinos!$A$2:$A$301,0))),0),"Bajo mínimo: reponer","OK")))</f>
        <v/>
      </c>
      <c r="O951" s="14" t="n"/>
      <c r="P951" s="14" t="n"/>
      <c r="Q951" s="20">
        <f>IF($B951="","",IFERROR(INDEX(Vinos!$C$2:$C$301,MATCH($B951,Vinos!$A$2:$A$301,0)),""))</f>
        <v/>
      </c>
      <c r="R951" s="20">
        <f>IF(OR($A951="",$A951&lt;&gt;'Resumen del inventario'!$C$3,$N951="",$N951="OK"),"",IF(COUNTIFS($A$2:$A951,$A951,$B$2:$B951,$B951)=1,1,""))</f>
        <v/>
      </c>
      <c r="S951" s="20">
        <f>IF($R951=1,COUNTIF($R$2:$R951,1),"")</f>
        <v/>
      </c>
    </row>
    <row r="952">
      <c r="A952" s="19" t="n"/>
      <c r="B952" s="14" t="n"/>
      <c r="C952" s="20">
        <f>IF($B952="","",IFERROR(INDEX(Vinos!$B$2:$B$301,MATCH($B952,Vinos!$A$2:$A$301,0)),"Código no cargado"))</f>
        <v/>
      </c>
      <c r="D952" s="14" t="n"/>
      <c r="E952" s="14" t="n"/>
      <c r="F952" s="18" t="n"/>
      <c r="G952" s="18" t="n"/>
      <c r="H952" s="21">
        <f>IF(AND($F952="",$G952=""),"",N($F952)*IFERROR(N(INDEX(Vinos!$H$2:$H$301,MATCH($B952,Vinos!$A$2:$A$301,0))),0)+N($G952))</f>
        <v/>
      </c>
      <c r="I952" s="18" t="n"/>
      <c r="J952" s="21">
        <f>IF(OR($H952="",$I952=""),"",$H952-$I952)</f>
        <v/>
      </c>
      <c r="K952" s="16">
        <f>IF($H952="","",IFERROR(IF(INDEX(Vinos!$J$2:$J$301,MATCH($B952,Vinos!$A$2:$A$301,0))="","",$H952*INDEX(Vinos!$J$2:$J$301,MATCH($B952,Vinos!$A$2:$A$301,0))),""))</f>
        <v/>
      </c>
      <c r="L952" s="16">
        <f>IF($H952="","",IFERROR(IF(INDEX(Vinos!$K$2:$K$301,MATCH($B952,Vinos!$A$2:$A$301,0))="","",$H952*INDEX(Vinos!$K$2:$K$301,MATCH($B952,Vinos!$A$2:$A$301,0))),""))</f>
        <v/>
      </c>
      <c r="M952" s="21">
        <f>IF(OR($A952="",$B952=""),"",SUMIFS($H$2:$H$2001,$A$2:$A$2001,$A952,$B$2:$B$2001,$B952))</f>
        <v/>
      </c>
      <c r="N952" s="20">
        <f>IF($M952="","",IF($M952&lt;=0,"Sin stock: reponer ya",IF($M952&lt;IFERROR(N(INDEX(Vinos!$N$2:$N$301,MATCH($B952,Vinos!$A$2:$A$301,0))),0),"Bajo mínimo: reponer","OK")))</f>
        <v/>
      </c>
      <c r="O952" s="14" t="n"/>
      <c r="P952" s="14" t="n"/>
      <c r="Q952" s="20">
        <f>IF($B952="","",IFERROR(INDEX(Vinos!$C$2:$C$301,MATCH($B952,Vinos!$A$2:$A$301,0)),""))</f>
        <v/>
      </c>
      <c r="R952" s="20">
        <f>IF(OR($A952="",$A952&lt;&gt;'Resumen del inventario'!$C$3,$N952="",$N952="OK"),"",IF(COUNTIFS($A$2:$A952,$A952,$B$2:$B952,$B952)=1,1,""))</f>
        <v/>
      </c>
      <c r="S952" s="20">
        <f>IF($R952=1,COUNTIF($R$2:$R952,1),"")</f>
        <v/>
      </c>
    </row>
    <row r="953">
      <c r="A953" s="19" t="n"/>
      <c r="B953" s="14" t="n"/>
      <c r="C953" s="20">
        <f>IF($B953="","",IFERROR(INDEX(Vinos!$B$2:$B$301,MATCH($B953,Vinos!$A$2:$A$301,0)),"Código no cargado"))</f>
        <v/>
      </c>
      <c r="D953" s="14" t="n"/>
      <c r="E953" s="14" t="n"/>
      <c r="F953" s="18" t="n"/>
      <c r="G953" s="18" t="n"/>
      <c r="H953" s="21">
        <f>IF(AND($F953="",$G953=""),"",N($F953)*IFERROR(N(INDEX(Vinos!$H$2:$H$301,MATCH($B953,Vinos!$A$2:$A$301,0))),0)+N($G953))</f>
        <v/>
      </c>
      <c r="I953" s="18" t="n"/>
      <c r="J953" s="21">
        <f>IF(OR($H953="",$I953=""),"",$H953-$I953)</f>
        <v/>
      </c>
      <c r="K953" s="16">
        <f>IF($H953="","",IFERROR(IF(INDEX(Vinos!$J$2:$J$301,MATCH($B953,Vinos!$A$2:$A$301,0))="","",$H953*INDEX(Vinos!$J$2:$J$301,MATCH($B953,Vinos!$A$2:$A$301,0))),""))</f>
        <v/>
      </c>
      <c r="L953" s="16">
        <f>IF($H953="","",IFERROR(IF(INDEX(Vinos!$K$2:$K$301,MATCH($B953,Vinos!$A$2:$A$301,0))="","",$H953*INDEX(Vinos!$K$2:$K$301,MATCH($B953,Vinos!$A$2:$A$301,0))),""))</f>
        <v/>
      </c>
      <c r="M953" s="21">
        <f>IF(OR($A953="",$B953=""),"",SUMIFS($H$2:$H$2001,$A$2:$A$2001,$A953,$B$2:$B$2001,$B953))</f>
        <v/>
      </c>
      <c r="N953" s="20">
        <f>IF($M953="","",IF($M953&lt;=0,"Sin stock: reponer ya",IF($M953&lt;IFERROR(N(INDEX(Vinos!$N$2:$N$301,MATCH($B953,Vinos!$A$2:$A$301,0))),0),"Bajo mínimo: reponer","OK")))</f>
        <v/>
      </c>
      <c r="O953" s="14" t="n"/>
      <c r="P953" s="14" t="n"/>
      <c r="Q953" s="20">
        <f>IF($B953="","",IFERROR(INDEX(Vinos!$C$2:$C$301,MATCH($B953,Vinos!$A$2:$A$301,0)),""))</f>
        <v/>
      </c>
      <c r="R953" s="20">
        <f>IF(OR($A953="",$A953&lt;&gt;'Resumen del inventario'!$C$3,$N953="",$N953="OK"),"",IF(COUNTIFS($A$2:$A953,$A953,$B$2:$B953,$B953)=1,1,""))</f>
        <v/>
      </c>
      <c r="S953" s="20">
        <f>IF($R953=1,COUNTIF($R$2:$R953,1),"")</f>
        <v/>
      </c>
    </row>
    <row r="954">
      <c r="A954" s="19" t="n"/>
      <c r="B954" s="14" t="n"/>
      <c r="C954" s="20">
        <f>IF($B954="","",IFERROR(INDEX(Vinos!$B$2:$B$301,MATCH($B954,Vinos!$A$2:$A$301,0)),"Código no cargado"))</f>
        <v/>
      </c>
      <c r="D954" s="14" t="n"/>
      <c r="E954" s="14" t="n"/>
      <c r="F954" s="18" t="n"/>
      <c r="G954" s="18" t="n"/>
      <c r="H954" s="21">
        <f>IF(AND($F954="",$G954=""),"",N($F954)*IFERROR(N(INDEX(Vinos!$H$2:$H$301,MATCH($B954,Vinos!$A$2:$A$301,0))),0)+N($G954))</f>
        <v/>
      </c>
      <c r="I954" s="18" t="n"/>
      <c r="J954" s="21">
        <f>IF(OR($H954="",$I954=""),"",$H954-$I954)</f>
        <v/>
      </c>
      <c r="K954" s="16">
        <f>IF($H954="","",IFERROR(IF(INDEX(Vinos!$J$2:$J$301,MATCH($B954,Vinos!$A$2:$A$301,0))="","",$H954*INDEX(Vinos!$J$2:$J$301,MATCH($B954,Vinos!$A$2:$A$301,0))),""))</f>
        <v/>
      </c>
      <c r="L954" s="16">
        <f>IF($H954="","",IFERROR(IF(INDEX(Vinos!$K$2:$K$301,MATCH($B954,Vinos!$A$2:$A$301,0))="","",$H954*INDEX(Vinos!$K$2:$K$301,MATCH($B954,Vinos!$A$2:$A$301,0))),""))</f>
        <v/>
      </c>
      <c r="M954" s="21">
        <f>IF(OR($A954="",$B954=""),"",SUMIFS($H$2:$H$2001,$A$2:$A$2001,$A954,$B$2:$B$2001,$B954))</f>
        <v/>
      </c>
      <c r="N954" s="20">
        <f>IF($M954="","",IF($M954&lt;=0,"Sin stock: reponer ya",IF($M954&lt;IFERROR(N(INDEX(Vinos!$N$2:$N$301,MATCH($B954,Vinos!$A$2:$A$301,0))),0),"Bajo mínimo: reponer","OK")))</f>
        <v/>
      </c>
      <c r="O954" s="14" t="n"/>
      <c r="P954" s="14" t="n"/>
      <c r="Q954" s="20">
        <f>IF($B954="","",IFERROR(INDEX(Vinos!$C$2:$C$301,MATCH($B954,Vinos!$A$2:$A$301,0)),""))</f>
        <v/>
      </c>
      <c r="R954" s="20">
        <f>IF(OR($A954="",$A954&lt;&gt;'Resumen del inventario'!$C$3,$N954="",$N954="OK"),"",IF(COUNTIFS($A$2:$A954,$A954,$B$2:$B954,$B954)=1,1,""))</f>
        <v/>
      </c>
      <c r="S954" s="20">
        <f>IF($R954=1,COUNTIF($R$2:$R954,1),"")</f>
        <v/>
      </c>
    </row>
    <row r="955">
      <c r="A955" s="19" t="n"/>
      <c r="B955" s="14" t="n"/>
      <c r="C955" s="20">
        <f>IF($B955="","",IFERROR(INDEX(Vinos!$B$2:$B$301,MATCH($B955,Vinos!$A$2:$A$301,0)),"Código no cargado"))</f>
        <v/>
      </c>
      <c r="D955" s="14" t="n"/>
      <c r="E955" s="14" t="n"/>
      <c r="F955" s="18" t="n"/>
      <c r="G955" s="18" t="n"/>
      <c r="H955" s="21">
        <f>IF(AND($F955="",$G955=""),"",N($F955)*IFERROR(N(INDEX(Vinos!$H$2:$H$301,MATCH($B955,Vinos!$A$2:$A$301,0))),0)+N($G955))</f>
        <v/>
      </c>
      <c r="I955" s="18" t="n"/>
      <c r="J955" s="21">
        <f>IF(OR($H955="",$I955=""),"",$H955-$I955)</f>
        <v/>
      </c>
      <c r="K955" s="16">
        <f>IF($H955="","",IFERROR(IF(INDEX(Vinos!$J$2:$J$301,MATCH($B955,Vinos!$A$2:$A$301,0))="","",$H955*INDEX(Vinos!$J$2:$J$301,MATCH($B955,Vinos!$A$2:$A$301,0))),""))</f>
        <v/>
      </c>
      <c r="L955" s="16">
        <f>IF($H955="","",IFERROR(IF(INDEX(Vinos!$K$2:$K$301,MATCH($B955,Vinos!$A$2:$A$301,0))="","",$H955*INDEX(Vinos!$K$2:$K$301,MATCH($B955,Vinos!$A$2:$A$301,0))),""))</f>
        <v/>
      </c>
      <c r="M955" s="21">
        <f>IF(OR($A955="",$B955=""),"",SUMIFS($H$2:$H$2001,$A$2:$A$2001,$A955,$B$2:$B$2001,$B955))</f>
        <v/>
      </c>
      <c r="N955" s="20">
        <f>IF($M955="","",IF($M955&lt;=0,"Sin stock: reponer ya",IF($M955&lt;IFERROR(N(INDEX(Vinos!$N$2:$N$301,MATCH($B955,Vinos!$A$2:$A$301,0))),0),"Bajo mínimo: reponer","OK")))</f>
        <v/>
      </c>
      <c r="O955" s="14" t="n"/>
      <c r="P955" s="14" t="n"/>
      <c r="Q955" s="20">
        <f>IF($B955="","",IFERROR(INDEX(Vinos!$C$2:$C$301,MATCH($B955,Vinos!$A$2:$A$301,0)),""))</f>
        <v/>
      </c>
      <c r="R955" s="20">
        <f>IF(OR($A955="",$A955&lt;&gt;'Resumen del inventario'!$C$3,$N955="",$N955="OK"),"",IF(COUNTIFS($A$2:$A955,$A955,$B$2:$B955,$B955)=1,1,""))</f>
        <v/>
      </c>
      <c r="S955" s="20">
        <f>IF($R955=1,COUNTIF($R$2:$R955,1),"")</f>
        <v/>
      </c>
    </row>
    <row r="956">
      <c r="A956" s="19" t="n"/>
      <c r="B956" s="14" t="n"/>
      <c r="C956" s="20">
        <f>IF($B956="","",IFERROR(INDEX(Vinos!$B$2:$B$301,MATCH($B956,Vinos!$A$2:$A$301,0)),"Código no cargado"))</f>
        <v/>
      </c>
      <c r="D956" s="14" t="n"/>
      <c r="E956" s="14" t="n"/>
      <c r="F956" s="18" t="n"/>
      <c r="G956" s="18" t="n"/>
      <c r="H956" s="21">
        <f>IF(AND($F956="",$G956=""),"",N($F956)*IFERROR(N(INDEX(Vinos!$H$2:$H$301,MATCH($B956,Vinos!$A$2:$A$301,0))),0)+N($G956))</f>
        <v/>
      </c>
      <c r="I956" s="18" t="n"/>
      <c r="J956" s="21">
        <f>IF(OR($H956="",$I956=""),"",$H956-$I956)</f>
        <v/>
      </c>
      <c r="K956" s="16">
        <f>IF($H956="","",IFERROR(IF(INDEX(Vinos!$J$2:$J$301,MATCH($B956,Vinos!$A$2:$A$301,0))="","",$H956*INDEX(Vinos!$J$2:$J$301,MATCH($B956,Vinos!$A$2:$A$301,0))),""))</f>
        <v/>
      </c>
      <c r="L956" s="16">
        <f>IF($H956="","",IFERROR(IF(INDEX(Vinos!$K$2:$K$301,MATCH($B956,Vinos!$A$2:$A$301,0))="","",$H956*INDEX(Vinos!$K$2:$K$301,MATCH($B956,Vinos!$A$2:$A$301,0))),""))</f>
        <v/>
      </c>
      <c r="M956" s="21">
        <f>IF(OR($A956="",$B956=""),"",SUMIFS($H$2:$H$2001,$A$2:$A$2001,$A956,$B$2:$B$2001,$B956))</f>
        <v/>
      </c>
      <c r="N956" s="20">
        <f>IF($M956="","",IF($M956&lt;=0,"Sin stock: reponer ya",IF($M956&lt;IFERROR(N(INDEX(Vinos!$N$2:$N$301,MATCH($B956,Vinos!$A$2:$A$301,0))),0),"Bajo mínimo: reponer","OK")))</f>
        <v/>
      </c>
      <c r="O956" s="14" t="n"/>
      <c r="P956" s="14" t="n"/>
      <c r="Q956" s="20">
        <f>IF($B956="","",IFERROR(INDEX(Vinos!$C$2:$C$301,MATCH($B956,Vinos!$A$2:$A$301,0)),""))</f>
        <v/>
      </c>
      <c r="R956" s="20">
        <f>IF(OR($A956="",$A956&lt;&gt;'Resumen del inventario'!$C$3,$N956="",$N956="OK"),"",IF(COUNTIFS($A$2:$A956,$A956,$B$2:$B956,$B956)=1,1,""))</f>
        <v/>
      </c>
      <c r="S956" s="20">
        <f>IF($R956=1,COUNTIF($R$2:$R956,1),"")</f>
        <v/>
      </c>
    </row>
    <row r="957">
      <c r="A957" s="19" t="n"/>
      <c r="B957" s="14" t="n"/>
      <c r="C957" s="20">
        <f>IF($B957="","",IFERROR(INDEX(Vinos!$B$2:$B$301,MATCH($B957,Vinos!$A$2:$A$301,0)),"Código no cargado"))</f>
        <v/>
      </c>
      <c r="D957" s="14" t="n"/>
      <c r="E957" s="14" t="n"/>
      <c r="F957" s="18" t="n"/>
      <c r="G957" s="18" t="n"/>
      <c r="H957" s="21">
        <f>IF(AND($F957="",$G957=""),"",N($F957)*IFERROR(N(INDEX(Vinos!$H$2:$H$301,MATCH($B957,Vinos!$A$2:$A$301,0))),0)+N($G957))</f>
        <v/>
      </c>
      <c r="I957" s="18" t="n"/>
      <c r="J957" s="21">
        <f>IF(OR($H957="",$I957=""),"",$H957-$I957)</f>
        <v/>
      </c>
      <c r="K957" s="16">
        <f>IF($H957="","",IFERROR(IF(INDEX(Vinos!$J$2:$J$301,MATCH($B957,Vinos!$A$2:$A$301,0))="","",$H957*INDEX(Vinos!$J$2:$J$301,MATCH($B957,Vinos!$A$2:$A$301,0))),""))</f>
        <v/>
      </c>
      <c r="L957" s="16">
        <f>IF($H957="","",IFERROR(IF(INDEX(Vinos!$K$2:$K$301,MATCH($B957,Vinos!$A$2:$A$301,0))="","",$H957*INDEX(Vinos!$K$2:$K$301,MATCH($B957,Vinos!$A$2:$A$301,0))),""))</f>
        <v/>
      </c>
      <c r="M957" s="21">
        <f>IF(OR($A957="",$B957=""),"",SUMIFS($H$2:$H$2001,$A$2:$A$2001,$A957,$B$2:$B$2001,$B957))</f>
        <v/>
      </c>
      <c r="N957" s="20">
        <f>IF($M957="","",IF($M957&lt;=0,"Sin stock: reponer ya",IF($M957&lt;IFERROR(N(INDEX(Vinos!$N$2:$N$301,MATCH($B957,Vinos!$A$2:$A$301,0))),0),"Bajo mínimo: reponer","OK")))</f>
        <v/>
      </c>
      <c r="O957" s="14" t="n"/>
      <c r="P957" s="14" t="n"/>
      <c r="Q957" s="20">
        <f>IF($B957="","",IFERROR(INDEX(Vinos!$C$2:$C$301,MATCH($B957,Vinos!$A$2:$A$301,0)),""))</f>
        <v/>
      </c>
      <c r="R957" s="20">
        <f>IF(OR($A957="",$A957&lt;&gt;'Resumen del inventario'!$C$3,$N957="",$N957="OK"),"",IF(COUNTIFS($A$2:$A957,$A957,$B$2:$B957,$B957)=1,1,""))</f>
        <v/>
      </c>
      <c r="S957" s="20">
        <f>IF($R957=1,COUNTIF($R$2:$R957,1),"")</f>
        <v/>
      </c>
    </row>
    <row r="958">
      <c r="A958" s="19" t="n"/>
      <c r="B958" s="14" t="n"/>
      <c r="C958" s="20">
        <f>IF($B958="","",IFERROR(INDEX(Vinos!$B$2:$B$301,MATCH($B958,Vinos!$A$2:$A$301,0)),"Código no cargado"))</f>
        <v/>
      </c>
      <c r="D958" s="14" t="n"/>
      <c r="E958" s="14" t="n"/>
      <c r="F958" s="18" t="n"/>
      <c r="G958" s="18" t="n"/>
      <c r="H958" s="21">
        <f>IF(AND($F958="",$G958=""),"",N($F958)*IFERROR(N(INDEX(Vinos!$H$2:$H$301,MATCH($B958,Vinos!$A$2:$A$301,0))),0)+N($G958))</f>
        <v/>
      </c>
      <c r="I958" s="18" t="n"/>
      <c r="J958" s="21">
        <f>IF(OR($H958="",$I958=""),"",$H958-$I958)</f>
        <v/>
      </c>
      <c r="K958" s="16">
        <f>IF($H958="","",IFERROR(IF(INDEX(Vinos!$J$2:$J$301,MATCH($B958,Vinos!$A$2:$A$301,0))="","",$H958*INDEX(Vinos!$J$2:$J$301,MATCH($B958,Vinos!$A$2:$A$301,0))),""))</f>
        <v/>
      </c>
      <c r="L958" s="16">
        <f>IF($H958="","",IFERROR(IF(INDEX(Vinos!$K$2:$K$301,MATCH($B958,Vinos!$A$2:$A$301,0))="","",$H958*INDEX(Vinos!$K$2:$K$301,MATCH($B958,Vinos!$A$2:$A$301,0))),""))</f>
        <v/>
      </c>
      <c r="M958" s="21">
        <f>IF(OR($A958="",$B958=""),"",SUMIFS($H$2:$H$2001,$A$2:$A$2001,$A958,$B$2:$B$2001,$B958))</f>
        <v/>
      </c>
      <c r="N958" s="20">
        <f>IF($M958="","",IF($M958&lt;=0,"Sin stock: reponer ya",IF($M958&lt;IFERROR(N(INDEX(Vinos!$N$2:$N$301,MATCH($B958,Vinos!$A$2:$A$301,0))),0),"Bajo mínimo: reponer","OK")))</f>
        <v/>
      </c>
      <c r="O958" s="14" t="n"/>
      <c r="P958" s="14" t="n"/>
      <c r="Q958" s="20">
        <f>IF($B958="","",IFERROR(INDEX(Vinos!$C$2:$C$301,MATCH($B958,Vinos!$A$2:$A$301,0)),""))</f>
        <v/>
      </c>
      <c r="R958" s="20">
        <f>IF(OR($A958="",$A958&lt;&gt;'Resumen del inventario'!$C$3,$N958="",$N958="OK"),"",IF(COUNTIFS($A$2:$A958,$A958,$B$2:$B958,$B958)=1,1,""))</f>
        <v/>
      </c>
      <c r="S958" s="20">
        <f>IF($R958=1,COUNTIF($R$2:$R958,1),"")</f>
        <v/>
      </c>
    </row>
    <row r="959">
      <c r="A959" s="19" t="n"/>
      <c r="B959" s="14" t="n"/>
      <c r="C959" s="20">
        <f>IF($B959="","",IFERROR(INDEX(Vinos!$B$2:$B$301,MATCH($B959,Vinos!$A$2:$A$301,0)),"Código no cargado"))</f>
        <v/>
      </c>
      <c r="D959" s="14" t="n"/>
      <c r="E959" s="14" t="n"/>
      <c r="F959" s="18" t="n"/>
      <c r="G959" s="18" t="n"/>
      <c r="H959" s="21">
        <f>IF(AND($F959="",$G959=""),"",N($F959)*IFERROR(N(INDEX(Vinos!$H$2:$H$301,MATCH($B959,Vinos!$A$2:$A$301,0))),0)+N($G959))</f>
        <v/>
      </c>
      <c r="I959" s="18" t="n"/>
      <c r="J959" s="21">
        <f>IF(OR($H959="",$I959=""),"",$H959-$I959)</f>
        <v/>
      </c>
      <c r="K959" s="16">
        <f>IF($H959="","",IFERROR(IF(INDEX(Vinos!$J$2:$J$301,MATCH($B959,Vinos!$A$2:$A$301,0))="","",$H959*INDEX(Vinos!$J$2:$J$301,MATCH($B959,Vinos!$A$2:$A$301,0))),""))</f>
        <v/>
      </c>
      <c r="L959" s="16">
        <f>IF($H959="","",IFERROR(IF(INDEX(Vinos!$K$2:$K$301,MATCH($B959,Vinos!$A$2:$A$301,0))="","",$H959*INDEX(Vinos!$K$2:$K$301,MATCH($B959,Vinos!$A$2:$A$301,0))),""))</f>
        <v/>
      </c>
      <c r="M959" s="21">
        <f>IF(OR($A959="",$B959=""),"",SUMIFS($H$2:$H$2001,$A$2:$A$2001,$A959,$B$2:$B$2001,$B959))</f>
        <v/>
      </c>
      <c r="N959" s="20">
        <f>IF($M959="","",IF($M959&lt;=0,"Sin stock: reponer ya",IF($M959&lt;IFERROR(N(INDEX(Vinos!$N$2:$N$301,MATCH($B959,Vinos!$A$2:$A$301,0))),0),"Bajo mínimo: reponer","OK")))</f>
        <v/>
      </c>
      <c r="O959" s="14" t="n"/>
      <c r="P959" s="14" t="n"/>
      <c r="Q959" s="20">
        <f>IF($B959="","",IFERROR(INDEX(Vinos!$C$2:$C$301,MATCH($B959,Vinos!$A$2:$A$301,0)),""))</f>
        <v/>
      </c>
      <c r="R959" s="20">
        <f>IF(OR($A959="",$A959&lt;&gt;'Resumen del inventario'!$C$3,$N959="",$N959="OK"),"",IF(COUNTIFS($A$2:$A959,$A959,$B$2:$B959,$B959)=1,1,""))</f>
        <v/>
      </c>
      <c r="S959" s="20">
        <f>IF($R959=1,COUNTIF($R$2:$R959,1),"")</f>
        <v/>
      </c>
    </row>
    <row r="960">
      <c r="A960" s="19" t="n"/>
      <c r="B960" s="14" t="n"/>
      <c r="C960" s="20">
        <f>IF($B960="","",IFERROR(INDEX(Vinos!$B$2:$B$301,MATCH($B960,Vinos!$A$2:$A$301,0)),"Código no cargado"))</f>
        <v/>
      </c>
      <c r="D960" s="14" t="n"/>
      <c r="E960" s="14" t="n"/>
      <c r="F960" s="18" t="n"/>
      <c r="G960" s="18" t="n"/>
      <c r="H960" s="21">
        <f>IF(AND($F960="",$G960=""),"",N($F960)*IFERROR(N(INDEX(Vinos!$H$2:$H$301,MATCH($B960,Vinos!$A$2:$A$301,0))),0)+N($G960))</f>
        <v/>
      </c>
      <c r="I960" s="18" t="n"/>
      <c r="J960" s="21">
        <f>IF(OR($H960="",$I960=""),"",$H960-$I960)</f>
        <v/>
      </c>
      <c r="K960" s="16">
        <f>IF($H960="","",IFERROR(IF(INDEX(Vinos!$J$2:$J$301,MATCH($B960,Vinos!$A$2:$A$301,0))="","",$H960*INDEX(Vinos!$J$2:$J$301,MATCH($B960,Vinos!$A$2:$A$301,0))),""))</f>
        <v/>
      </c>
      <c r="L960" s="16">
        <f>IF($H960="","",IFERROR(IF(INDEX(Vinos!$K$2:$K$301,MATCH($B960,Vinos!$A$2:$A$301,0))="","",$H960*INDEX(Vinos!$K$2:$K$301,MATCH($B960,Vinos!$A$2:$A$301,0))),""))</f>
        <v/>
      </c>
      <c r="M960" s="21">
        <f>IF(OR($A960="",$B960=""),"",SUMIFS($H$2:$H$2001,$A$2:$A$2001,$A960,$B$2:$B$2001,$B960))</f>
        <v/>
      </c>
      <c r="N960" s="20">
        <f>IF($M960="","",IF($M960&lt;=0,"Sin stock: reponer ya",IF($M960&lt;IFERROR(N(INDEX(Vinos!$N$2:$N$301,MATCH($B960,Vinos!$A$2:$A$301,0))),0),"Bajo mínimo: reponer","OK")))</f>
        <v/>
      </c>
      <c r="O960" s="14" t="n"/>
      <c r="P960" s="14" t="n"/>
      <c r="Q960" s="20">
        <f>IF($B960="","",IFERROR(INDEX(Vinos!$C$2:$C$301,MATCH($B960,Vinos!$A$2:$A$301,0)),""))</f>
        <v/>
      </c>
      <c r="R960" s="20">
        <f>IF(OR($A960="",$A960&lt;&gt;'Resumen del inventario'!$C$3,$N960="",$N960="OK"),"",IF(COUNTIFS($A$2:$A960,$A960,$B$2:$B960,$B960)=1,1,""))</f>
        <v/>
      </c>
      <c r="S960" s="20">
        <f>IF($R960=1,COUNTIF($R$2:$R960,1),"")</f>
        <v/>
      </c>
    </row>
    <row r="961">
      <c r="A961" s="19" t="n"/>
      <c r="B961" s="14" t="n"/>
      <c r="C961" s="20">
        <f>IF($B961="","",IFERROR(INDEX(Vinos!$B$2:$B$301,MATCH($B961,Vinos!$A$2:$A$301,0)),"Código no cargado"))</f>
        <v/>
      </c>
      <c r="D961" s="14" t="n"/>
      <c r="E961" s="14" t="n"/>
      <c r="F961" s="18" t="n"/>
      <c r="G961" s="18" t="n"/>
      <c r="H961" s="21">
        <f>IF(AND($F961="",$G961=""),"",N($F961)*IFERROR(N(INDEX(Vinos!$H$2:$H$301,MATCH($B961,Vinos!$A$2:$A$301,0))),0)+N($G961))</f>
        <v/>
      </c>
      <c r="I961" s="18" t="n"/>
      <c r="J961" s="21">
        <f>IF(OR($H961="",$I961=""),"",$H961-$I961)</f>
        <v/>
      </c>
      <c r="K961" s="16">
        <f>IF($H961="","",IFERROR(IF(INDEX(Vinos!$J$2:$J$301,MATCH($B961,Vinos!$A$2:$A$301,0))="","",$H961*INDEX(Vinos!$J$2:$J$301,MATCH($B961,Vinos!$A$2:$A$301,0))),""))</f>
        <v/>
      </c>
      <c r="L961" s="16">
        <f>IF($H961="","",IFERROR(IF(INDEX(Vinos!$K$2:$K$301,MATCH($B961,Vinos!$A$2:$A$301,0))="","",$H961*INDEX(Vinos!$K$2:$K$301,MATCH($B961,Vinos!$A$2:$A$301,0))),""))</f>
        <v/>
      </c>
      <c r="M961" s="21">
        <f>IF(OR($A961="",$B961=""),"",SUMIFS($H$2:$H$2001,$A$2:$A$2001,$A961,$B$2:$B$2001,$B961))</f>
        <v/>
      </c>
      <c r="N961" s="20">
        <f>IF($M961="","",IF($M961&lt;=0,"Sin stock: reponer ya",IF($M961&lt;IFERROR(N(INDEX(Vinos!$N$2:$N$301,MATCH($B961,Vinos!$A$2:$A$301,0))),0),"Bajo mínimo: reponer","OK")))</f>
        <v/>
      </c>
      <c r="O961" s="14" t="n"/>
      <c r="P961" s="14" t="n"/>
      <c r="Q961" s="20">
        <f>IF($B961="","",IFERROR(INDEX(Vinos!$C$2:$C$301,MATCH($B961,Vinos!$A$2:$A$301,0)),""))</f>
        <v/>
      </c>
      <c r="R961" s="20">
        <f>IF(OR($A961="",$A961&lt;&gt;'Resumen del inventario'!$C$3,$N961="",$N961="OK"),"",IF(COUNTIFS($A$2:$A961,$A961,$B$2:$B961,$B961)=1,1,""))</f>
        <v/>
      </c>
      <c r="S961" s="20">
        <f>IF($R961=1,COUNTIF($R$2:$R961,1),"")</f>
        <v/>
      </c>
    </row>
    <row r="962">
      <c r="A962" s="19" t="n"/>
      <c r="B962" s="14" t="n"/>
      <c r="C962" s="20">
        <f>IF($B962="","",IFERROR(INDEX(Vinos!$B$2:$B$301,MATCH($B962,Vinos!$A$2:$A$301,0)),"Código no cargado"))</f>
        <v/>
      </c>
      <c r="D962" s="14" t="n"/>
      <c r="E962" s="14" t="n"/>
      <c r="F962" s="18" t="n"/>
      <c r="G962" s="18" t="n"/>
      <c r="H962" s="21">
        <f>IF(AND($F962="",$G962=""),"",N($F962)*IFERROR(N(INDEX(Vinos!$H$2:$H$301,MATCH($B962,Vinos!$A$2:$A$301,0))),0)+N($G962))</f>
        <v/>
      </c>
      <c r="I962" s="18" t="n"/>
      <c r="J962" s="21">
        <f>IF(OR($H962="",$I962=""),"",$H962-$I962)</f>
        <v/>
      </c>
      <c r="K962" s="16">
        <f>IF($H962="","",IFERROR(IF(INDEX(Vinos!$J$2:$J$301,MATCH($B962,Vinos!$A$2:$A$301,0))="","",$H962*INDEX(Vinos!$J$2:$J$301,MATCH($B962,Vinos!$A$2:$A$301,0))),""))</f>
        <v/>
      </c>
      <c r="L962" s="16">
        <f>IF($H962="","",IFERROR(IF(INDEX(Vinos!$K$2:$K$301,MATCH($B962,Vinos!$A$2:$A$301,0))="","",$H962*INDEX(Vinos!$K$2:$K$301,MATCH($B962,Vinos!$A$2:$A$301,0))),""))</f>
        <v/>
      </c>
      <c r="M962" s="21">
        <f>IF(OR($A962="",$B962=""),"",SUMIFS($H$2:$H$2001,$A$2:$A$2001,$A962,$B$2:$B$2001,$B962))</f>
        <v/>
      </c>
      <c r="N962" s="20">
        <f>IF($M962="","",IF($M962&lt;=0,"Sin stock: reponer ya",IF($M962&lt;IFERROR(N(INDEX(Vinos!$N$2:$N$301,MATCH($B962,Vinos!$A$2:$A$301,0))),0),"Bajo mínimo: reponer","OK")))</f>
        <v/>
      </c>
      <c r="O962" s="14" t="n"/>
      <c r="P962" s="14" t="n"/>
      <c r="Q962" s="20">
        <f>IF($B962="","",IFERROR(INDEX(Vinos!$C$2:$C$301,MATCH($B962,Vinos!$A$2:$A$301,0)),""))</f>
        <v/>
      </c>
      <c r="R962" s="20">
        <f>IF(OR($A962="",$A962&lt;&gt;'Resumen del inventario'!$C$3,$N962="",$N962="OK"),"",IF(COUNTIFS($A$2:$A962,$A962,$B$2:$B962,$B962)=1,1,""))</f>
        <v/>
      </c>
      <c r="S962" s="20">
        <f>IF($R962=1,COUNTIF($R$2:$R962,1),"")</f>
        <v/>
      </c>
    </row>
    <row r="963">
      <c r="A963" s="19" t="n"/>
      <c r="B963" s="14" t="n"/>
      <c r="C963" s="20">
        <f>IF($B963="","",IFERROR(INDEX(Vinos!$B$2:$B$301,MATCH($B963,Vinos!$A$2:$A$301,0)),"Código no cargado"))</f>
        <v/>
      </c>
      <c r="D963" s="14" t="n"/>
      <c r="E963" s="14" t="n"/>
      <c r="F963" s="18" t="n"/>
      <c r="G963" s="18" t="n"/>
      <c r="H963" s="21">
        <f>IF(AND($F963="",$G963=""),"",N($F963)*IFERROR(N(INDEX(Vinos!$H$2:$H$301,MATCH($B963,Vinos!$A$2:$A$301,0))),0)+N($G963))</f>
        <v/>
      </c>
      <c r="I963" s="18" t="n"/>
      <c r="J963" s="21">
        <f>IF(OR($H963="",$I963=""),"",$H963-$I963)</f>
        <v/>
      </c>
      <c r="K963" s="16">
        <f>IF($H963="","",IFERROR(IF(INDEX(Vinos!$J$2:$J$301,MATCH($B963,Vinos!$A$2:$A$301,0))="","",$H963*INDEX(Vinos!$J$2:$J$301,MATCH($B963,Vinos!$A$2:$A$301,0))),""))</f>
        <v/>
      </c>
      <c r="L963" s="16">
        <f>IF($H963="","",IFERROR(IF(INDEX(Vinos!$K$2:$K$301,MATCH($B963,Vinos!$A$2:$A$301,0))="","",$H963*INDEX(Vinos!$K$2:$K$301,MATCH($B963,Vinos!$A$2:$A$301,0))),""))</f>
        <v/>
      </c>
      <c r="M963" s="21">
        <f>IF(OR($A963="",$B963=""),"",SUMIFS($H$2:$H$2001,$A$2:$A$2001,$A963,$B$2:$B$2001,$B963))</f>
        <v/>
      </c>
      <c r="N963" s="20">
        <f>IF($M963="","",IF($M963&lt;=0,"Sin stock: reponer ya",IF($M963&lt;IFERROR(N(INDEX(Vinos!$N$2:$N$301,MATCH($B963,Vinos!$A$2:$A$301,0))),0),"Bajo mínimo: reponer","OK")))</f>
        <v/>
      </c>
      <c r="O963" s="14" t="n"/>
      <c r="P963" s="14" t="n"/>
      <c r="Q963" s="20">
        <f>IF($B963="","",IFERROR(INDEX(Vinos!$C$2:$C$301,MATCH($B963,Vinos!$A$2:$A$301,0)),""))</f>
        <v/>
      </c>
      <c r="R963" s="20">
        <f>IF(OR($A963="",$A963&lt;&gt;'Resumen del inventario'!$C$3,$N963="",$N963="OK"),"",IF(COUNTIFS($A$2:$A963,$A963,$B$2:$B963,$B963)=1,1,""))</f>
        <v/>
      </c>
      <c r="S963" s="20">
        <f>IF($R963=1,COUNTIF($R$2:$R963,1),"")</f>
        <v/>
      </c>
    </row>
    <row r="964">
      <c r="A964" s="19" t="n"/>
      <c r="B964" s="14" t="n"/>
      <c r="C964" s="20">
        <f>IF($B964="","",IFERROR(INDEX(Vinos!$B$2:$B$301,MATCH($B964,Vinos!$A$2:$A$301,0)),"Código no cargado"))</f>
        <v/>
      </c>
      <c r="D964" s="14" t="n"/>
      <c r="E964" s="14" t="n"/>
      <c r="F964" s="18" t="n"/>
      <c r="G964" s="18" t="n"/>
      <c r="H964" s="21">
        <f>IF(AND($F964="",$G964=""),"",N($F964)*IFERROR(N(INDEX(Vinos!$H$2:$H$301,MATCH($B964,Vinos!$A$2:$A$301,0))),0)+N($G964))</f>
        <v/>
      </c>
      <c r="I964" s="18" t="n"/>
      <c r="J964" s="21">
        <f>IF(OR($H964="",$I964=""),"",$H964-$I964)</f>
        <v/>
      </c>
      <c r="K964" s="16">
        <f>IF($H964="","",IFERROR(IF(INDEX(Vinos!$J$2:$J$301,MATCH($B964,Vinos!$A$2:$A$301,0))="","",$H964*INDEX(Vinos!$J$2:$J$301,MATCH($B964,Vinos!$A$2:$A$301,0))),""))</f>
        <v/>
      </c>
      <c r="L964" s="16">
        <f>IF($H964="","",IFERROR(IF(INDEX(Vinos!$K$2:$K$301,MATCH($B964,Vinos!$A$2:$A$301,0))="","",$H964*INDEX(Vinos!$K$2:$K$301,MATCH($B964,Vinos!$A$2:$A$301,0))),""))</f>
        <v/>
      </c>
      <c r="M964" s="21">
        <f>IF(OR($A964="",$B964=""),"",SUMIFS($H$2:$H$2001,$A$2:$A$2001,$A964,$B$2:$B$2001,$B964))</f>
        <v/>
      </c>
      <c r="N964" s="20">
        <f>IF($M964="","",IF($M964&lt;=0,"Sin stock: reponer ya",IF($M964&lt;IFERROR(N(INDEX(Vinos!$N$2:$N$301,MATCH($B964,Vinos!$A$2:$A$301,0))),0),"Bajo mínimo: reponer","OK")))</f>
        <v/>
      </c>
      <c r="O964" s="14" t="n"/>
      <c r="P964" s="14" t="n"/>
      <c r="Q964" s="20">
        <f>IF($B964="","",IFERROR(INDEX(Vinos!$C$2:$C$301,MATCH($B964,Vinos!$A$2:$A$301,0)),""))</f>
        <v/>
      </c>
      <c r="R964" s="20">
        <f>IF(OR($A964="",$A964&lt;&gt;'Resumen del inventario'!$C$3,$N964="",$N964="OK"),"",IF(COUNTIFS($A$2:$A964,$A964,$B$2:$B964,$B964)=1,1,""))</f>
        <v/>
      </c>
      <c r="S964" s="20">
        <f>IF($R964=1,COUNTIF($R$2:$R964,1),"")</f>
        <v/>
      </c>
    </row>
    <row r="965">
      <c r="A965" s="19" t="n"/>
      <c r="B965" s="14" t="n"/>
      <c r="C965" s="20">
        <f>IF($B965="","",IFERROR(INDEX(Vinos!$B$2:$B$301,MATCH($B965,Vinos!$A$2:$A$301,0)),"Código no cargado"))</f>
        <v/>
      </c>
      <c r="D965" s="14" t="n"/>
      <c r="E965" s="14" t="n"/>
      <c r="F965" s="18" t="n"/>
      <c r="G965" s="18" t="n"/>
      <c r="H965" s="21">
        <f>IF(AND($F965="",$G965=""),"",N($F965)*IFERROR(N(INDEX(Vinos!$H$2:$H$301,MATCH($B965,Vinos!$A$2:$A$301,0))),0)+N($G965))</f>
        <v/>
      </c>
      <c r="I965" s="18" t="n"/>
      <c r="J965" s="21">
        <f>IF(OR($H965="",$I965=""),"",$H965-$I965)</f>
        <v/>
      </c>
      <c r="K965" s="16">
        <f>IF($H965="","",IFERROR(IF(INDEX(Vinos!$J$2:$J$301,MATCH($B965,Vinos!$A$2:$A$301,0))="","",$H965*INDEX(Vinos!$J$2:$J$301,MATCH($B965,Vinos!$A$2:$A$301,0))),""))</f>
        <v/>
      </c>
      <c r="L965" s="16">
        <f>IF($H965="","",IFERROR(IF(INDEX(Vinos!$K$2:$K$301,MATCH($B965,Vinos!$A$2:$A$301,0))="","",$H965*INDEX(Vinos!$K$2:$K$301,MATCH($B965,Vinos!$A$2:$A$301,0))),""))</f>
        <v/>
      </c>
      <c r="M965" s="21">
        <f>IF(OR($A965="",$B965=""),"",SUMIFS($H$2:$H$2001,$A$2:$A$2001,$A965,$B$2:$B$2001,$B965))</f>
        <v/>
      </c>
      <c r="N965" s="20">
        <f>IF($M965="","",IF($M965&lt;=0,"Sin stock: reponer ya",IF($M965&lt;IFERROR(N(INDEX(Vinos!$N$2:$N$301,MATCH($B965,Vinos!$A$2:$A$301,0))),0),"Bajo mínimo: reponer","OK")))</f>
        <v/>
      </c>
      <c r="O965" s="14" t="n"/>
      <c r="P965" s="14" t="n"/>
      <c r="Q965" s="20">
        <f>IF($B965="","",IFERROR(INDEX(Vinos!$C$2:$C$301,MATCH($B965,Vinos!$A$2:$A$301,0)),""))</f>
        <v/>
      </c>
      <c r="R965" s="20">
        <f>IF(OR($A965="",$A965&lt;&gt;'Resumen del inventario'!$C$3,$N965="",$N965="OK"),"",IF(COUNTIFS($A$2:$A965,$A965,$B$2:$B965,$B965)=1,1,""))</f>
        <v/>
      </c>
      <c r="S965" s="20">
        <f>IF($R965=1,COUNTIF($R$2:$R965,1),"")</f>
        <v/>
      </c>
    </row>
    <row r="966">
      <c r="A966" s="19" t="n"/>
      <c r="B966" s="14" t="n"/>
      <c r="C966" s="20">
        <f>IF($B966="","",IFERROR(INDEX(Vinos!$B$2:$B$301,MATCH($B966,Vinos!$A$2:$A$301,0)),"Código no cargado"))</f>
        <v/>
      </c>
      <c r="D966" s="14" t="n"/>
      <c r="E966" s="14" t="n"/>
      <c r="F966" s="18" t="n"/>
      <c r="G966" s="18" t="n"/>
      <c r="H966" s="21">
        <f>IF(AND($F966="",$G966=""),"",N($F966)*IFERROR(N(INDEX(Vinos!$H$2:$H$301,MATCH($B966,Vinos!$A$2:$A$301,0))),0)+N($G966))</f>
        <v/>
      </c>
      <c r="I966" s="18" t="n"/>
      <c r="J966" s="21">
        <f>IF(OR($H966="",$I966=""),"",$H966-$I966)</f>
        <v/>
      </c>
      <c r="K966" s="16">
        <f>IF($H966="","",IFERROR(IF(INDEX(Vinos!$J$2:$J$301,MATCH($B966,Vinos!$A$2:$A$301,0))="","",$H966*INDEX(Vinos!$J$2:$J$301,MATCH($B966,Vinos!$A$2:$A$301,0))),""))</f>
        <v/>
      </c>
      <c r="L966" s="16">
        <f>IF($H966="","",IFERROR(IF(INDEX(Vinos!$K$2:$K$301,MATCH($B966,Vinos!$A$2:$A$301,0))="","",$H966*INDEX(Vinos!$K$2:$K$301,MATCH($B966,Vinos!$A$2:$A$301,0))),""))</f>
        <v/>
      </c>
      <c r="M966" s="21">
        <f>IF(OR($A966="",$B966=""),"",SUMIFS($H$2:$H$2001,$A$2:$A$2001,$A966,$B$2:$B$2001,$B966))</f>
        <v/>
      </c>
      <c r="N966" s="20">
        <f>IF($M966="","",IF($M966&lt;=0,"Sin stock: reponer ya",IF($M966&lt;IFERROR(N(INDEX(Vinos!$N$2:$N$301,MATCH($B966,Vinos!$A$2:$A$301,0))),0),"Bajo mínimo: reponer","OK")))</f>
        <v/>
      </c>
      <c r="O966" s="14" t="n"/>
      <c r="P966" s="14" t="n"/>
      <c r="Q966" s="20">
        <f>IF($B966="","",IFERROR(INDEX(Vinos!$C$2:$C$301,MATCH($B966,Vinos!$A$2:$A$301,0)),""))</f>
        <v/>
      </c>
      <c r="R966" s="20">
        <f>IF(OR($A966="",$A966&lt;&gt;'Resumen del inventario'!$C$3,$N966="",$N966="OK"),"",IF(COUNTIFS($A$2:$A966,$A966,$B$2:$B966,$B966)=1,1,""))</f>
        <v/>
      </c>
      <c r="S966" s="20">
        <f>IF($R966=1,COUNTIF($R$2:$R966,1),"")</f>
        <v/>
      </c>
    </row>
    <row r="967">
      <c r="A967" s="19" t="n"/>
      <c r="B967" s="14" t="n"/>
      <c r="C967" s="20">
        <f>IF($B967="","",IFERROR(INDEX(Vinos!$B$2:$B$301,MATCH($B967,Vinos!$A$2:$A$301,0)),"Código no cargado"))</f>
        <v/>
      </c>
      <c r="D967" s="14" t="n"/>
      <c r="E967" s="14" t="n"/>
      <c r="F967" s="18" t="n"/>
      <c r="G967" s="18" t="n"/>
      <c r="H967" s="21">
        <f>IF(AND($F967="",$G967=""),"",N($F967)*IFERROR(N(INDEX(Vinos!$H$2:$H$301,MATCH($B967,Vinos!$A$2:$A$301,0))),0)+N($G967))</f>
        <v/>
      </c>
      <c r="I967" s="18" t="n"/>
      <c r="J967" s="21">
        <f>IF(OR($H967="",$I967=""),"",$H967-$I967)</f>
        <v/>
      </c>
      <c r="K967" s="16">
        <f>IF($H967="","",IFERROR(IF(INDEX(Vinos!$J$2:$J$301,MATCH($B967,Vinos!$A$2:$A$301,0))="","",$H967*INDEX(Vinos!$J$2:$J$301,MATCH($B967,Vinos!$A$2:$A$301,0))),""))</f>
        <v/>
      </c>
      <c r="L967" s="16">
        <f>IF($H967="","",IFERROR(IF(INDEX(Vinos!$K$2:$K$301,MATCH($B967,Vinos!$A$2:$A$301,0))="","",$H967*INDEX(Vinos!$K$2:$K$301,MATCH($B967,Vinos!$A$2:$A$301,0))),""))</f>
        <v/>
      </c>
      <c r="M967" s="21">
        <f>IF(OR($A967="",$B967=""),"",SUMIFS($H$2:$H$2001,$A$2:$A$2001,$A967,$B$2:$B$2001,$B967))</f>
        <v/>
      </c>
      <c r="N967" s="20">
        <f>IF($M967="","",IF($M967&lt;=0,"Sin stock: reponer ya",IF($M967&lt;IFERROR(N(INDEX(Vinos!$N$2:$N$301,MATCH($B967,Vinos!$A$2:$A$301,0))),0),"Bajo mínimo: reponer","OK")))</f>
        <v/>
      </c>
      <c r="O967" s="14" t="n"/>
      <c r="P967" s="14" t="n"/>
      <c r="Q967" s="20">
        <f>IF($B967="","",IFERROR(INDEX(Vinos!$C$2:$C$301,MATCH($B967,Vinos!$A$2:$A$301,0)),""))</f>
        <v/>
      </c>
      <c r="R967" s="20">
        <f>IF(OR($A967="",$A967&lt;&gt;'Resumen del inventario'!$C$3,$N967="",$N967="OK"),"",IF(COUNTIFS($A$2:$A967,$A967,$B$2:$B967,$B967)=1,1,""))</f>
        <v/>
      </c>
      <c r="S967" s="20">
        <f>IF($R967=1,COUNTIF($R$2:$R967,1),"")</f>
        <v/>
      </c>
    </row>
    <row r="968">
      <c r="A968" s="19" t="n"/>
      <c r="B968" s="14" t="n"/>
      <c r="C968" s="20">
        <f>IF($B968="","",IFERROR(INDEX(Vinos!$B$2:$B$301,MATCH($B968,Vinos!$A$2:$A$301,0)),"Código no cargado"))</f>
        <v/>
      </c>
      <c r="D968" s="14" t="n"/>
      <c r="E968" s="14" t="n"/>
      <c r="F968" s="18" t="n"/>
      <c r="G968" s="18" t="n"/>
      <c r="H968" s="21">
        <f>IF(AND($F968="",$G968=""),"",N($F968)*IFERROR(N(INDEX(Vinos!$H$2:$H$301,MATCH($B968,Vinos!$A$2:$A$301,0))),0)+N($G968))</f>
        <v/>
      </c>
      <c r="I968" s="18" t="n"/>
      <c r="J968" s="21">
        <f>IF(OR($H968="",$I968=""),"",$H968-$I968)</f>
        <v/>
      </c>
      <c r="K968" s="16">
        <f>IF($H968="","",IFERROR(IF(INDEX(Vinos!$J$2:$J$301,MATCH($B968,Vinos!$A$2:$A$301,0))="","",$H968*INDEX(Vinos!$J$2:$J$301,MATCH($B968,Vinos!$A$2:$A$301,0))),""))</f>
        <v/>
      </c>
      <c r="L968" s="16">
        <f>IF($H968="","",IFERROR(IF(INDEX(Vinos!$K$2:$K$301,MATCH($B968,Vinos!$A$2:$A$301,0))="","",$H968*INDEX(Vinos!$K$2:$K$301,MATCH($B968,Vinos!$A$2:$A$301,0))),""))</f>
        <v/>
      </c>
      <c r="M968" s="21">
        <f>IF(OR($A968="",$B968=""),"",SUMIFS($H$2:$H$2001,$A$2:$A$2001,$A968,$B$2:$B$2001,$B968))</f>
        <v/>
      </c>
      <c r="N968" s="20">
        <f>IF($M968="","",IF($M968&lt;=0,"Sin stock: reponer ya",IF($M968&lt;IFERROR(N(INDEX(Vinos!$N$2:$N$301,MATCH($B968,Vinos!$A$2:$A$301,0))),0),"Bajo mínimo: reponer","OK")))</f>
        <v/>
      </c>
      <c r="O968" s="14" t="n"/>
      <c r="P968" s="14" t="n"/>
      <c r="Q968" s="20">
        <f>IF($B968="","",IFERROR(INDEX(Vinos!$C$2:$C$301,MATCH($B968,Vinos!$A$2:$A$301,0)),""))</f>
        <v/>
      </c>
      <c r="R968" s="20">
        <f>IF(OR($A968="",$A968&lt;&gt;'Resumen del inventario'!$C$3,$N968="",$N968="OK"),"",IF(COUNTIFS($A$2:$A968,$A968,$B$2:$B968,$B968)=1,1,""))</f>
        <v/>
      </c>
      <c r="S968" s="20">
        <f>IF($R968=1,COUNTIF($R$2:$R968,1),"")</f>
        <v/>
      </c>
    </row>
    <row r="969">
      <c r="A969" s="19" t="n"/>
      <c r="B969" s="14" t="n"/>
      <c r="C969" s="20">
        <f>IF($B969="","",IFERROR(INDEX(Vinos!$B$2:$B$301,MATCH($B969,Vinos!$A$2:$A$301,0)),"Código no cargado"))</f>
        <v/>
      </c>
      <c r="D969" s="14" t="n"/>
      <c r="E969" s="14" t="n"/>
      <c r="F969" s="18" t="n"/>
      <c r="G969" s="18" t="n"/>
      <c r="H969" s="21">
        <f>IF(AND($F969="",$G969=""),"",N($F969)*IFERROR(N(INDEX(Vinos!$H$2:$H$301,MATCH($B969,Vinos!$A$2:$A$301,0))),0)+N($G969))</f>
        <v/>
      </c>
      <c r="I969" s="18" t="n"/>
      <c r="J969" s="21">
        <f>IF(OR($H969="",$I969=""),"",$H969-$I969)</f>
        <v/>
      </c>
      <c r="K969" s="16">
        <f>IF($H969="","",IFERROR(IF(INDEX(Vinos!$J$2:$J$301,MATCH($B969,Vinos!$A$2:$A$301,0))="","",$H969*INDEX(Vinos!$J$2:$J$301,MATCH($B969,Vinos!$A$2:$A$301,0))),""))</f>
        <v/>
      </c>
      <c r="L969" s="16">
        <f>IF($H969="","",IFERROR(IF(INDEX(Vinos!$K$2:$K$301,MATCH($B969,Vinos!$A$2:$A$301,0))="","",$H969*INDEX(Vinos!$K$2:$K$301,MATCH($B969,Vinos!$A$2:$A$301,0))),""))</f>
        <v/>
      </c>
      <c r="M969" s="21">
        <f>IF(OR($A969="",$B969=""),"",SUMIFS($H$2:$H$2001,$A$2:$A$2001,$A969,$B$2:$B$2001,$B969))</f>
        <v/>
      </c>
      <c r="N969" s="20">
        <f>IF($M969="","",IF($M969&lt;=0,"Sin stock: reponer ya",IF($M969&lt;IFERROR(N(INDEX(Vinos!$N$2:$N$301,MATCH($B969,Vinos!$A$2:$A$301,0))),0),"Bajo mínimo: reponer","OK")))</f>
        <v/>
      </c>
      <c r="O969" s="14" t="n"/>
      <c r="P969" s="14" t="n"/>
      <c r="Q969" s="20">
        <f>IF($B969="","",IFERROR(INDEX(Vinos!$C$2:$C$301,MATCH($B969,Vinos!$A$2:$A$301,0)),""))</f>
        <v/>
      </c>
      <c r="R969" s="20">
        <f>IF(OR($A969="",$A969&lt;&gt;'Resumen del inventario'!$C$3,$N969="",$N969="OK"),"",IF(COUNTIFS($A$2:$A969,$A969,$B$2:$B969,$B969)=1,1,""))</f>
        <v/>
      </c>
      <c r="S969" s="20">
        <f>IF($R969=1,COUNTIF($R$2:$R969,1),"")</f>
        <v/>
      </c>
    </row>
    <row r="970">
      <c r="A970" s="19" t="n"/>
      <c r="B970" s="14" t="n"/>
      <c r="C970" s="20">
        <f>IF($B970="","",IFERROR(INDEX(Vinos!$B$2:$B$301,MATCH($B970,Vinos!$A$2:$A$301,0)),"Código no cargado"))</f>
        <v/>
      </c>
      <c r="D970" s="14" t="n"/>
      <c r="E970" s="14" t="n"/>
      <c r="F970" s="18" t="n"/>
      <c r="G970" s="18" t="n"/>
      <c r="H970" s="21">
        <f>IF(AND($F970="",$G970=""),"",N($F970)*IFERROR(N(INDEX(Vinos!$H$2:$H$301,MATCH($B970,Vinos!$A$2:$A$301,0))),0)+N($G970))</f>
        <v/>
      </c>
      <c r="I970" s="18" t="n"/>
      <c r="J970" s="21">
        <f>IF(OR($H970="",$I970=""),"",$H970-$I970)</f>
        <v/>
      </c>
      <c r="K970" s="16">
        <f>IF($H970="","",IFERROR(IF(INDEX(Vinos!$J$2:$J$301,MATCH($B970,Vinos!$A$2:$A$301,0))="","",$H970*INDEX(Vinos!$J$2:$J$301,MATCH($B970,Vinos!$A$2:$A$301,0))),""))</f>
        <v/>
      </c>
      <c r="L970" s="16">
        <f>IF($H970="","",IFERROR(IF(INDEX(Vinos!$K$2:$K$301,MATCH($B970,Vinos!$A$2:$A$301,0))="","",$H970*INDEX(Vinos!$K$2:$K$301,MATCH($B970,Vinos!$A$2:$A$301,0))),""))</f>
        <v/>
      </c>
      <c r="M970" s="21">
        <f>IF(OR($A970="",$B970=""),"",SUMIFS($H$2:$H$2001,$A$2:$A$2001,$A970,$B$2:$B$2001,$B970))</f>
        <v/>
      </c>
      <c r="N970" s="20">
        <f>IF($M970="","",IF($M970&lt;=0,"Sin stock: reponer ya",IF($M970&lt;IFERROR(N(INDEX(Vinos!$N$2:$N$301,MATCH($B970,Vinos!$A$2:$A$301,0))),0),"Bajo mínimo: reponer","OK")))</f>
        <v/>
      </c>
      <c r="O970" s="14" t="n"/>
      <c r="P970" s="14" t="n"/>
      <c r="Q970" s="20">
        <f>IF($B970="","",IFERROR(INDEX(Vinos!$C$2:$C$301,MATCH($B970,Vinos!$A$2:$A$301,0)),""))</f>
        <v/>
      </c>
      <c r="R970" s="20">
        <f>IF(OR($A970="",$A970&lt;&gt;'Resumen del inventario'!$C$3,$N970="",$N970="OK"),"",IF(COUNTIFS($A$2:$A970,$A970,$B$2:$B970,$B970)=1,1,""))</f>
        <v/>
      </c>
      <c r="S970" s="20">
        <f>IF($R970=1,COUNTIF($R$2:$R970,1),"")</f>
        <v/>
      </c>
    </row>
    <row r="971">
      <c r="A971" s="19" t="n"/>
      <c r="B971" s="14" t="n"/>
      <c r="C971" s="20">
        <f>IF($B971="","",IFERROR(INDEX(Vinos!$B$2:$B$301,MATCH($B971,Vinos!$A$2:$A$301,0)),"Código no cargado"))</f>
        <v/>
      </c>
      <c r="D971" s="14" t="n"/>
      <c r="E971" s="14" t="n"/>
      <c r="F971" s="18" t="n"/>
      <c r="G971" s="18" t="n"/>
      <c r="H971" s="21">
        <f>IF(AND($F971="",$G971=""),"",N($F971)*IFERROR(N(INDEX(Vinos!$H$2:$H$301,MATCH($B971,Vinos!$A$2:$A$301,0))),0)+N($G971))</f>
        <v/>
      </c>
      <c r="I971" s="18" t="n"/>
      <c r="J971" s="21">
        <f>IF(OR($H971="",$I971=""),"",$H971-$I971)</f>
        <v/>
      </c>
      <c r="K971" s="16">
        <f>IF($H971="","",IFERROR(IF(INDEX(Vinos!$J$2:$J$301,MATCH($B971,Vinos!$A$2:$A$301,0))="","",$H971*INDEX(Vinos!$J$2:$J$301,MATCH($B971,Vinos!$A$2:$A$301,0))),""))</f>
        <v/>
      </c>
      <c r="L971" s="16">
        <f>IF($H971="","",IFERROR(IF(INDEX(Vinos!$K$2:$K$301,MATCH($B971,Vinos!$A$2:$A$301,0))="","",$H971*INDEX(Vinos!$K$2:$K$301,MATCH($B971,Vinos!$A$2:$A$301,0))),""))</f>
        <v/>
      </c>
      <c r="M971" s="21">
        <f>IF(OR($A971="",$B971=""),"",SUMIFS($H$2:$H$2001,$A$2:$A$2001,$A971,$B$2:$B$2001,$B971))</f>
        <v/>
      </c>
      <c r="N971" s="20">
        <f>IF($M971="","",IF($M971&lt;=0,"Sin stock: reponer ya",IF($M971&lt;IFERROR(N(INDEX(Vinos!$N$2:$N$301,MATCH($B971,Vinos!$A$2:$A$301,0))),0),"Bajo mínimo: reponer","OK")))</f>
        <v/>
      </c>
      <c r="O971" s="14" t="n"/>
      <c r="P971" s="14" t="n"/>
      <c r="Q971" s="20">
        <f>IF($B971="","",IFERROR(INDEX(Vinos!$C$2:$C$301,MATCH($B971,Vinos!$A$2:$A$301,0)),""))</f>
        <v/>
      </c>
      <c r="R971" s="20">
        <f>IF(OR($A971="",$A971&lt;&gt;'Resumen del inventario'!$C$3,$N971="",$N971="OK"),"",IF(COUNTIFS($A$2:$A971,$A971,$B$2:$B971,$B971)=1,1,""))</f>
        <v/>
      </c>
      <c r="S971" s="20">
        <f>IF($R971=1,COUNTIF($R$2:$R971,1),"")</f>
        <v/>
      </c>
    </row>
    <row r="972">
      <c r="A972" s="19" t="n"/>
      <c r="B972" s="14" t="n"/>
      <c r="C972" s="20">
        <f>IF($B972="","",IFERROR(INDEX(Vinos!$B$2:$B$301,MATCH($B972,Vinos!$A$2:$A$301,0)),"Código no cargado"))</f>
        <v/>
      </c>
      <c r="D972" s="14" t="n"/>
      <c r="E972" s="14" t="n"/>
      <c r="F972" s="18" t="n"/>
      <c r="G972" s="18" t="n"/>
      <c r="H972" s="21">
        <f>IF(AND($F972="",$G972=""),"",N($F972)*IFERROR(N(INDEX(Vinos!$H$2:$H$301,MATCH($B972,Vinos!$A$2:$A$301,0))),0)+N($G972))</f>
        <v/>
      </c>
      <c r="I972" s="18" t="n"/>
      <c r="J972" s="21">
        <f>IF(OR($H972="",$I972=""),"",$H972-$I972)</f>
        <v/>
      </c>
      <c r="K972" s="16">
        <f>IF($H972="","",IFERROR(IF(INDEX(Vinos!$J$2:$J$301,MATCH($B972,Vinos!$A$2:$A$301,0))="","",$H972*INDEX(Vinos!$J$2:$J$301,MATCH($B972,Vinos!$A$2:$A$301,0))),""))</f>
        <v/>
      </c>
      <c r="L972" s="16">
        <f>IF($H972="","",IFERROR(IF(INDEX(Vinos!$K$2:$K$301,MATCH($B972,Vinos!$A$2:$A$301,0))="","",$H972*INDEX(Vinos!$K$2:$K$301,MATCH($B972,Vinos!$A$2:$A$301,0))),""))</f>
        <v/>
      </c>
      <c r="M972" s="21">
        <f>IF(OR($A972="",$B972=""),"",SUMIFS($H$2:$H$2001,$A$2:$A$2001,$A972,$B$2:$B$2001,$B972))</f>
        <v/>
      </c>
      <c r="N972" s="20">
        <f>IF($M972="","",IF($M972&lt;=0,"Sin stock: reponer ya",IF($M972&lt;IFERROR(N(INDEX(Vinos!$N$2:$N$301,MATCH($B972,Vinos!$A$2:$A$301,0))),0),"Bajo mínimo: reponer","OK")))</f>
        <v/>
      </c>
      <c r="O972" s="14" t="n"/>
      <c r="P972" s="14" t="n"/>
      <c r="Q972" s="20">
        <f>IF($B972="","",IFERROR(INDEX(Vinos!$C$2:$C$301,MATCH($B972,Vinos!$A$2:$A$301,0)),""))</f>
        <v/>
      </c>
      <c r="R972" s="20">
        <f>IF(OR($A972="",$A972&lt;&gt;'Resumen del inventario'!$C$3,$N972="",$N972="OK"),"",IF(COUNTIFS($A$2:$A972,$A972,$B$2:$B972,$B972)=1,1,""))</f>
        <v/>
      </c>
      <c r="S972" s="20">
        <f>IF($R972=1,COUNTIF($R$2:$R972,1),"")</f>
        <v/>
      </c>
    </row>
    <row r="973">
      <c r="A973" s="19" t="n"/>
      <c r="B973" s="14" t="n"/>
      <c r="C973" s="20">
        <f>IF($B973="","",IFERROR(INDEX(Vinos!$B$2:$B$301,MATCH($B973,Vinos!$A$2:$A$301,0)),"Código no cargado"))</f>
        <v/>
      </c>
      <c r="D973" s="14" t="n"/>
      <c r="E973" s="14" t="n"/>
      <c r="F973" s="18" t="n"/>
      <c r="G973" s="18" t="n"/>
      <c r="H973" s="21">
        <f>IF(AND($F973="",$G973=""),"",N($F973)*IFERROR(N(INDEX(Vinos!$H$2:$H$301,MATCH($B973,Vinos!$A$2:$A$301,0))),0)+N($G973))</f>
        <v/>
      </c>
      <c r="I973" s="18" t="n"/>
      <c r="J973" s="21">
        <f>IF(OR($H973="",$I973=""),"",$H973-$I973)</f>
        <v/>
      </c>
      <c r="K973" s="16">
        <f>IF($H973="","",IFERROR(IF(INDEX(Vinos!$J$2:$J$301,MATCH($B973,Vinos!$A$2:$A$301,0))="","",$H973*INDEX(Vinos!$J$2:$J$301,MATCH($B973,Vinos!$A$2:$A$301,0))),""))</f>
        <v/>
      </c>
      <c r="L973" s="16">
        <f>IF($H973="","",IFERROR(IF(INDEX(Vinos!$K$2:$K$301,MATCH($B973,Vinos!$A$2:$A$301,0))="","",$H973*INDEX(Vinos!$K$2:$K$301,MATCH($B973,Vinos!$A$2:$A$301,0))),""))</f>
        <v/>
      </c>
      <c r="M973" s="21">
        <f>IF(OR($A973="",$B973=""),"",SUMIFS($H$2:$H$2001,$A$2:$A$2001,$A973,$B$2:$B$2001,$B973))</f>
        <v/>
      </c>
      <c r="N973" s="20">
        <f>IF($M973="","",IF($M973&lt;=0,"Sin stock: reponer ya",IF($M973&lt;IFERROR(N(INDEX(Vinos!$N$2:$N$301,MATCH($B973,Vinos!$A$2:$A$301,0))),0),"Bajo mínimo: reponer","OK")))</f>
        <v/>
      </c>
      <c r="O973" s="14" t="n"/>
      <c r="P973" s="14" t="n"/>
      <c r="Q973" s="20">
        <f>IF($B973="","",IFERROR(INDEX(Vinos!$C$2:$C$301,MATCH($B973,Vinos!$A$2:$A$301,0)),""))</f>
        <v/>
      </c>
      <c r="R973" s="20">
        <f>IF(OR($A973="",$A973&lt;&gt;'Resumen del inventario'!$C$3,$N973="",$N973="OK"),"",IF(COUNTIFS($A$2:$A973,$A973,$B$2:$B973,$B973)=1,1,""))</f>
        <v/>
      </c>
      <c r="S973" s="20">
        <f>IF($R973=1,COUNTIF($R$2:$R973,1),"")</f>
        <v/>
      </c>
    </row>
    <row r="974">
      <c r="A974" s="19" t="n"/>
      <c r="B974" s="14" t="n"/>
      <c r="C974" s="20">
        <f>IF($B974="","",IFERROR(INDEX(Vinos!$B$2:$B$301,MATCH($B974,Vinos!$A$2:$A$301,0)),"Código no cargado"))</f>
        <v/>
      </c>
      <c r="D974" s="14" t="n"/>
      <c r="E974" s="14" t="n"/>
      <c r="F974" s="18" t="n"/>
      <c r="G974" s="18" t="n"/>
      <c r="H974" s="21">
        <f>IF(AND($F974="",$G974=""),"",N($F974)*IFERROR(N(INDEX(Vinos!$H$2:$H$301,MATCH($B974,Vinos!$A$2:$A$301,0))),0)+N($G974))</f>
        <v/>
      </c>
      <c r="I974" s="18" t="n"/>
      <c r="J974" s="21">
        <f>IF(OR($H974="",$I974=""),"",$H974-$I974)</f>
        <v/>
      </c>
      <c r="K974" s="16">
        <f>IF($H974="","",IFERROR(IF(INDEX(Vinos!$J$2:$J$301,MATCH($B974,Vinos!$A$2:$A$301,0))="","",$H974*INDEX(Vinos!$J$2:$J$301,MATCH($B974,Vinos!$A$2:$A$301,0))),""))</f>
        <v/>
      </c>
      <c r="L974" s="16">
        <f>IF($H974="","",IFERROR(IF(INDEX(Vinos!$K$2:$K$301,MATCH($B974,Vinos!$A$2:$A$301,0))="","",$H974*INDEX(Vinos!$K$2:$K$301,MATCH($B974,Vinos!$A$2:$A$301,0))),""))</f>
        <v/>
      </c>
      <c r="M974" s="21">
        <f>IF(OR($A974="",$B974=""),"",SUMIFS($H$2:$H$2001,$A$2:$A$2001,$A974,$B$2:$B$2001,$B974))</f>
        <v/>
      </c>
      <c r="N974" s="20">
        <f>IF($M974="","",IF($M974&lt;=0,"Sin stock: reponer ya",IF($M974&lt;IFERROR(N(INDEX(Vinos!$N$2:$N$301,MATCH($B974,Vinos!$A$2:$A$301,0))),0),"Bajo mínimo: reponer","OK")))</f>
        <v/>
      </c>
      <c r="O974" s="14" t="n"/>
      <c r="P974" s="14" t="n"/>
      <c r="Q974" s="20">
        <f>IF($B974="","",IFERROR(INDEX(Vinos!$C$2:$C$301,MATCH($B974,Vinos!$A$2:$A$301,0)),""))</f>
        <v/>
      </c>
      <c r="R974" s="20">
        <f>IF(OR($A974="",$A974&lt;&gt;'Resumen del inventario'!$C$3,$N974="",$N974="OK"),"",IF(COUNTIFS($A$2:$A974,$A974,$B$2:$B974,$B974)=1,1,""))</f>
        <v/>
      </c>
      <c r="S974" s="20">
        <f>IF($R974=1,COUNTIF($R$2:$R974,1),"")</f>
        <v/>
      </c>
    </row>
    <row r="975">
      <c r="A975" s="19" t="n"/>
      <c r="B975" s="14" t="n"/>
      <c r="C975" s="20">
        <f>IF($B975="","",IFERROR(INDEX(Vinos!$B$2:$B$301,MATCH($B975,Vinos!$A$2:$A$301,0)),"Código no cargado"))</f>
        <v/>
      </c>
      <c r="D975" s="14" t="n"/>
      <c r="E975" s="14" t="n"/>
      <c r="F975" s="18" t="n"/>
      <c r="G975" s="18" t="n"/>
      <c r="H975" s="21">
        <f>IF(AND($F975="",$G975=""),"",N($F975)*IFERROR(N(INDEX(Vinos!$H$2:$H$301,MATCH($B975,Vinos!$A$2:$A$301,0))),0)+N($G975))</f>
        <v/>
      </c>
      <c r="I975" s="18" t="n"/>
      <c r="J975" s="21">
        <f>IF(OR($H975="",$I975=""),"",$H975-$I975)</f>
        <v/>
      </c>
      <c r="K975" s="16">
        <f>IF($H975="","",IFERROR(IF(INDEX(Vinos!$J$2:$J$301,MATCH($B975,Vinos!$A$2:$A$301,0))="","",$H975*INDEX(Vinos!$J$2:$J$301,MATCH($B975,Vinos!$A$2:$A$301,0))),""))</f>
        <v/>
      </c>
      <c r="L975" s="16">
        <f>IF($H975="","",IFERROR(IF(INDEX(Vinos!$K$2:$K$301,MATCH($B975,Vinos!$A$2:$A$301,0))="","",$H975*INDEX(Vinos!$K$2:$K$301,MATCH($B975,Vinos!$A$2:$A$301,0))),""))</f>
        <v/>
      </c>
      <c r="M975" s="21">
        <f>IF(OR($A975="",$B975=""),"",SUMIFS($H$2:$H$2001,$A$2:$A$2001,$A975,$B$2:$B$2001,$B975))</f>
        <v/>
      </c>
      <c r="N975" s="20">
        <f>IF($M975="","",IF($M975&lt;=0,"Sin stock: reponer ya",IF($M975&lt;IFERROR(N(INDEX(Vinos!$N$2:$N$301,MATCH($B975,Vinos!$A$2:$A$301,0))),0),"Bajo mínimo: reponer","OK")))</f>
        <v/>
      </c>
      <c r="O975" s="14" t="n"/>
      <c r="P975" s="14" t="n"/>
      <c r="Q975" s="20">
        <f>IF($B975="","",IFERROR(INDEX(Vinos!$C$2:$C$301,MATCH($B975,Vinos!$A$2:$A$301,0)),""))</f>
        <v/>
      </c>
      <c r="R975" s="20">
        <f>IF(OR($A975="",$A975&lt;&gt;'Resumen del inventario'!$C$3,$N975="",$N975="OK"),"",IF(COUNTIFS($A$2:$A975,$A975,$B$2:$B975,$B975)=1,1,""))</f>
        <v/>
      </c>
      <c r="S975" s="20">
        <f>IF($R975=1,COUNTIF($R$2:$R975,1),"")</f>
        <v/>
      </c>
    </row>
    <row r="976">
      <c r="A976" s="19" t="n"/>
      <c r="B976" s="14" t="n"/>
      <c r="C976" s="20">
        <f>IF($B976="","",IFERROR(INDEX(Vinos!$B$2:$B$301,MATCH($B976,Vinos!$A$2:$A$301,0)),"Código no cargado"))</f>
        <v/>
      </c>
      <c r="D976" s="14" t="n"/>
      <c r="E976" s="14" t="n"/>
      <c r="F976" s="18" t="n"/>
      <c r="G976" s="18" t="n"/>
      <c r="H976" s="21">
        <f>IF(AND($F976="",$G976=""),"",N($F976)*IFERROR(N(INDEX(Vinos!$H$2:$H$301,MATCH($B976,Vinos!$A$2:$A$301,0))),0)+N($G976))</f>
        <v/>
      </c>
      <c r="I976" s="18" t="n"/>
      <c r="J976" s="21">
        <f>IF(OR($H976="",$I976=""),"",$H976-$I976)</f>
        <v/>
      </c>
      <c r="K976" s="16">
        <f>IF($H976="","",IFERROR(IF(INDEX(Vinos!$J$2:$J$301,MATCH($B976,Vinos!$A$2:$A$301,0))="","",$H976*INDEX(Vinos!$J$2:$J$301,MATCH($B976,Vinos!$A$2:$A$301,0))),""))</f>
        <v/>
      </c>
      <c r="L976" s="16">
        <f>IF($H976="","",IFERROR(IF(INDEX(Vinos!$K$2:$K$301,MATCH($B976,Vinos!$A$2:$A$301,0))="","",$H976*INDEX(Vinos!$K$2:$K$301,MATCH($B976,Vinos!$A$2:$A$301,0))),""))</f>
        <v/>
      </c>
      <c r="M976" s="21">
        <f>IF(OR($A976="",$B976=""),"",SUMIFS($H$2:$H$2001,$A$2:$A$2001,$A976,$B$2:$B$2001,$B976))</f>
        <v/>
      </c>
      <c r="N976" s="20">
        <f>IF($M976="","",IF($M976&lt;=0,"Sin stock: reponer ya",IF($M976&lt;IFERROR(N(INDEX(Vinos!$N$2:$N$301,MATCH($B976,Vinos!$A$2:$A$301,0))),0),"Bajo mínimo: reponer","OK")))</f>
        <v/>
      </c>
      <c r="O976" s="14" t="n"/>
      <c r="P976" s="14" t="n"/>
      <c r="Q976" s="20">
        <f>IF($B976="","",IFERROR(INDEX(Vinos!$C$2:$C$301,MATCH($B976,Vinos!$A$2:$A$301,0)),""))</f>
        <v/>
      </c>
      <c r="R976" s="20">
        <f>IF(OR($A976="",$A976&lt;&gt;'Resumen del inventario'!$C$3,$N976="",$N976="OK"),"",IF(COUNTIFS($A$2:$A976,$A976,$B$2:$B976,$B976)=1,1,""))</f>
        <v/>
      </c>
      <c r="S976" s="20">
        <f>IF($R976=1,COUNTIF($R$2:$R976,1),"")</f>
        <v/>
      </c>
    </row>
    <row r="977">
      <c r="A977" s="19" t="n"/>
      <c r="B977" s="14" t="n"/>
      <c r="C977" s="20">
        <f>IF($B977="","",IFERROR(INDEX(Vinos!$B$2:$B$301,MATCH($B977,Vinos!$A$2:$A$301,0)),"Código no cargado"))</f>
        <v/>
      </c>
      <c r="D977" s="14" t="n"/>
      <c r="E977" s="14" t="n"/>
      <c r="F977" s="18" t="n"/>
      <c r="G977" s="18" t="n"/>
      <c r="H977" s="21">
        <f>IF(AND($F977="",$G977=""),"",N($F977)*IFERROR(N(INDEX(Vinos!$H$2:$H$301,MATCH($B977,Vinos!$A$2:$A$301,0))),0)+N($G977))</f>
        <v/>
      </c>
      <c r="I977" s="18" t="n"/>
      <c r="J977" s="21">
        <f>IF(OR($H977="",$I977=""),"",$H977-$I977)</f>
        <v/>
      </c>
      <c r="K977" s="16">
        <f>IF($H977="","",IFERROR(IF(INDEX(Vinos!$J$2:$J$301,MATCH($B977,Vinos!$A$2:$A$301,0))="","",$H977*INDEX(Vinos!$J$2:$J$301,MATCH($B977,Vinos!$A$2:$A$301,0))),""))</f>
        <v/>
      </c>
      <c r="L977" s="16">
        <f>IF($H977="","",IFERROR(IF(INDEX(Vinos!$K$2:$K$301,MATCH($B977,Vinos!$A$2:$A$301,0))="","",$H977*INDEX(Vinos!$K$2:$K$301,MATCH($B977,Vinos!$A$2:$A$301,0))),""))</f>
        <v/>
      </c>
      <c r="M977" s="21">
        <f>IF(OR($A977="",$B977=""),"",SUMIFS($H$2:$H$2001,$A$2:$A$2001,$A977,$B$2:$B$2001,$B977))</f>
        <v/>
      </c>
      <c r="N977" s="20">
        <f>IF($M977="","",IF($M977&lt;=0,"Sin stock: reponer ya",IF($M977&lt;IFERROR(N(INDEX(Vinos!$N$2:$N$301,MATCH($B977,Vinos!$A$2:$A$301,0))),0),"Bajo mínimo: reponer","OK")))</f>
        <v/>
      </c>
      <c r="O977" s="14" t="n"/>
      <c r="P977" s="14" t="n"/>
      <c r="Q977" s="20">
        <f>IF($B977="","",IFERROR(INDEX(Vinos!$C$2:$C$301,MATCH($B977,Vinos!$A$2:$A$301,0)),""))</f>
        <v/>
      </c>
      <c r="R977" s="20">
        <f>IF(OR($A977="",$A977&lt;&gt;'Resumen del inventario'!$C$3,$N977="",$N977="OK"),"",IF(COUNTIFS($A$2:$A977,$A977,$B$2:$B977,$B977)=1,1,""))</f>
        <v/>
      </c>
      <c r="S977" s="20">
        <f>IF($R977=1,COUNTIF($R$2:$R977,1),"")</f>
        <v/>
      </c>
    </row>
    <row r="978">
      <c r="A978" s="19" t="n"/>
      <c r="B978" s="14" t="n"/>
      <c r="C978" s="20">
        <f>IF($B978="","",IFERROR(INDEX(Vinos!$B$2:$B$301,MATCH($B978,Vinos!$A$2:$A$301,0)),"Código no cargado"))</f>
        <v/>
      </c>
      <c r="D978" s="14" t="n"/>
      <c r="E978" s="14" t="n"/>
      <c r="F978" s="18" t="n"/>
      <c r="G978" s="18" t="n"/>
      <c r="H978" s="21">
        <f>IF(AND($F978="",$G978=""),"",N($F978)*IFERROR(N(INDEX(Vinos!$H$2:$H$301,MATCH($B978,Vinos!$A$2:$A$301,0))),0)+N($G978))</f>
        <v/>
      </c>
      <c r="I978" s="18" t="n"/>
      <c r="J978" s="21">
        <f>IF(OR($H978="",$I978=""),"",$H978-$I978)</f>
        <v/>
      </c>
      <c r="K978" s="16">
        <f>IF($H978="","",IFERROR(IF(INDEX(Vinos!$J$2:$J$301,MATCH($B978,Vinos!$A$2:$A$301,0))="","",$H978*INDEX(Vinos!$J$2:$J$301,MATCH($B978,Vinos!$A$2:$A$301,0))),""))</f>
        <v/>
      </c>
      <c r="L978" s="16">
        <f>IF($H978="","",IFERROR(IF(INDEX(Vinos!$K$2:$K$301,MATCH($B978,Vinos!$A$2:$A$301,0))="","",$H978*INDEX(Vinos!$K$2:$K$301,MATCH($B978,Vinos!$A$2:$A$301,0))),""))</f>
        <v/>
      </c>
      <c r="M978" s="21">
        <f>IF(OR($A978="",$B978=""),"",SUMIFS($H$2:$H$2001,$A$2:$A$2001,$A978,$B$2:$B$2001,$B978))</f>
        <v/>
      </c>
      <c r="N978" s="20">
        <f>IF($M978="","",IF($M978&lt;=0,"Sin stock: reponer ya",IF($M978&lt;IFERROR(N(INDEX(Vinos!$N$2:$N$301,MATCH($B978,Vinos!$A$2:$A$301,0))),0),"Bajo mínimo: reponer","OK")))</f>
        <v/>
      </c>
      <c r="O978" s="14" t="n"/>
      <c r="P978" s="14" t="n"/>
      <c r="Q978" s="20">
        <f>IF($B978="","",IFERROR(INDEX(Vinos!$C$2:$C$301,MATCH($B978,Vinos!$A$2:$A$301,0)),""))</f>
        <v/>
      </c>
      <c r="R978" s="20">
        <f>IF(OR($A978="",$A978&lt;&gt;'Resumen del inventario'!$C$3,$N978="",$N978="OK"),"",IF(COUNTIFS($A$2:$A978,$A978,$B$2:$B978,$B978)=1,1,""))</f>
        <v/>
      </c>
      <c r="S978" s="20">
        <f>IF($R978=1,COUNTIF($R$2:$R978,1),"")</f>
        <v/>
      </c>
    </row>
    <row r="979">
      <c r="A979" s="19" t="n"/>
      <c r="B979" s="14" t="n"/>
      <c r="C979" s="20">
        <f>IF($B979="","",IFERROR(INDEX(Vinos!$B$2:$B$301,MATCH($B979,Vinos!$A$2:$A$301,0)),"Código no cargado"))</f>
        <v/>
      </c>
      <c r="D979" s="14" t="n"/>
      <c r="E979" s="14" t="n"/>
      <c r="F979" s="18" t="n"/>
      <c r="G979" s="18" t="n"/>
      <c r="H979" s="21">
        <f>IF(AND($F979="",$G979=""),"",N($F979)*IFERROR(N(INDEX(Vinos!$H$2:$H$301,MATCH($B979,Vinos!$A$2:$A$301,0))),0)+N($G979))</f>
        <v/>
      </c>
      <c r="I979" s="18" t="n"/>
      <c r="J979" s="21">
        <f>IF(OR($H979="",$I979=""),"",$H979-$I979)</f>
        <v/>
      </c>
      <c r="K979" s="16">
        <f>IF($H979="","",IFERROR(IF(INDEX(Vinos!$J$2:$J$301,MATCH($B979,Vinos!$A$2:$A$301,0))="","",$H979*INDEX(Vinos!$J$2:$J$301,MATCH($B979,Vinos!$A$2:$A$301,0))),""))</f>
        <v/>
      </c>
      <c r="L979" s="16">
        <f>IF($H979="","",IFERROR(IF(INDEX(Vinos!$K$2:$K$301,MATCH($B979,Vinos!$A$2:$A$301,0))="","",$H979*INDEX(Vinos!$K$2:$K$301,MATCH($B979,Vinos!$A$2:$A$301,0))),""))</f>
        <v/>
      </c>
      <c r="M979" s="21">
        <f>IF(OR($A979="",$B979=""),"",SUMIFS($H$2:$H$2001,$A$2:$A$2001,$A979,$B$2:$B$2001,$B979))</f>
        <v/>
      </c>
      <c r="N979" s="20">
        <f>IF($M979="","",IF($M979&lt;=0,"Sin stock: reponer ya",IF($M979&lt;IFERROR(N(INDEX(Vinos!$N$2:$N$301,MATCH($B979,Vinos!$A$2:$A$301,0))),0),"Bajo mínimo: reponer","OK")))</f>
        <v/>
      </c>
      <c r="O979" s="14" t="n"/>
      <c r="P979" s="14" t="n"/>
      <c r="Q979" s="20">
        <f>IF($B979="","",IFERROR(INDEX(Vinos!$C$2:$C$301,MATCH($B979,Vinos!$A$2:$A$301,0)),""))</f>
        <v/>
      </c>
      <c r="R979" s="20">
        <f>IF(OR($A979="",$A979&lt;&gt;'Resumen del inventario'!$C$3,$N979="",$N979="OK"),"",IF(COUNTIFS($A$2:$A979,$A979,$B$2:$B979,$B979)=1,1,""))</f>
        <v/>
      </c>
      <c r="S979" s="20">
        <f>IF($R979=1,COUNTIF($R$2:$R979,1),"")</f>
        <v/>
      </c>
    </row>
    <row r="980">
      <c r="A980" s="19" t="n"/>
      <c r="B980" s="14" t="n"/>
      <c r="C980" s="20">
        <f>IF($B980="","",IFERROR(INDEX(Vinos!$B$2:$B$301,MATCH($B980,Vinos!$A$2:$A$301,0)),"Código no cargado"))</f>
        <v/>
      </c>
      <c r="D980" s="14" t="n"/>
      <c r="E980" s="14" t="n"/>
      <c r="F980" s="18" t="n"/>
      <c r="G980" s="18" t="n"/>
      <c r="H980" s="21">
        <f>IF(AND($F980="",$G980=""),"",N($F980)*IFERROR(N(INDEX(Vinos!$H$2:$H$301,MATCH($B980,Vinos!$A$2:$A$301,0))),0)+N($G980))</f>
        <v/>
      </c>
      <c r="I980" s="18" t="n"/>
      <c r="J980" s="21">
        <f>IF(OR($H980="",$I980=""),"",$H980-$I980)</f>
        <v/>
      </c>
      <c r="K980" s="16">
        <f>IF($H980="","",IFERROR(IF(INDEX(Vinos!$J$2:$J$301,MATCH($B980,Vinos!$A$2:$A$301,0))="","",$H980*INDEX(Vinos!$J$2:$J$301,MATCH($B980,Vinos!$A$2:$A$301,0))),""))</f>
        <v/>
      </c>
      <c r="L980" s="16">
        <f>IF($H980="","",IFERROR(IF(INDEX(Vinos!$K$2:$K$301,MATCH($B980,Vinos!$A$2:$A$301,0))="","",$H980*INDEX(Vinos!$K$2:$K$301,MATCH($B980,Vinos!$A$2:$A$301,0))),""))</f>
        <v/>
      </c>
      <c r="M980" s="21">
        <f>IF(OR($A980="",$B980=""),"",SUMIFS($H$2:$H$2001,$A$2:$A$2001,$A980,$B$2:$B$2001,$B980))</f>
        <v/>
      </c>
      <c r="N980" s="20">
        <f>IF($M980="","",IF($M980&lt;=0,"Sin stock: reponer ya",IF($M980&lt;IFERROR(N(INDEX(Vinos!$N$2:$N$301,MATCH($B980,Vinos!$A$2:$A$301,0))),0),"Bajo mínimo: reponer","OK")))</f>
        <v/>
      </c>
      <c r="O980" s="14" t="n"/>
      <c r="P980" s="14" t="n"/>
      <c r="Q980" s="20">
        <f>IF($B980="","",IFERROR(INDEX(Vinos!$C$2:$C$301,MATCH($B980,Vinos!$A$2:$A$301,0)),""))</f>
        <v/>
      </c>
      <c r="R980" s="20">
        <f>IF(OR($A980="",$A980&lt;&gt;'Resumen del inventario'!$C$3,$N980="",$N980="OK"),"",IF(COUNTIFS($A$2:$A980,$A980,$B$2:$B980,$B980)=1,1,""))</f>
        <v/>
      </c>
      <c r="S980" s="20">
        <f>IF($R980=1,COUNTIF($R$2:$R980,1),"")</f>
        <v/>
      </c>
    </row>
    <row r="981">
      <c r="A981" s="19" t="n"/>
      <c r="B981" s="14" t="n"/>
      <c r="C981" s="20">
        <f>IF($B981="","",IFERROR(INDEX(Vinos!$B$2:$B$301,MATCH($B981,Vinos!$A$2:$A$301,0)),"Código no cargado"))</f>
        <v/>
      </c>
      <c r="D981" s="14" t="n"/>
      <c r="E981" s="14" t="n"/>
      <c r="F981" s="18" t="n"/>
      <c r="G981" s="18" t="n"/>
      <c r="H981" s="21">
        <f>IF(AND($F981="",$G981=""),"",N($F981)*IFERROR(N(INDEX(Vinos!$H$2:$H$301,MATCH($B981,Vinos!$A$2:$A$301,0))),0)+N($G981))</f>
        <v/>
      </c>
      <c r="I981" s="18" t="n"/>
      <c r="J981" s="21">
        <f>IF(OR($H981="",$I981=""),"",$H981-$I981)</f>
        <v/>
      </c>
      <c r="K981" s="16">
        <f>IF($H981="","",IFERROR(IF(INDEX(Vinos!$J$2:$J$301,MATCH($B981,Vinos!$A$2:$A$301,0))="","",$H981*INDEX(Vinos!$J$2:$J$301,MATCH($B981,Vinos!$A$2:$A$301,0))),""))</f>
        <v/>
      </c>
      <c r="L981" s="16">
        <f>IF($H981="","",IFERROR(IF(INDEX(Vinos!$K$2:$K$301,MATCH($B981,Vinos!$A$2:$A$301,0))="","",$H981*INDEX(Vinos!$K$2:$K$301,MATCH($B981,Vinos!$A$2:$A$301,0))),""))</f>
        <v/>
      </c>
      <c r="M981" s="21">
        <f>IF(OR($A981="",$B981=""),"",SUMIFS($H$2:$H$2001,$A$2:$A$2001,$A981,$B$2:$B$2001,$B981))</f>
        <v/>
      </c>
      <c r="N981" s="20">
        <f>IF($M981="","",IF($M981&lt;=0,"Sin stock: reponer ya",IF($M981&lt;IFERROR(N(INDEX(Vinos!$N$2:$N$301,MATCH($B981,Vinos!$A$2:$A$301,0))),0),"Bajo mínimo: reponer","OK")))</f>
        <v/>
      </c>
      <c r="O981" s="14" t="n"/>
      <c r="P981" s="14" t="n"/>
      <c r="Q981" s="20">
        <f>IF($B981="","",IFERROR(INDEX(Vinos!$C$2:$C$301,MATCH($B981,Vinos!$A$2:$A$301,0)),""))</f>
        <v/>
      </c>
      <c r="R981" s="20">
        <f>IF(OR($A981="",$A981&lt;&gt;'Resumen del inventario'!$C$3,$N981="",$N981="OK"),"",IF(COUNTIFS($A$2:$A981,$A981,$B$2:$B981,$B981)=1,1,""))</f>
        <v/>
      </c>
      <c r="S981" s="20">
        <f>IF($R981=1,COUNTIF($R$2:$R981,1),"")</f>
        <v/>
      </c>
    </row>
    <row r="982">
      <c r="A982" s="19" t="n"/>
      <c r="B982" s="14" t="n"/>
      <c r="C982" s="20">
        <f>IF($B982="","",IFERROR(INDEX(Vinos!$B$2:$B$301,MATCH($B982,Vinos!$A$2:$A$301,0)),"Código no cargado"))</f>
        <v/>
      </c>
      <c r="D982" s="14" t="n"/>
      <c r="E982" s="14" t="n"/>
      <c r="F982" s="18" t="n"/>
      <c r="G982" s="18" t="n"/>
      <c r="H982" s="21">
        <f>IF(AND($F982="",$G982=""),"",N($F982)*IFERROR(N(INDEX(Vinos!$H$2:$H$301,MATCH($B982,Vinos!$A$2:$A$301,0))),0)+N($G982))</f>
        <v/>
      </c>
      <c r="I982" s="18" t="n"/>
      <c r="J982" s="21">
        <f>IF(OR($H982="",$I982=""),"",$H982-$I982)</f>
        <v/>
      </c>
      <c r="K982" s="16">
        <f>IF($H982="","",IFERROR(IF(INDEX(Vinos!$J$2:$J$301,MATCH($B982,Vinos!$A$2:$A$301,0))="","",$H982*INDEX(Vinos!$J$2:$J$301,MATCH($B982,Vinos!$A$2:$A$301,0))),""))</f>
        <v/>
      </c>
      <c r="L982" s="16">
        <f>IF($H982="","",IFERROR(IF(INDEX(Vinos!$K$2:$K$301,MATCH($B982,Vinos!$A$2:$A$301,0))="","",$H982*INDEX(Vinos!$K$2:$K$301,MATCH($B982,Vinos!$A$2:$A$301,0))),""))</f>
        <v/>
      </c>
      <c r="M982" s="21">
        <f>IF(OR($A982="",$B982=""),"",SUMIFS($H$2:$H$2001,$A$2:$A$2001,$A982,$B$2:$B$2001,$B982))</f>
        <v/>
      </c>
      <c r="N982" s="20">
        <f>IF($M982="","",IF($M982&lt;=0,"Sin stock: reponer ya",IF($M982&lt;IFERROR(N(INDEX(Vinos!$N$2:$N$301,MATCH($B982,Vinos!$A$2:$A$301,0))),0),"Bajo mínimo: reponer","OK")))</f>
        <v/>
      </c>
      <c r="O982" s="14" t="n"/>
      <c r="P982" s="14" t="n"/>
      <c r="Q982" s="20">
        <f>IF($B982="","",IFERROR(INDEX(Vinos!$C$2:$C$301,MATCH($B982,Vinos!$A$2:$A$301,0)),""))</f>
        <v/>
      </c>
      <c r="R982" s="20">
        <f>IF(OR($A982="",$A982&lt;&gt;'Resumen del inventario'!$C$3,$N982="",$N982="OK"),"",IF(COUNTIFS($A$2:$A982,$A982,$B$2:$B982,$B982)=1,1,""))</f>
        <v/>
      </c>
      <c r="S982" s="20">
        <f>IF($R982=1,COUNTIF($R$2:$R982,1),"")</f>
        <v/>
      </c>
    </row>
    <row r="983">
      <c r="A983" s="19" t="n"/>
      <c r="B983" s="14" t="n"/>
      <c r="C983" s="20">
        <f>IF($B983="","",IFERROR(INDEX(Vinos!$B$2:$B$301,MATCH($B983,Vinos!$A$2:$A$301,0)),"Código no cargado"))</f>
        <v/>
      </c>
      <c r="D983" s="14" t="n"/>
      <c r="E983" s="14" t="n"/>
      <c r="F983" s="18" t="n"/>
      <c r="G983" s="18" t="n"/>
      <c r="H983" s="21">
        <f>IF(AND($F983="",$G983=""),"",N($F983)*IFERROR(N(INDEX(Vinos!$H$2:$H$301,MATCH($B983,Vinos!$A$2:$A$301,0))),0)+N($G983))</f>
        <v/>
      </c>
      <c r="I983" s="18" t="n"/>
      <c r="J983" s="21">
        <f>IF(OR($H983="",$I983=""),"",$H983-$I983)</f>
        <v/>
      </c>
      <c r="K983" s="16">
        <f>IF($H983="","",IFERROR(IF(INDEX(Vinos!$J$2:$J$301,MATCH($B983,Vinos!$A$2:$A$301,0))="","",$H983*INDEX(Vinos!$J$2:$J$301,MATCH($B983,Vinos!$A$2:$A$301,0))),""))</f>
        <v/>
      </c>
      <c r="L983" s="16">
        <f>IF($H983="","",IFERROR(IF(INDEX(Vinos!$K$2:$K$301,MATCH($B983,Vinos!$A$2:$A$301,0))="","",$H983*INDEX(Vinos!$K$2:$K$301,MATCH($B983,Vinos!$A$2:$A$301,0))),""))</f>
        <v/>
      </c>
      <c r="M983" s="21">
        <f>IF(OR($A983="",$B983=""),"",SUMIFS($H$2:$H$2001,$A$2:$A$2001,$A983,$B$2:$B$2001,$B983))</f>
        <v/>
      </c>
      <c r="N983" s="20">
        <f>IF($M983="","",IF($M983&lt;=0,"Sin stock: reponer ya",IF($M983&lt;IFERROR(N(INDEX(Vinos!$N$2:$N$301,MATCH($B983,Vinos!$A$2:$A$301,0))),0),"Bajo mínimo: reponer","OK")))</f>
        <v/>
      </c>
      <c r="O983" s="14" t="n"/>
      <c r="P983" s="14" t="n"/>
      <c r="Q983" s="20">
        <f>IF($B983="","",IFERROR(INDEX(Vinos!$C$2:$C$301,MATCH($B983,Vinos!$A$2:$A$301,0)),""))</f>
        <v/>
      </c>
      <c r="R983" s="20">
        <f>IF(OR($A983="",$A983&lt;&gt;'Resumen del inventario'!$C$3,$N983="",$N983="OK"),"",IF(COUNTIFS($A$2:$A983,$A983,$B$2:$B983,$B983)=1,1,""))</f>
        <v/>
      </c>
      <c r="S983" s="20">
        <f>IF($R983=1,COUNTIF($R$2:$R983,1),"")</f>
        <v/>
      </c>
    </row>
    <row r="984">
      <c r="A984" s="19" t="n"/>
      <c r="B984" s="14" t="n"/>
      <c r="C984" s="20">
        <f>IF($B984="","",IFERROR(INDEX(Vinos!$B$2:$B$301,MATCH($B984,Vinos!$A$2:$A$301,0)),"Código no cargado"))</f>
        <v/>
      </c>
      <c r="D984" s="14" t="n"/>
      <c r="E984" s="14" t="n"/>
      <c r="F984" s="18" t="n"/>
      <c r="G984" s="18" t="n"/>
      <c r="H984" s="21">
        <f>IF(AND($F984="",$G984=""),"",N($F984)*IFERROR(N(INDEX(Vinos!$H$2:$H$301,MATCH($B984,Vinos!$A$2:$A$301,0))),0)+N($G984))</f>
        <v/>
      </c>
      <c r="I984" s="18" t="n"/>
      <c r="J984" s="21">
        <f>IF(OR($H984="",$I984=""),"",$H984-$I984)</f>
        <v/>
      </c>
      <c r="K984" s="16">
        <f>IF($H984="","",IFERROR(IF(INDEX(Vinos!$J$2:$J$301,MATCH($B984,Vinos!$A$2:$A$301,0))="","",$H984*INDEX(Vinos!$J$2:$J$301,MATCH($B984,Vinos!$A$2:$A$301,0))),""))</f>
        <v/>
      </c>
      <c r="L984" s="16">
        <f>IF($H984="","",IFERROR(IF(INDEX(Vinos!$K$2:$K$301,MATCH($B984,Vinos!$A$2:$A$301,0))="","",$H984*INDEX(Vinos!$K$2:$K$301,MATCH($B984,Vinos!$A$2:$A$301,0))),""))</f>
        <v/>
      </c>
      <c r="M984" s="21">
        <f>IF(OR($A984="",$B984=""),"",SUMIFS($H$2:$H$2001,$A$2:$A$2001,$A984,$B$2:$B$2001,$B984))</f>
        <v/>
      </c>
      <c r="N984" s="20">
        <f>IF($M984="","",IF($M984&lt;=0,"Sin stock: reponer ya",IF($M984&lt;IFERROR(N(INDEX(Vinos!$N$2:$N$301,MATCH($B984,Vinos!$A$2:$A$301,0))),0),"Bajo mínimo: reponer","OK")))</f>
        <v/>
      </c>
      <c r="O984" s="14" t="n"/>
      <c r="P984" s="14" t="n"/>
      <c r="Q984" s="20">
        <f>IF($B984="","",IFERROR(INDEX(Vinos!$C$2:$C$301,MATCH($B984,Vinos!$A$2:$A$301,0)),""))</f>
        <v/>
      </c>
      <c r="R984" s="20">
        <f>IF(OR($A984="",$A984&lt;&gt;'Resumen del inventario'!$C$3,$N984="",$N984="OK"),"",IF(COUNTIFS($A$2:$A984,$A984,$B$2:$B984,$B984)=1,1,""))</f>
        <v/>
      </c>
      <c r="S984" s="20">
        <f>IF($R984=1,COUNTIF($R$2:$R984,1),"")</f>
        <v/>
      </c>
    </row>
    <row r="985">
      <c r="A985" s="19" t="n"/>
      <c r="B985" s="14" t="n"/>
      <c r="C985" s="20">
        <f>IF($B985="","",IFERROR(INDEX(Vinos!$B$2:$B$301,MATCH($B985,Vinos!$A$2:$A$301,0)),"Código no cargado"))</f>
        <v/>
      </c>
      <c r="D985" s="14" t="n"/>
      <c r="E985" s="14" t="n"/>
      <c r="F985" s="18" t="n"/>
      <c r="G985" s="18" t="n"/>
      <c r="H985" s="21">
        <f>IF(AND($F985="",$G985=""),"",N($F985)*IFERROR(N(INDEX(Vinos!$H$2:$H$301,MATCH($B985,Vinos!$A$2:$A$301,0))),0)+N($G985))</f>
        <v/>
      </c>
      <c r="I985" s="18" t="n"/>
      <c r="J985" s="21">
        <f>IF(OR($H985="",$I985=""),"",$H985-$I985)</f>
        <v/>
      </c>
      <c r="K985" s="16">
        <f>IF($H985="","",IFERROR(IF(INDEX(Vinos!$J$2:$J$301,MATCH($B985,Vinos!$A$2:$A$301,0))="","",$H985*INDEX(Vinos!$J$2:$J$301,MATCH($B985,Vinos!$A$2:$A$301,0))),""))</f>
        <v/>
      </c>
      <c r="L985" s="16">
        <f>IF($H985="","",IFERROR(IF(INDEX(Vinos!$K$2:$K$301,MATCH($B985,Vinos!$A$2:$A$301,0))="","",$H985*INDEX(Vinos!$K$2:$K$301,MATCH($B985,Vinos!$A$2:$A$301,0))),""))</f>
        <v/>
      </c>
      <c r="M985" s="21">
        <f>IF(OR($A985="",$B985=""),"",SUMIFS($H$2:$H$2001,$A$2:$A$2001,$A985,$B$2:$B$2001,$B985))</f>
        <v/>
      </c>
      <c r="N985" s="20">
        <f>IF($M985="","",IF($M985&lt;=0,"Sin stock: reponer ya",IF($M985&lt;IFERROR(N(INDEX(Vinos!$N$2:$N$301,MATCH($B985,Vinos!$A$2:$A$301,0))),0),"Bajo mínimo: reponer","OK")))</f>
        <v/>
      </c>
      <c r="O985" s="14" t="n"/>
      <c r="P985" s="14" t="n"/>
      <c r="Q985" s="20">
        <f>IF($B985="","",IFERROR(INDEX(Vinos!$C$2:$C$301,MATCH($B985,Vinos!$A$2:$A$301,0)),""))</f>
        <v/>
      </c>
      <c r="R985" s="20">
        <f>IF(OR($A985="",$A985&lt;&gt;'Resumen del inventario'!$C$3,$N985="",$N985="OK"),"",IF(COUNTIFS($A$2:$A985,$A985,$B$2:$B985,$B985)=1,1,""))</f>
        <v/>
      </c>
      <c r="S985" s="20">
        <f>IF($R985=1,COUNTIF($R$2:$R985,1),"")</f>
        <v/>
      </c>
    </row>
    <row r="986">
      <c r="A986" s="19" t="n"/>
      <c r="B986" s="14" t="n"/>
      <c r="C986" s="20">
        <f>IF($B986="","",IFERROR(INDEX(Vinos!$B$2:$B$301,MATCH($B986,Vinos!$A$2:$A$301,0)),"Código no cargado"))</f>
        <v/>
      </c>
      <c r="D986" s="14" t="n"/>
      <c r="E986" s="14" t="n"/>
      <c r="F986" s="18" t="n"/>
      <c r="G986" s="18" t="n"/>
      <c r="H986" s="21">
        <f>IF(AND($F986="",$G986=""),"",N($F986)*IFERROR(N(INDEX(Vinos!$H$2:$H$301,MATCH($B986,Vinos!$A$2:$A$301,0))),0)+N($G986))</f>
        <v/>
      </c>
      <c r="I986" s="18" t="n"/>
      <c r="J986" s="21">
        <f>IF(OR($H986="",$I986=""),"",$H986-$I986)</f>
        <v/>
      </c>
      <c r="K986" s="16">
        <f>IF($H986="","",IFERROR(IF(INDEX(Vinos!$J$2:$J$301,MATCH($B986,Vinos!$A$2:$A$301,0))="","",$H986*INDEX(Vinos!$J$2:$J$301,MATCH($B986,Vinos!$A$2:$A$301,0))),""))</f>
        <v/>
      </c>
      <c r="L986" s="16">
        <f>IF($H986="","",IFERROR(IF(INDEX(Vinos!$K$2:$K$301,MATCH($B986,Vinos!$A$2:$A$301,0))="","",$H986*INDEX(Vinos!$K$2:$K$301,MATCH($B986,Vinos!$A$2:$A$301,0))),""))</f>
        <v/>
      </c>
      <c r="M986" s="21">
        <f>IF(OR($A986="",$B986=""),"",SUMIFS($H$2:$H$2001,$A$2:$A$2001,$A986,$B$2:$B$2001,$B986))</f>
        <v/>
      </c>
      <c r="N986" s="20">
        <f>IF($M986="","",IF($M986&lt;=0,"Sin stock: reponer ya",IF($M986&lt;IFERROR(N(INDEX(Vinos!$N$2:$N$301,MATCH($B986,Vinos!$A$2:$A$301,0))),0),"Bajo mínimo: reponer","OK")))</f>
        <v/>
      </c>
      <c r="O986" s="14" t="n"/>
      <c r="P986" s="14" t="n"/>
      <c r="Q986" s="20">
        <f>IF($B986="","",IFERROR(INDEX(Vinos!$C$2:$C$301,MATCH($B986,Vinos!$A$2:$A$301,0)),""))</f>
        <v/>
      </c>
      <c r="R986" s="20">
        <f>IF(OR($A986="",$A986&lt;&gt;'Resumen del inventario'!$C$3,$N986="",$N986="OK"),"",IF(COUNTIFS($A$2:$A986,$A986,$B$2:$B986,$B986)=1,1,""))</f>
        <v/>
      </c>
      <c r="S986" s="20">
        <f>IF($R986=1,COUNTIF($R$2:$R986,1),"")</f>
        <v/>
      </c>
    </row>
    <row r="987">
      <c r="A987" s="19" t="n"/>
      <c r="B987" s="14" t="n"/>
      <c r="C987" s="20">
        <f>IF($B987="","",IFERROR(INDEX(Vinos!$B$2:$B$301,MATCH($B987,Vinos!$A$2:$A$301,0)),"Código no cargado"))</f>
        <v/>
      </c>
      <c r="D987" s="14" t="n"/>
      <c r="E987" s="14" t="n"/>
      <c r="F987" s="18" t="n"/>
      <c r="G987" s="18" t="n"/>
      <c r="H987" s="21">
        <f>IF(AND($F987="",$G987=""),"",N($F987)*IFERROR(N(INDEX(Vinos!$H$2:$H$301,MATCH($B987,Vinos!$A$2:$A$301,0))),0)+N($G987))</f>
        <v/>
      </c>
      <c r="I987" s="18" t="n"/>
      <c r="J987" s="21">
        <f>IF(OR($H987="",$I987=""),"",$H987-$I987)</f>
        <v/>
      </c>
      <c r="K987" s="16">
        <f>IF($H987="","",IFERROR(IF(INDEX(Vinos!$J$2:$J$301,MATCH($B987,Vinos!$A$2:$A$301,0))="","",$H987*INDEX(Vinos!$J$2:$J$301,MATCH($B987,Vinos!$A$2:$A$301,0))),""))</f>
        <v/>
      </c>
      <c r="L987" s="16">
        <f>IF($H987="","",IFERROR(IF(INDEX(Vinos!$K$2:$K$301,MATCH($B987,Vinos!$A$2:$A$301,0))="","",$H987*INDEX(Vinos!$K$2:$K$301,MATCH($B987,Vinos!$A$2:$A$301,0))),""))</f>
        <v/>
      </c>
      <c r="M987" s="21">
        <f>IF(OR($A987="",$B987=""),"",SUMIFS($H$2:$H$2001,$A$2:$A$2001,$A987,$B$2:$B$2001,$B987))</f>
        <v/>
      </c>
      <c r="N987" s="20">
        <f>IF($M987="","",IF($M987&lt;=0,"Sin stock: reponer ya",IF($M987&lt;IFERROR(N(INDEX(Vinos!$N$2:$N$301,MATCH($B987,Vinos!$A$2:$A$301,0))),0),"Bajo mínimo: reponer","OK")))</f>
        <v/>
      </c>
      <c r="O987" s="14" t="n"/>
      <c r="P987" s="14" t="n"/>
      <c r="Q987" s="20">
        <f>IF($B987="","",IFERROR(INDEX(Vinos!$C$2:$C$301,MATCH($B987,Vinos!$A$2:$A$301,0)),""))</f>
        <v/>
      </c>
      <c r="R987" s="20">
        <f>IF(OR($A987="",$A987&lt;&gt;'Resumen del inventario'!$C$3,$N987="",$N987="OK"),"",IF(COUNTIFS($A$2:$A987,$A987,$B$2:$B987,$B987)=1,1,""))</f>
        <v/>
      </c>
      <c r="S987" s="20">
        <f>IF($R987=1,COUNTIF($R$2:$R987,1),"")</f>
        <v/>
      </c>
    </row>
    <row r="988">
      <c r="A988" s="19" t="n"/>
      <c r="B988" s="14" t="n"/>
      <c r="C988" s="20">
        <f>IF($B988="","",IFERROR(INDEX(Vinos!$B$2:$B$301,MATCH($B988,Vinos!$A$2:$A$301,0)),"Código no cargado"))</f>
        <v/>
      </c>
      <c r="D988" s="14" t="n"/>
      <c r="E988" s="14" t="n"/>
      <c r="F988" s="18" t="n"/>
      <c r="G988" s="18" t="n"/>
      <c r="H988" s="21">
        <f>IF(AND($F988="",$G988=""),"",N($F988)*IFERROR(N(INDEX(Vinos!$H$2:$H$301,MATCH($B988,Vinos!$A$2:$A$301,0))),0)+N($G988))</f>
        <v/>
      </c>
      <c r="I988" s="18" t="n"/>
      <c r="J988" s="21">
        <f>IF(OR($H988="",$I988=""),"",$H988-$I988)</f>
        <v/>
      </c>
      <c r="K988" s="16">
        <f>IF($H988="","",IFERROR(IF(INDEX(Vinos!$J$2:$J$301,MATCH($B988,Vinos!$A$2:$A$301,0))="","",$H988*INDEX(Vinos!$J$2:$J$301,MATCH($B988,Vinos!$A$2:$A$301,0))),""))</f>
        <v/>
      </c>
      <c r="L988" s="16">
        <f>IF($H988="","",IFERROR(IF(INDEX(Vinos!$K$2:$K$301,MATCH($B988,Vinos!$A$2:$A$301,0))="","",$H988*INDEX(Vinos!$K$2:$K$301,MATCH($B988,Vinos!$A$2:$A$301,0))),""))</f>
        <v/>
      </c>
      <c r="M988" s="21">
        <f>IF(OR($A988="",$B988=""),"",SUMIFS($H$2:$H$2001,$A$2:$A$2001,$A988,$B$2:$B$2001,$B988))</f>
        <v/>
      </c>
      <c r="N988" s="20">
        <f>IF($M988="","",IF($M988&lt;=0,"Sin stock: reponer ya",IF($M988&lt;IFERROR(N(INDEX(Vinos!$N$2:$N$301,MATCH($B988,Vinos!$A$2:$A$301,0))),0),"Bajo mínimo: reponer","OK")))</f>
        <v/>
      </c>
      <c r="O988" s="14" t="n"/>
      <c r="P988" s="14" t="n"/>
      <c r="Q988" s="20">
        <f>IF($B988="","",IFERROR(INDEX(Vinos!$C$2:$C$301,MATCH($B988,Vinos!$A$2:$A$301,0)),""))</f>
        <v/>
      </c>
      <c r="R988" s="20">
        <f>IF(OR($A988="",$A988&lt;&gt;'Resumen del inventario'!$C$3,$N988="",$N988="OK"),"",IF(COUNTIFS($A$2:$A988,$A988,$B$2:$B988,$B988)=1,1,""))</f>
        <v/>
      </c>
      <c r="S988" s="20">
        <f>IF($R988=1,COUNTIF($R$2:$R988,1),"")</f>
        <v/>
      </c>
    </row>
    <row r="989">
      <c r="A989" s="19" t="n"/>
      <c r="B989" s="14" t="n"/>
      <c r="C989" s="20">
        <f>IF($B989="","",IFERROR(INDEX(Vinos!$B$2:$B$301,MATCH($B989,Vinos!$A$2:$A$301,0)),"Código no cargado"))</f>
        <v/>
      </c>
      <c r="D989" s="14" t="n"/>
      <c r="E989" s="14" t="n"/>
      <c r="F989" s="18" t="n"/>
      <c r="G989" s="18" t="n"/>
      <c r="H989" s="21">
        <f>IF(AND($F989="",$G989=""),"",N($F989)*IFERROR(N(INDEX(Vinos!$H$2:$H$301,MATCH($B989,Vinos!$A$2:$A$301,0))),0)+N($G989))</f>
        <v/>
      </c>
      <c r="I989" s="18" t="n"/>
      <c r="J989" s="21">
        <f>IF(OR($H989="",$I989=""),"",$H989-$I989)</f>
        <v/>
      </c>
      <c r="K989" s="16">
        <f>IF($H989="","",IFERROR(IF(INDEX(Vinos!$J$2:$J$301,MATCH($B989,Vinos!$A$2:$A$301,0))="","",$H989*INDEX(Vinos!$J$2:$J$301,MATCH($B989,Vinos!$A$2:$A$301,0))),""))</f>
        <v/>
      </c>
      <c r="L989" s="16">
        <f>IF($H989="","",IFERROR(IF(INDEX(Vinos!$K$2:$K$301,MATCH($B989,Vinos!$A$2:$A$301,0))="","",$H989*INDEX(Vinos!$K$2:$K$301,MATCH($B989,Vinos!$A$2:$A$301,0))),""))</f>
        <v/>
      </c>
      <c r="M989" s="21">
        <f>IF(OR($A989="",$B989=""),"",SUMIFS($H$2:$H$2001,$A$2:$A$2001,$A989,$B$2:$B$2001,$B989))</f>
        <v/>
      </c>
      <c r="N989" s="20">
        <f>IF($M989="","",IF($M989&lt;=0,"Sin stock: reponer ya",IF($M989&lt;IFERROR(N(INDEX(Vinos!$N$2:$N$301,MATCH($B989,Vinos!$A$2:$A$301,0))),0),"Bajo mínimo: reponer","OK")))</f>
        <v/>
      </c>
      <c r="O989" s="14" t="n"/>
      <c r="P989" s="14" t="n"/>
      <c r="Q989" s="20">
        <f>IF($B989="","",IFERROR(INDEX(Vinos!$C$2:$C$301,MATCH($B989,Vinos!$A$2:$A$301,0)),""))</f>
        <v/>
      </c>
      <c r="R989" s="20">
        <f>IF(OR($A989="",$A989&lt;&gt;'Resumen del inventario'!$C$3,$N989="",$N989="OK"),"",IF(COUNTIFS($A$2:$A989,$A989,$B$2:$B989,$B989)=1,1,""))</f>
        <v/>
      </c>
      <c r="S989" s="20">
        <f>IF($R989=1,COUNTIF($R$2:$R989,1),"")</f>
        <v/>
      </c>
    </row>
    <row r="990">
      <c r="A990" s="19" t="n"/>
      <c r="B990" s="14" t="n"/>
      <c r="C990" s="20">
        <f>IF($B990="","",IFERROR(INDEX(Vinos!$B$2:$B$301,MATCH($B990,Vinos!$A$2:$A$301,0)),"Código no cargado"))</f>
        <v/>
      </c>
      <c r="D990" s="14" t="n"/>
      <c r="E990" s="14" t="n"/>
      <c r="F990" s="18" t="n"/>
      <c r="G990" s="18" t="n"/>
      <c r="H990" s="21">
        <f>IF(AND($F990="",$G990=""),"",N($F990)*IFERROR(N(INDEX(Vinos!$H$2:$H$301,MATCH($B990,Vinos!$A$2:$A$301,0))),0)+N($G990))</f>
        <v/>
      </c>
      <c r="I990" s="18" t="n"/>
      <c r="J990" s="21">
        <f>IF(OR($H990="",$I990=""),"",$H990-$I990)</f>
        <v/>
      </c>
      <c r="K990" s="16">
        <f>IF($H990="","",IFERROR(IF(INDEX(Vinos!$J$2:$J$301,MATCH($B990,Vinos!$A$2:$A$301,0))="","",$H990*INDEX(Vinos!$J$2:$J$301,MATCH($B990,Vinos!$A$2:$A$301,0))),""))</f>
        <v/>
      </c>
      <c r="L990" s="16">
        <f>IF($H990="","",IFERROR(IF(INDEX(Vinos!$K$2:$K$301,MATCH($B990,Vinos!$A$2:$A$301,0))="","",$H990*INDEX(Vinos!$K$2:$K$301,MATCH($B990,Vinos!$A$2:$A$301,0))),""))</f>
        <v/>
      </c>
      <c r="M990" s="21">
        <f>IF(OR($A990="",$B990=""),"",SUMIFS($H$2:$H$2001,$A$2:$A$2001,$A990,$B$2:$B$2001,$B990))</f>
        <v/>
      </c>
      <c r="N990" s="20">
        <f>IF($M990="","",IF($M990&lt;=0,"Sin stock: reponer ya",IF($M990&lt;IFERROR(N(INDEX(Vinos!$N$2:$N$301,MATCH($B990,Vinos!$A$2:$A$301,0))),0),"Bajo mínimo: reponer","OK")))</f>
        <v/>
      </c>
      <c r="O990" s="14" t="n"/>
      <c r="P990" s="14" t="n"/>
      <c r="Q990" s="20">
        <f>IF($B990="","",IFERROR(INDEX(Vinos!$C$2:$C$301,MATCH($B990,Vinos!$A$2:$A$301,0)),""))</f>
        <v/>
      </c>
      <c r="R990" s="20">
        <f>IF(OR($A990="",$A990&lt;&gt;'Resumen del inventario'!$C$3,$N990="",$N990="OK"),"",IF(COUNTIFS($A$2:$A990,$A990,$B$2:$B990,$B990)=1,1,""))</f>
        <v/>
      </c>
      <c r="S990" s="20">
        <f>IF($R990=1,COUNTIF($R$2:$R990,1),"")</f>
        <v/>
      </c>
    </row>
    <row r="991">
      <c r="A991" s="19" t="n"/>
      <c r="B991" s="14" t="n"/>
      <c r="C991" s="20">
        <f>IF($B991="","",IFERROR(INDEX(Vinos!$B$2:$B$301,MATCH($B991,Vinos!$A$2:$A$301,0)),"Código no cargado"))</f>
        <v/>
      </c>
      <c r="D991" s="14" t="n"/>
      <c r="E991" s="14" t="n"/>
      <c r="F991" s="18" t="n"/>
      <c r="G991" s="18" t="n"/>
      <c r="H991" s="21">
        <f>IF(AND($F991="",$G991=""),"",N($F991)*IFERROR(N(INDEX(Vinos!$H$2:$H$301,MATCH($B991,Vinos!$A$2:$A$301,0))),0)+N($G991))</f>
        <v/>
      </c>
      <c r="I991" s="18" t="n"/>
      <c r="J991" s="21">
        <f>IF(OR($H991="",$I991=""),"",$H991-$I991)</f>
        <v/>
      </c>
      <c r="K991" s="16">
        <f>IF($H991="","",IFERROR(IF(INDEX(Vinos!$J$2:$J$301,MATCH($B991,Vinos!$A$2:$A$301,0))="","",$H991*INDEX(Vinos!$J$2:$J$301,MATCH($B991,Vinos!$A$2:$A$301,0))),""))</f>
        <v/>
      </c>
      <c r="L991" s="16">
        <f>IF($H991="","",IFERROR(IF(INDEX(Vinos!$K$2:$K$301,MATCH($B991,Vinos!$A$2:$A$301,0))="","",$H991*INDEX(Vinos!$K$2:$K$301,MATCH($B991,Vinos!$A$2:$A$301,0))),""))</f>
        <v/>
      </c>
      <c r="M991" s="21">
        <f>IF(OR($A991="",$B991=""),"",SUMIFS($H$2:$H$2001,$A$2:$A$2001,$A991,$B$2:$B$2001,$B991))</f>
        <v/>
      </c>
      <c r="N991" s="20">
        <f>IF($M991="","",IF($M991&lt;=0,"Sin stock: reponer ya",IF($M991&lt;IFERROR(N(INDEX(Vinos!$N$2:$N$301,MATCH($B991,Vinos!$A$2:$A$301,0))),0),"Bajo mínimo: reponer","OK")))</f>
        <v/>
      </c>
      <c r="O991" s="14" t="n"/>
      <c r="P991" s="14" t="n"/>
      <c r="Q991" s="20">
        <f>IF($B991="","",IFERROR(INDEX(Vinos!$C$2:$C$301,MATCH($B991,Vinos!$A$2:$A$301,0)),""))</f>
        <v/>
      </c>
      <c r="R991" s="20">
        <f>IF(OR($A991="",$A991&lt;&gt;'Resumen del inventario'!$C$3,$N991="",$N991="OK"),"",IF(COUNTIFS($A$2:$A991,$A991,$B$2:$B991,$B991)=1,1,""))</f>
        <v/>
      </c>
      <c r="S991" s="20">
        <f>IF($R991=1,COUNTIF($R$2:$R991,1),"")</f>
        <v/>
      </c>
    </row>
    <row r="992">
      <c r="A992" s="19" t="n"/>
      <c r="B992" s="14" t="n"/>
      <c r="C992" s="20">
        <f>IF($B992="","",IFERROR(INDEX(Vinos!$B$2:$B$301,MATCH($B992,Vinos!$A$2:$A$301,0)),"Código no cargado"))</f>
        <v/>
      </c>
      <c r="D992" s="14" t="n"/>
      <c r="E992" s="14" t="n"/>
      <c r="F992" s="18" t="n"/>
      <c r="G992" s="18" t="n"/>
      <c r="H992" s="21">
        <f>IF(AND($F992="",$G992=""),"",N($F992)*IFERROR(N(INDEX(Vinos!$H$2:$H$301,MATCH($B992,Vinos!$A$2:$A$301,0))),0)+N($G992))</f>
        <v/>
      </c>
      <c r="I992" s="18" t="n"/>
      <c r="J992" s="21">
        <f>IF(OR($H992="",$I992=""),"",$H992-$I992)</f>
        <v/>
      </c>
      <c r="K992" s="16">
        <f>IF($H992="","",IFERROR(IF(INDEX(Vinos!$J$2:$J$301,MATCH($B992,Vinos!$A$2:$A$301,0))="","",$H992*INDEX(Vinos!$J$2:$J$301,MATCH($B992,Vinos!$A$2:$A$301,0))),""))</f>
        <v/>
      </c>
      <c r="L992" s="16">
        <f>IF($H992="","",IFERROR(IF(INDEX(Vinos!$K$2:$K$301,MATCH($B992,Vinos!$A$2:$A$301,0))="","",$H992*INDEX(Vinos!$K$2:$K$301,MATCH($B992,Vinos!$A$2:$A$301,0))),""))</f>
        <v/>
      </c>
      <c r="M992" s="21">
        <f>IF(OR($A992="",$B992=""),"",SUMIFS($H$2:$H$2001,$A$2:$A$2001,$A992,$B$2:$B$2001,$B992))</f>
        <v/>
      </c>
      <c r="N992" s="20">
        <f>IF($M992="","",IF($M992&lt;=0,"Sin stock: reponer ya",IF($M992&lt;IFERROR(N(INDEX(Vinos!$N$2:$N$301,MATCH($B992,Vinos!$A$2:$A$301,0))),0),"Bajo mínimo: reponer","OK")))</f>
        <v/>
      </c>
      <c r="O992" s="14" t="n"/>
      <c r="P992" s="14" t="n"/>
      <c r="Q992" s="20">
        <f>IF($B992="","",IFERROR(INDEX(Vinos!$C$2:$C$301,MATCH($B992,Vinos!$A$2:$A$301,0)),""))</f>
        <v/>
      </c>
      <c r="R992" s="20">
        <f>IF(OR($A992="",$A992&lt;&gt;'Resumen del inventario'!$C$3,$N992="",$N992="OK"),"",IF(COUNTIFS($A$2:$A992,$A992,$B$2:$B992,$B992)=1,1,""))</f>
        <v/>
      </c>
      <c r="S992" s="20">
        <f>IF($R992=1,COUNTIF($R$2:$R992,1),"")</f>
        <v/>
      </c>
    </row>
    <row r="993">
      <c r="A993" s="19" t="n"/>
      <c r="B993" s="14" t="n"/>
      <c r="C993" s="20">
        <f>IF($B993="","",IFERROR(INDEX(Vinos!$B$2:$B$301,MATCH($B993,Vinos!$A$2:$A$301,0)),"Código no cargado"))</f>
        <v/>
      </c>
      <c r="D993" s="14" t="n"/>
      <c r="E993" s="14" t="n"/>
      <c r="F993" s="18" t="n"/>
      <c r="G993" s="18" t="n"/>
      <c r="H993" s="21">
        <f>IF(AND($F993="",$G993=""),"",N($F993)*IFERROR(N(INDEX(Vinos!$H$2:$H$301,MATCH($B993,Vinos!$A$2:$A$301,0))),0)+N($G993))</f>
        <v/>
      </c>
      <c r="I993" s="18" t="n"/>
      <c r="J993" s="21">
        <f>IF(OR($H993="",$I993=""),"",$H993-$I993)</f>
        <v/>
      </c>
      <c r="K993" s="16">
        <f>IF($H993="","",IFERROR(IF(INDEX(Vinos!$J$2:$J$301,MATCH($B993,Vinos!$A$2:$A$301,0))="","",$H993*INDEX(Vinos!$J$2:$J$301,MATCH($B993,Vinos!$A$2:$A$301,0))),""))</f>
        <v/>
      </c>
      <c r="L993" s="16">
        <f>IF($H993="","",IFERROR(IF(INDEX(Vinos!$K$2:$K$301,MATCH($B993,Vinos!$A$2:$A$301,0))="","",$H993*INDEX(Vinos!$K$2:$K$301,MATCH($B993,Vinos!$A$2:$A$301,0))),""))</f>
        <v/>
      </c>
      <c r="M993" s="21">
        <f>IF(OR($A993="",$B993=""),"",SUMIFS($H$2:$H$2001,$A$2:$A$2001,$A993,$B$2:$B$2001,$B993))</f>
        <v/>
      </c>
      <c r="N993" s="20">
        <f>IF($M993="","",IF($M993&lt;=0,"Sin stock: reponer ya",IF($M993&lt;IFERROR(N(INDEX(Vinos!$N$2:$N$301,MATCH($B993,Vinos!$A$2:$A$301,0))),0),"Bajo mínimo: reponer","OK")))</f>
        <v/>
      </c>
      <c r="O993" s="14" t="n"/>
      <c r="P993" s="14" t="n"/>
      <c r="Q993" s="20">
        <f>IF($B993="","",IFERROR(INDEX(Vinos!$C$2:$C$301,MATCH($B993,Vinos!$A$2:$A$301,0)),""))</f>
        <v/>
      </c>
      <c r="R993" s="20">
        <f>IF(OR($A993="",$A993&lt;&gt;'Resumen del inventario'!$C$3,$N993="",$N993="OK"),"",IF(COUNTIFS($A$2:$A993,$A993,$B$2:$B993,$B993)=1,1,""))</f>
        <v/>
      </c>
      <c r="S993" s="20">
        <f>IF($R993=1,COUNTIF($R$2:$R993,1),"")</f>
        <v/>
      </c>
    </row>
    <row r="994">
      <c r="A994" s="19" t="n"/>
      <c r="B994" s="14" t="n"/>
      <c r="C994" s="20">
        <f>IF($B994="","",IFERROR(INDEX(Vinos!$B$2:$B$301,MATCH($B994,Vinos!$A$2:$A$301,0)),"Código no cargado"))</f>
        <v/>
      </c>
      <c r="D994" s="14" t="n"/>
      <c r="E994" s="14" t="n"/>
      <c r="F994" s="18" t="n"/>
      <c r="G994" s="18" t="n"/>
      <c r="H994" s="21">
        <f>IF(AND($F994="",$G994=""),"",N($F994)*IFERROR(N(INDEX(Vinos!$H$2:$H$301,MATCH($B994,Vinos!$A$2:$A$301,0))),0)+N($G994))</f>
        <v/>
      </c>
      <c r="I994" s="18" t="n"/>
      <c r="J994" s="21">
        <f>IF(OR($H994="",$I994=""),"",$H994-$I994)</f>
        <v/>
      </c>
      <c r="K994" s="16">
        <f>IF($H994="","",IFERROR(IF(INDEX(Vinos!$J$2:$J$301,MATCH($B994,Vinos!$A$2:$A$301,0))="","",$H994*INDEX(Vinos!$J$2:$J$301,MATCH($B994,Vinos!$A$2:$A$301,0))),""))</f>
        <v/>
      </c>
      <c r="L994" s="16">
        <f>IF($H994="","",IFERROR(IF(INDEX(Vinos!$K$2:$K$301,MATCH($B994,Vinos!$A$2:$A$301,0))="","",$H994*INDEX(Vinos!$K$2:$K$301,MATCH($B994,Vinos!$A$2:$A$301,0))),""))</f>
        <v/>
      </c>
      <c r="M994" s="21">
        <f>IF(OR($A994="",$B994=""),"",SUMIFS($H$2:$H$2001,$A$2:$A$2001,$A994,$B$2:$B$2001,$B994))</f>
        <v/>
      </c>
      <c r="N994" s="20">
        <f>IF($M994="","",IF($M994&lt;=0,"Sin stock: reponer ya",IF($M994&lt;IFERROR(N(INDEX(Vinos!$N$2:$N$301,MATCH($B994,Vinos!$A$2:$A$301,0))),0),"Bajo mínimo: reponer","OK")))</f>
        <v/>
      </c>
      <c r="O994" s="14" t="n"/>
      <c r="P994" s="14" t="n"/>
      <c r="Q994" s="20">
        <f>IF($B994="","",IFERROR(INDEX(Vinos!$C$2:$C$301,MATCH($B994,Vinos!$A$2:$A$301,0)),""))</f>
        <v/>
      </c>
      <c r="R994" s="20">
        <f>IF(OR($A994="",$A994&lt;&gt;'Resumen del inventario'!$C$3,$N994="",$N994="OK"),"",IF(COUNTIFS($A$2:$A994,$A994,$B$2:$B994,$B994)=1,1,""))</f>
        <v/>
      </c>
      <c r="S994" s="20">
        <f>IF($R994=1,COUNTIF($R$2:$R994,1),"")</f>
        <v/>
      </c>
    </row>
    <row r="995">
      <c r="A995" s="19" t="n"/>
      <c r="B995" s="14" t="n"/>
      <c r="C995" s="20">
        <f>IF($B995="","",IFERROR(INDEX(Vinos!$B$2:$B$301,MATCH($B995,Vinos!$A$2:$A$301,0)),"Código no cargado"))</f>
        <v/>
      </c>
      <c r="D995" s="14" t="n"/>
      <c r="E995" s="14" t="n"/>
      <c r="F995" s="18" t="n"/>
      <c r="G995" s="18" t="n"/>
      <c r="H995" s="21">
        <f>IF(AND($F995="",$G995=""),"",N($F995)*IFERROR(N(INDEX(Vinos!$H$2:$H$301,MATCH($B995,Vinos!$A$2:$A$301,0))),0)+N($G995))</f>
        <v/>
      </c>
      <c r="I995" s="18" t="n"/>
      <c r="J995" s="21">
        <f>IF(OR($H995="",$I995=""),"",$H995-$I995)</f>
        <v/>
      </c>
      <c r="K995" s="16">
        <f>IF($H995="","",IFERROR(IF(INDEX(Vinos!$J$2:$J$301,MATCH($B995,Vinos!$A$2:$A$301,0))="","",$H995*INDEX(Vinos!$J$2:$J$301,MATCH($B995,Vinos!$A$2:$A$301,0))),""))</f>
        <v/>
      </c>
      <c r="L995" s="16">
        <f>IF($H995="","",IFERROR(IF(INDEX(Vinos!$K$2:$K$301,MATCH($B995,Vinos!$A$2:$A$301,0))="","",$H995*INDEX(Vinos!$K$2:$K$301,MATCH($B995,Vinos!$A$2:$A$301,0))),""))</f>
        <v/>
      </c>
      <c r="M995" s="21">
        <f>IF(OR($A995="",$B995=""),"",SUMIFS($H$2:$H$2001,$A$2:$A$2001,$A995,$B$2:$B$2001,$B995))</f>
        <v/>
      </c>
      <c r="N995" s="20">
        <f>IF($M995="","",IF($M995&lt;=0,"Sin stock: reponer ya",IF($M995&lt;IFERROR(N(INDEX(Vinos!$N$2:$N$301,MATCH($B995,Vinos!$A$2:$A$301,0))),0),"Bajo mínimo: reponer","OK")))</f>
        <v/>
      </c>
      <c r="O995" s="14" t="n"/>
      <c r="P995" s="14" t="n"/>
      <c r="Q995" s="20">
        <f>IF($B995="","",IFERROR(INDEX(Vinos!$C$2:$C$301,MATCH($B995,Vinos!$A$2:$A$301,0)),""))</f>
        <v/>
      </c>
      <c r="R995" s="20">
        <f>IF(OR($A995="",$A995&lt;&gt;'Resumen del inventario'!$C$3,$N995="",$N995="OK"),"",IF(COUNTIFS($A$2:$A995,$A995,$B$2:$B995,$B995)=1,1,""))</f>
        <v/>
      </c>
      <c r="S995" s="20">
        <f>IF($R995=1,COUNTIF($R$2:$R995,1),"")</f>
        <v/>
      </c>
    </row>
    <row r="996">
      <c r="A996" s="19" t="n"/>
      <c r="B996" s="14" t="n"/>
      <c r="C996" s="20">
        <f>IF($B996="","",IFERROR(INDEX(Vinos!$B$2:$B$301,MATCH($B996,Vinos!$A$2:$A$301,0)),"Código no cargado"))</f>
        <v/>
      </c>
      <c r="D996" s="14" t="n"/>
      <c r="E996" s="14" t="n"/>
      <c r="F996" s="18" t="n"/>
      <c r="G996" s="18" t="n"/>
      <c r="H996" s="21">
        <f>IF(AND($F996="",$G996=""),"",N($F996)*IFERROR(N(INDEX(Vinos!$H$2:$H$301,MATCH($B996,Vinos!$A$2:$A$301,0))),0)+N($G996))</f>
        <v/>
      </c>
      <c r="I996" s="18" t="n"/>
      <c r="J996" s="21">
        <f>IF(OR($H996="",$I996=""),"",$H996-$I996)</f>
        <v/>
      </c>
      <c r="K996" s="16">
        <f>IF($H996="","",IFERROR(IF(INDEX(Vinos!$J$2:$J$301,MATCH($B996,Vinos!$A$2:$A$301,0))="","",$H996*INDEX(Vinos!$J$2:$J$301,MATCH($B996,Vinos!$A$2:$A$301,0))),""))</f>
        <v/>
      </c>
      <c r="L996" s="16">
        <f>IF($H996="","",IFERROR(IF(INDEX(Vinos!$K$2:$K$301,MATCH($B996,Vinos!$A$2:$A$301,0))="","",$H996*INDEX(Vinos!$K$2:$K$301,MATCH($B996,Vinos!$A$2:$A$301,0))),""))</f>
        <v/>
      </c>
      <c r="M996" s="21">
        <f>IF(OR($A996="",$B996=""),"",SUMIFS($H$2:$H$2001,$A$2:$A$2001,$A996,$B$2:$B$2001,$B996))</f>
        <v/>
      </c>
      <c r="N996" s="20">
        <f>IF($M996="","",IF($M996&lt;=0,"Sin stock: reponer ya",IF($M996&lt;IFERROR(N(INDEX(Vinos!$N$2:$N$301,MATCH($B996,Vinos!$A$2:$A$301,0))),0),"Bajo mínimo: reponer","OK")))</f>
        <v/>
      </c>
      <c r="O996" s="14" t="n"/>
      <c r="P996" s="14" t="n"/>
      <c r="Q996" s="20">
        <f>IF($B996="","",IFERROR(INDEX(Vinos!$C$2:$C$301,MATCH($B996,Vinos!$A$2:$A$301,0)),""))</f>
        <v/>
      </c>
      <c r="R996" s="20">
        <f>IF(OR($A996="",$A996&lt;&gt;'Resumen del inventario'!$C$3,$N996="",$N996="OK"),"",IF(COUNTIFS($A$2:$A996,$A996,$B$2:$B996,$B996)=1,1,""))</f>
        <v/>
      </c>
      <c r="S996" s="20">
        <f>IF($R996=1,COUNTIF($R$2:$R996,1),"")</f>
        <v/>
      </c>
    </row>
    <row r="997">
      <c r="A997" s="19" t="n"/>
      <c r="B997" s="14" t="n"/>
      <c r="C997" s="20">
        <f>IF($B997="","",IFERROR(INDEX(Vinos!$B$2:$B$301,MATCH($B997,Vinos!$A$2:$A$301,0)),"Código no cargado"))</f>
        <v/>
      </c>
      <c r="D997" s="14" t="n"/>
      <c r="E997" s="14" t="n"/>
      <c r="F997" s="18" t="n"/>
      <c r="G997" s="18" t="n"/>
      <c r="H997" s="21">
        <f>IF(AND($F997="",$G997=""),"",N($F997)*IFERROR(N(INDEX(Vinos!$H$2:$H$301,MATCH($B997,Vinos!$A$2:$A$301,0))),0)+N($G997))</f>
        <v/>
      </c>
      <c r="I997" s="18" t="n"/>
      <c r="J997" s="21">
        <f>IF(OR($H997="",$I997=""),"",$H997-$I997)</f>
        <v/>
      </c>
      <c r="K997" s="16">
        <f>IF($H997="","",IFERROR(IF(INDEX(Vinos!$J$2:$J$301,MATCH($B997,Vinos!$A$2:$A$301,0))="","",$H997*INDEX(Vinos!$J$2:$J$301,MATCH($B997,Vinos!$A$2:$A$301,0))),""))</f>
        <v/>
      </c>
      <c r="L997" s="16">
        <f>IF($H997="","",IFERROR(IF(INDEX(Vinos!$K$2:$K$301,MATCH($B997,Vinos!$A$2:$A$301,0))="","",$H997*INDEX(Vinos!$K$2:$K$301,MATCH($B997,Vinos!$A$2:$A$301,0))),""))</f>
        <v/>
      </c>
      <c r="M997" s="21">
        <f>IF(OR($A997="",$B997=""),"",SUMIFS($H$2:$H$2001,$A$2:$A$2001,$A997,$B$2:$B$2001,$B997))</f>
        <v/>
      </c>
      <c r="N997" s="20">
        <f>IF($M997="","",IF($M997&lt;=0,"Sin stock: reponer ya",IF($M997&lt;IFERROR(N(INDEX(Vinos!$N$2:$N$301,MATCH($B997,Vinos!$A$2:$A$301,0))),0),"Bajo mínimo: reponer","OK")))</f>
        <v/>
      </c>
      <c r="O997" s="14" t="n"/>
      <c r="P997" s="14" t="n"/>
      <c r="Q997" s="20">
        <f>IF($B997="","",IFERROR(INDEX(Vinos!$C$2:$C$301,MATCH($B997,Vinos!$A$2:$A$301,0)),""))</f>
        <v/>
      </c>
      <c r="R997" s="20">
        <f>IF(OR($A997="",$A997&lt;&gt;'Resumen del inventario'!$C$3,$N997="",$N997="OK"),"",IF(COUNTIFS($A$2:$A997,$A997,$B$2:$B997,$B997)=1,1,""))</f>
        <v/>
      </c>
      <c r="S997" s="20">
        <f>IF($R997=1,COUNTIF($R$2:$R997,1),"")</f>
        <v/>
      </c>
    </row>
    <row r="998">
      <c r="A998" s="19" t="n"/>
      <c r="B998" s="14" t="n"/>
      <c r="C998" s="20">
        <f>IF($B998="","",IFERROR(INDEX(Vinos!$B$2:$B$301,MATCH($B998,Vinos!$A$2:$A$301,0)),"Código no cargado"))</f>
        <v/>
      </c>
      <c r="D998" s="14" t="n"/>
      <c r="E998" s="14" t="n"/>
      <c r="F998" s="18" t="n"/>
      <c r="G998" s="18" t="n"/>
      <c r="H998" s="21">
        <f>IF(AND($F998="",$G998=""),"",N($F998)*IFERROR(N(INDEX(Vinos!$H$2:$H$301,MATCH($B998,Vinos!$A$2:$A$301,0))),0)+N($G998))</f>
        <v/>
      </c>
      <c r="I998" s="18" t="n"/>
      <c r="J998" s="21">
        <f>IF(OR($H998="",$I998=""),"",$H998-$I998)</f>
        <v/>
      </c>
      <c r="K998" s="16">
        <f>IF($H998="","",IFERROR(IF(INDEX(Vinos!$J$2:$J$301,MATCH($B998,Vinos!$A$2:$A$301,0))="","",$H998*INDEX(Vinos!$J$2:$J$301,MATCH($B998,Vinos!$A$2:$A$301,0))),""))</f>
        <v/>
      </c>
      <c r="L998" s="16">
        <f>IF($H998="","",IFERROR(IF(INDEX(Vinos!$K$2:$K$301,MATCH($B998,Vinos!$A$2:$A$301,0))="","",$H998*INDEX(Vinos!$K$2:$K$301,MATCH($B998,Vinos!$A$2:$A$301,0))),""))</f>
        <v/>
      </c>
      <c r="M998" s="21">
        <f>IF(OR($A998="",$B998=""),"",SUMIFS($H$2:$H$2001,$A$2:$A$2001,$A998,$B$2:$B$2001,$B998))</f>
        <v/>
      </c>
      <c r="N998" s="20">
        <f>IF($M998="","",IF($M998&lt;=0,"Sin stock: reponer ya",IF($M998&lt;IFERROR(N(INDEX(Vinos!$N$2:$N$301,MATCH($B998,Vinos!$A$2:$A$301,0))),0),"Bajo mínimo: reponer","OK")))</f>
        <v/>
      </c>
      <c r="O998" s="14" t="n"/>
      <c r="P998" s="14" t="n"/>
      <c r="Q998" s="20">
        <f>IF($B998="","",IFERROR(INDEX(Vinos!$C$2:$C$301,MATCH($B998,Vinos!$A$2:$A$301,0)),""))</f>
        <v/>
      </c>
      <c r="R998" s="20">
        <f>IF(OR($A998="",$A998&lt;&gt;'Resumen del inventario'!$C$3,$N998="",$N998="OK"),"",IF(COUNTIFS($A$2:$A998,$A998,$B$2:$B998,$B998)=1,1,""))</f>
        <v/>
      </c>
      <c r="S998" s="20">
        <f>IF($R998=1,COUNTIF($R$2:$R998,1),"")</f>
        <v/>
      </c>
    </row>
    <row r="999">
      <c r="A999" s="19" t="n"/>
      <c r="B999" s="14" t="n"/>
      <c r="C999" s="20">
        <f>IF($B999="","",IFERROR(INDEX(Vinos!$B$2:$B$301,MATCH($B999,Vinos!$A$2:$A$301,0)),"Código no cargado"))</f>
        <v/>
      </c>
      <c r="D999" s="14" t="n"/>
      <c r="E999" s="14" t="n"/>
      <c r="F999" s="18" t="n"/>
      <c r="G999" s="18" t="n"/>
      <c r="H999" s="21">
        <f>IF(AND($F999="",$G999=""),"",N($F999)*IFERROR(N(INDEX(Vinos!$H$2:$H$301,MATCH($B999,Vinos!$A$2:$A$301,0))),0)+N($G999))</f>
        <v/>
      </c>
      <c r="I999" s="18" t="n"/>
      <c r="J999" s="21">
        <f>IF(OR($H999="",$I999=""),"",$H999-$I999)</f>
        <v/>
      </c>
      <c r="K999" s="16">
        <f>IF($H999="","",IFERROR(IF(INDEX(Vinos!$J$2:$J$301,MATCH($B999,Vinos!$A$2:$A$301,0))="","",$H999*INDEX(Vinos!$J$2:$J$301,MATCH($B999,Vinos!$A$2:$A$301,0))),""))</f>
        <v/>
      </c>
      <c r="L999" s="16">
        <f>IF($H999="","",IFERROR(IF(INDEX(Vinos!$K$2:$K$301,MATCH($B999,Vinos!$A$2:$A$301,0))="","",$H999*INDEX(Vinos!$K$2:$K$301,MATCH($B999,Vinos!$A$2:$A$301,0))),""))</f>
        <v/>
      </c>
      <c r="M999" s="21">
        <f>IF(OR($A999="",$B999=""),"",SUMIFS($H$2:$H$2001,$A$2:$A$2001,$A999,$B$2:$B$2001,$B999))</f>
        <v/>
      </c>
      <c r="N999" s="20">
        <f>IF($M999="","",IF($M999&lt;=0,"Sin stock: reponer ya",IF($M999&lt;IFERROR(N(INDEX(Vinos!$N$2:$N$301,MATCH($B999,Vinos!$A$2:$A$301,0))),0),"Bajo mínimo: reponer","OK")))</f>
        <v/>
      </c>
      <c r="O999" s="14" t="n"/>
      <c r="P999" s="14" t="n"/>
      <c r="Q999" s="20">
        <f>IF($B999="","",IFERROR(INDEX(Vinos!$C$2:$C$301,MATCH($B999,Vinos!$A$2:$A$301,0)),""))</f>
        <v/>
      </c>
      <c r="R999" s="20">
        <f>IF(OR($A999="",$A999&lt;&gt;'Resumen del inventario'!$C$3,$N999="",$N999="OK"),"",IF(COUNTIFS($A$2:$A999,$A999,$B$2:$B999,$B999)=1,1,""))</f>
        <v/>
      </c>
      <c r="S999" s="20">
        <f>IF($R999=1,COUNTIF($R$2:$R999,1),"")</f>
        <v/>
      </c>
    </row>
    <row r="1000">
      <c r="A1000" s="19" t="n"/>
      <c r="B1000" s="14" t="n"/>
      <c r="C1000" s="20">
        <f>IF($B1000="","",IFERROR(INDEX(Vinos!$B$2:$B$301,MATCH($B1000,Vinos!$A$2:$A$301,0)),"Código no cargado"))</f>
        <v/>
      </c>
      <c r="D1000" s="14" t="n"/>
      <c r="E1000" s="14" t="n"/>
      <c r="F1000" s="18" t="n"/>
      <c r="G1000" s="18" t="n"/>
      <c r="H1000" s="21">
        <f>IF(AND($F1000="",$G1000=""),"",N($F1000)*IFERROR(N(INDEX(Vinos!$H$2:$H$301,MATCH($B1000,Vinos!$A$2:$A$301,0))),0)+N($G1000))</f>
        <v/>
      </c>
      <c r="I1000" s="18" t="n"/>
      <c r="J1000" s="21">
        <f>IF(OR($H1000="",$I1000=""),"",$H1000-$I1000)</f>
        <v/>
      </c>
      <c r="K1000" s="16">
        <f>IF($H1000="","",IFERROR(IF(INDEX(Vinos!$J$2:$J$301,MATCH($B1000,Vinos!$A$2:$A$301,0))="","",$H1000*INDEX(Vinos!$J$2:$J$301,MATCH($B1000,Vinos!$A$2:$A$301,0))),""))</f>
        <v/>
      </c>
      <c r="L1000" s="16">
        <f>IF($H1000="","",IFERROR(IF(INDEX(Vinos!$K$2:$K$301,MATCH($B1000,Vinos!$A$2:$A$301,0))="","",$H1000*INDEX(Vinos!$K$2:$K$301,MATCH($B1000,Vinos!$A$2:$A$301,0))),""))</f>
        <v/>
      </c>
      <c r="M1000" s="21">
        <f>IF(OR($A1000="",$B1000=""),"",SUMIFS($H$2:$H$2001,$A$2:$A$2001,$A1000,$B$2:$B$2001,$B1000))</f>
        <v/>
      </c>
      <c r="N1000" s="20">
        <f>IF($M1000="","",IF($M1000&lt;=0,"Sin stock: reponer ya",IF($M1000&lt;IFERROR(N(INDEX(Vinos!$N$2:$N$301,MATCH($B1000,Vinos!$A$2:$A$301,0))),0),"Bajo mínimo: reponer","OK")))</f>
        <v/>
      </c>
      <c r="O1000" s="14" t="n"/>
      <c r="P1000" s="14" t="n"/>
      <c r="Q1000" s="20">
        <f>IF($B1000="","",IFERROR(INDEX(Vinos!$C$2:$C$301,MATCH($B1000,Vinos!$A$2:$A$301,0)),""))</f>
        <v/>
      </c>
      <c r="R1000" s="20">
        <f>IF(OR($A1000="",$A1000&lt;&gt;'Resumen del inventario'!$C$3,$N1000="",$N1000="OK"),"",IF(COUNTIFS($A$2:$A1000,$A1000,$B$2:$B1000,$B1000)=1,1,""))</f>
        <v/>
      </c>
      <c r="S1000" s="20">
        <f>IF($R1000=1,COUNTIF($R$2:$R1000,1),"")</f>
        <v/>
      </c>
    </row>
    <row r="1001">
      <c r="A1001" s="19" t="n"/>
      <c r="B1001" s="14" t="n"/>
      <c r="C1001" s="20">
        <f>IF($B1001="","",IFERROR(INDEX(Vinos!$B$2:$B$301,MATCH($B1001,Vinos!$A$2:$A$301,0)),"Código no cargado"))</f>
        <v/>
      </c>
      <c r="D1001" s="14" t="n"/>
      <c r="E1001" s="14" t="n"/>
      <c r="F1001" s="18" t="n"/>
      <c r="G1001" s="18" t="n"/>
      <c r="H1001" s="21">
        <f>IF(AND($F1001="",$G1001=""),"",N($F1001)*IFERROR(N(INDEX(Vinos!$H$2:$H$301,MATCH($B1001,Vinos!$A$2:$A$301,0))),0)+N($G1001))</f>
        <v/>
      </c>
      <c r="I1001" s="18" t="n"/>
      <c r="J1001" s="21">
        <f>IF(OR($H1001="",$I1001=""),"",$H1001-$I1001)</f>
        <v/>
      </c>
      <c r="K1001" s="16">
        <f>IF($H1001="","",IFERROR(IF(INDEX(Vinos!$J$2:$J$301,MATCH($B1001,Vinos!$A$2:$A$301,0))="","",$H1001*INDEX(Vinos!$J$2:$J$301,MATCH($B1001,Vinos!$A$2:$A$301,0))),""))</f>
        <v/>
      </c>
      <c r="L1001" s="16">
        <f>IF($H1001="","",IFERROR(IF(INDEX(Vinos!$K$2:$K$301,MATCH($B1001,Vinos!$A$2:$A$301,0))="","",$H1001*INDEX(Vinos!$K$2:$K$301,MATCH($B1001,Vinos!$A$2:$A$301,0))),""))</f>
        <v/>
      </c>
      <c r="M1001" s="21">
        <f>IF(OR($A1001="",$B1001=""),"",SUMIFS($H$2:$H$2001,$A$2:$A$2001,$A1001,$B$2:$B$2001,$B1001))</f>
        <v/>
      </c>
      <c r="N1001" s="20">
        <f>IF($M1001="","",IF($M1001&lt;=0,"Sin stock: reponer ya",IF($M1001&lt;IFERROR(N(INDEX(Vinos!$N$2:$N$301,MATCH($B1001,Vinos!$A$2:$A$301,0))),0),"Bajo mínimo: reponer","OK")))</f>
        <v/>
      </c>
      <c r="O1001" s="14" t="n"/>
      <c r="P1001" s="14" t="n"/>
      <c r="Q1001" s="20">
        <f>IF($B1001="","",IFERROR(INDEX(Vinos!$C$2:$C$301,MATCH($B1001,Vinos!$A$2:$A$301,0)),""))</f>
        <v/>
      </c>
      <c r="R1001" s="20">
        <f>IF(OR($A1001="",$A1001&lt;&gt;'Resumen del inventario'!$C$3,$N1001="",$N1001="OK"),"",IF(COUNTIFS($A$2:$A1001,$A1001,$B$2:$B1001,$B1001)=1,1,""))</f>
        <v/>
      </c>
      <c r="S1001" s="20">
        <f>IF($R1001=1,COUNTIF($R$2:$R1001,1),"")</f>
        <v/>
      </c>
    </row>
    <row r="1002">
      <c r="A1002" s="19" t="n"/>
      <c r="B1002" s="14" t="n"/>
      <c r="C1002" s="20">
        <f>IF($B1002="","",IFERROR(INDEX(Vinos!$B$2:$B$301,MATCH($B1002,Vinos!$A$2:$A$301,0)),"Código no cargado"))</f>
        <v/>
      </c>
      <c r="D1002" s="14" t="n"/>
      <c r="E1002" s="14" t="n"/>
      <c r="F1002" s="18" t="n"/>
      <c r="G1002" s="18" t="n"/>
      <c r="H1002" s="21">
        <f>IF(AND($F1002="",$G1002=""),"",N($F1002)*IFERROR(N(INDEX(Vinos!$H$2:$H$301,MATCH($B1002,Vinos!$A$2:$A$301,0))),0)+N($G1002))</f>
        <v/>
      </c>
      <c r="I1002" s="18" t="n"/>
      <c r="J1002" s="21">
        <f>IF(OR($H1002="",$I1002=""),"",$H1002-$I1002)</f>
        <v/>
      </c>
      <c r="K1002" s="16">
        <f>IF($H1002="","",IFERROR(IF(INDEX(Vinos!$J$2:$J$301,MATCH($B1002,Vinos!$A$2:$A$301,0))="","",$H1002*INDEX(Vinos!$J$2:$J$301,MATCH($B1002,Vinos!$A$2:$A$301,0))),""))</f>
        <v/>
      </c>
      <c r="L1002" s="16">
        <f>IF($H1002="","",IFERROR(IF(INDEX(Vinos!$K$2:$K$301,MATCH($B1002,Vinos!$A$2:$A$301,0))="","",$H1002*INDEX(Vinos!$K$2:$K$301,MATCH($B1002,Vinos!$A$2:$A$301,0))),""))</f>
        <v/>
      </c>
      <c r="M1002" s="21">
        <f>IF(OR($A1002="",$B1002=""),"",SUMIFS($H$2:$H$2001,$A$2:$A$2001,$A1002,$B$2:$B$2001,$B1002))</f>
        <v/>
      </c>
      <c r="N1002" s="20">
        <f>IF($M1002="","",IF($M1002&lt;=0,"Sin stock: reponer ya",IF($M1002&lt;IFERROR(N(INDEX(Vinos!$N$2:$N$301,MATCH($B1002,Vinos!$A$2:$A$301,0))),0),"Bajo mínimo: reponer","OK")))</f>
        <v/>
      </c>
      <c r="O1002" s="14" t="n"/>
      <c r="P1002" s="14" t="n"/>
      <c r="Q1002" s="20">
        <f>IF($B1002="","",IFERROR(INDEX(Vinos!$C$2:$C$301,MATCH($B1002,Vinos!$A$2:$A$301,0)),""))</f>
        <v/>
      </c>
      <c r="R1002" s="20">
        <f>IF(OR($A1002="",$A1002&lt;&gt;'Resumen del inventario'!$C$3,$N1002="",$N1002="OK"),"",IF(COUNTIFS($A$2:$A1002,$A1002,$B$2:$B1002,$B1002)=1,1,""))</f>
        <v/>
      </c>
      <c r="S1002" s="20">
        <f>IF($R1002=1,COUNTIF($R$2:$R1002,1),"")</f>
        <v/>
      </c>
    </row>
    <row r="1003">
      <c r="A1003" s="19" t="n"/>
      <c r="B1003" s="14" t="n"/>
      <c r="C1003" s="20">
        <f>IF($B1003="","",IFERROR(INDEX(Vinos!$B$2:$B$301,MATCH($B1003,Vinos!$A$2:$A$301,0)),"Código no cargado"))</f>
        <v/>
      </c>
      <c r="D1003" s="14" t="n"/>
      <c r="E1003" s="14" t="n"/>
      <c r="F1003" s="18" t="n"/>
      <c r="G1003" s="18" t="n"/>
      <c r="H1003" s="21">
        <f>IF(AND($F1003="",$G1003=""),"",N($F1003)*IFERROR(N(INDEX(Vinos!$H$2:$H$301,MATCH($B1003,Vinos!$A$2:$A$301,0))),0)+N($G1003))</f>
        <v/>
      </c>
      <c r="I1003" s="18" t="n"/>
      <c r="J1003" s="21">
        <f>IF(OR($H1003="",$I1003=""),"",$H1003-$I1003)</f>
        <v/>
      </c>
      <c r="K1003" s="16">
        <f>IF($H1003="","",IFERROR(IF(INDEX(Vinos!$J$2:$J$301,MATCH($B1003,Vinos!$A$2:$A$301,0))="","",$H1003*INDEX(Vinos!$J$2:$J$301,MATCH($B1003,Vinos!$A$2:$A$301,0))),""))</f>
        <v/>
      </c>
      <c r="L1003" s="16">
        <f>IF($H1003="","",IFERROR(IF(INDEX(Vinos!$K$2:$K$301,MATCH($B1003,Vinos!$A$2:$A$301,0))="","",$H1003*INDEX(Vinos!$K$2:$K$301,MATCH($B1003,Vinos!$A$2:$A$301,0))),""))</f>
        <v/>
      </c>
      <c r="M1003" s="21">
        <f>IF(OR($A1003="",$B1003=""),"",SUMIFS($H$2:$H$2001,$A$2:$A$2001,$A1003,$B$2:$B$2001,$B1003))</f>
        <v/>
      </c>
      <c r="N1003" s="20">
        <f>IF($M1003="","",IF($M1003&lt;=0,"Sin stock: reponer ya",IF($M1003&lt;IFERROR(N(INDEX(Vinos!$N$2:$N$301,MATCH($B1003,Vinos!$A$2:$A$301,0))),0),"Bajo mínimo: reponer","OK")))</f>
        <v/>
      </c>
      <c r="O1003" s="14" t="n"/>
      <c r="P1003" s="14" t="n"/>
      <c r="Q1003" s="20">
        <f>IF($B1003="","",IFERROR(INDEX(Vinos!$C$2:$C$301,MATCH($B1003,Vinos!$A$2:$A$301,0)),""))</f>
        <v/>
      </c>
      <c r="R1003" s="20">
        <f>IF(OR($A1003="",$A1003&lt;&gt;'Resumen del inventario'!$C$3,$N1003="",$N1003="OK"),"",IF(COUNTIFS($A$2:$A1003,$A1003,$B$2:$B1003,$B1003)=1,1,""))</f>
        <v/>
      </c>
      <c r="S1003" s="20">
        <f>IF($R1003=1,COUNTIF($R$2:$R1003,1),"")</f>
        <v/>
      </c>
    </row>
    <row r="1004">
      <c r="A1004" s="19" t="n"/>
      <c r="B1004" s="14" t="n"/>
      <c r="C1004" s="20">
        <f>IF($B1004="","",IFERROR(INDEX(Vinos!$B$2:$B$301,MATCH($B1004,Vinos!$A$2:$A$301,0)),"Código no cargado"))</f>
        <v/>
      </c>
      <c r="D1004" s="14" t="n"/>
      <c r="E1004" s="14" t="n"/>
      <c r="F1004" s="18" t="n"/>
      <c r="G1004" s="18" t="n"/>
      <c r="H1004" s="21">
        <f>IF(AND($F1004="",$G1004=""),"",N($F1004)*IFERROR(N(INDEX(Vinos!$H$2:$H$301,MATCH($B1004,Vinos!$A$2:$A$301,0))),0)+N($G1004))</f>
        <v/>
      </c>
      <c r="I1004" s="18" t="n"/>
      <c r="J1004" s="21">
        <f>IF(OR($H1004="",$I1004=""),"",$H1004-$I1004)</f>
        <v/>
      </c>
      <c r="K1004" s="16">
        <f>IF($H1004="","",IFERROR(IF(INDEX(Vinos!$J$2:$J$301,MATCH($B1004,Vinos!$A$2:$A$301,0))="","",$H1004*INDEX(Vinos!$J$2:$J$301,MATCH($B1004,Vinos!$A$2:$A$301,0))),""))</f>
        <v/>
      </c>
      <c r="L1004" s="16">
        <f>IF($H1004="","",IFERROR(IF(INDEX(Vinos!$K$2:$K$301,MATCH($B1004,Vinos!$A$2:$A$301,0))="","",$H1004*INDEX(Vinos!$K$2:$K$301,MATCH($B1004,Vinos!$A$2:$A$301,0))),""))</f>
        <v/>
      </c>
      <c r="M1004" s="21">
        <f>IF(OR($A1004="",$B1004=""),"",SUMIFS($H$2:$H$2001,$A$2:$A$2001,$A1004,$B$2:$B$2001,$B1004))</f>
        <v/>
      </c>
      <c r="N1004" s="20">
        <f>IF($M1004="","",IF($M1004&lt;=0,"Sin stock: reponer ya",IF($M1004&lt;IFERROR(N(INDEX(Vinos!$N$2:$N$301,MATCH($B1004,Vinos!$A$2:$A$301,0))),0),"Bajo mínimo: reponer","OK")))</f>
        <v/>
      </c>
      <c r="O1004" s="14" t="n"/>
      <c r="P1004" s="14" t="n"/>
      <c r="Q1004" s="20">
        <f>IF($B1004="","",IFERROR(INDEX(Vinos!$C$2:$C$301,MATCH($B1004,Vinos!$A$2:$A$301,0)),""))</f>
        <v/>
      </c>
      <c r="R1004" s="20">
        <f>IF(OR($A1004="",$A1004&lt;&gt;'Resumen del inventario'!$C$3,$N1004="",$N1004="OK"),"",IF(COUNTIFS($A$2:$A1004,$A1004,$B$2:$B1004,$B1004)=1,1,""))</f>
        <v/>
      </c>
      <c r="S1004" s="20">
        <f>IF($R1004=1,COUNTIF($R$2:$R1004,1),"")</f>
        <v/>
      </c>
    </row>
    <row r="1005">
      <c r="A1005" s="19" t="n"/>
      <c r="B1005" s="14" t="n"/>
      <c r="C1005" s="20">
        <f>IF($B1005="","",IFERROR(INDEX(Vinos!$B$2:$B$301,MATCH($B1005,Vinos!$A$2:$A$301,0)),"Código no cargado"))</f>
        <v/>
      </c>
      <c r="D1005" s="14" t="n"/>
      <c r="E1005" s="14" t="n"/>
      <c r="F1005" s="18" t="n"/>
      <c r="G1005" s="18" t="n"/>
      <c r="H1005" s="21">
        <f>IF(AND($F1005="",$G1005=""),"",N($F1005)*IFERROR(N(INDEX(Vinos!$H$2:$H$301,MATCH($B1005,Vinos!$A$2:$A$301,0))),0)+N($G1005))</f>
        <v/>
      </c>
      <c r="I1005" s="18" t="n"/>
      <c r="J1005" s="21">
        <f>IF(OR($H1005="",$I1005=""),"",$H1005-$I1005)</f>
        <v/>
      </c>
      <c r="K1005" s="16">
        <f>IF($H1005="","",IFERROR(IF(INDEX(Vinos!$J$2:$J$301,MATCH($B1005,Vinos!$A$2:$A$301,0))="","",$H1005*INDEX(Vinos!$J$2:$J$301,MATCH($B1005,Vinos!$A$2:$A$301,0))),""))</f>
        <v/>
      </c>
      <c r="L1005" s="16">
        <f>IF($H1005="","",IFERROR(IF(INDEX(Vinos!$K$2:$K$301,MATCH($B1005,Vinos!$A$2:$A$301,0))="","",$H1005*INDEX(Vinos!$K$2:$K$301,MATCH($B1005,Vinos!$A$2:$A$301,0))),""))</f>
        <v/>
      </c>
      <c r="M1005" s="21">
        <f>IF(OR($A1005="",$B1005=""),"",SUMIFS($H$2:$H$2001,$A$2:$A$2001,$A1005,$B$2:$B$2001,$B1005))</f>
        <v/>
      </c>
      <c r="N1005" s="20">
        <f>IF($M1005="","",IF($M1005&lt;=0,"Sin stock: reponer ya",IF($M1005&lt;IFERROR(N(INDEX(Vinos!$N$2:$N$301,MATCH($B1005,Vinos!$A$2:$A$301,0))),0),"Bajo mínimo: reponer","OK")))</f>
        <v/>
      </c>
      <c r="O1005" s="14" t="n"/>
      <c r="P1005" s="14" t="n"/>
      <c r="Q1005" s="20">
        <f>IF($B1005="","",IFERROR(INDEX(Vinos!$C$2:$C$301,MATCH($B1005,Vinos!$A$2:$A$301,0)),""))</f>
        <v/>
      </c>
      <c r="R1005" s="20">
        <f>IF(OR($A1005="",$A1005&lt;&gt;'Resumen del inventario'!$C$3,$N1005="",$N1005="OK"),"",IF(COUNTIFS($A$2:$A1005,$A1005,$B$2:$B1005,$B1005)=1,1,""))</f>
        <v/>
      </c>
      <c r="S1005" s="20">
        <f>IF($R1005=1,COUNTIF($R$2:$R1005,1),"")</f>
        <v/>
      </c>
    </row>
    <row r="1006">
      <c r="A1006" s="19" t="n"/>
      <c r="B1006" s="14" t="n"/>
      <c r="C1006" s="20">
        <f>IF($B1006="","",IFERROR(INDEX(Vinos!$B$2:$B$301,MATCH($B1006,Vinos!$A$2:$A$301,0)),"Código no cargado"))</f>
        <v/>
      </c>
      <c r="D1006" s="14" t="n"/>
      <c r="E1006" s="14" t="n"/>
      <c r="F1006" s="18" t="n"/>
      <c r="G1006" s="18" t="n"/>
      <c r="H1006" s="21">
        <f>IF(AND($F1006="",$G1006=""),"",N($F1006)*IFERROR(N(INDEX(Vinos!$H$2:$H$301,MATCH($B1006,Vinos!$A$2:$A$301,0))),0)+N($G1006))</f>
        <v/>
      </c>
      <c r="I1006" s="18" t="n"/>
      <c r="J1006" s="21">
        <f>IF(OR($H1006="",$I1006=""),"",$H1006-$I1006)</f>
        <v/>
      </c>
      <c r="K1006" s="16">
        <f>IF($H1006="","",IFERROR(IF(INDEX(Vinos!$J$2:$J$301,MATCH($B1006,Vinos!$A$2:$A$301,0))="","",$H1006*INDEX(Vinos!$J$2:$J$301,MATCH($B1006,Vinos!$A$2:$A$301,0))),""))</f>
        <v/>
      </c>
      <c r="L1006" s="16">
        <f>IF($H1006="","",IFERROR(IF(INDEX(Vinos!$K$2:$K$301,MATCH($B1006,Vinos!$A$2:$A$301,0))="","",$H1006*INDEX(Vinos!$K$2:$K$301,MATCH($B1006,Vinos!$A$2:$A$301,0))),""))</f>
        <v/>
      </c>
      <c r="M1006" s="21">
        <f>IF(OR($A1006="",$B1006=""),"",SUMIFS($H$2:$H$2001,$A$2:$A$2001,$A1006,$B$2:$B$2001,$B1006))</f>
        <v/>
      </c>
      <c r="N1006" s="20">
        <f>IF($M1006="","",IF($M1006&lt;=0,"Sin stock: reponer ya",IF($M1006&lt;IFERROR(N(INDEX(Vinos!$N$2:$N$301,MATCH($B1006,Vinos!$A$2:$A$301,0))),0),"Bajo mínimo: reponer","OK")))</f>
        <v/>
      </c>
      <c r="O1006" s="14" t="n"/>
      <c r="P1006" s="14" t="n"/>
      <c r="Q1006" s="20">
        <f>IF($B1006="","",IFERROR(INDEX(Vinos!$C$2:$C$301,MATCH($B1006,Vinos!$A$2:$A$301,0)),""))</f>
        <v/>
      </c>
      <c r="R1006" s="20">
        <f>IF(OR($A1006="",$A1006&lt;&gt;'Resumen del inventario'!$C$3,$N1006="",$N1006="OK"),"",IF(COUNTIFS($A$2:$A1006,$A1006,$B$2:$B1006,$B1006)=1,1,""))</f>
        <v/>
      </c>
      <c r="S1006" s="20">
        <f>IF($R1006=1,COUNTIF($R$2:$R1006,1),"")</f>
        <v/>
      </c>
    </row>
    <row r="1007">
      <c r="A1007" s="19" t="n"/>
      <c r="B1007" s="14" t="n"/>
      <c r="C1007" s="20">
        <f>IF($B1007="","",IFERROR(INDEX(Vinos!$B$2:$B$301,MATCH($B1007,Vinos!$A$2:$A$301,0)),"Código no cargado"))</f>
        <v/>
      </c>
      <c r="D1007" s="14" t="n"/>
      <c r="E1007" s="14" t="n"/>
      <c r="F1007" s="18" t="n"/>
      <c r="G1007" s="18" t="n"/>
      <c r="H1007" s="21">
        <f>IF(AND($F1007="",$G1007=""),"",N($F1007)*IFERROR(N(INDEX(Vinos!$H$2:$H$301,MATCH($B1007,Vinos!$A$2:$A$301,0))),0)+N($G1007))</f>
        <v/>
      </c>
      <c r="I1007" s="18" t="n"/>
      <c r="J1007" s="21">
        <f>IF(OR($H1007="",$I1007=""),"",$H1007-$I1007)</f>
        <v/>
      </c>
      <c r="K1007" s="16">
        <f>IF($H1007="","",IFERROR(IF(INDEX(Vinos!$J$2:$J$301,MATCH($B1007,Vinos!$A$2:$A$301,0))="","",$H1007*INDEX(Vinos!$J$2:$J$301,MATCH($B1007,Vinos!$A$2:$A$301,0))),""))</f>
        <v/>
      </c>
      <c r="L1007" s="16">
        <f>IF($H1007="","",IFERROR(IF(INDEX(Vinos!$K$2:$K$301,MATCH($B1007,Vinos!$A$2:$A$301,0))="","",$H1007*INDEX(Vinos!$K$2:$K$301,MATCH($B1007,Vinos!$A$2:$A$301,0))),""))</f>
        <v/>
      </c>
      <c r="M1007" s="21">
        <f>IF(OR($A1007="",$B1007=""),"",SUMIFS($H$2:$H$2001,$A$2:$A$2001,$A1007,$B$2:$B$2001,$B1007))</f>
        <v/>
      </c>
      <c r="N1007" s="20">
        <f>IF($M1007="","",IF($M1007&lt;=0,"Sin stock: reponer ya",IF($M1007&lt;IFERROR(N(INDEX(Vinos!$N$2:$N$301,MATCH($B1007,Vinos!$A$2:$A$301,0))),0),"Bajo mínimo: reponer","OK")))</f>
        <v/>
      </c>
      <c r="O1007" s="14" t="n"/>
      <c r="P1007" s="14" t="n"/>
      <c r="Q1007" s="20">
        <f>IF($B1007="","",IFERROR(INDEX(Vinos!$C$2:$C$301,MATCH($B1007,Vinos!$A$2:$A$301,0)),""))</f>
        <v/>
      </c>
      <c r="R1007" s="20">
        <f>IF(OR($A1007="",$A1007&lt;&gt;'Resumen del inventario'!$C$3,$N1007="",$N1007="OK"),"",IF(COUNTIFS($A$2:$A1007,$A1007,$B$2:$B1007,$B1007)=1,1,""))</f>
        <v/>
      </c>
      <c r="S1007" s="20">
        <f>IF($R1007=1,COUNTIF($R$2:$R1007,1),"")</f>
        <v/>
      </c>
    </row>
    <row r="1008">
      <c r="A1008" s="19" t="n"/>
      <c r="B1008" s="14" t="n"/>
      <c r="C1008" s="20">
        <f>IF($B1008="","",IFERROR(INDEX(Vinos!$B$2:$B$301,MATCH($B1008,Vinos!$A$2:$A$301,0)),"Código no cargado"))</f>
        <v/>
      </c>
      <c r="D1008" s="14" t="n"/>
      <c r="E1008" s="14" t="n"/>
      <c r="F1008" s="18" t="n"/>
      <c r="G1008" s="18" t="n"/>
      <c r="H1008" s="21">
        <f>IF(AND($F1008="",$G1008=""),"",N($F1008)*IFERROR(N(INDEX(Vinos!$H$2:$H$301,MATCH($B1008,Vinos!$A$2:$A$301,0))),0)+N($G1008))</f>
        <v/>
      </c>
      <c r="I1008" s="18" t="n"/>
      <c r="J1008" s="21">
        <f>IF(OR($H1008="",$I1008=""),"",$H1008-$I1008)</f>
        <v/>
      </c>
      <c r="K1008" s="16">
        <f>IF($H1008="","",IFERROR(IF(INDEX(Vinos!$J$2:$J$301,MATCH($B1008,Vinos!$A$2:$A$301,0))="","",$H1008*INDEX(Vinos!$J$2:$J$301,MATCH($B1008,Vinos!$A$2:$A$301,0))),""))</f>
        <v/>
      </c>
      <c r="L1008" s="16">
        <f>IF($H1008="","",IFERROR(IF(INDEX(Vinos!$K$2:$K$301,MATCH($B1008,Vinos!$A$2:$A$301,0))="","",$H1008*INDEX(Vinos!$K$2:$K$301,MATCH($B1008,Vinos!$A$2:$A$301,0))),""))</f>
        <v/>
      </c>
      <c r="M1008" s="21">
        <f>IF(OR($A1008="",$B1008=""),"",SUMIFS($H$2:$H$2001,$A$2:$A$2001,$A1008,$B$2:$B$2001,$B1008))</f>
        <v/>
      </c>
      <c r="N1008" s="20">
        <f>IF($M1008="","",IF($M1008&lt;=0,"Sin stock: reponer ya",IF($M1008&lt;IFERROR(N(INDEX(Vinos!$N$2:$N$301,MATCH($B1008,Vinos!$A$2:$A$301,0))),0),"Bajo mínimo: reponer","OK")))</f>
        <v/>
      </c>
      <c r="O1008" s="14" t="n"/>
      <c r="P1008" s="14" t="n"/>
      <c r="Q1008" s="20">
        <f>IF($B1008="","",IFERROR(INDEX(Vinos!$C$2:$C$301,MATCH($B1008,Vinos!$A$2:$A$301,0)),""))</f>
        <v/>
      </c>
      <c r="R1008" s="20">
        <f>IF(OR($A1008="",$A1008&lt;&gt;'Resumen del inventario'!$C$3,$N1008="",$N1008="OK"),"",IF(COUNTIFS($A$2:$A1008,$A1008,$B$2:$B1008,$B1008)=1,1,""))</f>
        <v/>
      </c>
      <c r="S1008" s="20">
        <f>IF($R1008=1,COUNTIF($R$2:$R1008,1),"")</f>
        <v/>
      </c>
    </row>
    <row r="1009">
      <c r="A1009" s="19" t="n"/>
      <c r="B1009" s="14" t="n"/>
      <c r="C1009" s="20">
        <f>IF($B1009="","",IFERROR(INDEX(Vinos!$B$2:$B$301,MATCH($B1009,Vinos!$A$2:$A$301,0)),"Código no cargado"))</f>
        <v/>
      </c>
      <c r="D1009" s="14" t="n"/>
      <c r="E1009" s="14" t="n"/>
      <c r="F1009" s="18" t="n"/>
      <c r="G1009" s="18" t="n"/>
      <c r="H1009" s="21">
        <f>IF(AND($F1009="",$G1009=""),"",N($F1009)*IFERROR(N(INDEX(Vinos!$H$2:$H$301,MATCH($B1009,Vinos!$A$2:$A$301,0))),0)+N($G1009))</f>
        <v/>
      </c>
      <c r="I1009" s="18" t="n"/>
      <c r="J1009" s="21">
        <f>IF(OR($H1009="",$I1009=""),"",$H1009-$I1009)</f>
        <v/>
      </c>
      <c r="K1009" s="16">
        <f>IF($H1009="","",IFERROR(IF(INDEX(Vinos!$J$2:$J$301,MATCH($B1009,Vinos!$A$2:$A$301,0))="","",$H1009*INDEX(Vinos!$J$2:$J$301,MATCH($B1009,Vinos!$A$2:$A$301,0))),""))</f>
        <v/>
      </c>
      <c r="L1009" s="16">
        <f>IF($H1009="","",IFERROR(IF(INDEX(Vinos!$K$2:$K$301,MATCH($B1009,Vinos!$A$2:$A$301,0))="","",$H1009*INDEX(Vinos!$K$2:$K$301,MATCH($B1009,Vinos!$A$2:$A$301,0))),""))</f>
        <v/>
      </c>
      <c r="M1009" s="21">
        <f>IF(OR($A1009="",$B1009=""),"",SUMIFS($H$2:$H$2001,$A$2:$A$2001,$A1009,$B$2:$B$2001,$B1009))</f>
        <v/>
      </c>
      <c r="N1009" s="20">
        <f>IF($M1009="","",IF($M1009&lt;=0,"Sin stock: reponer ya",IF($M1009&lt;IFERROR(N(INDEX(Vinos!$N$2:$N$301,MATCH($B1009,Vinos!$A$2:$A$301,0))),0),"Bajo mínimo: reponer","OK")))</f>
        <v/>
      </c>
      <c r="O1009" s="14" t="n"/>
      <c r="P1009" s="14" t="n"/>
      <c r="Q1009" s="20">
        <f>IF($B1009="","",IFERROR(INDEX(Vinos!$C$2:$C$301,MATCH($B1009,Vinos!$A$2:$A$301,0)),""))</f>
        <v/>
      </c>
      <c r="R1009" s="20">
        <f>IF(OR($A1009="",$A1009&lt;&gt;'Resumen del inventario'!$C$3,$N1009="",$N1009="OK"),"",IF(COUNTIFS($A$2:$A1009,$A1009,$B$2:$B1009,$B1009)=1,1,""))</f>
        <v/>
      </c>
      <c r="S1009" s="20">
        <f>IF($R1009=1,COUNTIF($R$2:$R1009,1),"")</f>
        <v/>
      </c>
    </row>
    <row r="1010">
      <c r="A1010" s="19" t="n"/>
      <c r="B1010" s="14" t="n"/>
      <c r="C1010" s="20">
        <f>IF($B1010="","",IFERROR(INDEX(Vinos!$B$2:$B$301,MATCH($B1010,Vinos!$A$2:$A$301,0)),"Código no cargado"))</f>
        <v/>
      </c>
      <c r="D1010" s="14" t="n"/>
      <c r="E1010" s="14" t="n"/>
      <c r="F1010" s="18" t="n"/>
      <c r="G1010" s="18" t="n"/>
      <c r="H1010" s="21">
        <f>IF(AND($F1010="",$G1010=""),"",N($F1010)*IFERROR(N(INDEX(Vinos!$H$2:$H$301,MATCH($B1010,Vinos!$A$2:$A$301,0))),0)+N($G1010))</f>
        <v/>
      </c>
      <c r="I1010" s="18" t="n"/>
      <c r="J1010" s="21">
        <f>IF(OR($H1010="",$I1010=""),"",$H1010-$I1010)</f>
        <v/>
      </c>
      <c r="K1010" s="16">
        <f>IF($H1010="","",IFERROR(IF(INDEX(Vinos!$J$2:$J$301,MATCH($B1010,Vinos!$A$2:$A$301,0))="","",$H1010*INDEX(Vinos!$J$2:$J$301,MATCH($B1010,Vinos!$A$2:$A$301,0))),""))</f>
        <v/>
      </c>
      <c r="L1010" s="16">
        <f>IF($H1010="","",IFERROR(IF(INDEX(Vinos!$K$2:$K$301,MATCH($B1010,Vinos!$A$2:$A$301,0))="","",$H1010*INDEX(Vinos!$K$2:$K$301,MATCH($B1010,Vinos!$A$2:$A$301,0))),""))</f>
        <v/>
      </c>
      <c r="M1010" s="21">
        <f>IF(OR($A1010="",$B1010=""),"",SUMIFS($H$2:$H$2001,$A$2:$A$2001,$A1010,$B$2:$B$2001,$B1010))</f>
        <v/>
      </c>
      <c r="N1010" s="20">
        <f>IF($M1010="","",IF($M1010&lt;=0,"Sin stock: reponer ya",IF($M1010&lt;IFERROR(N(INDEX(Vinos!$N$2:$N$301,MATCH($B1010,Vinos!$A$2:$A$301,0))),0),"Bajo mínimo: reponer","OK")))</f>
        <v/>
      </c>
      <c r="O1010" s="14" t="n"/>
      <c r="P1010" s="14" t="n"/>
      <c r="Q1010" s="20">
        <f>IF($B1010="","",IFERROR(INDEX(Vinos!$C$2:$C$301,MATCH($B1010,Vinos!$A$2:$A$301,0)),""))</f>
        <v/>
      </c>
      <c r="R1010" s="20">
        <f>IF(OR($A1010="",$A1010&lt;&gt;'Resumen del inventario'!$C$3,$N1010="",$N1010="OK"),"",IF(COUNTIFS($A$2:$A1010,$A1010,$B$2:$B1010,$B1010)=1,1,""))</f>
        <v/>
      </c>
      <c r="S1010" s="20">
        <f>IF($R1010=1,COUNTIF($R$2:$R1010,1),"")</f>
        <v/>
      </c>
    </row>
    <row r="1011">
      <c r="A1011" s="19" t="n"/>
      <c r="B1011" s="14" t="n"/>
      <c r="C1011" s="20">
        <f>IF($B1011="","",IFERROR(INDEX(Vinos!$B$2:$B$301,MATCH($B1011,Vinos!$A$2:$A$301,0)),"Código no cargado"))</f>
        <v/>
      </c>
      <c r="D1011" s="14" t="n"/>
      <c r="E1011" s="14" t="n"/>
      <c r="F1011" s="18" t="n"/>
      <c r="G1011" s="18" t="n"/>
      <c r="H1011" s="21">
        <f>IF(AND($F1011="",$G1011=""),"",N($F1011)*IFERROR(N(INDEX(Vinos!$H$2:$H$301,MATCH($B1011,Vinos!$A$2:$A$301,0))),0)+N($G1011))</f>
        <v/>
      </c>
      <c r="I1011" s="18" t="n"/>
      <c r="J1011" s="21">
        <f>IF(OR($H1011="",$I1011=""),"",$H1011-$I1011)</f>
        <v/>
      </c>
      <c r="K1011" s="16">
        <f>IF($H1011="","",IFERROR(IF(INDEX(Vinos!$J$2:$J$301,MATCH($B1011,Vinos!$A$2:$A$301,0))="","",$H1011*INDEX(Vinos!$J$2:$J$301,MATCH($B1011,Vinos!$A$2:$A$301,0))),""))</f>
        <v/>
      </c>
      <c r="L1011" s="16">
        <f>IF($H1011="","",IFERROR(IF(INDEX(Vinos!$K$2:$K$301,MATCH($B1011,Vinos!$A$2:$A$301,0))="","",$H1011*INDEX(Vinos!$K$2:$K$301,MATCH($B1011,Vinos!$A$2:$A$301,0))),""))</f>
        <v/>
      </c>
      <c r="M1011" s="21">
        <f>IF(OR($A1011="",$B1011=""),"",SUMIFS($H$2:$H$2001,$A$2:$A$2001,$A1011,$B$2:$B$2001,$B1011))</f>
        <v/>
      </c>
      <c r="N1011" s="20">
        <f>IF($M1011="","",IF($M1011&lt;=0,"Sin stock: reponer ya",IF($M1011&lt;IFERROR(N(INDEX(Vinos!$N$2:$N$301,MATCH($B1011,Vinos!$A$2:$A$301,0))),0),"Bajo mínimo: reponer","OK")))</f>
        <v/>
      </c>
      <c r="O1011" s="14" t="n"/>
      <c r="P1011" s="14" t="n"/>
      <c r="Q1011" s="20">
        <f>IF($B1011="","",IFERROR(INDEX(Vinos!$C$2:$C$301,MATCH($B1011,Vinos!$A$2:$A$301,0)),""))</f>
        <v/>
      </c>
      <c r="R1011" s="20">
        <f>IF(OR($A1011="",$A1011&lt;&gt;'Resumen del inventario'!$C$3,$N1011="",$N1011="OK"),"",IF(COUNTIFS($A$2:$A1011,$A1011,$B$2:$B1011,$B1011)=1,1,""))</f>
        <v/>
      </c>
      <c r="S1011" s="20">
        <f>IF($R1011=1,COUNTIF($R$2:$R1011,1),"")</f>
        <v/>
      </c>
    </row>
    <row r="1012">
      <c r="A1012" s="19" t="n"/>
      <c r="B1012" s="14" t="n"/>
      <c r="C1012" s="20">
        <f>IF($B1012="","",IFERROR(INDEX(Vinos!$B$2:$B$301,MATCH($B1012,Vinos!$A$2:$A$301,0)),"Código no cargado"))</f>
        <v/>
      </c>
      <c r="D1012" s="14" t="n"/>
      <c r="E1012" s="14" t="n"/>
      <c r="F1012" s="18" t="n"/>
      <c r="G1012" s="18" t="n"/>
      <c r="H1012" s="21">
        <f>IF(AND($F1012="",$G1012=""),"",N($F1012)*IFERROR(N(INDEX(Vinos!$H$2:$H$301,MATCH($B1012,Vinos!$A$2:$A$301,0))),0)+N($G1012))</f>
        <v/>
      </c>
      <c r="I1012" s="18" t="n"/>
      <c r="J1012" s="21">
        <f>IF(OR($H1012="",$I1012=""),"",$H1012-$I1012)</f>
        <v/>
      </c>
      <c r="K1012" s="16">
        <f>IF($H1012="","",IFERROR(IF(INDEX(Vinos!$J$2:$J$301,MATCH($B1012,Vinos!$A$2:$A$301,0))="","",$H1012*INDEX(Vinos!$J$2:$J$301,MATCH($B1012,Vinos!$A$2:$A$301,0))),""))</f>
        <v/>
      </c>
      <c r="L1012" s="16">
        <f>IF($H1012="","",IFERROR(IF(INDEX(Vinos!$K$2:$K$301,MATCH($B1012,Vinos!$A$2:$A$301,0))="","",$H1012*INDEX(Vinos!$K$2:$K$301,MATCH($B1012,Vinos!$A$2:$A$301,0))),""))</f>
        <v/>
      </c>
      <c r="M1012" s="21">
        <f>IF(OR($A1012="",$B1012=""),"",SUMIFS($H$2:$H$2001,$A$2:$A$2001,$A1012,$B$2:$B$2001,$B1012))</f>
        <v/>
      </c>
      <c r="N1012" s="20">
        <f>IF($M1012="","",IF($M1012&lt;=0,"Sin stock: reponer ya",IF($M1012&lt;IFERROR(N(INDEX(Vinos!$N$2:$N$301,MATCH($B1012,Vinos!$A$2:$A$301,0))),0),"Bajo mínimo: reponer","OK")))</f>
        <v/>
      </c>
      <c r="O1012" s="14" t="n"/>
      <c r="P1012" s="14" t="n"/>
      <c r="Q1012" s="20">
        <f>IF($B1012="","",IFERROR(INDEX(Vinos!$C$2:$C$301,MATCH($B1012,Vinos!$A$2:$A$301,0)),""))</f>
        <v/>
      </c>
      <c r="R1012" s="20">
        <f>IF(OR($A1012="",$A1012&lt;&gt;'Resumen del inventario'!$C$3,$N1012="",$N1012="OK"),"",IF(COUNTIFS($A$2:$A1012,$A1012,$B$2:$B1012,$B1012)=1,1,""))</f>
        <v/>
      </c>
      <c r="S1012" s="20">
        <f>IF($R1012=1,COUNTIF($R$2:$R1012,1),"")</f>
        <v/>
      </c>
    </row>
    <row r="1013">
      <c r="A1013" s="19" t="n"/>
      <c r="B1013" s="14" t="n"/>
      <c r="C1013" s="20">
        <f>IF($B1013="","",IFERROR(INDEX(Vinos!$B$2:$B$301,MATCH($B1013,Vinos!$A$2:$A$301,0)),"Código no cargado"))</f>
        <v/>
      </c>
      <c r="D1013" s="14" t="n"/>
      <c r="E1013" s="14" t="n"/>
      <c r="F1013" s="18" t="n"/>
      <c r="G1013" s="18" t="n"/>
      <c r="H1013" s="21">
        <f>IF(AND($F1013="",$G1013=""),"",N($F1013)*IFERROR(N(INDEX(Vinos!$H$2:$H$301,MATCH($B1013,Vinos!$A$2:$A$301,0))),0)+N($G1013))</f>
        <v/>
      </c>
      <c r="I1013" s="18" t="n"/>
      <c r="J1013" s="21">
        <f>IF(OR($H1013="",$I1013=""),"",$H1013-$I1013)</f>
        <v/>
      </c>
      <c r="K1013" s="16">
        <f>IF($H1013="","",IFERROR(IF(INDEX(Vinos!$J$2:$J$301,MATCH($B1013,Vinos!$A$2:$A$301,0))="","",$H1013*INDEX(Vinos!$J$2:$J$301,MATCH($B1013,Vinos!$A$2:$A$301,0))),""))</f>
        <v/>
      </c>
      <c r="L1013" s="16">
        <f>IF($H1013="","",IFERROR(IF(INDEX(Vinos!$K$2:$K$301,MATCH($B1013,Vinos!$A$2:$A$301,0))="","",$H1013*INDEX(Vinos!$K$2:$K$301,MATCH($B1013,Vinos!$A$2:$A$301,0))),""))</f>
        <v/>
      </c>
      <c r="M1013" s="21">
        <f>IF(OR($A1013="",$B1013=""),"",SUMIFS($H$2:$H$2001,$A$2:$A$2001,$A1013,$B$2:$B$2001,$B1013))</f>
        <v/>
      </c>
      <c r="N1013" s="20">
        <f>IF($M1013="","",IF($M1013&lt;=0,"Sin stock: reponer ya",IF($M1013&lt;IFERROR(N(INDEX(Vinos!$N$2:$N$301,MATCH($B1013,Vinos!$A$2:$A$301,0))),0),"Bajo mínimo: reponer","OK")))</f>
        <v/>
      </c>
      <c r="O1013" s="14" t="n"/>
      <c r="P1013" s="14" t="n"/>
      <c r="Q1013" s="20">
        <f>IF($B1013="","",IFERROR(INDEX(Vinos!$C$2:$C$301,MATCH($B1013,Vinos!$A$2:$A$301,0)),""))</f>
        <v/>
      </c>
      <c r="R1013" s="20">
        <f>IF(OR($A1013="",$A1013&lt;&gt;'Resumen del inventario'!$C$3,$N1013="",$N1013="OK"),"",IF(COUNTIFS($A$2:$A1013,$A1013,$B$2:$B1013,$B1013)=1,1,""))</f>
        <v/>
      </c>
      <c r="S1013" s="20">
        <f>IF($R1013=1,COUNTIF($R$2:$R1013,1),"")</f>
        <v/>
      </c>
    </row>
    <row r="1014">
      <c r="A1014" s="19" t="n"/>
      <c r="B1014" s="14" t="n"/>
      <c r="C1014" s="20">
        <f>IF($B1014="","",IFERROR(INDEX(Vinos!$B$2:$B$301,MATCH($B1014,Vinos!$A$2:$A$301,0)),"Código no cargado"))</f>
        <v/>
      </c>
      <c r="D1014" s="14" t="n"/>
      <c r="E1014" s="14" t="n"/>
      <c r="F1014" s="18" t="n"/>
      <c r="G1014" s="18" t="n"/>
      <c r="H1014" s="21">
        <f>IF(AND($F1014="",$G1014=""),"",N($F1014)*IFERROR(N(INDEX(Vinos!$H$2:$H$301,MATCH($B1014,Vinos!$A$2:$A$301,0))),0)+N($G1014))</f>
        <v/>
      </c>
      <c r="I1014" s="18" t="n"/>
      <c r="J1014" s="21">
        <f>IF(OR($H1014="",$I1014=""),"",$H1014-$I1014)</f>
        <v/>
      </c>
      <c r="K1014" s="16">
        <f>IF($H1014="","",IFERROR(IF(INDEX(Vinos!$J$2:$J$301,MATCH($B1014,Vinos!$A$2:$A$301,0))="","",$H1014*INDEX(Vinos!$J$2:$J$301,MATCH($B1014,Vinos!$A$2:$A$301,0))),""))</f>
        <v/>
      </c>
      <c r="L1014" s="16">
        <f>IF($H1014="","",IFERROR(IF(INDEX(Vinos!$K$2:$K$301,MATCH($B1014,Vinos!$A$2:$A$301,0))="","",$H1014*INDEX(Vinos!$K$2:$K$301,MATCH($B1014,Vinos!$A$2:$A$301,0))),""))</f>
        <v/>
      </c>
      <c r="M1014" s="21">
        <f>IF(OR($A1014="",$B1014=""),"",SUMIFS($H$2:$H$2001,$A$2:$A$2001,$A1014,$B$2:$B$2001,$B1014))</f>
        <v/>
      </c>
      <c r="N1014" s="20">
        <f>IF($M1014="","",IF($M1014&lt;=0,"Sin stock: reponer ya",IF($M1014&lt;IFERROR(N(INDEX(Vinos!$N$2:$N$301,MATCH($B1014,Vinos!$A$2:$A$301,0))),0),"Bajo mínimo: reponer","OK")))</f>
        <v/>
      </c>
      <c r="O1014" s="14" t="n"/>
      <c r="P1014" s="14" t="n"/>
      <c r="Q1014" s="20">
        <f>IF($B1014="","",IFERROR(INDEX(Vinos!$C$2:$C$301,MATCH($B1014,Vinos!$A$2:$A$301,0)),""))</f>
        <v/>
      </c>
      <c r="R1014" s="20">
        <f>IF(OR($A1014="",$A1014&lt;&gt;'Resumen del inventario'!$C$3,$N1014="",$N1014="OK"),"",IF(COUNTIFS($A$2:$A1014,$A1014,$B$2:$B1014,$B1014)=1,1,""))</f>
        <v/>
      </c>
      <c r="S1014" s="20">
        <f>IF($R1014=1,COUNTIF($R$2:$R1014,1),"")</f>
        <v/>
      </c>
    </row>
    <row r="1015">
      <c r="A1015" s="19" t="n"/>
      <c r="B1015" s="14" t="n"/>
      <c r="C1015" s="20">
        <f>IF($B1015="","",IFERROR(INDEX(Vinos!$B$2:$B$301,MATCH($B1015,Vinos!$A$2:$A$301,0)),"Código no cargado"))</f>
        <v/>
      </c>
      <c r="D1015" s="14" t="n"/>
      <c r="E1015" s="14" t="n"/>
      <c r="F1015" s="18" t="n"/>
      <c r="G1015" s="18" t="n"/>
      <c r="H1015" s="21">
        <f>IF(AND($F1015="",$G1015=""),"",N($F1015)*IFERROR(N(INDEX(Vinos!$H$2:$H$301,MATCH($B1015,Vinos!$A$2:$A$301,0))),0)+N($G1015))</f>
        <v/>
      </c>
      <c r="I1015" s="18" t="n"/>
      <c r="J1015" s="21">
        <f>IF(OR($H1015="",$I1015=""),"",$H1015-$I1015)</f>
        <v/>
      </c>
      <c r="K1015" s="16">
        <f>IF($H1015="","",IFERROR(IF(INDEX(Vinos!$J$2:$J$301,MATCH($B1015,Vinos!$A$2:$A$301,0))="","",$H1015*INDEX(Vinos!$J$2:$J$301,MATCH($B1015,Vinos!$A$2:$A$301,0))),""))</f>
        <v/>
      </c>
      <c r="L1015" s="16">
        <f>IF($H1015="","",IFERROR(IF(INDEX(Vinos!$K$2:$K$301,MATCH($B1015,Vinos!$A$2:$A$301,0))="","",$H1015*INDEX(Vinos!$K$2:$K$301,MATCH($B1015,Vinos!$A$2:$A$301,0))),""))</f>
        <v/>
      </c>
      <c r="M1015" s="21">
        <f>IF(OR($A1015="",$B1015=""),"",SUMIFS($H$2:$H$2001,$A$2:$A$2001,$A1015,$B$2:$B$2001,$B1015))</f>
        <v/>
      </c>
      <c r="N1015" s="20">
        <f>IF($M1015="","",IF($M1015&lt;=0,"Sin stock: reponer ya",IF($M1015&lt;IFERROR(N(INDEX(Vinos!$N$2:$N$301,MATCH($B1015,Vinos!$A$2:$A$301,0))),0),"Bajo mínimo: reponer","OK")))</f>
        <v/>
      </c>
      <c r="O1015" s="14" t="n"/>
      <c r="P1015" s="14" t="n"/>
      <c r="Q1015" s="20">
        <f>IF($B1015="","",IFERROR(INDEX(Vinos!$C$2:$C$301,MATCH($B1015,Vinos!$A$2:$A$301,0)),""))</f>
        <v/>
      </c>
      <c r="R1015" s="20">
        <f>IF(OR($A1015="",$A1015&lt;&gt;'Resumen del inventario'!$C$3,$N1015="",$N1015="OK"),"",IF(COUNTIFS($A$2:$A1015,$A1015,$B$2:$B1015,$B1015)=1,1,""))</f>
        <v/>
      </c>
      <c r="S1015" s="20">
        <f>IF($R1015=1,COUNTIF($R$2:$R1015,1),"")</f>
        <v/>
      </c>
    </row>
    <row r="1016">
      <c r="A1016" s="19" t="n"/>
      <c r="B1016" s="14" t="n"/>
      <c r="C1016" s="20">
        <f>IF($B1016="","",IFERROR(INDEX(Vinos!$B$2:$B$301,MATCH($B1016,Vinos!$A$2:$A$301,0)),"Código no cargado"))</f>
        <v/>
      </c>
      <c r="D1016" s="14" t="n"/>
      <c r="E1016" s="14" t="n"/>
      <c r="F1016" s="18" t="n"/>
      <c r="G1016" s="18" t="n"/>
      <c r="H1016" s="21">
        <f>IF(AND($F1016="",$G1016=""),"",N($F1016)*IFERROR(N(INDEX(Vinos!$H$2:$H$301,MATCH($B1016,Vinos!$A$2:$A$301,0))),0)+N($G1016))</f>
        <v/>
      </c>
      <c r="I1016" s="18" t="n"/>
      <c r="J1016" s="21">
        <f>IF(OR($H1016="",$I1016=""),"",$H1016-$I1016)</f>
        <v/>
      </c>
      <c r="K1016" s="16">
        <f>IF($H1016="","",IFERROR(IF(INDEX(Vinos!$J$2:$J$301,MATCH($B1016,Vinos!$A$2:$A$301,0))="","",$H1016*INDEX(Vinos!$J$2:$J$301,MATCH($B1016,Vinos!$A$2:$A$301,0))),""))</f>
        <v/>
      </c>
      <c r="L1016" s="16">
        <f>IF($H1016="","",IFERROR(IF(INDEX(Vinos!$K$2:$K$301,MATCH($B1016,Vinos!$A$2:$A$301,0))="","",$H1016*INDEX(Vinos!$K$2:$K$301,MATCH($B1016,Vinos!$A$2:$A$301,0))),""))</f>
        <v/>
      </c>
      <c r="M1016" s="21">
        <f>IF(OR($A1016="",$B1016=""),"",SUMIFS($H$2:$H$2001,$A$2:$A$2001,$A1016,$B$2:$B$2001,$B1016))</f>
        <v/>
      </c>
      <c r="N1016" s="20">
        <f>IF($M1016="","",IF($M1016&lt;=0,"Sin stock: reponer ya",IF($M1016&lt;IFERROR(N(INDEX(Vinos!$N$2:$N$301,MATCH($B1016,Vinos!$A$2:$A$301,0))),0),"Bajo mínimo: reponer","OK")))</f>
        <v/>
      </c>
      <c r="O1016" s="14" t="n"/>
      <c r="P1016" s="14" t="n"/>
      <c r="Q1016" s="20">
        <f>IF($B1016="","",IFERROR(INDEX(Vinos!$C$2:$C$301,MATCH($B1016,Vinos!$A$2:$A$301,0)),""))</f>
        <v/>
      </c>
      <c r="R1016" s="20">
        <f>IF(OR($A1016="",$A1016&lt;&gt;'Resumen del inventario'!$C$3,$N1016="",$N1016="OK"),"",IF(COUNTIFS($A$2:$A1016,$A1016,$B$2:$B1016,$B1016)=1,1,""))</f>
        <v/>
      </c>
      <c r="S1016" s="20">
        <f>IF($R1016=1,COUNTIF($R$2:$R1016,1),"")</f>
        <v/>
      </c>
    </row>
    <row r="1017">
      <c r="A1017" s="19" t="n"/>
      <c r="B1017" s="14" t="n"/>
      <c r="C1017" s="20">
        <f>IF($B1017="","",IFERROR(INDEX(Vinos!$B$2:$B$301,MATCH($B1017,Vinos!$A$2:$A$301,0)),"Código no cargado"))</f>
        <v/>
      </c>
      <c r="D1017" s="14" t="n"/>
      <c r="E1017" s="14" t="n"/>
      <c r="F1017" s="18" t="n"/>
      <c r="G1017" s="18" t="n"/>
      <c r="H1017" s="21">
        <f>IF(AND($F1017="",$G1017=""),"",N($F1017)*IFERROR(N(INDEX(Vinos!$H$2:$H$301,MATCH($B1017,Vinos!$A$2:$A$301,0))),0)+N($G1017))</f>
        <v/>
      </c>
      <c r="I1017" s="18" t="n"/>
      <c r="J1017" s="21">
        <f>IF(OR($H1017="",$I1017=""),"",$H1017-$I1017)</f>
        <v/>
      </c>
      <c r="K1017" s="16">
        <f>IF($H1017="","",IFERROR(IF(INDEX(Vinos!$J$2:$J$301,MATCH($B1017,Vinos!$A$2:$A$301,0))="","",$H1017*INDEX(Vinos!$J$2:$J$301,MATCH($B1017,Vinos!$A$2:$A$301,0))),""))</f>
        <v/>
      </c>
      <c r="L1017" s="16">
        <f>IF($H1017="","",IFERROR(IF(INDEX(Vinos!$K$2:$K$301,MATCH($B1017,Vinos!$A$2:$A$301,0))="","",$H1017*INDEX(Vinos!$K$2:$K$301,MATCH($B1017,Vinos!$A$2:$A$301,0))),""))</f>
        <v/>
      </c>
      <c r="M1017" s="21">
        <f>IF(OR($A1017="",$B1017=""),"",SUMIFS($H$2:$H$2001,$A$2:$A$2001,$A1017,$B$2:$B$2001,$B1017))</f>
        <v/>
      </c>
      <c r="N1017" s="20">
        <f>IF($M1017="","",IF($M1017&lt;=0,"Sin stock: reponer ya",IF($M1017&lt;IFERROR(N(INDEX(Vinos!$N$2:$N$301,MATCH($B1017,Vinos!$A$2:$A$301,0))),0),"Bajo mínimo: reponer","OK")))</f>
        <v/>
      </c>
      <c r="O1017" s="14" t="n"/>
      <c r="P1017" s="14" t="n"/>
      <c r="Q1017" s="20">
        <f>IF($B1017="","",IFERROR(INDEX(Vinos!$C$2:$C$301,MATCH($B1017,Vinos!$A$2:$A$301,0)),""))</f>
        <v/>
      </c>
      <c r="R1017" s="20">
        <f>IF(OR($A1017="",$A1017&lt;&gt;'Resumen del inventario'!$C$3,$N1017="",$N1017="OK"),"",IF(COUNTIFS($A$2:$A1017,$A1017,$B$2:$B1017,$B1017)=1,1,""))</f>
        <v/>
      </c>
      <c r="S1017" s="20">
        <f>IF($R1017=1,COUNTIF($R$2:$R1017,1),"")</f>
        <v/>
      </c>
    </row>
    <row r="1018">
      <c r="A1018" s="19" t="n"/>
      <c r="B1018" s="14" t="n"/>
      <c r="C1018" s="20">
        <f>IF($B1018="","",IFERROR(INDEX(Vinos!$B$2:$B$301,MATCH($B1018,Vinos!$A$2:$A$301,0)),"Código no cargado"))</f>
        <v/>
      </c>
      <c r="D1018" s="14" t="n"/>
      <c r="E1018" s="14" t="n"/>
      <c r="F1018" s="18" t="n"/>
      <c r="G1018" s="18" t="n"/>
      <c r="H1018" s="21">
        <f>IF(AND($F1018="",$G1018=""),"",N($F1018)*IFERROR(N(INDEX(Vinos!$H$2:$H$301,MATCH($B1018,Vinos!$A$2:$A$301,0))),0)+N($G1018))</f>
        <v/>
      </c>
      <c r="I1018" s="18" t="n"/>
      <c r="J1018" s="21">
        <f>IF(OR($H1018="",$I1018=""),"",$H1018-$I1018)</f>
        <v/>
      </c>
      <c r="K1018" s="16">
        <f>IF($H1018="","",IFERROR(IF(INDEX(Vinos!$J$2:$J$301,MATCH($B1018,Vinos!$A$2:$A$301,0))="","",$H1018*INDEX(Vinos!$J$2:$J$301,MATCH($B1018,Vinos!$A$2:$A$301,0))),""))</f>
        <v/>
      </c>
      <c r="L1018" s="16">
        <f>IF($H1018="","",IFERROR(IF(INDEX(Vinos!$K$2:$K$301,MATCH($B1018,Vinos!$A$2:$A$301,0))="","",$H1018*INDEX(Vinos!$K$2:$K$301,MATCH($B1018,Vinos!$A$2:$A$301,0))),""))</f>
        <v/>
      </c>
      <c r="M1018" s="21">
        <f>IF(OR($A1018="",$B1018=""),"",SUMIFS($H$2:$H$2001,$A$2:$A$2001,$A1018,$B$2:$B$2001,$B1018))</f>
        <v/>
      </c>
      <c r="N1018" s="20">
        <f>IF($M1018="","",IF($M1018&lt;=0,"Sin stock: reponer ya",IF($M1018&lt;IFERROR(N(INDEX(Vinos!$N$2:$N$301,MATCH($B1018,Vinos!$A$2:$A$301,0))),0),"Bajo mínimo: reponer","OK")))</f>
        <v/>
      </c>
      <c r="O1018" s="14" t="n"/>
      <c r="P1018" s="14" t="n"/>
      <c r="Q1018" s="20">
        <f>IF($B1018="","",IFERROR(INDEX(Vinos!$C$2:$C$301,MATCH($B1018,Vinos!$A$2:$A$301,0)),""))</f>
        <v/>
      </c>
      <c r="R1018" s="20">
        <f>IF(OR($A1018="",$A1018&lt;&gt;'Resumen del inventario'!$C$3,$N1018="",$N1018="OK"),"",IF(COUNTIFS($A$2:$A1018,$A1018,$B$2:$B1018,$B1018)=1,1,""))</f>
        <v/>
      </c>
      <c r="S1018" s="20">
        <f>IF($R1018=1,COUNTIF($R$2:$R1018,1),"")</f>
        <v/>
      </c>
    </row>
    <row r="1019">
      <c r="A1019" s="19" t="n"/>
      <c r="B1019" s="14" t="n"/>
      <c r="C1019" s="20">
        <f>IF($B1019="","",IFERROR(INDEX(Vinos!$B$2:$B$301,MATCH($B1019,Vinos!$A$2:$A$301,0)),"Código no cargado"))</f>
        <v/>
      </c>
      <c r="D1019" s="14" t="n"/>
      <c r="E1019" s="14" t="n"/>
      <c r="F1019" s="18" t="n"/>
      <c r="G1019" s="18" t="n"/>
      <c r="H1019" s="21">
        <f>IF(AND($F1019="",$G1019=""),"",N($F1019)*IFERROR(N(INDEX(Vinos!$H$2:$H$301,MATCH($B1019,Vinos!$A$2:$A$301,0))),0)+N($G1019))</f>
        <v/>
      </c>
      <c r="I1019" s="18" t="n"/>
      <c r="J1019" s="21">
        <f>IF(OR($H1019="",$I1019=""),"",$H1019-$I1019)</f>
        <v/>
      </c>
      <c r="K1019" s="16">
        <f>IF($H1019="","",IFERROR(IF(INDEX(Vinos!$J$2:$J$301,MATCH($B1019,Vinos!$A$2:$A$301,0))="","",$H1019*INDEX(Vinos!$J$2:$J$301,MATCH($B1019,Vinos!$A$2:$A$301,0))),""))</f>
        <v/>
      </c>
      <c r="L1019" s="16">
        <f>IF($H1019="","",IFERROR(IF(INDEX(Vinos!$K$2:$K$301,MATCH($B1019,Vinos!$A$2:$A$301,0))="","",$H1019*INDEX(Vinos!$K$2:$K$301,MATCH($B1019,Vinos!$A$2:$A$301,0))),""))</f>
        <v/>
      </c>
      <c r="M1019" s="21">
        <f>IF(OR($A1019="",$B1019=""),"",SUMIFS($H$2:$H$2001,$A$2:$A$2001,$A1019,$B$2:$B$2001,$B1019))</f>
        <v/>
      </c>
      <c r="N1019" s="20">
        <f>IF($M1019="","",IF($M1019&lt;=0,"Sin stock: reponer ya",IF($M1019&lt;IFERROR(N(INDEX(Vinos!$N$2:$N$301,MATCH($B1019,Vinos!$A$2:$A$301,0))),0),"Bajo mínimo: reponer","OK")))</f>
        <v/>
      </c>
      <c r="O1019" s="14" t="n"/>
      <c r="P1019" s="14" t="n"/>
      <c r="Q1019" s="20">
        <f>IF($B1019="","",IFERROR(INDEX(Vinos!$C$2:$C$301,MATCH($B1019,Vinos!$A$2:$A$301,0)),""))</f>
        <v/>
      </c>
      <c r="R1019" s="20">
        <f>IF(OR($A1019="",$A1019&lt;&gt;'Resumen del inventario'!$C$3,$N1019="",$N1019="OK"),"",IF(COUNTIFS($A$2:$A1019,$A1019,$B$2:$B1019,$B1019)=1,1,""))</f>
        <v/>
      </c>
      <c r="S1019" s="20">
        <f>IF($R1019=1,COUNTIF($R$2:$R1019,1),"")</f>
        <v/>
      </c>
    </row>
    <row r="1020">
      <c r="A1020" s="19" t="n"/>
      <c r="B1020" s="14" t="n"/>
      <c r="C1020" s="20">
        <f>IF($B1020="","",IFERROR(INDEX(Vinos!$B$2:$B$301,MATCH($B1020,Vinos!$A$2:$A$301,0)),"Código no cargado"))</f>
        <v/>
      </c>
      <c r="D1020" s="14" t="n"/>
      <c r="E1020" s="14" t="n"/>
      <c r="F1020" s="18" t="n"/>
      <c r="G1020" s="18" t="n"/>
      <c r="H1020" s="21">
        <f>IF(AND($F1020="",$G1020=""),"",N($F1020)*IFERROR(N(INDEX(Vinos!$H$2:$H$301,MATCH($B1020,Vinos!$A$2:$A$301,0))),0)+N($G1020))</f>
        <v/>
      </c>
      <c r="I1020" s="18" t="n"/>
      <c r="J1020" s="21">
        <f>IF(OR($H1020="",$I1020=""),"",$H1020-$I1020)</f>
        <v/>
      </c>
      <c r="K1020" s="16">
        <f>IF($H1020="","",IFERROR(IF(INDEX(Vinos!$J$2:$J$301,MATCH($B1020,Vinos!$A$2:$A$301,0))="","",$H1020*INDEX(Vinos!$J$2:$J$301,MATCH($B1020,Vinos!$A$2:$A$301,0))),""))</f>
        <v/>
      </c>
      <c r="L1020" s="16">
        <f>IF($H1020="","",IFERROR(IF(INDEX(Vinos!$K$2:$K$301,MATCH($B1020,Vinos!$A$2:$A$301,0))="","",$H1020*INDEX(Vinos!$K$2:$K$301,MATCH($B1020,Vinos!$A$2:$A$301,0))),""))</f>
        <v/>
      </c>
      <c r="M1020" s="21">
        <f>IF(OR($A1020="",$B1020=""),"",SUMIFS($H$2:$H$2001,$A$2:$A$2001,$A1020,$B$2:$B$2001,$B1020))</f>
        <v/>
      </c>
      <c r="N1020" s="20">
        <f>IF($M1020="","",IF($M1020&lt;=0,"Sin stock: reponer ya",IF($M1020&lt;IFERROR(N(INDEX(Vinos!$N$2:$N$301,MATCH($B1020,Vinos!$A$2:$A$301,0))),0),"Bajo mínimo: reponer","OK")))</f>
        <v/>
      </c>
      <c r="O1020" s="14" t="n"/>
      <c r="P1020" s="14" t="n"/>
      <c r="Q1020" s="20">
        <f>IF($B1020="","",IFERROR(INDEX(Vinos!$C$2:$C$301,MATCH($B1020,Vinos!$A$2:$A$301,0)),""))</f>
        <v/>
      </c>
      <c r="R1020" s="20">
        <f>IF(OR($A1020="",$A1020&lt;&gt;'Resumen del inventario'!$C$3,$N1020="",$N1020="OK"),"",IF(COUNTIFS($A$2:$A1020,$A1020,$B$2:$B1020,$B1020)=1,1,""))</f>
        <v/>
      </c>
      <c r="S1020" s="20">
        <f>IF($R1020=1,COUNTIF($R$2:$R1020,1),"")</f>
        <v/>
      </c>
    </row>
    <row r="1021">
      <c r="A1021" s="19" t="n"/>
      <c r="B1021" s="14" t="n"/>
      <c r="C1021" s="20">
        <f>IF($B1021="","",IFERROR(INDEX(Vinos!$B$2:$B$301,MATCH($B1021,Vinos!$A$2:$A$301,0)),"Código no cargado"))</f>
        <v/>
      </c>
      <c r="D1021" s="14" t="n"/>
      <c r="E1021" s="14" t="n"/>
      <c r="F1021" s="18" t="n"/>
      <c r="G1021" s="18" t="n"/>
      <c r="H1021" s="21">
        <f>IF(AND($F1021="",$G1021=""),"",N($F1021)*IFERROR(N(INDEX(Vinos!$H$2:$H$301,MATCH($B1021,Vinos!$A$2:$A$301,0))),0)+N($G1021))</f>
        <v/>
      </c>
      <c r="I1021" s="18" t="n"/>
      <c r="J1021" s="21">
        <f>IF(OR($H1021="",$I1021=""),"",$H1021-$I1021)</f>
        <v/>
      </c>
      <c r="K1021" s="16">
        <f>IF($H1021="","",IFERROR(IF(INDEX(Vinos!$J$2:$J$301,MATCH($B1021,Vinos!$A$2:$A$301,0))="","",$H1021*INDEX(Vinos!$J$2:$J$301,MATCH($B1021,Vinos!$A$2:$A$301,0))),""))</f>
        <v/>
      </c>
      <c r="L1021" s="16">
        <f>IF($H1021="","",IFERROR(IF(INDEX(Vinos!$K$2:$K$301,MATCH($B1021,Vinos!$A$2:$A$301,0))="","",$H1021*INDEX(Vinos!$K$2:$K$301,MATCH($B1021,Vinos!$A$2:$A$301,0))),""))</f>
        <v/>
      </c>
      <c r="M1021" s="21">
        <f>IF(OR($A1021="",$B1021=""),"",SUMIFS($H$2:$H$2001,$A$2:$A$2001,$A1021,$B$2:$B$2001,$B1021))</f>
        <v/>
      </c>
      <c r="N1021" s="20">
        <f>IF($M1021="","",IF($M1021&lt;=0,"Sin stock: reponer ya",IF($M1021&lt;IFERROR(N(INDEX(Vinos!$N$2:$N$301,MATCH($B1021,Vinos!$A$2:$A$301,0))),0),"Bajo mínimo: reponer","OK")))</f>
        <v/>
      </c>
      <c r="O1021" s="14" t="n"/>
      <c r="P1021" s="14" t="n"/>
      <c r="Q1021" s="20">
        <f>IF($B1021="","",IFERROR(INDEX(Vinos!$C$2:$C$301,MATCH($B1021,Vinos!$A$2:$A$301,0)),""))</f>
        <v/>
      </c>
      <c r="R1021" s="20">
        <f>IF(OR($A1021="",$A1021&lt;&gt;'Resumen del inventario'!$C$3,$N1021="",$N1021="OK"),"",IF(COUNTIFS($A$2:$A1021,$A1021,$B$2:$B1021,$B1021)=1,1,""))</f>
        <v/>
      </c>
      <c r="S1021" s="20">
        <f>IF($R1021=1,COUNTIF($R$2:$R1021,1),"")</f>
        <v/>
      </c>
    </row>
    <row r="1022">
      <c r="A1022" s="19" t="n"/>
      <c r="B1022" s="14" t="n"/>
      <c r="C1022" s="20">
        <f>IF($B1022="","",IFERROR(INDEX(Vinos!$B$2:$B$301,MATCH($B1022,Vinos!$A$2:$A$301,0)),"Código no cargado"))</f>
        <v/>
      </c>
      <c r="D1022" s="14" t="n"/>
      <c r="E1022" s="14" t="n"/>
      <c r="F1022" s="18" t="n"/>
      <c r="G1022" s="18" t="n"/>
      <c r="H1022" s="21">
        <f>IF(AND($F1022="",$G1022=""),"",N($F1022)*IFERROR(N(INDEX(Vinos!$H$2:$H$301,MATCH($B1022,Vinos!$A$2:$A$301,0))),0)+N($G1022))</f>
        <v/>
      </c>
      <c r="I1022" s="18" t="n"/>
      <c r="J1022" s="21">
        <f>IF(OR($H1022="",$I1022=""),"",$H1022-$I1022)</f>
        <v/>
      </c>
      <c r="K1022" s="16">
        <f>IF($H1022="","",IFERROR(IF(INDEX(Vinos!$J$2:$J$301,MATCH($B1022,Vinos!$A$2:$A$301,0))="","",$H1022*INDEX(Vinos!$J$2:$J$301,MATCH($B1022,Vinos!$A$2:$A$301,0))),""))</f>
        <v/>
      </c>
      <c r="L1022" s="16">
        <f>IF($H1022="","",IFERROR(IF(INDEX(Vinos!$K$2:$K$301,MATCH($B1022,Vinos!$A$2:$A$301,0))="","",$H1022*INDEX(Vinos!$K$2:$K$301,MATCH($B1022,Vinos!$A$2:$A$301,0))),""))</f>
        <v/>
      </c>
      <c r="M1022" s="21">
        <f>IF(OR($A1022="",$B1022=""),"",SUMIFS($H$2:$H$2001,$A$2:$A$2001,$A1022,$B$2:$B$2001,$B1022))</f>
        <v/>
      </c>
      <c r="N1022" s="20">
        <f>IF($M1022="","",IF($M1022&lt;=0,"Sin stock: reponer ya",IF($M1022&lt;IFERROR(N(INDEX(Vinos!$N$2:$N$301,MATCH($B1022,Vinos!$A$2:$A$301,0))),0),"Bajo mínimo: reponer","OK")))</f>
        <v/>
      </c>
      <c r="O1022" s="14" t="n"/>
      <c r="P1022" s="14" t="n"/>
      <c r="Q1022" s="20">
        <f>IF($B1022="","",IFERROR(INDEX(Vinos!$C$2:$C$301,MATCH($B1022,Vinos!$A$2:$A$301,0)),""))</f>
        <v/>
      </c>
      <c r="R1022" s="20">
        <f>IF(OR($A1022="",$A1022&lt;&gt;'Resumen del inventario'!$C$3,$N1022="",$N1022="OK"),"",IF(COUNTIFS($A$2:$A1022,$A1022,$B$2:$B1022,$B1022)=1,1,""))</f>
        <v/>
      </c>
      <c r="S1022" s="20">
        <f>IF($R1022=1,COUNTIF($R$2:$R1022,1),"")</f>
        <v/>
      </c>
    </row>
    <row r="1023">
      <c r="A1023" s="19" t="n"/>
      <c r="B1023" s="14" t="n"/>
      <c r="C1023" s="20">
        <f>IF($B1023="","",IFERROR(INDEX(Vinos!$B$2:$B$301,MATCH($B1023,Vinos!$A$2:$A$301,0)),"Código no cargado"))</f>
        <v/>
      </c>
      <c r="D1023" s="14" t="n"/>
      <c r="E1023" s="14" t="n"/>
      <c r="F1023" s="18" t="n"/>
      <c r="G1023" s="18" t="n"/>
      <c r="H1023" s="21">
        <f>IF(AND($F1023="",$G1023=""),"",N($F1023)*IFERROR(N(INDEX(Vinos!$H$2:$H$301,MATCH($B1023,Vinos!$A$2:$A$301,0))),0)+N($G1023))</f>
        <v/>
      </c>
      <c r="I1023" s="18" t="n"/>
      <c r="J1023" s="21">
        <f>IF(OR($H1023="",$I1023=""),"",$H1023-$I1023)</f>
        <v/>
      </c>
      <c r="K1023" s="16">
        <f>IF($H1023="","",IFERROR(IF(INDEX(Vinos!$J$2:$J$301,MATCH($B1023,Vinos!$A$2:$A$301,0))="","",$H1023*INDEX(Vinos!$J$2:$J$301,MATCH($B1023,Vinos!$A$2:$A$301,0))),""))</f>
        <v/>
      </c>
      <c r="L1023" s="16">
        <f>IF($H1023="","",IFERROR(IF(INDEX(Vinos!$K$2:$K$301,MATCH($B1023,Vinos!$A$2:$A$301,0))="","",$H1023*INDEX(Vinos!$K$2:$K$301,MATCH($B1023,Vinos!$A$2:$A$301,0))),""))</f>
        <v/>
      </c>
      <c r="M1023" s="21">
        <f>IF(OR($A1023="",$B1023=""),"",SUMIFS($H$2:$H$2001,$A$2:$A$2001,$A1023,$B$2:$B$2001,$B1023))</f>
        <v/>
      </c>
      <c r="N1023" s="20">
        <f>IF($M1023="","",IF($M1023&lt;=0,"Sin stock: reponer ya",IF($M1023&lt;IFERROR(N(INDEX(Vinos!$N$2:$N$301,MATCH($B1023,Vinos!$A$2:$A$301,0))),0),"Bajo mínimo: reponer","OK")))</f>
        <v/>
      </c>
      <c r="O1023" s="14" t="n"/>
      <c r="P1023" s="14" t="n"/>
      <c r="Q1023" s="20">
        <f>IF($B1023="","",IFERROR(INDEX(Vinos!$C$2:$C$301,MATCH($B1023,Vinos!$A$2:$A$301,0)),""))</f>
        <v/>
      </c>
      <c r="R1023" s="20">
        <f>IF(OR($A1023="",$A1023&lt;&gt;'Resumen del inventario'!$C$3,$N1023="",$N1023="OK"),"",IF(COUNTIFS($A$2:$A1023,$A1023,$B$2:$B1023,$B1023)=1,1,""))</f>
        <v/>
      </c>
      <c r="S1023" s="20">
        <f>IF($R1023=1,COUNTIF($R$2:$R1023,1),"")</f>
        <v/>
      </c>
    </row>
    <row r="1024">
      <c r="A1024" s="19" t="n"/>
      <c r="B1024" s="14" t="n"/>
      <c r="C1024" s="20">
        <f>IF($B1024="","",IFERROR(INDEX(Vinos!$B$2:$B$301,MATCH($B1024,Vinos!$A$2:$A$301,0)),"Código no cargado"))</f>
        <v/>
      </c>
      <c r="D1024" s="14" t="n"/>
      <c r="E1024" s="14" t="n"/>
      <c r="F1024" s="18" t="n"/>
      <c r="G1024" s="18" t="n"/>
      <c r="H1024" s="21">
        <f>IF(AND($F1024="",$G1024=""),"",N($F1024)*IFERROR(N(INDEX(Vinos!$H$2:$H$301,MATCH($B1024,Vinos!$A$2:$A$301,0))),0)+N($G1024))</f>
        <v/>
      </c>
      <c r="I1024" s="18" t="n"/>
      <c r="J1024" s="21">
        <f>IF(OR($H1024="",$I1024=""),"",$H1024-$I1024)</f>
        <v/>
      </c>
      <c r="K1024" s="16">
        <f>IF($H1024="","",IFERROR(IF(INDEX(Vinos!$J$2:$J$301,MATCH($B1024,Vinos!$A$2:$A$301,0))="","",$H1024*INDEX(Vinos!$J$2:$J$301,MATCH($B1024,Vinos!$A$2:$A$301,0))),""))</f>
        <v/>
      </c>
      <c r="L1024" s="16">
        <f>IF($H1024="","",IFERROR(IF(INDEX(Vinos!$K$2:$K$301,MATCH($B1024,Vinos!$A$2:$A$301,0))="","",$H1024*INDEX(Vinos!$K$2:$K$301,MATCH($B1024,Vinos!$A$2:$A$301,0))),""))</f>
        <v/>
      </c>
      <c r="M1024" s="21">
        <f>IF(OR($A1024="",$B1024=""),"",SUMIFS($H$2:$H$2001,$A$2:$A$2001,$A1024,$B$2:$B$2001,$B1024))</f>
        <v/>
      </c>
      <c r="N1024" s="20">
        <f>IF($M1024="","",IF($M1024&lt;=0,"Sin stock: reponer ya",IF($M1024&lt;IFERROR(N(INDEX(Vinos!$N$2:$N$301,MATCH($B1024,Vinos!$A$2:$A$301,0))),0),"Bajo mínimo: reponer","OK")))</f>
        <v/>
      </c>
      <c r="O1024" s="14" t="n"/>
      <c r="P1024" s="14" t="n"/>
      <c r="Q1024" s="20">
        <f>IF($B1024="","",IFERROR(INDEX(Vinos!$C$2:$C$301,MATCH($B1024,Vinos!$A$2:$A$301,0)),""))</f>
        <v/>
      </c>
      <c r="R1024" s="20">
        <f>IF(OR($A1024="",$A1024&lt;&gt;'Resumen del inventario'!$C$3,$N1024="",$N1024="OK"),"",IF(COUNTIFS($A$2:$A1024,$A1024,$B$2:$B1024,$B1024)=1,1,""))</f>
        <v/>
      </c>
      <c r="S1024" s="20">
        <f>IF($R1024=1,COUNTIF($R$2:$R1024,1),"")</f>
        <v/>
      </c>
    </row>
    <row r="1025">
      <c r="A1025" s="19" t="n"/>
      <c r="B1025" s="14" t="n"/>
      <c r="C1025" s="20">
        <f>IF($B1025="","",IFERROR(INDEX(Vinos!$B$2:$B$301,MATCH($B1025,Vinos!$A$2:$A$301,0)),"Código no cargado"))</f>
        <v/>
      </c>
      <c r="D1025" s="14" t="n"/>
      <c r="E1025" s="14" t="n"/>
      <c r="F1025" s="18" t="n"/>
      <c r="G1025" s="18" t="n"/>
      <c r="H1025" s="21">
        <f>IF(AND($F1025="",$G1025=""),"",N($F1025)*IFERROR(N(INDEX(Vinos!$H$2:$H$301,MATCH($B1025,Vinos!$A$2:$A$301,0))),0)+N($G1025))</f>
        <v/>
      </c>
      <c r="I1025" s="18" t="n"/>
      <c r="J1025" s="21">
        <f>IF(OR($H1025="",$I1025=""),"",$H1025-$I1025)</f>
        <v/>
      </c>
      <c r="K1025" s="16">
        <f>IF($H1025="","",IFERROR(IF(INDEX(Vinos!$J$2:$J$301,MATCH($B1025,Vinos!$A$2:$A$301,0))="","",$H1025*INDEX(Vinos!$J$2:$J$301,MATCH($B1025,Vinos!$A$2:$A$301,0))),""))</f>
        <v/>
      </c>
      <c r="L1025" s="16">
        <f>IF($H1025="","",IFERROR(IF(INDEX(Vinos!$K$2:$K$301,MATCH($B1025,Vinos!$A$2:$A$301,0))="","",$H1025*INDEX(Vinos!$K$2:$K$301,MATCH($B1025,Vinos!$A$2:$A$301,0))),""))</f>
        <v/>
      </c>
      <c r="M1025" s="21">
        <f>IF(OR($A1025="",$B1025=""),"",SUMIFS($H$2:$H$2001,$A$2:$A$2001,$A1025,$B$2:$B$2001,$B1025))</f>
        <v/>
      </c>
      <c r="N1025" s="20">
        <f>IF($M1025="","",IF($M1025&lt;=0,"Sin stock: reponer ya",IF($M1025&lt;IFERROR(N(INDEX(Vinos!$N$2:$N$301,MATCH($B1025,Vinos!$A$2:$A$301,0))),0),"Bajo mínimo: reponer","OK")))</f>
        <v/>
      </c>
      <c r="O1025" s="14" t="n"/>
      <c r="P1025" s="14" t="n"/>
      <c r="Q1025" s="20">
        <f>IF($B1025="","",IFERROR(INDEX(Vinos!$C$2:$C$301,MATCH($B1025,Vinos!$A$2:$A$301,0)),""))</f>
        <v/>
      </c>
      <c r="R1025" s="20">
        <f>IF(OR($A1025="",$A1025&lt;&gt;'Resumen del inventario'!$C$3,$N1025="",$N1025="OK"),"",IF(COUNTIFS($A$2:$A1025,$A1025,$B$2:$B1025,$B1025)=1,1,""))</f>
        <v/>
      </c>
      <c r="S1025" s="20">
        <f>IF($R1025=1,COUNTIF($R$2:$R1025,1),"")</f>
        <v/>
      </c>
    </row>
    <row r="1026">
      <c r="A1026" s="19" t="n"/>
      <c r="B1026" s="14" t="n"/>
      <c r="C1026" s="20">
        <f>IF($B1026="","",IFERROR(INDEX(Vinos!$B$2:$B$301,MATCH($B1026,Vinos!$A$2:$A$301,0)),"Código no cargado"))</f>
        <v/>
      </c>
      <c r="D1026" s="14" t="n"/>
      <c r="E1026" s="14" t="n"/>
      <c r="F1026" s="18" t="n"/>
      <c r="G1026" s="18" t="n"/>
      <c r="H1026" s="21">
        <f>IF(AND($F1026="",$G1026=""),"",N($F1026)*IFERROR(N(INDEX(Vinos!$H$2:$H$301,MATCH($B1026,Vinos!$A$2:$A$301,0))),0)+N($G1026))</f>
        <v/>
      </c>
      <c r="I1026" s="18" t="n"/>
      <c r="J1026" s="21">
        <f>IF(OR($H1026="",$I1026=""),"",$H1026-$I1026)</f>
        <v/>
      </c>
      <c r="K1026" s="16">
        <f>IF($H1026="","",IFERROR(IF(INDEX(Vinos!$J$2:$J$301,MATCH($B1026,Vinos!$A$2:$A$301,0))="","",$H1026*INDEX(Vinos!$J$2:$J$301,MATCH($B1026,Vinos!$A$2:$A$301,0))),""))</f>
        <v/>
      </c>
      <c r="L1026" s="16">
        <f>IF($H1026="","",IFERROR(IF(INDEX(Vinos!$K$2:$K$301,MATCH($B1026,Vinos!$A$2:$A$301,0))="","",$H1026*INDEX(Vinos!$K$2:$K$301,MATCH($B1026,Vinos!$A$2:$A$301,0))),""))</f>
        <v/>
      </c>
      <c r="M1026" s="21">
        <f>IF(OR($A1026="",$B1026=""),"",SUMIFS($H$2:$H$2001,$A$2:$A$2001,$A1026,$B$2:$B$2001,$B1026))</f>
        <v/>
      </c>
      <c r="N1026" s="20">
        <f>IF($M1026="","",IF($M1026&lt;=0,"Sin stock: reponer ya",IF($M1026&lt;IFERROR(N(INDEX(Vinos!$N$2:$N$301,MATCH($B1026,Vinos!$A$2:$A$301,0))),0),"Bajo mínimo: reponer","OK")))</f>
        <v/>
      </c>
      <c r="O1026" s="14" t="n"/>
      <c r="P1026" s="14" t="n"/>
      <c r="Q1026" s="20">
        <f>IF($B1026="","",IFERROR(INDEX(Vinos!$C$2:$C$301,MATCH($B1026,Vinos!$A$2:$A$301,0)),""))</f>
        <v/>
      </c>
      <c r="R1026" s="20">
        <f>IF(OR($A1026="",$A1026&lt;&gt;'Resumen del inventario'!$C$3,$N1026="",$N1026="OK"),"",IF(COUNTIFS($A$2:$A1026,$A1026,$B$2:$B1026,$B1026)=1,1,""))</f>
        <v/>
      </c>
      <c r="S1026" s="20">
        <f>IF($R1026=1,COUNTIF($R$2:$R1026,1),"")</f>
        <v/>
      </c>
    </row>
    <row r="1027">
      <c r="A1027" s="19" t="n"/>
      <c r="B1027" s="14" t="n"/>
      <c r="C1027" s="20">
        <f>IF($B1027="","",IFERROR(INDEX(Vinos!$B$2:$B$301,MATCH($B1027,Vinos!$A$2:$A$301,0)),"Código no cargado"))</f>
        <v/>
      </c>
      <c r="D1027" s="14" t="n"/>
      <c r="E1027" s="14" t="n"/>
      <c r="F1027" s="18" t="n"/>
      <c r="G1027" s="18" t="n"/>
      <c r="H1027" s="21">
        <f>IF(AND($F1027="",$G1027=""),"",N($F1027)*IFERROR(N(INDEX(Vinos!$H$2:$H$301,MATCH($B1027,Vinos!$A$2:$A$301,0))),0)+N($G1027))</f>
        <v/>
      </c>
      <c r="I1027" s="18" t="n"/>
      <c r="J1027" s="21">
        <f>IF(OR($H1027="",$I1027=""),"",$H1027-$I1027)</f>
        <v/>
      </c>
      <c r="K1027" s="16">
        <f>IF($H1027="","",IFERROR(IF(INDEX(Vinos!$J$2:$J$301,MATCH($B1027,Vinos!$A$2:$A$301,0))="","",$H1027*INDEX(Vinos!$J$2:$J$301,MATCH($B1027,Vinos!$A$2:$A$301,0))),""))</f>
        <v/>
      </c>
      <c r="L1027" s="16">
        <f>IF($H1027="","",IFERROR(IF(INDEX(Vinos!$K$2:$K$301,MATCH($B1027,Vinos!$A$2:$A$301,0))="","",$H1027*INDEX(Vinos!$K$2:$K$301,MATCH($B1027,Vinos!$A$2:$A$301,0))),""))</f>
        <v/>
      </c>
      <c r="M1027" s="21">
        <f>IF(OR($A1027="",$B1027=""),"",SUMIFS($H$2:$H$2001,$A$2:$A$2001,$A1027,$B$2:$B$2001,$B1027))</f>
        <v/>
      </c>
      <c r="N1027" s="20">
        <f>IF($M1027="","",IF($M1027&lt;=0,"Sin stock: reponer ya",IF($M1027&lt;IFERROR(N(INDEX(Vinos!$N$2:$N$301,MATCH($B1027,Vinos!$A$2:$A$301,0))),0),"Bajo mínimo: reponer","OK")))</f>
        <v/>
      </c>
      <c r="O1027" s="14" t="n"/>
      <c r="P1027" s="14" t="n"/>
      <c r="Q1027" s="20">
        <f>IF($B1027="","",IFERROR(INDEX(Vinos!$C$2:$C$301,MATCH($B1027,Vinos!$A$2:$A$301,0)),""))</f>
        <v/>
      </c>
      <c r="R1027" s="20">
        <f>IF(OR($A1027="",$A1027&lt;&gt;'Resumen del inventario'!$C$3,$N1027="",$N1027="OK"),"",IF(COUNTIFS($A$2:$A1027,$A1027,$B$2:$B1027,$B1027)=1,1,""))</f>
        <v/>
      </c>
      <c r="S1027" s="20">
        <f>IF($R1027=1,COUNTIF($R$2:$R1027,1),"")</f>
        <v/>
      </c>
    </row>
    <row r="1028">
      <c r="A1028" s="19" t="n"/>
      <c r="B1028" s="14" t="n"/>
      <c r="C1028" s="20">
        <f>IF($B1028="","",IFERROR(INDEX(Vinos!$B$2:$B$301,MATCH($B1028,Vinos!$A$2:$A$301,0)),"Código no cargado"))</f>
        <v/>
      </c>
      <c r="D1028" s="14" t="n"/>
      <c r="E1028" s="14" t="n"/>
      <c r="F1028" s="18" t="n"/>
      <c r="G1028" s="18" t="n"/>
      <c r="H1028" s="21">
        <f>IF(AND($F1028="",$G1028=""),"",N($F1028)*IFERROR(N(INDEX(Vinos!$H$2:$H$301,MATCH($B1028,Vinos!$A$2:$A$301,0))),0)+N($G1028))</f>
        <v/>
      </c>
      <c r="I1028" s="18" t="n"/>
      <c r="J1028" s="21">
        <f>IF(OR($H1028="",$I1028=""),"",$H1028-$I1028)</f>
        <v/>
      </c>
      <c r="K1028" s="16">
        <f>IF($H1028="","",IFERROR(IF(INDEX(Vinos!$J$2:$J$301,MATCH($B1028,Vinos!$A$2:$A$301,0))="","",$H1028*INDEX(Vinos!$J$2:$J$301,MATCH($B1028,Vinos!$A$2:$A$301,0))),""))</f>
        <v/>
      </c>
      <c r="L1028" s="16">
        <f>IF($H1028="","",IFERROR(IF(INDEX(Vinos!$K$2:$K$301,MATCH($B1028,Vinos!$A$2:$A$301,0))="","",$H1028*INDEX(Vinos!$K$2:$K$301,MATCH($B1028,Vinos!$A$2:$A$301,0))),""))</f>
        <v/>
      </c>
      <c r="M1028" s="21">
        <f>IF(OR($A1028="",$B1028=""),"",SUMIFS($H$2:$H$2001,$A$2:$A$2001,$A1028,$B$2:$B$2001,$B1028))</f>
        <v/>
      </c>
      <c r="N1028" s="20">
        <f>IF($M1028="","",IF($M1028&lt;=0,"Sin stock: reponer ya",IF($M1028&lt;IFERROR(N(INDEX(Vinos!$N$2:$N$301,MATCH($B1028,Vinos!$A$2:$A$301,0))),0),"Bajo mínimo: reponer","OK")))</f>
        <v/>
      </c>
      <c r="O1028" s="14" t="n"/>
      <c r="P1028" s="14" t="n"/>
      <c r="Q1028" s="20">
        <f>IF($B1028="","",IFERROR(INDEX(Vinos!$C$2:$C$301,MATCH($B1028,Vinos!$A$2:$A$301,0)),""))</f>
        <v/>
      </c>
      <c r="R1028" s="20">
        <f>IF(OR($A1028="",$A1028&lt;&gt;'Resumen del inventario'!$C$3,$N1028="",$N1028="OK"),"",IF(COUNTIFS($A$2:$A1028,$A1028,$B$2:$B1028,$B1028)=1,1,""))</f>
        <v/>
      </c>
      <c r="S1028" s="20">
        <f>IF($R1028=1,COUNTIF($R$2:$R1028,1),"")</f>
        <v/>
      </c>
    </row>
    <row r="1029">
      <c r="A1029" s="19" t="n"/>
      <c r="B1029" s="14" t="n"/>
      <c r="C1029" s="20">
        <f>IF($B1029="","",IFERROR(INDEX(Vinos!$B$2:$B$301,MATCH($B1029,Vinos!$A$2:$A$301,0)),"Código no cargado"))</f>
        <v/>
      </c>
      <c r="D1029" s="14" t="n"/>
      <c r="E1029" s="14" t="n"/>
      <c r="F1029" s="18" t="n"/>
      <c r="G1029" s="18" t="n"/>
      <c r="H1029" s="21">
        <f>IF(AND($F1029="",$G1029=""),"",N($F1029)*IFERROR(N(INDEX(Vinos!$H$2:$H$301,MATCH($B1029,Vinos!$A$2:$A$301,0))),0)+N($G1029))</f>
        <v/>
      </c>
      <c r="I1029" s="18" t="n"/>
      <c r="J1029" s="21">
        <f>IF(OR($H1029="",$I1029=""),"",$H1029-$I1029)</f>
        <v/>
      </c>
      <c r="K1029" s="16">
        <f>IF($H1029="","",IFERROR(IF(INDEX(Vinos!$J$2:$J$301,MATCH($B1029,Vinos!$A$2:$A$301,0))="","",$H1029*INDEX(Vinos!$J$2:$J$301,MATCH($B1029,Vinos!$A$2:$A$301,0))),""))</f>
        <v/>
      </c>
      <c r="L1029" s="16">
        <f>IF($H1029="","",IFERROR(IF(INDEX(Vinos!$K$2:$K$301,MATCH($B1029,Vinos!$A$2:$A$301,0))="","",$H1029*INDEX(Vinos!$K$2:$K$301,MATCH($B1029,Vinos!$A$2:$A$301,0))),""))</f>
        <v/>
      </c>
      <c r="M1029" s="21">
        <f>IF(OR($A1029="",$B1029=""),"",SUMIFS($H$2:$H$2001,$A$2:$A$2001,$A1029,$B$2:$B$2001,$B1029))</f>
        <v/>
      </c>
      <c r="N1029" s="20">
        <f>IF($M1029="","",IF($M1029&lt;=0,"Sin stock: reponer ya",IF($M1029&lt;IFERROR(N(INDEX(Vinos!$N$2:$N$301,MATCH($B1029,Vinos!$A$2:$A$301,0))),0),"Bajo mínimo: reponer","OK")))</f>
        <v/>
      </c>
      <c r="O1029" s="14" t="n"/>
      <c r="P1029" s="14" t="n"/>
      <c r="Q1029" s="20">
        <f>IF($B1029="","",IFERROR(INDEX(Vinos!$C$2:$C$301,MATCH($B1029,Vinos!$A$2:$A$301,0)),""))</f>
        <v/>
      </c>
      <c r="R1029" s="20">
        <f>IF(OR($A1029="",$A1029&lt;&gt;'Resumen del inventario'!$C$3,$N1029="",$N1029="OK"),"",IF(COUNTIFS($A$2:$A1029,$A1029,$B$2:$B1029,$B1029)=1,1,""))</f>
        <v/>
      </c>
      <c r="S1029" s="20">
        <f>IF($R1029=1,COUNTIF($R$2:$R1029,1),"")</f>
        <v/>
      </c>
    </row>
    <row r="1030">
      <c r="A1030" s="19" t="n"/>
      <c r="B1030" s="14" t="n"/>
      <c r="C1030" s="20">
        <f>IF($B1030="","",IFERROR(INDEX(Vinos!$B$2:$B$301,MATCH($B1030,Vinos!$A$2:$A$301,0)),"Código no cargado"))</f>
        <v/>
      </c>
      <c r="D1030" s="14" t="n"/>
      <c r="E1030" s="14" t="n"/>
      <c r="F1030" s="18" t="n"/>
      <c r="G1030" s="18" t="n"/>
      <c r="H1030" s="21">
        <f>IF(AND($F1030="",$G1030=""),"",N($F1030)*IFERROR(N(INDEX(Vinos!$H$2:$H$301,MATCH($B1030,Vinos!$A$2:$A$301,0))),0)+N($G1030))</f>
        <v/>
      </c>
      <c r="I1030" s="18" t="n"/>
      <c r="J1030" s="21">
        <f>IF(OR($H1030="",$I1030=""),"",$H1030-$I1030)</f>
        <v/>
      </c>
      <c r="K1030" s="16">
        <f>IF($H1030="","",IFERROR(IF(INDEX(Vinos!$J$2:$J$301,MATCH($B1030,Vinos!$A$2:$A$301,0))="","",$H1030*INDEX(Vinos!$J$2:$J$301,MATCH($B1030,Vinos!$A$2:$A$301,0))),""))</f>
        <v/>
      </c>
      <c r="L1030" s="16">
        <f>IF($H1030="","",IFERROR(IF(INDEX(Vinos!$K$2:$K$301,MATCH($B1030,Vinos!$A$2:$A$301,0))="","",$H1030*INDEX(Vinos!$K$2:$K$301,MATCH($B1030,Vinos!$A$2:$A$301,0))),""))</f>
        <v/>
      </c>
      <c r="M1030" s="21">
        <f>IF(OR($A1030="",$B1030=""),"",SUMIFS($H$2:$H$2001,$A$2:$A$2001,$A1030,$B$2:$B$2001,$B1030))</f>
        <v/>
      </c>
      <c r="N1030" s="20">
        <f>IF($M1030="","",IF($M1030&lt;=0,"Sin stock: reponer ya",IF($M1030&lt;IFERROR(N(INDEX(Vinos!$N$2:$N$301,MATCH($B1030,Vinos!$A$2:$A$301,0))),0),"Bajo mínimo: reponer","OK")))</f>
        <v/>
      </c>
      <c r="O1030" s="14" t="n"/>
      <c r="P1030" s="14" t="n"/>
      <c r="Q1030" s="20">
        <f>IF($B1030="","",IFERROR(INDEX(Vinos!$C$2:$C$301,MATCH($B1030,Vinos!$A$2:$A$301,0)),""))</f>
        <v/>
      </c>
      <c r="R1030" s="20">
        <f>IF(OR($A1030="",$A1030&lt;&gt;'Resumen del inventario'!$C$3,$N1030="",$N1030="OK"),"",IF(COUNTIFS($A$2:$A1030,$A1030,$B$2:$B1030,$B1030)=1,1,""))</f>
        <v/>
      </c>
      <c r="S1030" s="20">
        <f>IF($R1030=1,COUNTIF($R$2:$R1030,1),"")</f>
        <v/>
      </c>
    </row>
    <row r="1031">
      <c r="A1031" s="19" t="n"/>
      <c r="B1031" s="14" t="n"/>
      <c r="C1031" s="20">
        <f>IF($B1031="","",IFERROR(INDEX(Vinos!$B$2:$B$301,MATCH($B1031,Vinos!$A$2:$A$301,0)),"Código no cargado"))</f>
        <v/>
      </c>
      <c r="D1031" s="14" t="n"/>
      <c r="E1031" s="14" t="n"/>
      <c r="F1031" s="18" t="n"/>
      <c r="G1031" s="18" t="n"/>
      <c r="H1031" s="21">
        <f>IF(AND($F1031="",$G1031=""),"",N($F1031)*IFERROR(N(INDEX(Vinos!$H$2:$H$301,MATCH($B1031,Vinos!$A$2:$A$301,0))),0)+N($G1031))</f>
        <v/>
      </c>
      <c r="I1031" s="18" t="n"/>
      <c r="J1031" s="21">
        <f>IF(OR($H1031="",$I1031=""),"",$H1031-$I1031)</f>
        <v/>
      </c>
      <c r="K1031" s="16">
        <f>IF($H1031="","",IFERROR(IF(INDEX(Vinos!$J$2:$J$301,MATCH($B1031,Vinos!$A$2:$A$301,0))="","",$H1031*INDEX(Vinos!$J$2:$J$301,MATCH($B1031,Vinos!$A$2:$A$301,0))),""))</f>
        <v/>
      </c>
      <c r="L1031" s="16">
        <f>IF($H1031="","",IFERROR(IF(INDEX(Vinos!$K$2:$K$301,MATCH($B1031,Vinos!$A$2:$A$301,0))="","",$H1031*INDEX(Vinos!$K$2:$K$301,MATCH($B1031,Vinos!$A$2:$A$301,0))),""))</f>
        <v/>
      </c>
      <c r="M1031" s="21">
        <f>IF(OR($A1031="",$B1031=""),"",SUMIFS($H$2:$H$2001,$A$2:$A$2001,$A1031,$B$2:$B$2001,$B1031))</f>
        <v/>
      </c>
      <c r="N1031" s="20">
        <f>IF($M1031="","",IF($M1031&lt;=0,"Sin stock: reponer ya",IF($M1031&lt;IFERROR(N(INDEX(Vinos!$N$2:$N$301,MATCH($B1031,Vinos!$A$2:$A$301,0))),0),"Bajo mínimo: reponer","OK")))</f>
        <v/>
      </c>
      <c r="O1031" s="14" t="n"/>
      <c r="P1031" s="14" t="n"/>
      <c r="Q1031" s="20">
        <f>IF($B1031="","",IFERROR(INDEX(Vinos!$C$2:$C$301,MATCH($B1031,Vinos!$A$2:$A$301,0)),""))</f>
        <v/>
      </c>
      <c r="R1031" s="20">
        <f>IF(OR($A1031="",$A1031&lt;&gt;'Resumen del inventario'!$C$3,$N1031="",$N1031="OK"),"",IF(COUNTIFS($A$2:$A1031,$A1031,$B$2:$B1031,$B1031)=1,1,""))</f>
        <v/>
      </c>
      <c r="S1031" s="20">
        <f>IF($R1031=1,COUNTIF($R$2:$R1031,1),"")</f>
        <v/>
      </c>
    </row>
    <row r="1032">
      <c r="A1032" s="19" t="n"/>
      <c r="B1032" s="14" t="n"/>
      <c r="C1032" s="20">
        <f>IF($B1032="","",IFERROR(INDEX(Vinos!$B$2:$B$301,MATCH($B1032,Vinos!$A$2:$A$301,0)),"Código no cargado"))</f>
        <v/>
      </c>
      <c r="D1032" s="14" t="n"/>
      <c r="E1032" s="14" t="n"/>
      <c r="F1032" s="18" t="n"/>
      <c r="G1032" s="18" t="n"/>
      <c r="H1032" s="21">
        <f>IF(AND($F1032="",$G1032=""),"",N($F1032)*IFERROR(N(INDEX(Vinos!$H$2:$H$301,MATCH($B1032,Vinos!$A$2:$A$301,0))),0)+N($G1032))</f>
        <v/>
      </c>
      <c r="I1032" s="18" t="n"/>
      <c r="J1032" s="21">
        <f>IF(OR($H1032="",$I1032=""),"",$H1032-$I1032)</f>
        <v/>
      </c>
      <c r="K1032" s="16">
        <f>IF($H1032="","",IFERROR(IF(INDEX(Vinos!$J$2:$J$301,MATCH($B1032,Vinos!$A$2:$A$301,0))="","",$H1032*INDEX(Vinos!$J$2:$J$301,MATCH($B1032,Vinos!$A$2:$A$301,0))),""))</f>
        <v/>
      </c>
      <c r="L1032" s="16">
        <f>IF($H1032="","",IFERROR(IF(INDEX(Vinos!$K$2:$K$301,MATCH($B1032,Vinos!$A$2:$A$301,0))="","",$H1032*INDEX(Vinos!$K$2:$K$301,MATCH($B1032,Vinos!$A$2:$A$301,0))),""))</f>
        <v/>
      </c>
      <c r="M1032" s="21">
        <f>IF(OR($A1032="",$B1032=""),"",SUMIFS($H$2:$H$2001,$A$2:$A$2001,$A1032,$B$2:$B$2001,$B1032))</f>
        <v/>
      </c>
      <c r="N1032" s="20">
        <f>IF($M1032="","",IF($M1032&lt;=0,"Sin stock: reponer ya",IF($M1032&lt;IFERROR(N(INDEX(Vinos!$N$2:$N$301,MATCH($B1032,Vinos!$A$2:$A$301,0))),0),"Bajo mínimo: reponer","OK")))</f>
        <v/>
      </c>
      <c r="O1032" s="14" t="n"/>
      <c r="P1032" s="14" t="n"/>
      <c r="Q1032" s="20">
        <f>IF($B1032="","",IFERROR(INDEX(Vinos!$C$2:$C$301,MATCH($B1032,Vinos!$A$2:$A$301,0)),""))</f>
        <v/>
      </c>
      <c r="R1032" s="20">
        <f>IF(OR($A1032="",$A1032&lt;&gt;'Resumen del inventario'!$C$3,$N1032="",$N1032="OK"),"",IF(COUNTIFS($A$2:$A1032,$A1032,$B$2:$B1032,$B1032)=1,1,""))</f>
        <v/>
      </c>
      <c r="S1032" s="20">
        <f>IF($R1032=1,COUNTIF($R$2:$R1032,1),"")</f>
        <v/>
      </c>
    </row>
    <row r="1033">
      <c r="A1033" s="19" t="n"/>
      <c r="B1033" s="14" t="n"/>
      <c r="C1033" s="20">
        <f>IF($B1033="","",IFERROR(INDEX(Vinos!$B$2:$B$301,MATCH($B1033,Vinos!$A$2:$A$301,0)),"Código no cargado"))</f>
        <v/>
      </c>
      <c r="D1033" s="14" t="n"/>
      <c r="E1033" s="14" t="n"/>
      <c r="F1033" s="18" t="n"/>
      <c r="G1033" s="18" t="n"/>
      <c r="H1033" s="21">
        <f>IF(AND($F1033="",$G1033=""),"",N($F1033)*IFERROR(N(INDEX(Vinos!$H$2:$H$301,MATCH($B1033,Vinos!$A$2:$A$301,0))),0)+N($G1033))</f>
        <v/>
      </c>
      <c r="I1033" s="18" t="n"/>
      <c r="J1033" s="21">
        <f>IF(OR($H1033="",$I1033=""),"",$H1033-$I1033)</f>
        <v/>
      </c>
      <c r="K1033" s="16">
        <f>IF($H1033="","",IFERROR(IF(INDEX(Vinos!$J$2:$J$301,MATCH($B1033,Vinos!$A$2:$A$301,0))="","",$H1033*INDEX(Vinos!$J$2:$J$301,MATCH($B1033,Vinos!$A$2:$A$301,0))),""))</f>
        <v/>
      </c>
      <c r="L1033" s="16">
        <f>IF($H1033="","",IFERROR(IF(INDEX(Vinos!$K$2:$K$301,MATCH($B1033,Vinos!$A$2:$A$301,0))="","",$H1033*INDEX(Vinos!$K$2:$K$301,MATCH($B1033,Vinos!$A$2:$A$301,0))),""))</f>
        <v/>
      </c>
      <c r="M1033" s="21">
        <f>IF(OR($A1033="",$B1033=""),"",SUMIFS($H$2:$H$2001,$A$2:$A$2001,$A1033,$B$2:$B$2001,$B1033))</f>
        <v/>
      </c>
      <c r="N1033" s="20">
        <f>IF($M1033="","",IF($M1033&lt;=0,"Sin stock: reponer ya",IF($M1033&lt;IFERROR(N(INDEX(Vinos!$N$2:$N$301,MATCH($B1033,Vinos!$A$2:$A$301,0))),0),"Bajo mínimo: reponer","OK")))</f>
        <v/>
      </c>
      <c r="O1033" s="14" t="n"/>
      <c r="P1033" s="14" t="n"/>
      <c r="Q1033" s="20">
        <f>IF($B1033="","",IFERROR(INDEX(Vinos!$C$2:$C$301,MATCH($B1033,Vinos!$A$2:$A$301,0)),""))</f>
        <v/>
      </c>
      <c r="R1033" s="20">
        <f>IF(OR($A1033="",$A1033&lt;&gt;'Resumen del inventario'!$C$3,$N1033="",$N1033="OK"),"",IF(COUNTIFS($A$2:$A1033,$A1033,$B$2:$B1033,$B1033)=1,1,""))</f>
        <v/>
      </c>
      <c r="S1033" s="20">
        <f>IF($R1033=1,COUNTIF($R$2:$R1033,1),"")</f>
        <v/>
      </c>
    </row>
    <row r="1034">
      <c r="A1034" s="19" t="n"/>
      <c r="B1034" s="14" t="n"/>
      <c r="C1034" s="20">
        <f>IF($B1034="","",IFERROR(INDEX(Vinos!$B$2:$B$301,MATCH($B1034,Vinos!$A$2:$A$301,0)),"Código no cargado"))</f>
        <v/>
      </c>
      <c r="D1034" s="14" t="n"/>
      <c r="E1034" s="14" t="n"/>
      <c r="F1034" s="18" t="n"/>
      <c r="G1034" s="18" t="n"/>
      <c r="H1034" s="21">
        <f>IF(AND($F1034="",$G1034=""),"",N($F1034)*IFERROR(N(INDEX(Vinos!$H$2:$H$301,MATCH($B1034,Vinos!$A$2:$A$301,0))),0)+N($G1034))</f>
        <v/>
      </c>
      <c r="I1034" s="18" t="n"/>
      <c r="J1034" s="21">
        <f>IF(OR($H1034="",$I1034=""),"",$H1034-$I1034)</f>
        <v/>
      </c>
      <c r="K1034" s="16">
        <f>IF($H1034="","",IFERROR(IF(INDEX(Vinos!$J$2:$J$301,MATCH($B1034,Vinos!$A$2:$A$301,0))="","",$H1034*INDEX(Vinos!$J$2:$J$301,MATCH($B1034,Vinos!$A$2:$A$301,0))),""))</f>
        <v/>
      </c>
      <c r="L1034" s="16">
        <f>IF($H1034="","",IFERROR(IF(INDEX(Vinos!$K$2:$K$301,MATCH($B1034,Vinos!$A$2:$A$301,0))="","",$H1034*INDEX(Vinos!$K$2:$K$301,MATCH($B1034,Vinos!$A$2:$A$301,0))),""))</f>
        <v/>
      </c>
      <c r="M1034" s="21">
        <f>IF(OR($A1034="",$B1034=""),"",SUMIFS($H$2:$H$2001,$A$2:$A$2001,$A1034,$B$2:$B$2001,$B1034))</f>
        <v/>
      </c>
      <c r="N1034" s="20">
        <f>IF($M1034="","",IF($M1034&lt;=0,"Sin stock: reponer ya",IF($M1034&lt;IFERROR(N(INDEX(Vinos!$N$2:$N$301,MATCH($B1034,Vinos!$A$2:$A$301,0))),0),"Bajo mínimo: reponer","OK")))</f>
        <v/>
      </c>
      <c r="O1034" s="14" t="n"/>
      <c r="P1034" s="14" t="n"/>
      <c r="Q1034" s="20">
        <f>IF($B1034="","",IFERROR(INDEX(Vinos!$C$2:$C$301,MATCH($B1034,Vinos!$A$2:$A$301,0)),""))</f>
        <v/>
      </c>
      <c r="R1034" s="20">
        <f>IF(OR($A1034="",$A1034&lt;&gt;'Resumen del inventario'!$C$3,$N1034="",$N1034="OK"),"",IF(COUNTIFS($A$2:$A1034,$A1034,$B$2:$B1034,$B1034)=1,1,""))</f>
        <v/>
      </c>
      <c r="S1034" s="20">
        <f>IF($R1034=1,COUNTIF($R$2:$R1034,1),"")</f>
        <v/>
      </c>
    </row>
    <row r="1035">
      <c r="A1035" s="19" t="n"/>
      <c r="B1035" s="14" t="n"/>
      <c r="C1035" s="20">
        <f>IF($B1035="","",IFERROR(INDEX(Vinos!$B$2:$B$301,MATCH($B1035,Vinos!$A$2:$A$301,0)),"Código no cargado"))</f>
        <v/>
      </c>
      <c r="D1035" s="14" t="n"/>
      <c r="E1035" s="14" t="n"/>
      <c r="F1035" s="18" t="n"/>
      <c r="G1035" s="18" t="n"/>
      <c r="H1035" s="21">
        <f>IF(AND($F1035="",$G1035=""),"",N($F1035)*IFERROR(N(INDEX(Vinos!$H$2:$H$301,MATCH($B1035,Vinos!$A$2:$A$301,0))),0)+N($G1035))</f>
        <v/>
      </c>
      <c r="I1035" s="18" t="n"/>
      <c r="J1035" s="21">
        <f>IF(OR($H1035="",$I1035=""),"",$H1035-$I1035)</f>
        <v/>
      </c>
      <c r="K1035" s="16">
        <f>IF($H1035="","",IFERROR(IF(INDEX(Vinos!$J$2:$J$301,MATCH($B1035,Vinos!$A$2:$A$301,0))="","",$H1035*INDEX(Vinos!$J$2:$J$301,MATCH($B1035,Vinos!$A$2:$A$301,0))),""))</f>
        <v/>
      </c>
      <c r="L1035" s="16">
        <f>IF($H1035="","",IFERROR(IF(INDEX(Vinos!$K$2:$K$301,MATCH($B1035,Vinos!$A$2:$A$301,0))="","",$H1035*INDEX(Vinos!$K$2:$K$301,MATCH($B1035,Vinos!$A$2:$A$301,0))),""))</f>
        <v/>
      </c>
      <c r="M1035" s="21">
        <f>IF(OR($A1035="",$B1035=""),"",SUMIFS($H$2:$H$2001,$A$2:$A$2001,$A1035,$B$2:$B$2001,$B1035))</f>
        <v/>
      </c>
      <c r="N1035" s="20">
        <f>IF($M1035="","",IF($M1035&lt;=0,"Sin stock: reponer ya",IF($M1035&lt;IFERROR(N(INDEX(Vinos!$N$2:$N$301,MATCH($B1035,Vinos!$A$2:$A$301,0))),0),"Bajo mínimo: reponer","OK")))</f>
        <v/>
      </c>
      <c r="O1035" s="14" t="n"/>
      <c r="P1035" s="14" t="n"/>
      <c r="Q1035" s="20">
        <f>IF($B1035="","",IFERROR(INDEX(Vinos!$C$2:$C$301,MATCH($B1035,Vinos!$A$2:$A$301,0)),""))</f>
        <v/>
      </c>
      <c r="R1035" s="20">
        <f>IF(OR($A1035="",$A1035&lt;&gt;'Resumen del inventario'!$C$3,$N1035="",$N1035="OK"),"",IF(COUNTIFS($A$2:$A1035,$A1035,$B$2:$B1035,$B1035)=1,1,""))</f>
        <v/>
      </c>
      <c r="S1035" s="20">
        <f>IF($R1035=1,COUNTIF($R$2:$R1035,1),"")</f>
        <v/>
      </c>
    </row>
    <row r="1036">
      <c r="A1036" s="19" t="n"/>
      <c r="B1036" s="14" t="n"/>
      <c r="C1036" s="20">
        <f>IF($B1036="","",IFERROR(INDEX(Vinos!$B$2:$B$301,MATCH($B1036,Vinos!$A$2:$A$301,0)),"Código no cargado"))</f>
        <v/>
      </c>
      <c r="D1036" s="14" t="n"/>
      <c r="E1036" s="14" t="n"/>
      <c r="F1036" s="18" t="n"/>
      <c r="G1036" s="18" t="n"/>
      <c r="H1036" s="21">
        <f>IF(AND($F1036="",$G1036=""),"",N($F1036)*IFERROR(N(INDEX(Vinos!$H$2:$H$301,MATCH($B1036,Vinos!$A$2:$A$301,0))),0)+N($G1036))</f>
        <v/>
      </c>
      <c r="I1036" s="18" t="n"/>
      <c r="J1036" s="21">
        <f>IF(OR($H1036="",$I1036=""),"",$H1036-$I1036)</f>
        <v/>
      </c>
      <c r="K1036" s="16">
        <f>IF($H1036="","",IFERROR(IF(INDEX(Vinos!$J$2:$J$301,MATCH($B1036,Vinos!$A$2:$A$301,0))="","",$H1036*INDEX(Vinos!$J$2:$J$301,MATCH($B1036,Vinos!$A$2:$A$301,0))),""))</f>
        <v/>
      </c>
      <c r="L1036" s="16">
        <f>IF($H1036="","",IFERROR(IF(INDEX(Vinos!$K$2:$K$301,MATCH($B1036,Vinos!$A$2:$A$301,0))="","",$H1036*INDEX(Vinos!$K$2:$K$301,MATCH($B1036,Vinos!$A$2:$A$301,0))),""))</f>
        <v/>
      </c>
      <c r="M1036" s="21">
        <f>IF(OR($A1036="",$B1036=""),"",SUMIFS($H$2:$H$2001,$A$2:$A$2001,$A1036,$B$2:$B$2001,$B1036))</f>
        <v/>
      </c>
      <c r="N1036" s="20">
        <f>IF($M1036="","",IF($M1036&lt;=0,"Sin stock: reponer ya",IF($M1036&lt;IFERROR(N(INDEX(Vinos!$N$2:$N$301,MATCH($B1036,Vinos!$A$2:$A$301,0))),0),"Bajo mínimo: reponer","OK")))</f>
        <v/>
      </c>
      <c r="O1036" s="14" t="n"/>
      <c r="P1036" s="14" t="n"/>
      <c r="Q1036" s="20">
        <f>IF($B1036="","",IFERROR(INDEX(Vinos!$C$2:$C$301,MATCH($B1036,Vinos!$A$2:$A$301,0)),""))</f>
        <v/>
      </c>
      <c r="R1036" s="20">
        <f>IF(OR($A1036="",$A1036&lt;&gt;'Resumen del inventario'!$C$3,$N1036="",$N1036="OK"),"",IF(COUNTIFS($A$2:$A1036,$A1036,$B$2:$B1036,$B1036)=1,1,""))</f>
        <v/>
      </c>
      <c r="S1036" s="20">
        <f>IF($R1036=1,COUNTIF($R$2:$R1036,1),"")</f>
        <v/>
      </c>
    </row>
    <row r="1037">
      <c r="A1037" s="19" t="n"/>
      <c r="B1037" s="14" t="n"/>
      <c r="C1037" s="20">
        <f>IF($B1037="","",IFERROR(INDEX(Vinos!$B$2:$B$301,MATCH($B1037,Vinos!$A$2:$A$301,0)),"Código no cargado"))</f>
        <v/>
      </c>
      <c r="D1037" s="14" t="n"/>
      <c r="E1037" s="14" t="n"/>
      <c r="F1037" s="18" t="n"/>
      <c r="G1037" s="18" t="n"/>
      <c r="H1037" s="21">
        <f>IF(AND($F1037="",$G1037=""),"",N($F1037)*IFERROR(N(INDEX(Vinos!$H$2:$H$301,MATCH($B1037,Vinos!$A$2:$A$301,0))),0)+N($G1037))</f>
        <v/>
      </c>
      <c r="I1037" s="18" t="n"/>
      <c r="J1037" s="21">
        <f>IF(OR($H1037="",$I1037=""),"",$H1037-$I1037)</f>
        <v/>
      </c>
      <c r="K1037" s="16">
        <f>IF($H1037="","",IFERROR(IF(INDEX(Vinos!$J$2:$J$301,MATCH($B1037,Vinos!$A$2:$A$301,0))="","",$H1037*INDEX(Vinos!$J$2:$J$301,MATCH($B1037,Vinos!$A$2:$A$301,0))),""))</f>
        <v/>
      </c>
      <c r="L1037" s="16">
        <f>IF($H1037="","",IFERROR(IF(INDEX(Vinos!$K$2:$K$301,MATCH($B1037,Vinos!$A$2:$A$301,0))="","",$H1037*INDEX(Vinos!$K$2:$K$301,MATCH($B1037,Vinos!$A$2:$A$301,0))),""))</f>
        <v/>
      </c>
      <c r="M1037" s="21">
        <f>IF(OR($A1037="",$B1037=""),"",SUMIFS($H$2:$H$2001,$A$2:$A$2001,$A1037,$B$2:$B$2001,$B1037))</f>
        <v/>
      </c>
      <c r="N1037" s="20">
        <f>IF($M1037="","",IF($M1037&lt;=0,"Sin stock: reponer ya",IF($M1037&lt;IFERROR(N(INDEX(Vinos!$N$2:$N$301,MATCH($B1037,Vinos!$A$2:$A$301,0))),0),"Bajo mínimo: reponer","OK")))</f>
        <v/>
      </c>
      <c r="O1037" s="14" t="n"/>
      <c r="P1037" s="14" t="n"/>
      <c r="Q1037" s="20">
        <f>IF($B1037="","",IFERROR(INDEX(Vinos!$C$2:$C$301,MATCH($B1037,Vinos!$A$2:$A$301,0)),""))</f>
        <v/>
      </c>
      <c r="R1037" s="20">
        <f>IF(OR($A1037="",$A1037&lt;&gt;'Resumen del inventario'!$C$3,$N1037="",$N1037="OK"),"",IF(COUNTIFS($A$2:$A1037,$A1037,$B$2:$B1037,$B1037)=1,1,""))</f>
        <v/>
      </c>
      <c r="S1037" s="20">
        <f>IF($R1037=1,COUNTIF($R$2:$R1037,1),"")</f>
        <v/>
      </c>
    </row>
    <row r="1038">
      <c r="A1038" s="19" t="n"/>
      <c r="B1038" s="14" t="n"/>
      <c r="C1038" s="20">
        <f>IF($B1038="","",IFERROR(INDEX(Vinos!$B$2:$B$301,MATCH($B1038,Vinos!$A$2:$A$301,0)),"Código no cargado"))</f>
        <v/>
      </c>
      <c r="D1038" s="14" t="n"/>
      <c r="E1038" s="14" t="n"/>
      <c r="F1038" s="18" t="n"/>
      <c r="G1038" s="18" t="n"/>
      <c r="H1038" s="21">
        <f>IF(AND($F1038="",$G1038=""),"",N($F1038)*IFERROR(N(INDEX(Vinos!$H$2:$H$301,MATCH($B1038,Vinos!$A$2:$A$301,0))),0)+N($G1038))</f>
        <v/>
      </c>
      <c r="I1038" s="18" t="n"/>
      <c r="J1038" s="21">
        <f>IF(OR($H1038="",$I1038=""),"",$H1038-$I1038)</f>
        <v/>
      </c>
      <c r="K1038" s="16">
        <f>IF($H1038="","",IFERROR(IF(INDEX(Vinos!$J$2:$J$301,MATCH($B1038,Vinos!$A$2:$A$301,0))="","",$H1038*INDEX(Vinos!$J$2:$J$301,MATCH($B1038,Vinos!$A$2:$A$301,0))),""))</f>
        <v/>
      </c>
      <c r="L1038" s="16">
        <f>IF($H1038="","",IFERROR(IF(INDEX(Vinos!$K$2:$K$301,MATCH($B1038,Vinos!$A$2:$A$301,0))="","",$H1038*INDEX(Vinos!$K$2:$K$301,MATCH($B1038,Vinos!$A$2:$A$301,0))),""))</f>
        <v/>
      </c>
      <c r="M1038" s="21">
        <f>IF(OR($A1038="",$B1038=""),"",SUMIFS($H$2:$H$2001,$A$2:$A$2001,$A1038,$B$2:$B$2001,$B1038))</f>
        <v/>
      </c>
      <c r="N1038" s="20">
        <f>IF($M1038="","",IF($M1038&lt;=0,"Sin stock: reponer ya",IF($M1038&lt;IFERROR(N(INDEX(Vinos!$N$2:$N$301,MATCH($B1038,Vinos!$A$2:$A$301,0))),0),"Bajo mínimo: reponer","OK")))</f>
        <v/>
      </c>
      <c r="O1038" s="14" t="n"/>
      <c r="P1038" s="14" t="n"/>
      <c r="Q1038" s="20">
        <f>IF($B1038="","",IFERROR(INDEX(Vinos!$C$2:$C$301,MATCH($B1038,Vinos!$A$2:$A$301,0)),""))</f>
        <v/>
      </c>
      <c r="R1038" s="20">
        <f>IF(OR($A1038="",$A1038&lt;&gt;'Resumen del inventario'!$C$3,$N1038="",$N1038="OK"),"",IF(COUNTIFS($A$2:$A1038,$A1038,$B$2:$B1038,$B1038)=1,1,""))</f>
        <v/>
      </c>
      <c r="S1038" s="20">
        <f>IF($R1038=1,COUNTIF($R$2:$R1038,1),"")</f>
        <v/>
      </c>
    </row>
    <row r="1039">
      <c r="A1039" s="19" t="n"/>
      <c r="B1039" s="14" t="n"/>
      <c r="C1039" s="20">
        <f>IF($B1039="","",IFERROR(INDEX(Vinos!$B$2:$B$301,MATCH($B1039,Vinos!$A$2:$A$301,0)),"Código no cargado"))</f>
        <v/>
      </c>
      <c r="D1039" s="14" t="n"/>
      <c r="E1039" s="14" t="n"/>
      <c r="F1039" s="18" t="n"/>
      <c r="G1039" s="18" t="n"/>
      <c r="H1039" s="21">
        <f>IF(AND($F1039="",$G1039=""),"",N($F1039)*IFERROR(N(INDEX(Vinos!$H$2:$H$301,MATCH($B1039,Vinos!$A$2:$A$301,0))),0)+N($G1039))</f>
        <v/>
      </c>
      <c r="I1039" s="18" t="n"/>
      <c r="J1039" s="21">
        <f>IF(OR($H1039="",$I1039=""),"",$H1039-$I1039)</f>
        <v/>
      </c>
      <c r="K1039" s="16">
        <f>IF($H1039="","",IFERROR(IF(INDEX(Vinos!$J$2:$J$301,MATCH($B1039,Vinos!$A$2:$A$301,0))="","",$H1039*INDEX(Vinos!$J$2:$J$301,MATCH($B1039,Vinos!$A$2:$A$301,0))),""))</f>
        <v/>
      </c>
      <c r="L1039" s="16">
        <f>IF($H1039="","",IFERROR(IF(INDEX(Vinos!$K$2:$K$301,MATCH($B1039,Vinos!$A$2:$A$301,0))="","",$H1039*INDEX(Vinos!$K$2:$K$301,MATCH($B1039,Vinos!$A$2:$A$301,0))),""))</f>
        <v/>
      </c>
      <c r="M1039" s="21">
        <f>IF(OR($A1039="",$B1039=""),"",SUMIFS($H$2:$H$2001,$A$2:$A$2001,$A1039,$B$2:$B$2001,$B1039))</f>
        <v/>
      </c>
      <c r="N1039" s="20">
        <f>IF($M1039="","",IF($M1039&lt;=0,"Sin stock: reponer ya",IF($M1039&lt;IFERROR(N(INDEX(Vinos!$N$2:$N$301,MATCH($B1039,Vinos!$A$2:$A$301,0))),0),"Bajo mínimo: reponer","OK")))</f>
        <v/>
      </c>
      <c r="O1039" s="14" t="n"/>
      <c r="P1039" s="14" t="n"/>
      <c r="Q1039" s="20">
        <f>IF($B1039="","",IFERROR(INDEX(Vinos!$C$2:$C$301,MATCH($B1039,Vinos!$A$2:$A$301,0)),""))</f>
        <v/>
      </c>
      <c r="R1039" s="20">
        <f>IF(OR($A1039="",$A1039&lt;&gt;'Resumen del inventario'!$C$3,$N1039="",$N1039="OK"),"",IF(COUNTIFS($A$2:$A1039,$A1039,$B$2:$B1039,$B1039)=1,1,""))</f>
        <v/>
      </c>
      <c r="S1039" s="20">
        <f>IF($R1039=1,COUNTIF($R$2:$R1039,1),"")</f>
        <v/>
      </c>
    </row>
    <row r="1040">
      <c r="A1040" s="19" t="n"/>
      <c r="B1040" s="14" t="n"/>
      <c r="C1040" s="20">
        <f>IF($B1040="","",IFERROR(INDEX(Vinos!$B$2:$B$301,MATCH($B1040,Vinos!$A$2:$A$301,0)),"Código no cargado"))</f>
        <v/>
      </c>
      <c r="D1040" s="14" t="n"/>
      <c r="E1040" s="14" t="n"/>
      <c r="F1040" s="18" t="n"/>
      <c r="G1040" s="18" t="n"/>
      <c r="H1040" s="21">
        <f>IF(AND($F1040="",$G1040=""),"",N($F1040)*IFERROR(N(INDEX(Vinos!$H$2:$H$301,MATCH($B1040,Vinos!$A$2:$A$301,0))),0)+N($G1040))</f>
        <v/>
      </c>
      <c r="I1040" s="18" t="n"/>
      <c r="J1040" s="21">
        <f>IF(OR($H1040="",$I1040=""),"",$H1040-$I1040)</f>
        <v/>
      </c>
      <c r="K1040" s="16">
        <f>IF($H1040="","",IFERROR(IF(INDEX(Vinos!$J$2:$J$301,MATCH($B1040,Vinos!$A$2:$A$301,0))="","",$H1040*INDEX(Vinos!$J$2:$J$301,MATCH($B1040,Vinos!$A$2:$A$301,0))),""))</f>
        <v/>
      </c>
      <c r="L1040" s="16">
        <f>IF($H1040="","",IFERROR(IF(INDEX(Vinos!$K$2:$K$301,MATCH($B1040,Vinos!$A$2:$A$301,0))="","",$H1040*INDEX(Vinos!$K$2:$K$301,MATCH($B1040,Vinos!$A$2:$A$301,0))),""))</f>
        <v/>
      </c>
      <c r="M1040" s="21">
        <f>IF(OR($A1040="",$B1040=""),"",SUMIFS($H$2:$H$2001,$A$2:$A$2001,$A1040,$B$2:$B$2001,$B1040))</f>
        <v/>
      </c>
      <c r="N1040" s="20">
        <f>IF($M1040="","",IF($M1040&lt;=0,"Sin stock: reponer ya",IF($M1040&lt;IFERROR(N(INDEX(Vinos!$N$2:$N$301,MATCH($B1040,Vinos!$A$2:$A$301,0))),0),"Bajo mínimo: reponer","OK")))</f>
        <v/>
      </c>
      <c r="O1040" s="14" t="n"/>
      <c r="P1040" s="14" t="n"/>
      <c r="Q1040" s="20">
        <f>IF($B1040="","",IFERROR(INDEX(Vinos!$C$2:$C$301,MATCH($B1040,Vinos!$A$2:$A$301,0)),""))</f>
        <v/>
      </c>
      <c r="R1040" s="20">
        <f>IF(OR($A1040="",$A1040&lt;&gt;'Resumen del inventario'!$C$3,$N1040="",$N1040="OK"),"",IF(COUNTIFS($A$2:$A1040,$A1040,$B$2:$B1040,$B1040)=1,1,""))</f>
        <v/>
      </c>
      <c r="S1040" s="20">
        <f>IF($R1040=1,COUNTIF($R$2:$R1040,1),"")</f>
        <v/>
      </c>
    </row>
    <row r="1041">
      <c r="A1041" s="19" t="n"/>
      <c r="B1041" s="14" t="n"/>
      <c r="C1041" s="20">
        <f>IF($B1041="","",IFERROR(INDEX(Vinos!$B$2:$B$301,MATCH($B1041,Vinos!$A$2:$A$301,0)),"Código no cargado"))</f>
        <v/>
      </c>
      <c r="D1041" s="14" t="n"/>
      <c r="E1041" s="14" t="n"/>
      <c r="F1041" s="18" t="n"/>
      <c r="G1041" s="18" t="n"/>
      <c r="H1041" s="21">
        <f>IF(AND($F1041="",$G1041=""),"",N($F1041)*IFERROR(N(INDEX(Vinos!$H$2:$H$301,MATCH($B1041,Vinos!$A$2:$A$301,0))),0)+N($G1041))</f>
        <v/>
      </c>
      <c r="I1041" s="18" t="n"/>
      <c r="J1041" s="21">
        <f>IF(OR($H1041="",$I1041=""),"",$H1041-$I1041)</f>
        <v/>
      </c>
      <c r="K1041" s="16">
        <f>IF($H1041="","",IFERROR(IF(INDEX(Vinos!$J$2:$J$301,MATCH($B1041,Vinos!$A$2:$A$301,0))="","",$H1041*INDEX(Vinos!$J$2:$J$301,MATCH($B1041,Vinos!$A$2:$A$301,0))),""))</f>
        <v/>
      </c>
      <c r="L1041" s="16">
        <f>IF($H1041="","",IFERROR(IF(INDEX(Vinos!$K$2:$K$301,MATCH($B1041,Vinos!$A$2:$A$301,0))="","",$H1041*INDEX(Vinos!$K$2:$K$301,MATCH($B1041,Vinos!$A$2:$A$301,0))),""))</f>
        <v/>
      </c>
      <c r="M1041" s="21">
        <f>IF(OR($A1041="",$B1041=""),"",SUMIFS($H$2:$H$2001,$A$2:$A$2001,$A1041,$B$2:$B$2001,$B1041))</f>
        <v/>
      </c>
      <c r="N1041" s="20">
        <f>IF($M1041="","",IF($M1041&lt;=0,"Sin stock: reponer ya",IF($M1041&lt;IFERROR(N(INDEX(Vinos!$N$2:$N$301,MATCH($B1041,Vinos!$A$2:$A$301,0))),0),"Bajo mínimo: reponer","OK")))</f>
        <v/>
      </c>
      <c r="O1041" s="14" t="n"/>
      <c r="P1041" s="14" t="n"/>
      <c r="Q1041" s="20">
        <f>IF($B1041="","",IFERROR(INDEX(Vinos!$C$2:$C$301,MATCH($B1041,Vinos!$A$2:$A$301,0)),""))</f>
        <v/>
      </c>
      <c r="R1041" s="20">
        <f>IF(OR($A1041="",$A1041&lt;&gt;'Resumen del inventario'!$C$3,$N1041="",$N1041="OK"),"",IF(COUNTIFS($A$2:$A1041,$A1041,$B$2:$B1041,$B1041)=1,1,""))</f>
        <v/>
      </c>
      <c r="S1041" s="20">
        <f>IF($R1041=1,COUNTIF($R$2:$R1041,1),"")</f>
        <v/>
      </c>
    </row>
    <row r="1042">
      <c r="A1042" s="19" t="n"/>
      <c r="B1042" s="14" t="n"/>
      <c r="C1042" s="20">
        <f>IF($B1042="","",IFERROR(INDEX(Vinos!$B$2:$B$301,MATCH($B1042,Vinos!$A$2:$A$301,0)),"Código no cargado"))</f>
        <v/>
      </c>
      <c r="D1042" s="14" t="n"/>
      <c r="E1042" s="14" t="n"/>
      <c r="F1042" s="18" t="n"/>
      <c r="G1042" s="18" t="n"/>
      <c r="H1042" s="21">
        <f>IF(AND($F1042="",$G1042=""),"",N($F1042)*IFERROR(N(INDEX(Vinos!$H$2:$H$301,MATCH($B1042,Vinos!$A$2:$A$301,0))),0)+N($G1042))</f>
        <v/>
      </c>
      <c r="I1042" s="18" t="n"/>
      <c r="J1042" s="21">
        <f>IF(OR($H1042="",$I1042=""),"",$H1042-$I1042)</f>
        <v/>
      </c>
      <c r="K1042" s="16">
        <f>IF($H1042="","",IFERROR(IF(INDEX(Vinos!$J$2:$J$301,MATCH($B1042,Vinos!$A$2:$A$301,0))="","",$H1042*INDEX(Vinos!$J$2:$J$301,MATCH($B1042,Vinos!$A$2:$A$301,0))),""))</f>
        <v/>
      </c>
      <c r="L1042" s="16">
        <f>IF($H1042="","",IFERROR(IF(INDEX(Vinos!$K$2:$K$301,MATCH($B1042,Vinos!$A$2:$A$301,0))="","",$H1042*INDEX(Vinos!$K$2:$K$301,MATCH($B1042,Vinos!$A$2:$A$301,0))),""))</f>
        <v/>
      </c>
      <c r="M1042" s="21">
        <f>IF(OR($A1042="",$B1042=""),"",SUMIFS($H$2:$H$2001,$A$2:$A$2001,$A1042,$B$2:$B$2001,$B1042))</f>
        <v/>
      </c>
      <c r="N1042" s="20">
        <f>IF($M1042="","",IF($M1042&lt;=0,"Sin stock: reponer ya",IF($M1042&lt;IFERROR(N(INDEX(Vinos!$N$2:$N$301,MATCH($B1042,Vinos!$A$2:$A$301,0))),0),"Bajo mínimo: reponer","OK")))</f>
        <v/>
      </c>
      <c r="O1042" s="14" t="n"/>
      <c r="P1042" s="14" t="n"/>
      <c r="Q1042" s="20">
        <f>IF($B1042="","",IFERROR(INDEX(Vinos!$C$2:$C$301,MATCH($B1042,Vinos!$A$2:$A$301,0)),""))</f>
        <v/>
      </c>
      <c r="R1042" s="20">
        <f>IF(OR($A1042="",$A1042&lt;&gt;'Resumen del inventario'!$C$3,$N1042="",$N1042="OK"),"",IF(COUNTIFS($A$2:$A1042,$A1042,$B$2:$B1042,$B1042)=1,1,""))</f>
        <v/>
      </c>
      <c r="S1042" s="20">
        <f>IF($R1042=1,COUNTIF($R$2:$R1042,1),"")</f>
        <v/>
      </c>
    </row>
    <row r="1043">
      <c r="A1043" s="19" t="n"/>
      <c r="B1043" s="14" t="n"/>
      <c r="C1043" s="20">
        <f>IF($B1043="","",IFERROR(INDEX(Vinos!$B$2:$B$301,MATCH($B1043,Vinos!$A$2:$A$301,0)),"Código no cargado"))</f>
        <v/>
      </c>
      <c r="D1043" s="14" t="n"/>
      <c r="E1043" s="14" t="n"/>
      <c r="F1043" s="18" t="n"/>
      <c r="G1043" s="18" t="n"/>
      <c r="H1043" s="21">
        <f>IF(AND($F1043="",$G1043=""),"",N($F1043)*IFERROR(N(INDEX(Vinos!$H$2:$H$301,MATCH($B1043,Vinos!$A$2:$A$301,0))),0)+N($G1043))</f>
        <v/>
      </c>
      <c r="I1043" s="18" t="n"/>
      <c r="J1043" s="21">
        <f>IF(OR($H1043="",$I1043=""),"",$H1043-$I1043)</f>
        <v/>
      </c>
      <c r="K1043" s="16">
        <f>IF($H1043="","",IFERROR(IF(INDEX(Vinos!$J$2:$J$301,MATCH($B1043,Vinos!$A$2:$A$301,0))="","",$H1043*INDEX(Vinos!$J$2:$J$301,MATCH($B1043,Vinos!$A$2:$A$301,0))),""))</f>
        <v/>
      </c>
      <c r="L1043" s="16">
        <f>IF($H1043="","",IFERROR(IF(INDEX(Vinos!$K$2:$K$301,MATCH($B1043,Vinos!$A$2:$A$301,0))="","",$H1043*INDEX(Vinos!$K$2:$K$301,MATCH($B1043,Vinos!$A$2:$A$301,0))),""))</f>
        <v/>
      </c>
      <c r="M1043" s="21">
        <f>IF(OR($A1043="",$B1043=""),"",SUMIFS($H$2:$H$2001,$A$2:$A$2001,$A1043,$B$2:$B$2001,$B1043))</f>
        <v/>
      </c>
      <c r="N1043" s="20">
        <f>IF($M1043="","",IF($M1043&lt;=0,"Sin stock: reponer ya",IF($M1043&lt;IFERROR(N(INDEX(Vinos!$N$2:$N$301,MATCH($B1043,Vinos!$A$2:$A$301,0))),0),"Bajo mínimo: reponer","OK")))</f>
        <v/>
      </c>
      <c r="O1043" s="14" t="n"/>
      <c r="P1043" s="14" t="n"/>
      <c r="Q1043" s="20">
        <f>IF($B1043="","",IFERROR(INDEX(Vinos!$C$2:$C$301,MATCH($B1043,Vinos!$A$2:$A$301,0)),""))</f>
        <v/>
      </c>
      <c r="R1043" s="20">
        <f>IF(OR($A1043="",$A1043&lt;&gt;'Resumen del inventario'!$C$3,$N1043="",$N1043="OK"),"",IF(COUNTIFS($A$2:$A1043,$A1043,$B$2:$B1043,$B1043)=1,1,""))</f>
        <v/>
      </c>
      <c r="S1043" s="20">
        <f>IF($R1043=1,COUNTIF($R$2:$R1043,1),"")</f>
        <v/>
      </c>
    </row>
    <row r="1044">
      <c r="A1044" s="19" t="n"/>
      <c r="B1044" s="14" t="n"/>
      <c r="C1044" s="20">
        <f>IF($B1044="","",IFERROR(INDEX(Vinos!$B$2:$B$301,MATCH($B1044,Vinos!$A$2:$A$301,0)),"Código no cargado"))</f>
        <v/>
      </c>
      <c r="D1044" s="14" t="n"/>
      <c r="E1044" s="14" t="n"/>
      <c r="F1044" s="18" t="n"/>
      <c r="G1044" s="18" t="n"/>
      <c r="H1044" s="21">
        <f>IF(AND($F1044="",$G1044=""),"",N($F1044)*IFERROR(N(INDEX(Vinos!$H$2:$H$301,MATCH($B1044,Vinos!$A$2:$A$301,0))),0)+N($G1044))</f>
        <v/>
      </c>
      <c r="I1044" s="18" t="n"/>
      <c r="J1044" s="21">
        <f>IF(OR($H1044="",$I1044=""),"",$H1044-$I1044)</f>
        <v/>
      </c>
      <c r="K1044" s="16">
        <f>IF($H1044="","",IFERROR(IF(INDEX(Vinos!$J$2:$J$301,MATCH($B1044,Vinos!$A$2:$A$301,0))="","",$H1044*INDEX(Vinos!$J$2:$J$301,MATCH($B1044,Vinos!$A$2:$A$301,0))),""))</f>
        <v/>
      </c>
      <c r="L1044" s="16">
        <f>IF($H1044="","",IFERROR(IF(INDEX(Vinos!$K$2:$K$301,MATCH($B1044,Vinos!$A$2:$A$301,0))="","",$H1044*INDEX(Vinos!$K$2:$K$301,MATCH($B1044,Vinos!$A$2:$A$301,0))),""))</f>
        <v/>
      </c>
      <c r="M1044" s="21">
        <f>IF(OR($A1044="",$B1044=""),"",SUMIFS($H$2:$H$2001,$A$2:$A$2001,$A1044,$B$2:$B$2001,$B1044))</f>
        <v/>
      </c>
      <c r="N1044" s="20">
        <f>IF($M1044="","",IF($M1044&lt;=0,"Sin stock: reponer ya",IF($M1044&lt;IFERROR(N(INDEX(Vinos!$N$2:$N$301,MATCH($B1044,Vinos!$A$2:$A$301,0))),0),"Bajo mínimo: reponer","OK")))</f>
        <v/>
      </c>
      <c r="O1044" s="14" t="n"/>
      <c r="P1044" s="14" t="n"/>
      <c r="Q1044" s="20">
        <f>IF($B1044="","",IFERROR(INDEX(Vinos!$C$2:$C$301,MATCH($B1044,Vinos!$A$2:$A$301,0)),""))</f>
        <v/>
      </c>
      <c r="R1044" s="20">
        <f>IF(OR($A1044="",$A1044&lt;&gt;'Resumen del inventario'!$C$3,$N1044="",$N1044="OK"),"",IF(COUNTIFS($A$2:$A1044,$A1044,$B$2:$B1044,$B1044)=1,1,""))</f>
        <v/>
      </c>
      <c r="S1044" s="20">
        <f>IF($R1044=1,COUNTIF($R$2:$R1044,1),"")</f>
        <v/>
      </c>
    </row>
    <row r="1045">
      <c r="A1045" s="19" t="n"/>
      <c r="B1045" s="14" t="n"/>
      <c r="C1045" s="20">
        <f>IF($B1045="","",IFERROR(INDEX(Vinos!$B$2:$B$301,MATCH($B1045,Vinos!$A$2:$A$301,0)),"Código no cargado"))</f>
        <v/>
      </c>
      <c r="D1045" s="14" t="n"/>
      <c r="E1045" s="14" t="n"/>
      <c r="F1045" s="18" t="n"/>
      <c r="G1045" s="18" t="n"/>
      <c r="H1045" s="21">
        <f>IF(AND($F1045="",$G1045=""),"",N($F1045)*IFERROR(N(INDEX(Vinos!$H$2:$H$301,MATCH($B1045,Vinos!$A$2:$A$301,0))),0)+N($G1045))</f>
        <v/>
      </c>
      <c r="I1045" s="18" t="n"/>
      <c r="J1045" s="21">
        <f>IF(OR($H1045="",$I1045=""),"",$H1045-$I1045)</f>
        <v/>
      </c>
      <c r="K1045" s="16">
        <f>IF($H1045="","",IFERROR(IF(INDEX(Vinos!$J$2:$J$301,MATCH($B1045,Vinos!$A$2:$A$301,0))="","",$H1045*INDEX(Vinos!$J$2:$J$301,MATCH($B1045,Vinos!$A$2:$A$301,0))),""))</f>
        <v/>
      </c>
      <c r="L1045" s="16">
        <f>IF($H1045="","",IFERROR(IF(INDEX(Vinos!$K$2:$K$301,MATCH($B1045,Vinos!$A$2:$A$301,0))="","",$H1045*INDEX(Vinos!$K$2:$K$301,MATCH($B1045,Vinos!$A$2:$A$301,0))),""))</f>
        <v/>
      </c>
      <c r="M1045" s="21">
        <f>IF(OR($A1045="",$B1045=""),"",SUMIFS($H$2:$H$2001,$A$2:$A$2001,$A1045,$B$2:$B$2001,$B1045))</f>
        <v/>
      </c>
      <c r="N1045" s="20">
        <f>IF($M1045="","",IF($M1045&lt;=0,"Sin stock: reponer ya",IF($M1045&lt;IFERROR(N(INDEX(Vinos!$N$2:$N$301,MATCH($B1045,Vinos!$A$2:$A$301,0))),0),"Bajo mínimo: reponer","OK")))</f>
        <v/>
      </c>
      <c r="O1045" s="14" t="n"/>
      <c r="P1045" s="14" t="n"/>
      <c r="Q1045" s="20">
        <f>IF($B1045="","",IFERROR(INDEX(Vinos!$C$2:$C$301,MATCH($B1045,Vinos!$A$2:$A$301,0)),""))</f>
        <v/>
      </c>
      <c r="R1045" s="20">
        <f>IF(OR($A1045="",$A1045&lt;&gt;'Resumen del inventario'!$C$3,$N1045="",$N1045="OK"),"",IF(COUNTIFS($A$2:$A1045,$A1045,$B$2:$B1045,$B1045)=1,1,""))</f>
        <v/>
      </c>
      <c r="S1045" s="20">
        <f>IF($R1045=1,COUNTIF($R$2:$R1045,1),"")</f>
        <v/>
      </c>
    </row>
    <row r="1046">
      <c r="A1046" s="19" t="n"/>
      <c r="B1046" s="14" t="n"/>
      <c r="C1046" s="20">
        <f>IF($B1046="","",IFERROR(INDEX(Vinos!$B$2:$B$301,MATCH($B1046,Vinos!$A$2:$A$301,0)),"Código no cargado"))</f>
        <v/>
      </c>
      <c r="D1046" s="14" t="n"/>
      <c r="E1046" s="14" t="n"/>
      <c r="F1046" s="18" t="n"/>
      <c r="G1046" s="18" t="n"/>
      <c r="H1046" s="21">
        <f>IF(AND($F1046="",$G1046=""),"",N($F1046)*IFERROR(N(INDEX(Vinos!$H$2:$H$301,MATCH($B1046,Vinos!$A$2:$A$301,0))),0)+N($G1046))</f>
        <v/>
      </c>
      <c r="I1046" s="18" t="n"/>
      <c r="J1046" s="21">
        <f>IF(OR($H1046="",$I1046=""),"",$H1046-$I1046)</f>
        <v/>
      </c>
      <c r="K1046" s="16">
        <f>IF($H1046="","",IFERROR(IF(INDEX(Vinos!$J$2:$J$301,MATCH($B1046,Vinos!$A$2:$A$301,0))="","",$H1046*INDEX(Vinos!$J$2:$J$301,MATCH($B1046,Vinos!$A$2:$A$301,0))),""))</f>
        <v/>
      </c>
      <c r="L1046" s="16">
        <f>IF($H1046="","",IFERROR(IF(INDEX(Vinos!$K$2:$K$301,MATCH($B1046,Vinos!$A$2:$A$301,0))="","",$H1046*INDEX(Vinos!$K$2:$K$301,MATCH($B1046,Vinos!$A$2:$A$301,0))),""))</f>
        <v/>
      </c>
      <c r="M1046" s="21">
        <f>IF(OR($A1046="",$B1046=""),"",SUMIFS($H$2:$H$2001,$A$2:$A$2001,$A1046,$B$2:$B$2001,$B1046))</f>
        <v/>
      </c>
      <c r="N1046" s="20">
        <f>IF($M1046="","",IF($M1046&lt;=0,"Sin stock: reponer ya",IF($M1046&lt;IFERROR(N(INDEX(Vinos!$N$2:$N$301,MATCH($B1046,Vinos!$A$2:$A$301,0))),0),"Bajo mínimo: reponer","OK")))</f>
        <v/>
      </c>
      <c r="O1046" s="14" t="n"/>
      <c r="P1046" s="14" t="n"/>
      <c r="Q1046" s="20">
        <f>IF($B1046="","",IFERROR(INDEX(Vinos!$C$2:$C$301,MATCH($B1046,Vinos!$A$2:$A$301,0)),""))</f>
        <v/>
      </c>
      <c r="R1046" s="20">
        <f>IF(OR($A1046="",$A1046&lt;&gt;'Resumen del inventario'!$C$3,$N1046="",$N1046="OK"),"",IF(COUNTIFS($A$2:$A1046,$A1046,$B$2:$B1046,$B1046)=1,1,""))</f>
        <v/>
      </c>
      <c r="S1046" s="20">
        <f>IF($R1046=1,COUNTIF($R$2:$R1046,1),"")</f>
        <v/>
      </c>
    </row>
    <row r="1047">
      <c r="A1047" s="19" t="n"/>
      <c r="B1047" s="14" t="n"/>
      <c r="C1047" s="20">
        <f>IF($B1047="","",IFERROR(INDEX(Vinos!$B$2:$B$301,MATCH($B1047,Vinos!$A$2:$A$301,0)),"Código no cargado"))</f>
        <v/>
      </c>
      <c r="D1047" s="14" t="n"/>
      <c r="E1047" s="14" t="n"/>
      <c r="F1047" s="18" t="n"/>
      <c r="G1047" s="18" t="n"/>
      <c r="H1047" s="21">
        <f>IF(AND($F1047="",$G1047=""),"",N($F1047)*IFERROR(N(INDEX(Vinos!$H$2:$H$301,MATCH($B1047,Vinos!$A$2:$A$301,0))),0)+N($G1047))</f>
        <v/>
      </c>
      <c r="I1047" s="18" t="n"/>
      <c r="J1047" s="21">
        <f>IF(OR($H1047="",$I1047=""),"",$H1047-$I1047)</f>
        <v/>
      </c>
      <c r="K1047" s="16">
        <f>IF($H1047="","",IFERROR(IF(INDEX(Vinos!$J$2:$J$301,MATCH($B1047,Vinos!$A$2:$A$301,0))="","",$H1047*INDEX(Vinos!$J$2:$J$301,MATCH($B1047,Vinos!$A$2:$A$301,0))),""))</f>
        <v/>
      </c>
      <c r="L1047" s="16">
        <f>IF($H1047="","",IFERROR(IF(INDEX(Vinos!$K$2:$K$301,MATCH($B1047,Vinos!$A$2:$A$301,0))="","",$H1047*INDEX(Vinos!$K$2:$K$301,MATCH($B1047,Vinos!$A$2:$A$301,0))),""))</f>
        <v/>
      </c>
      <c r="M1047" s="21">
        <f>IF(OR($A1047="",$B1047=""),"",SUMIFS($H$2:$H$2001,$A$2:$A$2001,$A1047,$B$2:$B$2001,$B1047))</f>
        <v/>
      </c>
      <c r="N1047" s="20">
        <f>IF($M1047="","",IF($M1047&lt;=0,"Sin stock: reponer ya",IF($M1047&lt;IFERROR(N(INDEX(Vinos!$N$2:$N$301,MATCH($B1047,Vinos!$A$2:$A$301,0))),0),"Bajo mínimo: reponer","OK")))</f>
        <v/>
      </c>
      <c r="O1047" s="14" t="n"/>
      <c r="P1047" s="14" t="n"/>
      <c r="Q1047" s="20">
        <f>IF($B1047="","",IFERROR(INDEX(Vinos!$C$2:$C$301,MATCH($B1047,Vinos!$A$2:$A$301,0)),""))</f>
        <v/>
      </c>
      <c r="R1047" s="20">
        <f>IF(OR($A1047="",$A1047&lt;&gt;'Resumen del inventario'!$C$3,$N1047="",$N1047="OK"),"",IF(COUNTIFS($A$2:$A1047,$A1047,$B$2:$B1047,$B1047)=1,1,""))</f>
        <v/>
      </c>
      <c r="S1047" s="20">
        <f>IF($R1047=1,COUNTIF($R$2:$R1047,1),"")</f>
        <v/>
      </c>
    </row>
    <row r="1048">
      <c r="A1048" s="19" t="n"/>
      <c r="B1048" s="14" t="n"/>
      <c r="C1048" s="20">
        <f>IF($B1048="","",IFERROR(INDEX(Vinos!$B$2:$B$301,MATCH($B1048,Vinos!$A$2:$A$301,0)),"Código no cargado"))</f>
        <v/>
      </c>
      <c r="D1048" s="14" t="n"/>
      <c r="E1048" s="14" t="n"/>
      <c r="F1048" s="18" t="n"/>
      <c r="G1048" s="18" t="n"/>
      <c r="H1048" s="21">
        <f>IF(AND($F1048="",$G1048=""),"",N($F1048)*IFERROR(N(INDEX(Vinos!$H$2:$H$301,MATCH($B1048,Vinos!$A$2:$A$301,0))),0)+N($G1048))</f>
        <v/>
      </c>
      <c r="I1048" s="18" t="n"/>
      <c r="J1048" s="21">
        <f>IF(OR($H1048="",$I1048=""),"",$H1048-$I1048)</f>
        <v/>
      </c>
      <c r="K1048" s="16">
        <f>IF($H1048="","",IFERROR(IF(INDEX(Vinos!$J$2:$J$301,MATCH($B1048,Vinos!$A$2:$A$301,0))="","",$H1048*INDEX(Vinos!$J$2:$J$301,MATCH($B1048,Vinos!$A$2:$A$301,0))),""))</f>
        <v/>
      </c>
      <c r="L1048" s="16">
        <f>IF($H1048="","",IFERROR(IF(INDEX(Vinos!$K$2:$K$301,MATCH($B1048,Vinos!$A$2:$A$301,0))="","",$H1048*INDEX(Vinos!$K$2:$K$301,MATCH($B1048,Vinos!$A$2:$A$301,0))),""))</f>
        <v/>
      </c>
      <c r="M1048" s="21">
        <f>IF(OR($A1048="",$B1048=""),"",SUMIFS($H$2:$H$2001,$A$2:$A$2001,$A1048,$B$2:$B$2001,$B1048))</f>
        <v/>
      </c>
      <c r="N1048" s="20">
        <f>IF($M1048="","",IF($M1048&lt;=0,"Sin stock: reponer ya",IF($M1048&lt;IFERROR(N(INDEX(Vinos!$N$2:$N$301,MATCH($B1048,Vinos!$A$2:$A$301,0))),0),"Bajo mínimo: reponer","OK")))</f>
        <v/>
      </c>
      <c r="O1048" s="14" t="n"/>
      <c r="P1048" s="14" t="n"/>
      <c r="Q1048" s="20">
        <f>IF($B1048="","",IFERROR(INDEX(Vinos!$C$2:$C$301,MATCH($B1048,Vinos!$A$2:$A$301,0)),""))</f>
        <v/>
      </c>
      <c r="R1048" s="20">
        <f>IF(OR($A1048="",$A1048&lt;&gt;'Resumen del inventario'!$C$3,$N1048="",$N1048="OK"),"",IF(COUNTIFS($A$2:$A1048,$A1048,$B$2:$B1048,$B1048)=1,1,""))</f>
        <v/>
      </c>
      <c r="S1048" s="20">
        <f>IF($R1048=1,COUNTIF($R$2:$R1048,1),"")</f>
        <v/>
      </c>
    </row>
    <row r="1049">
      <c r="A1049" s="19" t="n"/>
      <c r="B1049" s="14" t="n"/>
      <c r="C1049" s="20">
        <f>IF($B1049="","",IFERROR(INDEX(Vinos!$B$2:$B$301,MATCH($B1049,Vinos!$A$2:$A$301,0)),"Código no cargado"))</f>
        <v/>
      </c>
      <c r="D1049" s="14" t="n"/>
      <c r="E1049" s="14" t="n"/>
      <c r="F1049" s="18" t="n"/>
      <c r="G1049" s="18" t="n"/>
      <c r="H1049" s="21">
        <f>IF(AND($F1049="",$G1049=""),"",N($F1049)*IFERROR(N(INDEX(Vinos!$H$2:$H$301,MATCH($B1049,Vinos!$A$2:$A$301,0))),0)+N($G1049))</f>
        <v/>
      </c>
      <c r="I1049" s="18" t="n"/>
      <c r="J1049" s="21">
        <f>IF(OR($H1049="",$I1049=""),"",$H1049-$I1049)</f>
        <v/>
      </c>
      <c r="K1049" s="16">
        <f>IF($H1049="","",IFERROR(IF(INDEX(Vinos!$J$2:$J$301,MATCH($B1049,Vinos!$A$2:$A$301,0))="","",$H1049*INDEX(Vinos!$J$2:$J$301,MATCH($B1049,Vinos!$A$2:$A$301,0))),""))</f>
        <v/>
      </c>
      <c r="L1049" s="16">
        <f>IF($H1049="","",IFERROR(IF(INDEX(Vinos!$K$2:$K$301,MATCH($B1049,Vinos!$A$2:$A$301,0))="","",$H1049*INDEX(Vinos!$K$2:$K$301,MATCH($B1049,Vinos!$A$2:$A$301,0))),""))</f>
        <v/>
      </c>
      <c r="M1049" s="21">
        <f>IF(OR($A1049="",$B1049=""),"",SUMIFS($H$2:$H$2001,$A$2:$A$2001,$A1049,$B$2:$B$2001,$B1049))</f>
        <v/>
      </c>
      <c r="N1049" s="20">
        <f>IF($M1049="","",IF($M1049&lt;=0,"Sin stock: reponer ya",IF($M1049&lt;IFERROR(N(INDEX(Vinos!$N$2:$N$301,MATCH($B1049,Vinos!$A$2:$A$301,0))),0),"Bajo mínimo: reponer","OK")))</f>
        <v/>
      </c>
      <c r="O1049" s="14" t="n"/>
      <c r="P1049" s="14" t="n"/>
      <c r="Q1049" s="20">
        <f>IF($B1049="","",IFERROR(INDEX(Vinos!$C$2:$C$301,MATCH($B1049,Vinos!$A$2:$A$301,0)),""))</f>
        <v/>
      </c>
      <c r="R1049" s="20">
        <f>IF(OR($A1049="",$A1049&lt;&gt;'Resumen del inventario'!$C$3,$N1049="",$N1049="OK"),"",IF(COUNTIFS($A$2:$A1049,$A1049,$B$2:$B1049,$B1049)=1,1,""))</f>
        <v/>
      </c>
      <c r="S1049" s="20">
        <f>IF($R1049=1,COUNTIF($R$2:$R1049,1),"")</f>
        <v/>
      </c>
    </row>
    <row r="1050">
      <c r="A1050" s="19" t="n"/>
      <c r="B1050" s="14" t="n"/>
      <c r="C1050" s="20">
        <f>IF($B1050="","",IFERROR(INDEX(Vinos!$B$2:$B$301,MATCH($B1050,Vinos!$A$2:$A$301,0)),"Código no cargado"))</f>
        <v/>
      </c>
      <c r="D1050" s="14" t="n"/>
      <c r="E1050" s="14" t="n"/>
      <c r="F1050" s="18" t="n"/>
      <c r="G1050" s="18" t="n"/>
      <c r="H1050" s="21">
        <f>IF(AND($F1050="",$G1050=""),"",N($F1050)*IFERROR(N(INDEX(Vinos!$H$2:$H$301,MATCH($B1050,Vinos!$A$2:$A$301,0))),0)+N($G1050))</f>
        <v/>
      </c>
      <c r="I1050" s="18" t="n"/>
      <c r="J1050" s="21">
        <f>IF(OR($H1050="",$I1050=""),"",$H1050-$I1050)</f>
        <v/>
      </c>
      <c r="K1050" s="16">
        <f>IF($H1050="","",IFERROR(IF(INDEX(Vinos!$J$2:$J$301,MATCH($B1050,Vinos!$A$2:$A$301,0))="","",$H1050*INDEX(Vinos!$J$2:$J$301,MATCH($B1050,Vinos!$A$2:$A$301,0))),""))</f>
        <v/>
      </c>
      <c r="L1050" s="16">
        <f>IF($H1050="","",IFERROR(IF(INDEX(Vinos!$K$2:$K$301,MATCH($B1050,Vinos!$A$2:$A$301,0))="","",$H1050*INDEX(Vinos!$K$2:$K$301,MATCH($B1050,Vinos!$A$2:$A$301,0))),""))</f>
        <v/>
      </c>
      <c r="M1050" s="21">
        <f>IF(OR($A1050="",$B1050=""),"",SUMIFS($H$2:$H$2001,$A$2:$A$2001,$A1050,$B$2:$B$2001,$B1050))</f>
        <v/>
      </c>
      <c r="N1050" s="20">
        <f>IF($M1050="","",IF($M1050&lt;=0,"Sin stock: reponer ya",IF($M1050&lt;IFERROR(N(INDEX(Vinos!$N$2:$N$301,MATCH($B1050,Vinos!$A$2:$A$301,0))),0),"Bajo mínimo: reponer","OK")))</f>
        <v/>
      </c>
      <c r="O1050" s="14" t="n"/>
      <c r="P1050" s="14" t="n"/>
      <c r="Q1050" s="20">
        <f>IF($B1050="","",IFERROR(INDEX(Vinos!$C$2:$C$301,MATCH($B1050,Vinos!$A$2:$A$301,0)),""))</f>
        <v/>
      </c>
      <c r="R1050" s="20">
        <f>IF(OR($A1050="",$A1050&lt;&gt;'Resumen del inventario'!$C$3,$N1050="",$N1050="OK"),"",IF(COUNTIFS($A$2:$A1050,$A1050,$B$2:$B1050,$B1050)=1,1,""))</f>
        <v/>
      </c>
      <c r="S1050" s="20">
        <f>IF($R1050=1,COUNTIF($R$2:$R1050,1),"")</f>
        <v/>
      </c>
    </row>
    <row r="1051">
      <c r="A1051" s="19" t="n"/>
      <c r="B1051" s="14" t="n"/>
      <c r="C1051" s="20">
        <f>IF($B1051="","",IFERROR(INDEX(Vinos!$B$2:$B$301,MATCH($B1051,Vinos!$A$2:$A$301,0)),"Código no cargado"))</f>
        <v/>
      </c>
      <c r="D1051" s="14" t="n"/>
      <c r="E1051" s="14" t="n"/>
      <c r="F1051" s="18" t="n"/>
      <c r="G1051" s="18" t="n"/>
      <c r="H1051" s="21">
        <f>IF(AND($F1051="",$G1051=""),"",N($F1051)*IFERROR(N(INDEX(Vinos!$H$2:$H$301,MATCH($B1051,Vinos!$A$2:$A$301,0))),0)+N($G1051))</f>
        <v/>
      </c>
      <c r="I1051" s="18" t="n"/>
      <c r="J1051" s="21">
        <f>IF(OR($H1051="",$I1051=""),"",$H1051-$I1051)</f>
        <v/>
      </c>
      <c r="K1051" s="16">
        <f>IF($H1051="","",IFERROR(IF(INDEX(Vinos!$J$2:$J$301,MATCH($B1051,Vinos!$A$2:$A$301,0))="","",$H1051*INDEX(Vinos!$J$2:$J$301,MATCH($B1051,Vinos!$A$2:$A$301,0))),""))</f>
        <v/>
      </c>
      <c r="L1051" s="16">
        <f>IF($H1051="","",IFERROR(IF(INDEX(Vinos!$K$2:$K$301,MATCH($B1051,Vinos!$A$2:$A$301,0))="","",$H1051*INDEX(Vinos!$K$2:$K$301,MATCH($B1051,Vinos!$A$2:$A$301,0))),""))</f>
        <v/>
      </c>
      <c r="M1051" s="21">
        <f>IF(OR($A1051="",$B1051=""),"",SUMIFS($H$2:$H$2001,$A$2:$A$2001,$A1051,$B$2:$B$2001,$B1051))</f>
        <v/>
      </c>
      <c r="N1051" s="20">
        <f>IF($M1051="","",IF($M1051&lt;=0,"Sin stock: reponer ya",IF($M1051&lt;IFERROR(N(INDEX(Vinos!$N$2:$N$301,MATCH($B1051,Vinos!$A$2:$A$301,0))),0),"Bajo mínimo: reponer","OK")))</f>
        <v/>
      </c>
      <c r="O1051" s="14" t="n"/>
      <c r="P1051" s="14" t="n"/>
      <c r="Q1051" s="20">
        <f>IF($B1051="","",IFERROR(INDEX(Vinos!$C$2:$C$301,MATCH($B1051,Vinos!$A$2:$A$301,0)),""))</f>
        <v/>
      </c>
      <c r="R1051" s="20">
        <f>IF(OR($A1051="",$A1051&lt;&gt;'Resumen del inventario'!$C$3,$N1051="",$N1051="OK"),"",IF(COUNTIFS($A$2:$A1051,$A1051,$B$2:$B1051,$B1051)=1,1,""))</f>
        <v/>
      </c>
      <c r="S1051" s="20">
        <f>IF($R1051=1,COUNTIF($R$2:$R1051,1),"")</f>
        <v/>
      </c>
    </row>
    <row r="1052">
      <c r="A1052" s="19" t="n"/>
      <c r="B1052" s="14" t="n"/>
      <c r="C1052" s="20">
        <f>IF($B1052="","",IFERROR(INDEX(Vinos!$B$2:$B$301,MATCH($B1052,Vinos!$A$2:$A$301,0)),"Código no cargado"))</f>
        <v/>
      </c>
      <c r="D1052" s="14" t="n"/>
      <c r="E1052" s="14" t="n"/>
      <c r="F1052" s="18" t="n"/>
      <c r="G1052" s="18" t="n"/>
      <c r="H1052" s="21">
        <f>IF(AND($F1052="",$G1052=""),"",N($F1052)*IFERROR(N(INDEX(Vinos!$H$2:$H$301,MATCH($B1052,Vinos!$A$2:$A$301,0))),0)+N($G1052))</f>
        <v/>
      </c>
      <c r="I1052" s="18" t="n"/>
      <c r="J1052" s="21">
        <f>IF(OR($H1052="",$I1052=""),"",$H1052-$I1052)</f>
        <v/>
      </c>
      <c r="K1052" s="16">
        <f>IF($H1052="","",IFERROR(IF(INDEX(Vinos!$J$2:$J$301,MATCH($B1052,Vinos!$A$2:$A$301,0))="","",$H1052*INDEX(Vinos!$J$2:$J$301,MATCH($B1052,Vinos!$A$2:$A$301,0))),""))</f>
        <v/>
      </c>
      <c r="L1052" s="16">
        <f>IF($H1052="","",IFERROR(IF(INDEX(Vinos!$K$2:$K$301,MATCH($B1052,Vinos!$A$2:$A$301,0))="","",$H1052*INDEX(Vinos!$K$2:$K$301,MATCH($B1052,Vinos!$A$2:$A$301,0))),""))</f>
        <v/>
      </c>
      <c r="M1052" s="21">
        <f>IF(OR($A1052="",$B1052=""),"",SUMIFS($H$2:$H$2001,$A$2:$A$2001,$A1052,$B$2:$B$2001,$B1052))</f>
        <v/>
      </c>
      <c r="N1052" s="20">
        <f>IF($M1052="","",IF($M1052&lt;=0,"Sin stock: reponer ya",IF($M1052&lt;IFERROR(N(INDEX(Vinos!$N$2:$N$301,MATCH($B1052,Vinos!$A$2:$A$301,0))),0),"Bajo mínimo: reponer","OK")))</f>
        <v/>
      </c>
      <c r="O1052" s="14" t="n"/>
      <c r="P1052" s="14" t="n"/>
      <c r="Q1052" s="20">
        <f>IF($B1052="","",IFERROR(INDEX(Vinos!$C$2:$C$301,MATCH($B1052,Vinos!$A$2:$A$301,0)),""))</f>
        <v/>
      </c>
      <c r="R1052" s="20">
        <f>IF(OR($A1052="",$A1052&lt;&gt;'Resumen del inventario'!$C$3,$N1052="",$N1052="OK"),"",IF(COUNTIFS($A$2:$A1052,$A1052,$B$2:$B1052,$B1052)=1,1,""))</f>
        <v/>
      </c>
      <c r="S1052" s="20">
        <f>IF($R1052=1,COUNTIF($R$2:$R1052,1),"")</f>
        <v/>
      </c>
    </row>
    <row r="1053">
      <c r="A1053" s="19" t="n"/>
      <c r="B1053" s="14" t="n"/>
      <c r="C1053" s="20">
        <f>IF($B1053="","",IFERROR(INDEX(Vinos!$B$2:$B$301,MATCH($B1053,Vinos!$A$2:$A$301,0)),"Código no cargado"))</f>
        <v/>
      </c>
      <c r="D1053" s="14" t="n"/>
      <c r="E1053" s="14" t="n"/>
      <c r="F1053" s="18" t="n"/>
      <c r="G1053" s="18" t="n"/>
      <c r="H1053" s="21">
        <f>IF(AND($F1053="",$G1053=""),"",N($F1053)*IFERROR(N(INDEX(Vinos!$H$2:$H$301,MATCH($B1053,Vinos!$A$2:$A$301,0))),0)+N($G1053))</f>
        <v/>
      </c>
      <c r="I1053" s="18" t="n"/>
      <c r="J1053" s="21">
        <f>IF(OR($H1053="",$I1053=""),"",$H1053-$I1053)</f>
        <v/>
      </c>
      <c r="K1053" s="16">
        <f>IF($H1053="","",IFERROR(IF(INDEX(Vinos!$J$2:$J$301,MATCH($B1053,Vinos!$A$2:$A$301,0))="","",$H1053*INDEX(Vinos!$J$2:$J$301,MATCH($B1053,Vinos!$A$2:$A$301,0))),""))</f>
        <v/>
      </c>
      <c r="L1053" s="16">
        <f>IF($H1053="","",IFERROR(IF(INDEX(Vinos!$K$2:$K$301,MATCH($B1053,Vinos!$A$2:$A$301,0))="","",$H1053*INDEX(Vinos!$K$2:$K$301,MATCH($B1053,Vinos!$A$2:$A$301,0))),""))</f>
        <v/>
      </c>
      <c r="M1053" s="21">
        <f>IF(OR($A1053="",$B1053=""),"",SUMIFS($H$2:$H$2001,$A$2:$A$2001,$A1053,$B$2:$B$2001,$B1053))</f>
        <v/>
      </c>
      <c r="N1053" s="20">
        <f>IF($M1053="","",IF($M1053&lt;=0,"Sin stock: reponer ya",IF($M1053&lt;IFERROR(N(INDEX(Vinos!$N$2:$N$301,MATCH($B1053,Vinos!$A$2:$A$301,0))),0),"Bajo mínimo: reponer","OK")))</f>
        <v/>
      </c>
      <c r="O1053" s="14" t="n"/>
      <c r="P1053" s="14" t="n"/>
      <c r="Q1053" s="20">
        <f>IF($B1053="","",IFERROR(INDEX(Vinos!$C$2:$C$301,MATCH($B1053,Vinos!$A$2:$A$301,0)),""))</f>
        <v/>
      </c>
      <c r="R1053" s="20">
        <f>IF(OR($A1053="",$A1053&lt;&gt;'Resumen del inventario'!$C$3,$N1053="",$N1053="OK"),"",IF(COUNTIFS($A$2:$A1053,$A1053,$B$2:$B1053,$B1053)=1,1,""))</f>
        <v/>
      </c>
      <c r="S1053" s="20">
        <f>IF($R1053=1,COUNTIF($R$2:$R1053,1),"")</f>
        <v/>
      </c>
    </row>
    <row r="1054">
      <c r="A1054" s="19" t="n"/>
      <c r="B1054" s="14" t="n"/>
      <c r="C1054" s="20">
        <f>IF($B1054="","",IFERROR(INDEX(Vinos!$B$2:$B$301,MATCH($B1054,Vinos!$A$2:$A$301,0)),"Código no cargado"))</f>
        <v/>
      </c>
      <c r="D1054" s="14" t="n"/>
      <c r="E1054" s="14" t="n"/>
      <c r="F1054" s="18" t="n"/>
      <c r="G1054" s="18" t="n"/>
      <c r="H1054" s="21">
        <f>IF(AND($F1054="",$G1054=""),"",N($F1054)*IFERROR(N(INDEX(Vinos!$H$2:$H$301,MATCH($B1054,Vinos!$A$2:$A$301,0))),0)+N($G1054))</f>
        <v/>
      </c>
      <c r="I1054" s="18" t="n"/>
      <c r="J1054" s="21">
        <f>IF(OR($H1054="",$I1054=""),"",$H1054-$I1054)</f>
        <v/>
      </c>
      <c r="K1054" s="16">
        <f>IF($H1054="","",IFERROR(IF(INDEX(Vinos!$J$2:$J$301,MATCH($B1054,Vinos!$A$2:$A$301,0))="","",$H1054*INDEX(Vinos!$J$2:$J$301,MATCH($B1054,Vinos!$A$2:$A$301,0))),""))</f>
        <v/>
      </c>
      <c r="L1054" s="16">
        <f>IF($H1054="","",IFERROR(IF(INDEX(Vinos!$K$2:$K$301,MATCH($B1054,Vinos!$A$2:$A$301,0))="","",$H1054*INDEX(Vinos!$K$2:$K$301,MATCH($B1054,Vinos!$A$2:$A$301,0))),""))</f>
        <v/>
      </c>
      <c r="M1054" s="21">
        <f>IF(OR($A1054="",$B1054=""),"",SUMIFS($H$2:$H$2001,$A$2:$A$2001,$A1054,$B$2:$B$2001,$B1054))</f>
        <v/>
      </c>
      <c r="N1054" s="20">
        <f>IF($M1054="","",IF($M1054&lt;=0,"Sin stock: reponer ya",IF($M1054&lt;IFERROR(N(INDEX(Vinos!$N$2:$N$301,MATCH($B1054,Vinos!$A$2:$A$301,0))),0),"Bajo mínimo: reponer","OK")))</f>
        <v/>
      </c>
      <c r="O1054" s="14" t="n"/>
      <c r="P1054" s="14" t="n"/>
      <c r="Q1054" s="20">
        <f>IF($B1054="","",IFERROR(INDEX(Vinos!$C$2:$C$301,MATCH($B1054,Vinos!$A$2:$A$301,0)),""))</f>
        <v/>
      </c>
      <c r="R1054" s="20">
        <f>IF(OR($A1054="",$A1054&lt;&gt;'Resumen del inventario'!$C$3,$N1054="",$N1054="OK"),"",IF(COUNTIFS($A$2:$A1054,$A1054,$B$2:$B1054,$B1054)=1,1,""))</f>
        <v/>
      </c>
      <c r="S1054" s="20">
        <f>IF($R1054=1,COUNTIF($R$2:$R1054,1),"")</f>
        <v/>
      </c>
    </row>
    <row r="1055">
      <c r="A1055" s="19" t="n"/>
      <c r="B1055" s="14" t="n"/>
      <c r="C1055" s="20">
        <f>IF($B1055="","",IFERROR(INDEX(Vinos!$B$2:$B$301,MATCH($B1055,Vinos!$A$2:$A$301,0)),"Código no cargado"))</f>
        <v/>
      </c>
      <c r="D1055" s="14" t="n"/>
      <c r="E1055" s="14" t="n"/>
      <c r="F1055" s="18" t="n"/>
      <c r="G1055" s="18" t="n"/>
      <c r="H1055" s="21">
        <f>IF(AND($F1055="",$G1055=""),"",N($F1055)*IFERROR(N(INDEX(Vinos!$H$2:$H$301,MATCH($B1055,Vinos!$A$2:$A$301,0))),0)+N($G1055))</f>
        <v/>
      </c>
      <c r="I1055" s="18" t="n"/>
      <c r="J1055" s="21">
        <f>IF(OR($H1055="",$I1055=""),"",$H1055-$I1055)</f>
        <v/>
      </c>
      <c r="K1055" s="16">
        <f>IF($H1055="","",IFERROR(IF(INDEX(Vinos!$J$2:$J$301,MATCH($B1055,Vinos!$A$2:$A$301,0))="","",$H1055*INDEX(Vinos!$J$2:$J$301,MATCH($B1055,Vinos!$A$2:$A$301,0))),""))</f>
        <v/>
      </c>
      <c r="L1055" s="16">
        <f>IF($H1055="","",IFERROR(IF(INDEX(Vinos!$K$2:$K$301,MATCH($B1055,Vinos!$A$2:$A$301,0))="","",$H1055*INDEX(Vinos!$K$2:$K$301,MATCH($B1055,Vinos!$A$2:$A$301,0))),""))</f>
        <v/>
      </c>
      <c r="M1055" s="21">
        <f>IF(OR($A1055="",$B1055=""),"",SUMIFS($H$2:$H$2001,$A$2:$A$2001,$A1055,$B$2:$B$2001,$B1055))</f>
        <v/>
      </c>
      <c r="N1055" s="20">
        <f>IF($M1055="","",IF($M1055&lt;=0,"Sin stock: reponer ya",IF($M1055&lt;IFERROR(N(INDEX(Vinos!$N$2:$N$301,MATCH($B1055,Vinos!$A$2:$A$301,0))),0),"Bajo mínimo: reponer","OK")))</f>
        <v/>
      </c>
      <c r="O1055" s="14" t="n"/>
      <c r="P1055" s="14" t="n"/>
      <c r="Q1055" s="20">
        <f>IF($B1055="","",IFERROR(INDEX(Vinos!$C$2:$C$301,MATCH($B1055,Vinos!$A$2:$A$301,0)),""))</f>
        <v/>
      </c>
      <c r="R1055" s="20">
        <f>IF(OR($A1055="",$A1055&lt;&gt;'Resumen del inventario'!$C$3,$N1055="",$N1055="OK"),"",IF(COUNTIFS($A$2:$A1055,$A1055,$B$2:$B1055,$B1055)=1,1,""))</f>
        <v/>
      </c>
      <c r="S1055" s="20">
        <f>IF($R1055=1,COUNTIF($R$2:$R1055,1),"")</f>
        <v/>
      </c>
    </row>
    <row r="1056">
      <c r="A1056" s="19" t="n"/>
      <c r="B1056" s="14" t="n"/>
      <c r="C1056" s="20">
        <f>IF($B1056="","",IFERROR(INDEX(Vinos!$B$2:$B$301,MATCH($B1056,Vinos!$A$2:$A$301,0)),"Código no cargado"))</f>
        <v/>
      </c>
      <c r="D1056" s="14" t="n"/>
      <c r="E1056" s="14" t="n"/>
      <c r="F1056" s="18" t="n"/>
      <c r="G1056" s="18" t="n"/>
      <c r="H1056" s="21">
        <f>IF(AND($F1056="",$G1056=""),"",N($F1056)*IFERROR(N(INDEX(Vinos!$H$2:$H$301,MATCH($B1056,Vinos!$A$2:$A$301,0))),0)+N($G1056))</f>
        <v/>
      </c>
      <c r="I1056" s="18" t="n"/>
      <c r="J1056" s="21">
        <f>IF(OR($H1056="",$I1056=""),"",$H1056-$I1056)</f>
        <v/>
      </c>
      <c r="K1056" s="16">
        <f>IF($H1056="","",IFERROR(IF(INDEX(Vinos!$J$2:$J$301,MATCH($B1056,Vinos!$A$2:$A$301,0))="","",$H1056*INDEX(Vinos!$J$2:$J$301,MATCH($B1056,Vinos!$A$2:$A$301,0))),""))</f>
        <v/>
      </c>
      <c r="L1056" s="16">
        <f>IF($H1056="","",IFERROR(IF(INDEX(Vinos!$K$2:$K$301,MATCH($B1056,Vinos!$A$2:$A$301,0))="","",$H1056*INDEX(Vinos!$K$2:$K$301,MATCH($B1056,Vinos!$A$2:$A$301,0))),""))</f>
        <v/>
      </c>
      <c r="M1056" s="21">
        <f>IF(OR($A1056="",$B1056=""),"",SUMIFS($H$2:$H$2001,$A$2:$A$2001,$A1056,$B$2:$B$2001,$B1056))</f>
        <v/>
      </c>
      <c r="N1056" s="20">
        <f>IF($M1056="","",IF($M1056&lt;=0,"Sin stock: reponer ya",IF($M1056&lt;IFERROR(N(INDEX(Vinos!$N$2:$N$301,MATCH($B1056,Vinos!$A$2:$A$301,0))),0),"Bajo mínimo: reponer","OK")))</f>
        <v/>
      </c>
      <c r="O1056" s="14" t="n"/>
      <c r="P1056" s="14" t="n"/>
      <c r="Q1056" s="20">
        <f>IF($B1056="","",IFERROR(INDEX(Vinos!$C$2:$C$301,MATCH($B1056,Vinos!$A$2:$A$301,0)),""))</f>
        <v/>
      </c>
      <c r="R1056" s="20">
        <f>IF(OR($A1056="",$A1056&lt;&gt;'Resumen del inventario'!$C$3,$N1056="",$N1056="OK"),"",IF(COUNTIFS($A$2:$A1056,$A1056,$B$2:$B1056,$B1056)=1,1,""))</f>
        <v/>
      </c>
      <c r="S1056" s="20">
        <f>IF($R1056=1,COUNTIF($R$2:$R1056,1),"")</f>
        <v/>
      </c>
    </row>
    <row r="1057">
      <c r="A1057" s="19" t="n"/>
      <c r="B1057" s="14" t="n"/>
      <c r="C1057" s="20">
        <f>IF($B1057="","",IFERROR(INDEX(Vinos!$B$2:$B$301,MATCH($B1057,Vinos!$A$2:$A$301,0)),"Código no cargado"))</f>
        <v/>
      </c>
      <c r="D1057" s="14" t="n"/>
      <c r="E1057" s="14" t="n"/>
      <c r="F1057" s="18" t="n"/>
      <c r="G1057" s="18" t="n"/>
      <c r="H1057" s="21">
        <f>IF(AND($F1057="",$G1057=""),"",N($F1057)*IFERROR(N(INDEX(Vinos!$H$2:$H$301,MATCH($B1057,Vinos!$A$2:$A$301,0))),0)+N($G1057))</f>
        <v/>
      </c>
      <c r="I1057" s="18" t="n"/>
      <c r="J1057" s="21">
        <f>IF(OR($H1057="",$I1057=""),"",$H1057-$I1057)</f>
        <v/>
      </c>
      <c r="K1057" s="16">
        <f>IF($H1057="","",IFERROR(IF(INDEX(Vinos!$J$2:$J$301,MATCH($B1057,Vinos!$A$2:$A$301,0))="","",$H1057*INDEX(Vinos!$J$2:$J$301,MATCH($B1057,Vinos!$A$2:$A$301,0))),""))</f>
        <v/>
      </c>
      <c r="L1057" s="16">
        <f>IF($H1057="","",IFERROR(IF(INDEX(Vinos!$K$2:$K$301,MATCH($B1057,Vinos!$A$2:$A$301,0))="","",$H1057*INDEX(Vinos!$K$2:$K$301,MATCH($B1057,Vinos!$A$2:$A$301,0))),""))</f>
        <v/>
      </c>
      <c r="M1057" s="21">
        <f>IF(OR($A1057="",$B1057=""),"",SUMIFS($H$2:$H$2001,$A$2:$A$2001,$A1057,$B$2:$B$2001,$B1057))</f>
        <v/>
      </c>
      <c r="N1057" s="20">
        <f>IF($M1057="","",IF($M1057&lt;=0,"Sin stock: reponer ya",IF($M1057&lt;IFERROR(N(INDEX(Vinos!$N$2:$N$301,MATCH($B1057,Vinos!$A$2:$A$301,0))),0),"Bajo mínimo: reponer","OK")))</f>
        <v/>
      </c>
      <c r="O1057" s="14" t="n"/>
      <c r="P1057" s="14" t="n"/>
      <c r="Q1057" s="20">
        <f>IF($B1057="","",IFERROR(INDEX(Vinos!$C$2:$C$301,MATCH($B1057,Vinos!$A$2:$A$301,0)),""))</f>
        <v/>
      </c>
      <c r="R1057" s="20">
        <f>IF(OR($A1057="",$A1057&lt;&gt;'Resumen del inventario'!$C$3,$N1057="",$N1057="OK"),"",IF(COUNTIFS($A$2:$A1057,$A1057,$B$2:$B1057,$B1057)=1,1,""))</f>
        <v/>
      </c>
      <c r="S1057" s="20">
        <f>IF($R1057=1,COUNTIF($R$2:$R1057,1),"")</f>
        <v/>
      </c>
    </row>
    <row r="1058">
      <c r="A1058" s="19" t="n"/>
      <c r="B1058" s="14" t="n"/>
      <c r="C1058" s="20">
        <f>IF($B1058="","",IFERROR(INDEX(Vinos!$B$2:$B$301,MATCH($B1058,Vinos!$A$2:$A$301,0)),"Código no cargado"))</f>
        <v/>
      </c>
      <c r="D1058" s="14" t="n"/>
      <c r="E1058" s="14" t="n"/>
      <c r="F1058" s="18" t="n"/>
      <c r="G1058" s="18" t="n"/>
      <c r="H1058" s="21">
        <f>IF(AND($F1058="",$G1058=""),"",N($F1058)*IFERROR(N(INDEX(Vinos!$H$2:$H$301,MATCH($B1058,Vinos!$A$2:$A$301,0))),0)+N($G1058))</f>
        <v/>
      </c>
      <c r="I1058" s="18" t="n"/>
      <c r="J1058" s="21">
        <f>IF(OR($H1058="",$I1058=""),"",$H1058-$I1058)</f>
        <v/>
      </c>
      <c r="K1058" s="16">
        <f>IF($H1058="","",IFERROR(IF(INDEX(Vinos!$J$2:$J$301,MATCH($B1058,Vinos!$A$2:$A$301,0))="","",$H1058*INDEX(Vinos!$J$2:$J$301,MATCH($B1058,Vinos!$A$2:$A$301,0))),""))</f>
        <v/>
      </c>
      <c r="L1058" s="16">
        <f>IF($H1058="","",IFERROR(IF(INDEX(Vinos!$K$2:$K$301,MATCH($B1058,Vinos!$A$2:$A$301,0))="","",$H1058*INDEX(Vinos!$K$2:$K$301,MATCH($B1058,Vinos!$A$2:$A$301,0))),""))</f>
        <v/>
      </c>
      <c r="M1058" s="21">
        <f>IF(OR($A1058="",$B1058=""),"",SUMIFS($H$2:$H$2001,$A$2:$A$2001,$A1058,$B$2:$B$2001,$B1058))</f>
        <v/>
      </c>
      <c r="N1058" s="20">
        <f>IF($M1058="","",IF($M1058&lt;=0,"Sin stock: reponer ya",IF($M1058&lt;IFERROR(N(INDEX(Vinos!$N$2:$N$301,MATCH($B1058,Vinos!$A$2:$A$301,0))),0),"Bajo mínimo: reponer","OK")))</f>
        <v/>
      </c>
      <c r="O1058" s="14" t="n"/>
      <c r="P1058" s="14" t="n"/>
      <c r="Q1058" s="20">
        <f>IF($B1058="","",IFERROR(INDEX(Vinos!$C$2:$C$301,MATCH($B1058,Vinos!$A$2:$A$301,0)),""))</f>
        <v/>
      </c>
      <c r="R1058" s="20">
        <f>IF(OR($A1058="",$A1058&lt;&gt;'Resumen del inventario'!$C$3,$N1058="",$N1058="OK"),"",IF(COUNTIFS($A$2:$A1058,$A1058,$B$2:$B1058,$B1058)=1,1,""))</f>
        <v/>
      </c>
      <c r="S1058" s="20">
        <f>IF($R1058=1,COUNTIF($R$2:$R1058,1),"")</f>
        <v/>
      </c>
    </row>
    <row r="1059">
      <c r="A1059" s="19" t="n"/>
      <c r="B1059" s="14" t="n"/>
      <c r="C1059" s="20">
        <f>IF($B1059="","",IFERROR(INDEX(Vinos!$B$2:$B$301,MATCH($B1059,Vinos!$A$2:$A$301,0)),"Código no cargado"))</f>
        <v/>
      </c>
      <c r="D1059" s="14" t="n"/>
      <c r="E1059" s="14" t="n"/>
      <c r="F1059" s="18" t="n"/>
      <c r="G1059" s="18" t="n"/>
      <c r="H1059" s="21">
        <f>IF(AND($F1059="",$G1059=""),"",N($F1059)*IFERROR(N(INDEX(Vinos!$H$2:$H$301,MATCH($B1059,Vinos!$A$2:$A$301,0))),0)+N($G1059))</f>
        <v/>
      </c>
      <c r="I1059" s="18" t="n"/>
      <c r="J1059" s="21">
        <f>IF(OR($H1059="",$I1059=""),"",$H1059-$I1059)</f>
        <v/>
      </c>
      <c r="K1059" s="16">
        <f>IF($H1059="","",IFERROR(IF(INDEX(Vinos!$J$2:$J$301,MATCH($B1059,Vinos!$A$2:$A$301,0))="","",$H1059*INDEX(Vinos!$J$2:$J$301,MATCH($B1059,Vinos!$A$2:$A$301,0))),""))</f>
        <v/>
      </c>
      <c r="L1059" s="16">
        <f>IF($H1059="","",IFERROR(IF(INDEX(Vinos!$K$2:$K$301,MATCH($B1059,Vinos!$A$2:$A$301,0))="","",$H1059*INDEX(Vinos!$K$2:$K$301,MATCH($B1059,Vinos!$A$2:$A$301,0))),""))</f>
        <v/>
      </c>
      <c r="M1059" s="21">
        <f>IF(OR($A1059="",$B1059=""),"",SUMIFS($H$2:$H$2001,$A$2:$A$2001,$A1059,$B$2:$B$2001,$B1059))</f>
        <v/>
      </c>
      <c r="N1059" s="20">
        <f>IF($M1059="","",IF($M1059&lt;=0,"Sin stock: reponer ya",IF($M1059&lt;IFERROR(N(INDEX(Vinos!$N$2:$N$301,MATCH($B1059,Vinos!$A$2:$A$301,0))),0),"Bajo mínimo: reponer","OK")))</f>
        <v/>
      </c>
      <c r="O1059" s="14" t="n"/>
      <c r="P1059" s="14" t="n"/>
      <c r="Q1059" s="20">
        <f>IF($B1059="","",IFERROR(INDEX(Vinos!$C$2:$C$301,MATCH($B1059,Vinos!$A$2:$A$301,0)),""))</f>
        <v/>
      </c>
      <c r="R1059" s="20">
        <f>IF(OR($A1059="",$A1059&lt;&gt;'Resumen del inventario'!$C$3,$N1059="",$N1059="OK"),"",IF(COUNTIFS($A$2:$A1059,$A1059,$B$2:$B1059,$B1059)=1,1,""))</f>
        <v/>
      </c>
      <c r="S1059" s="20">
        <f>IF($R1059=1,COUNTIF($R$2:$R1059,1),"")</f>
        <v/>
      </c>
    </row>
    <row r="1060">
      <c r="A1060" s="19" t="n"/>
      <c r="B1060" s="14" t="n"/>
      <c r="C1060" s="20">
        <f>IF($B1060="","",IFERROR(INDEX(Vinos!$B$2:$B$301,MATCH($B1060,Vinos!$A$2:$A$301,0)),"Código no cargado"))</f>
        <v/>
      </c>
      <c r="D1060" s="14" t="n"/>
      <c r="E1060" s="14" t="n"/>
      <c r="F1060" s="18" t="n"/>
      <c r="G1060" s="18" t="n"/>
      <c r="H1060" s="21">
        <f>IF(AND($F1060="",$G1060=""),"",N($F1060)*IFERROR(N(INDEX(Vinos!$H$2:$H$301,MATCH($B1060,Vinos!$A$2:$A$301,0))),0)+N($G1060))</f>
        <v/>
      </c>
      <c r="I1060" s="18" t="n"/>
      <c r="J1060" s="21">
        <f>IF(OR($H1060="",$I1060=""),"",$H1060-$I1060)</f>
        <v/>
      </c>
      <c r="K1060" s="16">
        <f>IF($H1060="","",IFERROR(IF(INDEX(Vinos!$J$2:$J$301,MATCH($B1060,Vinos!$A$2:$A$301,0))="","",$H1060*INDEX(Vinos!$J$2:$J$301,MATCH($B1060,Vinos!$A$2:$A$301,0))),""))</f>
        <v/>
      </c>
      <c r="L1060" s="16">
        <f>IF($H1060="","",IFERROR(IF(INDEX(Vinos!$K$2:$K$301,MATCH($B1060,Vinos!$A$2:$A$301,0))="","",$H1060*INDEX(Vinos!$K$2:$K$301,MATCH($B1060,Vinos!$A$2:$A$301,0))),""))</f>
        <v/>
      </c>
      <c r="M1060" s="21">
        <f>IF(OR($A1060="",$B1060=""),"",SUMIFS($H$2:$H$2001,$A$2:$A$2001,$A1060,$B$2:$B$2001,$B1060))</f>
        <v/>
      </c>
      <c r="N1060" s="20">
        <f>IF($M1060="","",IF($M1060&lt;=0,"Sin stock: reponer ya",IF($M1060&lt;IFERROR(N(INDEX(Vinos!$N$2:$N$301,MATCH($B1060,Vinos!$A$2:$A$301,0))),0),"Bajo mínimo: reponer","OK")))</f>
        <v/>
      </c>
      <c r="O1060" s="14" t="n"/>
      <c r="P1060" s="14" t="n"/>
      <c r="Q1060" s="20">
        <f>IF($B1060="","",IFERROR(INDEX(Vinos!$C$2:$C$301,MATCH($B1060,Vinos!$A$2:$A$301,0)),""))</f>
        <v/>
      </c>
      <c r="R1060" s="20">
        <f>IF(OR($A1060="",$A1060&lt;&gt;'Resumen del inventario'!$C$3,$N1060="",$N1060="OK"),"",IF(COUNTIFS($A$2:$A1060,$A1060,$B$2:$B1060,$B1060)=1,1,""))</f>
        <v/>
      </c>
      <c r="S1060" s="20">
        <f>IF($R1060=1,COUNTIF($R$2:$R1060,1),"")</f>
        <v/>
      </c>
    </row>
    <row r="1061">
      <c r="A1061" s="19" t="n"/>
      <c r="B1061" s="14" t="n"/>
      <c r="C1061" s="20">
        <f>IF($B1061="","",IFERROR(INDEX(Vinos!$B$2:$B$301,MATCH($B1061,Vinos!$A$2:$A$301,0)),"Código no cargado"))</f>
        <v/>
      </c>
      <c r="D1061" s="14" t="n"/>
      <c r="E1061" s="14" t="n"/>
      <c r="F1061" s="18" t="n"/>
      <c r="G1061" s="18" t="n"/>
      <c r="H1061" s="21">
        <f>IF(AND($F1061="",$G1061=""),"",N($F1061)*IFERROR(N(INDEX(Vinos!$H$2:$H$301,MATCH($B1061,Vinos!$A$2:$A$301,0))),0)+N($G1061))</f>
        <v/>
      </c>
      <c r="I1061" s="18" t="n"/>
      <c r="J1061" s="21">
        <f>IF(OR($H1061="",$I1061=""),"",$H1061-$I1061)</f>
        <v/>
      </c>
      <c r="K1061" s="16">
        <f>IF($H1061="","",IFERROR(IF(INDEX(Vinos!$J$2:$J$301,MATCH($B1061,Vinos!$A$2:$A$301,0))="","",$H1061*INDEX(Vinos!$J$2:$J$301,MATCH($B1061,Vinos!$A$2:$A$301,0))),""))</f>
        <v/>
      </c>
      <c r="L1061" s="16">
        <f>IF($H1061="","",IFERROR(IF(INDEX(Vinos!$K$2:$K$301,MATCH($B1061,Vinos!$A$2:$A$301,0))="","",$H1061*INDEX(Vinos!$K$2:$K$301,MATCH($B1061,Vinos!$A$2:$A$301,0))),""))</f>
        <v/>
      </c>
      <c r="M1061" s="21">
        <f>IF(OR($A1061="",$B1061=""),"",SUMIFS($H$2:$H$2001,$A$2:$A$2001,$A1061,$B$2:$B$2001,$B1061))</f>
        <v/>
      </c>
      <c r="N1061" s="20">
        <f>IF($M1061="","",IF($M1061&lt;=0,"Sin stock: reponer ya",IF($M1061&lt;IFERROR(N(INDEX(Vinos!$N$2:$N$301,MATCH($B1061,Vinos!$A$2:$A$301,0))),0),"Bajo mínimo: reponer","OK")))</f>
        <v/>
      </c>
      <c r="O1061" s="14" t="n"/>
      <c r="P1061" s="14" t="n"/>
      <c r="Q1061" s="20">
        <f>IF($B1061="","",IFERROR(INDEX(Vinos!$C$2:$C$301,MATCH($B1061,Vinos!$A$2:$A$301,0)),""))</f>
        <v/>
      </c>
      <c r="R1061" s="20">
        <f>IF(OR($A1061="",$A1061&lt;&gt;'Resumen del inventario'!$C$3,$N1061="",$N1061="OK"),"",IF(COUNTIFS($A$2:$A1061,$A1061,$B$2:$B1061,$B1061)=1,1,""))</f>
        <v/>
      </c>
      <c r="S1061" s="20">
        <f>IF($R1061=1,COUNTIF($R$2:$R1061,1),"")</f>
        <v/>
      </c>
    </row>
    <row r="1062">
      <c r="A1062" s="19" t="n"/>
      <c r="B1062" s="14" t="n"/>
      <c r="C1062" s="20">
        <f>IF($B1062="","",IFERROR(INDEX(Vinos!$B$2:$B$301,MATCH($B1062,Vinos!$A$2:$A$301,0)),"Código no cargado"))</f>
        <v/>
      </c>
      <c r="D1062" s="14" t="n"/>
      <c r="E1062" s="14" t="n"/>
      <c r="F1062" s="18" t="n"/>
      <c r="G1062" s="18" t="n"/>
      <c r="H1062" s="21">
        <f>IF(AND($F1062="",$G1062=""),"",N($F1062)*IFERROR(N(INDEX(Vinos!$H$2:$H$301,MATCH($B1062,Vinos!$A$2:$A$301,0))),0)+N($G1062))</f>
        <v/>
      </c>
      <c r="I1062" s="18" t="n"/>
      <c r="J1062" s="21">
        <f>IF(OR($H1062="",$I1062=""),"",$H1062-$I1062)</f>
        <v/>
      </c>
      <c r="K1062" s="16">
        <f>IF($H1062="","",IFERROR(IF(INDEX(Vinos!$J$2:$J$301,MATCH($B1062,Vinos!$A$2:$A$301,0))="","",$H1062*INDEX(Vinos!$J$2:$J$301,MATCH($B1062,Vinos!$A$2:$A$301,0))),""))</f>
        <v/>
      </c>
      <c r="L1062" s="16">
        <f>IF($H1062="","",IFERROR(IF(INDEX(Vinos!$K$2:$K$301,MATCH($B1062,Vinos!$A$2:$A$301,0))="","",$H1062*INDEX(Vinos!$K$2:$K$301,MATCH($B1062,Vinos!$A$2:$A$301,0))),""))</f>
        <v/>
      </c>
      <c r="M1062" s="21">
        <f>IF(OR($A1062="",$B1062=""),"",SUMIFS($H$2:$H$2001,$A$2:$A$2001,$A1062,$B$2:$B$2001,$B1062))</f>
        <v/>
      </c>
      <c r="N1062" s="20">
        <f>IF($M1062="","",IF($M1062&lt;=0,"Sin stock: reponer ya",IF($M1062&lt;IFERROR(N(INDEX(Vinos!$N$2:$N$301,MATCH($B1062,Vinos!$A$2:$A$301,0))),0),"Bajo mínimo: reponer","OK")))</f>
        <v/>
      </c>
      <c r="O1062" s="14" t="n"/>
      <c r="P1062" s="14" t="n"/>
      <c r="Q1062" s="20">
        <f>IF($B1062="","",IFERROR(INDEX(Vinos!$C$2:$C$301,MATCH($B1062,Vinos!$A$2:$A$301,0)),""))</f>
        <v/>
      </c>
      <c r="R1062" s="20">
        <f>IF(OR($A1062="",$A1062&lt;&gt;'Resumen del inventario'!$C$3,$N1062="",$N1062="OK"),"",IF(COUNTIFS($A$2:$A1062,$A1062,$B$2:$B1062,$B1062)=1,1,""))</f>
        <v/>
      </c>
      <c r="S1062" s="20">
        <f>IF($R1062=1,COUNTIF($R$2:$R1062,1),"")</f>
        <v/>
      </c>
    </row>
    <row r="1063">
      <c r="A1063" s="19" t="n"/>
      <c r="B1063" s="14" t="n"/>
      <c r="C1063" s="20">
        <f>IF($B1063="","",IFERROR(INDEX(Vinos!$B$2:$B$301,MATCH($B1063,Vinos!$A$2:$A$301,0)),"Código no cargado"))</f>
        <v/>
      </c>
      <c r="D1063" s="14" t="n"/>
      <c r="E1063" s="14" t="n"/>
      <c r="F1063" s="18" t="n"/>
      <c r="G1063" s="18" t="n"/>
      <c r="H1063" s="21">
        <f>IF(AND($F1063="",$G1063=""),"",N($F1063)*IFERROR(N(INDEX(Vinos!$H$2:$H$301,MATCH($B1063,Vinos!$A$2:$A$301,0))),0)+N($G1063))</f>
        <v/>
      </c>
      <c r="I1063" s="18" t="n"/>
      <c r="J1063" s="21">
        <f>IF(OR($H1063="",$I1063=""),"",$H1063-$I1063)</f>
        <v/>
      </c>
      <c r="K1063" s="16">
        <f>IF($H1063="","",IFERROR(IF(INDEX(Vinos!$J$2:$J$301,MATCH($B1063,Vinos!$A$2:$A$301,0))="","",$H1063*INDEX(Vinos!$J$2:$J$301,MATCH($B1063,Vinos!$A$2:$A$301,0))),""))</f>
        <v/>
      </c>
      <c r="L1063" s="16">
        <f>IF($H1063="","",IFERROR(IF(INDEX(Vinos!$K$2:$K$301,MATCH($B1063,Vinos!$A$2:$A$301,0))="","",$H1063*INDEX(Vinos!$K$2:$K$301,MATCH($B1063,Vinos!$A$2:$A$301,0))),""))</f>
        <v/>
      </c>
      <c r="M1063" s="21">
        <f>IF(OR($A1063="",$B1063=""),"",SUMIFS($H$2:$H$2001,$A$2:$A$2001,$A1063,$B$2:$B$2001,$B1063))</f>
        <v/>
      </c>
      <c r="N1063" s="20">
        <f>IF($M1063="","",IF($M1063&lt;=0,"Sin stock: reponer ya",IF($M1063&lt;IFERROR(N(INDEX(Vinos!$N$2:$N$301,MATCH($B1063,Vinos!$A$2:$A$301,0))),0),"Bajo mínimo: reponer","OK")))</f>
        <v/>
      </c>
      <c r="O1063" s="14" t="n"/>
      <c r="P1063" s="14" t="n"/>
      <c r="Q1063" s="20">
        <f>IF($B1063="","",IFERROR(INDEX(Vinos!$C$2:$C$301,MATCH($B1063,Vinos!$A$2:$A$301,0)),""))</f>
        <v/>
      </c>
      <c r="R1063" s="20">
        <f>IF(OR($A1063="",$A1063&lt;&gt;'Resumen del inventario'!$C$3,$N1063="",$N1063="OK"),"",IF(COUNTIFS($A$2:$A1063,$A1063,$B$2:$B1063,$B1063)=1,1,""))</f>
        <v/>
      </c>
      <c r="S1063" s="20">
        <f>IF($R1063=1,COUNTIF($R$2:$R1063,1),"")</f>
        <v/>
      </c>
    </row>
    <row r="1064">
      <c r="A1064" s="19" t="n"/>
      <c r="B1064" s="14" t="n"/>
      <c r="C1064" s="20">
        <f>IF($B1064="","",IFERROR(INDEX(Vinos!$B$2:$B$301,MATCH($B1064,Vinos!$A$2:$A$301,0)),"Código no cargado"))</f>
        <v/>
      </c>
      <c r="D1064" s="14" t="n"/>
      <c r="E1064" s="14" t="n"/>
      <c r="F1064" s="18" t="n"/>
      <c r="G1064" s="18" t="n"/>
      <c r="H1064" s="21">
        <f>IF(AND($F1064="",$G1064=""),"",N($F1064)*IFERROR(N(INDEX(Vinos!$H$2:$H$301,MATCH($B1064,Vinos!$A$2:$A$301,0))),0)+N($G1064))</f>
        <v/>
      </c>
      <c r="I1064" s="18" t="n"/>
      <c r="J1064" s="21">
        <f>IF(OR($H1064="",$I1064=""),"",$H1064-$I1064)</f>
        <v/>
      </c>
      <c r="K1064" s="16">
        <f>IF($H1064="","",IFERROR(IF(INDEX(Vinos!$J$2:$J$301,MATCH($B1064,Vinos!$A$2:$A$301,0))="","",$H1064*INDEX(Vinos!$J$2:$J$301,MATCH($B1064,Vinos!$A$2:$A$301,0))),""))</f>
        <v/>
      </c>
      <c r="L1064" s="16">
        <f>IF($H1064="","",IFERROR(IF(INDEX(Vinos!$K$2:$K$301,MATCH($B1064,Vinos!$A$2:$A$301,0))="","",$H1064*INDEX(Vinos!$K$2:$K$301,MATCH($B1064,Vinos!$A$2:$A$301,0))),""))</f>
        <v/>
      </c>
      <c r="M1064" s="21">
        <f>IF(OR($A1064="",$B1064=""),"",SUMIFS($H$2:$H$2001,$A$2:$A$2001,$A1064,$B$2:$B$2001,$B1064))</f>
        <v/>
      </c>
      <c r="N1064" s="20">
        <f>IF($M1064="","",IF($M1064&lt;=0,"Sin stock: reponer ya",IF($M1064&lt;IFERROR(N(INDEX(Vinos!$N$2:$N$301,MATCH($B1064,Vinos!$A$2:$A$301,0))),0),"Bajo mínimo: reponer","OK")))</f>
        <v/>
      </c>
      <c r="O1064" s="14" t="n"/>
      <c r="P1064" s="14" t="n"/>
      <c r="Q1064" s="20">
        <f>IF($B1064="","",IFERROR(INDEX(Vinos!$C$2:$C$301,MATCH($B1064,Vinos!$A$2:$A$301,0)),""))</f>
        <v/>
      </c>
      <c r="R1064" s="20">
        <f>IF(OR($A1064="",$A1064&lt;&gt;'Resumen del inventario'!$C$3,$N1064="",$N1064="OK"),"",IF(COUNTIFS($A$2:$A1064,$A1064,$B$2:$B1064,$B1064)=1,1,""))</f>
        <v/>
      </c>
      <c r="S1064" s="20">
        <f>IF($R1064=1,COUNTIF($R$2:$R1064,1),"")</f>
        <v/>
      </c>
    </row>
    <row r="1065">
      <c r="A1065" s="19" t="n"/>
      <c r="B1065" s="14" t="n"/>
      <c r="C1065" s="20">
        <f>IF($B1065="","",IFERROR(INDEX(Vinos!$B$2:$B$301,MATCH($B1065,Vinos!$A$2:$A$301,0)),"Código no cargado"))</f>
        <v/>
      </c>
      <c r="D1065" s="14" t="n"/>
      <c r="E1065" s="14" t="n"/>
      <c r="F1065" s="18" t="n"/>
      <c r="G1065" s="18" t="n"/>
      <c r="H1065" s="21">
        <f>IF(AND($F1065="",$G1065=""),"",N($F1065)*IFERROR(N(INDEX(Vinos!$H$2:$H$301,MATCH($B1065,Vinos!$A$2:$A$301,0))),0)+N($G1065))</f>
        <v/>
      </c>
      <c r="I1065" s="18" t="n"/>
      <c r="J1065" s="21">
        <f>IF(OR($H1065="",$I1065=""),"",$H1065-$I1065)</f>
        <v/>
      </c>
      <c r="K1065" s="16">
        <f>IF($H1065="","",IFERROR(IF(INDEX(Vinos!$J$2:$J$301,MATCH($B1065,Vinos!$A$2:$A$301,0))="","",$H1065*INDEX(Vinos!$J$2:$J$301,MATCH($B1065,Vinos!$A$2:$A$301,0))),""))</f>
        <v/>
      </c>
      <c r="L1065" s="16">
        <f>IF($H1065="","",IFERROR(IF(INDEX(Vinos!$K$2:$K$301,MATCH($B1065,Vinos!$A$2:$A$301,0))="","",$H1065*INDEX(Vinos!$K$2:$K$301,MATCH($B1065,Vinos!$A$2:$A$301,0))),""))</f>
        <v/>
      </c>
      <c r="M1065" s="21">
        <f>IF(OR($A1065="",$B1065=""),"",SUMIFS($H$2:$H$2001,$A$2:$A$2001,$A1065,$B$2:$B$2001,$B1065))</f>
        <v/>
      </c>
      <c r="N1065" s="20">
        <f>IF($M1065="","",IF($M1065&lt;=0,"Sin stock: reponer ya",IF($M1065&lt;IFERROR(N(INDEX(Vinos!$N$2:$N$301,MATCH($B1065,Vinos!$A$2:$A$301,0))),0),"Bajo mínimo: reponer","OK")))</f>
        <v/>
      </c>
      <c r="O1065" s="14" t="n"/>
      <c r="P1065" s="14" t="n"/>
      <c r="Q1065" s="20">
        <f>IF($B1065="","",IFERROR(INDEX(Vinos!$C$2:$C$301,MATCH($B1065,Vinos!$A$2:$A$301,0)),""))</f>
        <v/>
      </c>
      <c r="R1065" s="20">
        <f>IF(OR($A1065="",$A1065&lt;&gt;'Resumen del inventario'!$C$3,$N1065="",$N1065="OK"),"",IF(COUNTIFS($A$2:$A1065,$A1065,$B$2:$B1065,$B1065)=1,1,""))</f>
        <v/>
      </c>
      <c r="S1065" s="20">
        <f>IF($R1065=1,COUNTIF($R$2:$R1065,1),"")</f>
        <v/>
      </c>
    </row>
    <row r="1066">
      <c r="A1066" s="19" t="n"/>
      <c r="B1066" s="14" t="n"/>
      <c r="C1066" s="20">
        <f>IF($B1066="","",IFERROR(INDEX(Vinos!$B$2:$B$301,MATCH($B1066,Vinos!$A$2:$A$301,0)),"Código no cargado"))</f>
        <v/>
      </c>
      <c r="D1066" s="14" t="n"/>
      <c r="E1066" s="14" t="n"/>
      <c r="F1066" s="18" t="n"/>
      <c r="G1066" s="18" t="n"/>
      <c r="H1066" s="21">
        <f>IF(AND($F1066="",$G1066=""),"",N($F1066)*IFERROR(N(INDEX(Vinos!$H$2:$H$301,MATCH($B1066,Vinos!$A$2:$A$301,0))),0)+N($G1066))</f>
        <v/>
      </c>
      <c r="I1066" s="18" t="n"/>
      <c r="J1066" s="21">
        <f>IF(OR($H1066="",$I1066=""),"",$H1066-$I1066)</f>
        <v/>
      </c>
      <c r="K1066" s="16">
        <f>IF($H1066="","",IFERROR(IF(INDEX(Vinos!$J$2:$J$301,MATCH($B1066,Vinos!$A$2:$A$301,0))="","",$H1066*INDEX(Vinos!$J$2:$J$301,MATCH($B1066,Vinos!$A$2:$A$301,0))),""))</f>
        <v/>
      </c>
      <c r="L1066" s="16">
        <f>IF($H1066="","",IFERROR(IF(INDEX(Vinos!$K$2:$K$301,MATCH($B1066,Vinos!$A$2:$A$301,0))="","",$H1066*INDEX(Vinos!$K$2:$K$301,MATCH($B1066,Vinos!$A$2:$A$301,0))),""))</f>
        <v/>
      </c>
      <c r="M1066" s="21">
        <f>IF(OR($A1066="",$B1066=""),"",SUMIFS($H$2:$H$2001,$A$2:$A$2001,$A1066,$B$2:$B$2001,$B1066))</f>
        <v/>
      </c>
      <c r="N1066" s="20">
        <f>IF($M1066="","",IF($M1066&lt;=0,"Sin stock: reponer ya",IF($M1066&lt;IFERROR(N(INDEX(Vinos!$N$2:$N$301,MATCH($B1066,Vinos!$A$2:$A$301,0))),0),"Bajo mínimo: reponer","OK")))</f>
        <v/>
      </c>
      <c r="O1066" s="14" t="n"/>
      <c r="P1066" s="14" t="n"/>
      <c r="Q1066" s="20">
        <f>IF($B1066="","",IFERROR(INDEX(Vinos!$C$2:$C$301,MATCH($B1066,Vinos!$A$2:$A$301,0)),""))</f>
        <v/>
      </c>
      <c r="R1066" s="20">
        <f>IF(OR($A1066="",$A1066&lt;&gt;'Resumen del inventario'!$C$3,$N1066="",$N1066="OK"),"",IF(COUNTIFS($A$2:$A1066,$A1066,$B$2:$B1066,$B1066)=1,1,""))</f>
        <v/>
      </c>
      <c r="S1066" s="20">
        <f>IF($R1066=1,COUNTIF($R$2:$R1066,1),"")</f>
        <v/>
      </c>
    </row>
    <row r="1067">
      <c r="A1067" s="19" t="n"/>
      <c r="B1067" s="14" t="n"/>
      <c r="C1067" s="20">
        <f>IF($B1067="","",IFERROR(INDEX(Vinos!$B$2:$B$301,MATCH($B1067,Vinos!$A$2:$A$301,0)),"Código no cargado"))</f>
        <v/>
      </c>
      <c r="D1067" s="14" t="n"/>
      <c r="E1067" s="14" t="n"/>
      <c r="F1067" s="18" t="n"/>
      <c r="G1067" s="18" t="n"/>
      <c r="H1067" s="21">
        <f>IF(AND($F1067="",$G1067=""),"",N($F1067)*IFERROR(N(INDEX(Vinos!$H$2:$H$301,MATCH($B1067,Vinos!$A$2:$A$301,0))),0)+N($G1067))</f>
        <v/>
      </c>
      <c r="I1067" s="18" t="n"/>
      <c r="J1067" s="21">
        <f>IF(OR($H1067="",$I1067=""),"",$H1067-$I1067)</f>
        <v/>
      </c>
      <c r="K1067" s="16">
        <f>IF($H1067="","",IFERROR(IF(INDEX(Vinos!$J$2:$J$301,MATCH($B1067,Vinos!$A$2:$A$301,0))="","",$H1067*INDEX(Vinos!$J$2:$J$301,MATCH($B1067,Vinos!$A$2:$A$301,0))),""))</f>
        <v/>
      </c>
      <c r="L1067" s="16">
        <f>IF($H1067="","",IFERROR(IF(INDEX(Vinos!$K$2:$K$301,MATCH($B1067,Vinos!$A$2:$A$301,0))="","",$H1067*INDEX(Vinos!$K$2:$K$301,MATCH($B1067,Vinos!$A$2:$A$301,0))),""))</f>
        <v/>
      </c>
      <c r="M1067" s="21">
        <f>IF(OR($A1067="",$B1067=""),"",SUMIFS($H$2:$H$2001,$A$2:$A$2001,$A1067,$B$2:$B$2001,$B1067))</f>
        <v/>
      </c>
      <c r="N1067" s="20">
        <f>IF($M1067="","",IF($M1067&lt;=0,"Sin stock: reponer ya",IF($M1067&lt;IFERROR(N(INDEX(Vinos!$N$2:$N$301,MATCH($B1067,Vinos!$A$2:$A$301,0))),0),"Bajo mínimo: reponer","OK")))</f>
        <v/>
      </c>
      <c r="O1067" s="14" t="n"/>
      <c r="P1067" s="14" t="n"/>
      <c r="Q1067" s="20">
        <f>IF($B1067="","",IFERROR(INDEX(Vinos!$C$2:$C$301,MATCH($B1067,Vinos!$A$2:$A$301,0)),""))</f>
        <v/>
      </c>
      <c r="R1067" s="20">
        <f>IF(OR($A1067="",$A1067&lt;&gt;'Resumen del inventario'!$C$3,$N1067="",$N1067="OK"),"",IF(COUNTIFS($A$2:$A1067,$A1067,$B$2:$B1067,$B1067)=1,1,""))</f>
        <v/>
      </c>
      <c r="S1067" s="20">
        <f>IF($R1067=1,COUNTIF($R$2:$R1067,1),"")</f>
        <v/>
      </c>
    </row>
    <row r="1068">
      <c r="A1068" s="19" t="n"/>
      <c r="B1068" s="14" t="n"/>
      <c r="C1068" s="20">
        <f>IF($B1068="","",IFERROR(INDEX(Vinos!$B$2:$B$301,MATCH($B1068,Vinos!$A$2:$A$301,0)),"Código no cargado"))</f>
        <v/>
      </c>
      <c r="D1068" s="14" t="n"/>
      <c r="E1068" s="14" t="n"/>
      <c r="F1068" s="18" t="n"/>
      <c r="G1068" s="18" t="n"/>
      <c r="H1068" s="21">
        <f>IF(AND($F1068="",$G1068=""),"",N($F1068)*IFERROR(N(INDEX(Vinos!$H$2:$H$301,MATCH($B1068,Vinos!$A$2:$A$301,0))),0)+N($G1068))</f>
        <v/>
      </c>
      <c r="I1068" s="18" t="n"/>
      <c r="J1068" s="21">
        <f>IF(OR($H1068="",$I1068=""),"",$H1068-$I1068)</f>
        <v/>
      </c>
      <c r="K1068" s="16">
        <f>IF($H1068="","",IFERROR(IF(INDEX(Vinos!$J$2:$J$301,MATCH($B1068,Vinos!$A$2:$A$301,0))="","",$H1068*INDEX(Vinos!$J$2:$J$301,MATCH($B1068,Vinos!$A$2:$A$301,0))),""))</f>
        <v/>
      </c>
      <c r="L1068" s="16">
        <f>IF($H1068="","",IFERROR(IF(INDEX(Vinos!$K$2:$K$301,MATCH($B1068,Vinos!$A$2:$A$301,0))="","",$H1068*INDEX(Vinos!$K$2:$K$301,MATCH($B1068,Vinos!$A$2:$A$301,0))),""))</f>
        <v/>
      </c>
      <c r="M1068" s="21">
        <f>IF(OR($A1068="",$B1068=""),"",SUMIFS($H$2:$H$2001,$A$2:$A$2001,$A1068,$B$2:$B$2001,$B1068))</f>
        <v/>
      </c>
      <c r="N1068" s="20">
        <f>IF($M1068="","",IF($M1068&lt;=0,"Sin stock: reponer ya",IF($M1068&lt;IFERROR(N(INDEX(Vinos!$N$2:$N$301,MATCH($B1068,Vinos!$A$2:$A$301,0))),0),"Bajo mínimo: reponer","OK")))</f>
        <v/>
      </c>
      <c r="O1068" s="14" t="n"/>
      <c r="P1068" s="14" t="n"/>
      <c r="Q1068" s="20">
        <f>IF($B1068="","",IFERROR(INDEX(Vinos!$C$2:$C$301,MATCH($B1068,Vinos!$A$2:$A$301,0)),""))</f>
        <v/>
      </c>
      <c r="R1068" s="20">
        <f>IF(OR($A1068="",$A1068&lt;&gt;'Resumen del inventario'!$C$3,$N1068="",$N1068="OK"),"",IF(COUNTIFS($A$2:$A1068,$A1068,$B$2:$B1068,$B1068)=1,1,""))</f>
        <v/>
      </c>
      <c r="S1068" s="20">
        <f>IF($R1068=1,COUNTIF($R$2:$R1068,1),"")</f>
        <v/>
      </c>
    </row>
    <row r="1069">
      <c r="A1069" s="19" t="n"/>
      <c r="B1069" s="14" t="n"/>
      <c r="C1069" s="20">
        <f>IF($B1069="","",IFERROR(INDEX(Vinos!$B$2:$B$301,MATCH($B1069,Vinos!$A$2:$A$301,0)),"Código no cargado"))</f>
        <v/>
      </c>
      <c r="D1069" s="14" t="n"/>
      <c r="E1069" s="14" t="n"/>
      <c r="F1069" s="18" t="n"/>
      <c r="G1069" s="18" t="n"/>
      <c r="H1069" s="21">
        <f>IF(AND($F1069="",$G1069=""),"",N($F1069)*IFERROR(N(INDEX(Vinos!$H$2:$H$301,MATCH($B1069,Vinos!$A$2:$A$301,0))),0)+N($G1069))</f>
        <v/>
      </c>
      <c r="I1069" s="18" t="n"/>
      <c r="J1069" s="21">
        <f>IF(OR($H1069="",$I1069=""),"",$H1069-$I1069)</f>
        <v/>
      </c>
      <c r="K1069" s="16">
        <f>IF($H1069="","",IFERROR(IF(INDEX(Vinos!$J$2:$J$301,MATCH($B1069,Vinos!$A$2:$A$301,0))="","",$H1069*INDEX(Vinos!$J$2:$J$301,MATCH($B1069,Vinos!$A$2:$A$301,0))),""))</f>
        <v/>
      </c>
      <c r="L1069" s="16">
        <f>IF($H1069="","",IFERROR(IF(INDEX(Vinos!$K$2:$K$301,MATCH($B1069,Vinos!$A$2:$A$301,0))="","",$H1069*INDEX(Vinos!$K$2:$K$301,MATCH($B1069,Vinos!$A$2:$A$301,0))),""))</f>
        <v/>
      </c>
      <c r="M1069" s="21">
        <f>IF(OR($A1069="",$B1069=""),"",SUMIFS($H$2:$H$2001,$A$2:$A$2001,$A1069,$B$2:$B$2001,$B1069))</f>
        <v/>
      </c>
      <c r="N1069" s="20">
        <f>IF($M1069="","",IF($M1069&lt;=0,"Sin stock: reponer ya",IF($M1069&lt;IFERROR(N(INDEX(Vinos!$N$2:$N$301,MATCH($B1069,Vinos!$A$2:$A$301,0))),0),"Bajo mínimo: reponer","OK")))</f>
        <v/>
      </c>
      <c r="O1069" s="14" t="n"/>
      <c r="P1069" s="14" t="n"/>
      <c r="Q1069" s="20">
        <f>IF($B1069="","",IFERROR(INDEX(Vinos!$C$2:$C$301,MATCH($B1069,Vinos!$A$2:$A$301,0)),""))</f>
        <v/>
      </c>
      <c r="R1069" s="20">
        <f>IF(OR($A1069="",$A1069&lt;&gt;'Resumen del inventario'!$C$3,$N1069="",$N1069="OK"),"",IF(COUNTIFS($A$2:$A1069,$A1069,$B$2:$B1069,$B1069)=1,1,""))</f>
        <v/>
      </c>
      <c r="S1069" s="20">
        <f>IF($R1069=1,COUNTIF($R$2:$R1069,1),"")</f>
        <v/>
      </c>
    </row>
    <row r="1070">
      <c r="A1070" s="19" t="n"/>
      <c r="B1070" s="14" t="n"/>
      <c r="C1070" s="20">
        <f>IF($B1070="","",IFERROR(INDEX(Vinos!$B$2:$B$301,MATCH($B1070,Vinos!$A$2:$A$301,0)),"Código no cargado"))</f>
        <v/>
      </c>
      <c r="D1070" s="14" t="n"/>
      <c r="E1070" s="14" t="n"/>
      <c r="F1070" s="18" t="n"/>
      <c r="G1070" s="18" t="n"/>
      <c r="H1070" s="21">
        <f>IF(AND($F1070="",$G1070=""),"",N($F1070)*IFERROR(N(INDEX(Vinos!$H$2:$H$301,MATCH($B1070,Vinos!$A$2:$A$301,0))),0)+N($G1070))</f>
        <v/>
      </c>
      <c r="I1070" s="18" t="n"/>
      <c r="J1070" s="21">
        <f>IF(OR($H1070="",$I1070=""),"",$H1070-$I1070)</f>
        <v/>
      </c>
      <c r="K1070" s="16">
        <f>IF($H1070="","",IFERROR(IF(INDEX(Vinos!$J$2:$J$301,MATCH($B1070,Vinos!$A$2:$A$301,0))="","",$H1070*INDEX(Vinos!$J$2:$J$301,MATCH($B1070,Vinos!$A$2:$A$301,0))),""))</f>
        <v/>
      </c>
      <c r="L1070" s="16">
        <f>IF($H1070="","",IFERROR(IF(INDEX(Vinos!$K$2:$K$301,MATCH($B1070,Vinos!$A$2:$A$301,0))="","",$H1070*INDEX(Vinos!$K$2:$K$301,MATCH($B1070,Vinos!$A$2:$A$301,0))),""))</f>
        <v/>
      </c>
      <c r="M1070" s="21">
        <f>IF(OR($A1070="",$B1070=""),"",SUMIFS($H$2:$H$2001,$A$2:$A$2001,$A1070,$B$2:$B$2001,$B1070))</f>
        <v/>
      </c>
      <c r="N1070" s="20">
        <f>IF($M1070="","",IF($M1070&lt;=0,"Sin stock: reponer ya",IF($M1070&lt;IFERROR(N(INDEX(Vinos!$N$2:$N$301,MATCH($B1070,Vinos!$A$2:$A$301,0))),0),"Bajo mínimo: reponer","OK")))</f>
        <v/>
      </c>
      <c r="O1070" s="14" t="n"/>
      <c r="P1070" s="14" t="n"/>
      <c r="Q1070" s="20">
        <f>IF($B1070="","",IFERROR(INDEX(Vinos!$C$2:$C$301,MATCH($B1070,Vinos!$A$2:$A$301,0)),""))</f>
        <v/>
      </c>
      <c r="R1070" s="20">
        <f>IF(OR($A1070="",$A1070&lt;&gt;'Resumen del inventario'!$C$3,$N1070="",$N1070="OK"),"",IF(COUNTIFS($A$2:$A1070,$A1070,$B$2:$B1070,$B1070)=1,1,""))</f>
        <v/>
      </c>
      <c r="S1070" s="20">
        <f>IF($R1070=1,COUNTIF($R$2:$R1070,1),"")</f>
        <v/>
      </c>
    </row>
    <row r="1071">
      <c r="A1071" s="19" t="n"/>
      <c r="B1071" s="14" t="n"/>
      <c r="C1071" s="20">
        <f>IF($B1071="","",IFERROR(INDEX(Vinos!$B$2:$B$301,MATCH($B1071,Vinos!$A$2:$A$301,0)),"Código no cargado"))</f>
        <v/>
      </c>
      <c r="D1071" s="14" t="n"/>
      <c r="E1071" s="14" t="n"/>
      <c r="F1071" s="18" t="n"/>
      <c r="G1071" s="18" t="n"/>
      <c r="H1071" s="21">
        <f>IF(AND($F1071="",$G1071=""),"",N($F1071)*IFERROR(N(INDEX(Vinos!$H$2:$H$301,MATCH($B1071,Vinos!$A$2:$A$301,0))),0)+N($G1071))</f>
        <v/>
      </c>
      <c r="I1071" s="18" t="n"/>
      <c r="J1071" s="21">
        <f>IF(OR($H1071="",$I1071=""),"",$H1071-$I1071)</f>
        <v/>
      </c>
      <c r="K1071" s="16">
        <f>IF($H1071="","",IFERROR(IF(INDEX(Vinos!$J$2:$J$301,MATCH($B1071,Vinos!$A$2:$A$301,0))="","",$H1071*INDEX(Vinos!$J$2:$J$301,MATCH($B1071,Vinos!$A$2:$A$301,0))),""))</f>
        <v/>
      </c>
      <c r="L1071" s="16">
        <f>IF($H1071="","",IFERROR(IF(INDEX(Vinos!$K$2:$K$301,MATCH($B1071,Vinos!$A$2:$A$301,0))="","",$H1071*INDEX(Vinos!$K$2:$K$301,MATCH($B1071,Vinos!$A$2:$A$301,0))),""))</f>
        <v/>
      </c>
      <c r="M1071" s="21">
        <f>IF(OR($A1071="",$B1071=""),"",SUMIFS($H$2:$H$2001,$A$2:$A$2001,$A1071,$B$2:$B$2001,$B1071))</f>
        <v/>
      </c>
      <c r="N1071" s="20">
        <f>IF($M1071="","",IF($M1071&lt;=0,"Sin stock: reponer ya",IF($M1071&lt;IFERROR(N(INDEX(Vinos!$N$2:$N$301,MATCH($B1071,Vinos!$A$2:$A$301,0))),0),"Bajo mínimo: reponer","OK")))</f>
        <v/>
      </c>
      <c r="O1071" s="14" t="n"/>
      <c r="P1071" s="14" t="n"/>
      <c r="Q1071" s="20">
        <f>IF($B1071="","",IFERROR(INDEX(Vinos!$C$2:$C$301,MATCH($B1071,Vinos!$A$2:$A$301,0)),""))</f>
        <v/>
      </c>
      <c r="R1071" s="20">
        <f>IF(OR($A1071="",$A1071&lt;&gt;'Resumen del inventario'!$C$3,$N1071="",$N1071="OK"),"",IF(COUNTIFS($A$2:$A1071,$A1071,$B$2:$B1071,$B1071)=1,1,""))</f>
        <v/>
      </c>
      <c r="S1071" s="20">
        <f>IF($R1071=1,COUNTIF($R$2:$R1071,1),"")</f>
        <v/>
      </c>
    </row>
    <row r="1072">
      <c r="A1072" s="19" t="n"/>
      <c r="B1072" s="14" t="n"/>
      <c r="C1072" s="20">
        <f>IF($B1072="","",IFERROR(INDEX(Vinos!$B$2:$B$301,MATCH($B1072,Vinos!$A$2:$A$301,0)),"Código no cargado"))</f>
        <v/>
      </c>
      <c r="D1072" s="14" t="n"/>
      <c r="E1072" s="14" t="n"/>
      <c r="F1072" s="18" t="n"/>
      <c r="G1072" s="18" t="n"/>
      <c r="H1072" s="21">
        <f>IF(AND($F1072="",$G1072=""),"",N($F1072)*IFERROR(N(INDEX(Vinos!$H$2:$H$301,MATCH($B1072,Vinos!$A$2:$A$301,0))),0)+N($G1072))</f>
        <v/>
      </c>
      <c r="I1072" s="18" t="n"/>
      <c r="J1072" s="21">
        <f>IF(OR($H1072="",$I1072=""),"",$H1072-$I1072)</f>
        <v/>
      </c>
      <c r="K1072" s="16">
        <f>IF($H1072="","",IFERROR(IF(INDEX(Vinos!$J$2:$J$301,MATCH($B1072,Vinos!$A$2:$A$301,0))="","",$H1072*INDEX(Vinos!$J$2:$J$301,MATCH($B1072,Vinos!$A$2:$A$301,0))),""))</f>
        <v/>
      </c>
      <c r="L1072" s="16">
        <f>IF($H1072="","",IFERROR(IF(INDEX(Vinos!$K$2:$K$301,MATCH($B1072,Vinos!$A$2:$A$301,0))="","",$H1072*INDEX(Vinos!$K$2:$K$301,MATCH($B1072,Vinos!$A$2:$A$301,0))),""))</f>
        <v/>
      </c>
      <c r="M1072" s="21">
        <f>IF(OR($A1072="",$B1072=""),"",SUMIFS($H$2:$H$2001,$A$2:$A$2001,$A1072,$B$2:$B$2001,$B1072))</f>
        <v/>
      </c>
      <c r="N1072" s="20">
        <f>IF($M1072="","",IF($M1072&lt;=0,"Sin stock: reponer ya",IF($M1072&lt;IFERROR(N(INDEX(Vinos!$N$2:$N$301,MATCH($B1072,Vinos!$A$2:$A$301,0))),0),"Bajo mínimo: reponer","OK")))</f>
        <v/>
      </c>
      <c r="O1072" s="14" t="n"/>
      <c r="P1072" s="14" t="n"/>
      <c r="Q1072" s="20">
        <f>IF($B1072="","",IFERROR(INDEX(Vinos!$C$2:$C$301,MATCH($B1072,Vinos!$A$2:$A$301,0)),""))</f>
        <v/>
      </c>
      <c r="R1072" s="20">
        <f>IF(OR($A1072="",$A1072&lt;&gt;'Resumen del inventario'!$C$3,$N1072="",$N1072="OK"),"",IF(COUNTIFS($A$2:$A1072,$A1072,$B$2:$B1072,$B1072)=1,1,""))</f>
        <v/>
      </c>
      <c r="S1072" s="20">
        <f>IF($R1072=1,COUNTIF($R$2:$R1072,1),"")</f>
        <v/>
      </c>
    </row>
    <row r="1073">
      <c r="A1073" s="19" t="n"/>
      <c r="B1073" s="14" t="n"/>
      <c r="C1073" s="20">
        <f>IF($B1073="","",IFERROR(INDEX(Vinos!$B$2:$B$301,MATCH($B1073,Vinos!$A$2:$A$301,0)),"Código no cargado"))</f>
        <v/>
      </c>
      <c r="D1073" s="14" t="n"/>
      <c r="E1073" s="14" t="n"/>
      <c r="F1073" s="18" t="n"/>
      <c r="G1073" s="18" t="n"/>
      <c r="H1073" s="21">
        <f>IF(AND($F1073="",$G1073=""),"",N($F1073)*IFERROR(N(INDEX(Vinos!$H$2:$H$301,MATCH($B1073,Vinos!$A$2:$A$301,0))),0)+N($G1073))</f>
        <v/>
      </c>
      <c r="I1073" s="18" t="n"/>
      <c r="J1073" s="21">
        <f>IF(OR($H1073="",$I1073=""),"",$H1073-$I1073)</f>
        <v/>
      </c>
      <c r="K1073" s="16">
        <f>IF($H1073="","",IFERROR(IF(INDEX(Vinos!$J$2:$J$301,MATCH($B1073,Vinos!$A$2:$A$301,0))="","",$H1073*INDEX(Vinos!$J$2:$J$301,MATCH($B1073,Vinos!$A$2:$A$301,0))),""))</f>
        <v/>
      </c>
      <c r="L1073" s="16">
        <f>IF($H1073="","",IFERROR(IF(INDEX(Vinos!$K$2:$K$301,MATCH($B1073,Vinos!$A$2:$A$301,0))="","",$H1073*INDEX(Vinos!$K$2:$K$301,MATCH($B1073,Vinos!$A$2:$A$301,0))),""))</f>
        <v/>
      </c>
      <c r="M1073" s="21">
        <f>IF(OR($A1073="",$B1073=""),"",SUMIFS($H$2:$H$2001,$A$2:$A$2001,$A1073,$B$2:$B$2001,$B1073))</f>
        <v/>
      </c>
      <c r="N1073" s="20">
        <f>IF($M1073="","",IF($M1073&lt;=0,"Sin stock: reponer ya",IF($M1073&lt;IFERROR(N(INDEX(Vinos!$N$2:$N$301,MATCH($B1073,Vinos!$A$2:$A$301,0))),0),"Bajo mínimo: reponer","OK")))</f>
        <v/>
      </c>
      <c r="O1073" s="14" t="n"/>
      <c r="P1073" s="14" t="n"/>
      <c r="Q1073" s="20">
        <f>IF($B1073="","",IFERROR(INDEX(Vinos!$C$2:$C$301,MATCH($B1073,Vinos!$A$2:$A$301,0)),""))</f>
        <v/>
      </c>
      <c r="R1073" s="20">
        <f>IF(OR($A1073="",$A1073&lt;&gt;'Resumen del inventario'!$C$3,$N1073="",$N1073="OK"),"",IF(COUNTIFS($A$2:$A1073,$A1073,$B$2:$B1073,$B1073)=1,1,""))</f>
        <v/>
      </c>
      <c r="S1073" s="20">
        <f>IF($R1073=1,COUNTIF($R$2:$R1073,1),"")</f>
        <v/>
      </c>
    </row>
    <row r="1074">
      <c r="A1074" s="19" t="n"/>
      <c r="B1074" s="14" t="n"/>
      <c r="C1074" s="20">
        <f>IF($B1074="","",IFERROR(INDEX(Vinos!$B$2:$B$301,MATCH($B1074,Vinos!$A$2:$A$301,0)),"Código no cargado"))</f>
        <v/>
      </c>
      <c r="D1074" s="14" t="n"/>
      <c r="E1074" s="14" t="n"/>
      <c r="F1074" s="18" t="n"/>
      <c r="G1074" s="18" t="n"/>
      <c r="H1074" s="21">
        <f>IF(AND($F1074="",$G1074=""),"",N($F1074)*IFERROR(N(INDEX(Vinos!$H$2:$H$301,MATCH($B1074,Vinos!$A$2:$A$301,0))),0)+N($G1074))</f>
        <v/>
      </c>
      <c r="I1074" s="18" t="n"/>
      <c r="J1074" s="21">
        <f>IF(OR($H1074="",$I1074=""),"",$H1074-$I1074)</f>
        <v/>
      </c>
      <c r="K1074" s="16">
        <f>IF($H1074="","",IFERROR(IF(INDEX(Vinos!$J$2:$J$301,MATCH($B1074,Vinos!$A$2:$A$301,0))="","",$H1074*INDEX(Vinos!$J$2:$J$301,MATCH($B1074,Vinos!$A$2:$A$301,0))),""))</f>
        <v/>
      </c>
      <c r="L1074" s="16">
        <f>IF($H1074="","",IFERROR(IF(INDEX(Vinos!$K$2:$K$301,MATCH($B1074,Vinos!$A$2:$A$301,0))="","",$H1074*INDEX(Vinos!$K$2:$K$301,MATCH($B1074,Vinos!$A$2:$A$301,0))),""))</f>
        <v/>
      </c>
      <c r="M1074" s="21">
        <f>IF(OR($A1074="",$B1074=""),"",SUMIFS($H$2:$H$2001,$A$2:$A$2001,$A1074,$B$2:$B$2001,$B1074))</f>
        <v/>
      </c>
      <c r="N1074" s="20">
        <f>IF($M1074="","",IF($M1074&lt;=0,"Sin stock: reponer ya",IF($M1074&lt;IFERROR(N(INDEX(Vinos!$N$2:$N$301,MATCH($B1074,Vinos!$A$2:$A$301,0))),0),"Bajo mínimo: reponer","OK")))</f>
        <v/>
      </c>
      <c r="O1074" s="14" t="n"/>
      <c r="P1074" s="14" t="n"/>
      <c r="Q1074" s="20">
        <f>IF($B1074="","",IFERROR(INDEX(Vinos!$C$2:$C$301,MATCH($B1074,Vinos!$A$2:$A$301,0)),""))</f>
        <v/>
      </c>
      <c r="R1074" s="20">
        <f>IF(OR($A1074="",$A1074&lt;&gt;'Resumen del inventario'!$C$3,$N1074="",$N1074="OK"),"",IF(COUNTIFS($A$2:$A1074,$A1074,$B$2:$B1074,$B1074)=1,1,""))</f>
        <v/>
      </c>
      <c r="S1074" s="20">
        <f>IF($R1074=1,COUNTIF($R$2:$R1074,1),"")</f>
        <v/>
      </c>
    </row>
    <row r="1075">
      <c r="A1075" s="19" t="n"/>
      <c r="B1075" s="14" t="n"/>
      <c r="C1075" s="20">
        <f>IF($B1075="","",IFERROR(INDEX(Vinos!$B$2:$B$301,MATCH($B1075,Vinos!$A$2:$A$301,0)),"Código no cargado"))</f>
        <v/>
      </c>
      <c r="D1075" s="14" t="n"/>
      <c r="E1075" s="14" t="n"/>
      <c r="F1075" s="18" t="n"/>
      <c r="G1075" s="18" t="n"/>
      <c r="H1075" s="21">
        <f>IF(AND($F1075="",$G1075=""),"",N($F1075)*IFERROR(N(INDEX(Vinos!$H$2:$H$301,MATCH($B1075,Vinos!$A$2:$A$301,0))),0)+N($G1075))</f>
        <v/>
      </c>
      <c r="I1075" s="18" t="n"/>
      <c r="J1075" s="21">
        <f>IF(OR($H1075="",$I1075=""),"",$H1075-$I1075)</f>
        <v/>
      </c>
      <c r="K1075" s="16">
        <f>IF($H1075="","",IFERROR(IF(INDEX(Vinos!$J$2:$J$301,MATCH($B1075,Vinos!$A$2:$A$301,0))="","",$H1075*INDEX(Vinos!$J$2:$J$301,MATCH($B1075,Vinos!$A$2:$A$301,0))),""))</f>
        <v/>
      </c>
      <c r="L1075" s="16">
        <f>IF($H1075="","",IFERROR(IF(INDEX(Vinos!$K$2:$K$301,MATCH($B1075,Vinos!$A$2:$A$301,0))="","",$H1075*INDEX(Vinos!$K$2:$K$301,MATCH($B1075,Vinos!$A$2:$A$301,0))),""))</f>
        <v/>
      </c>
      <c r="M1075" s="21">
        <f>IF(OR($A1075="",$B1075=""),"",SUMIFS($H$2:$H$2001,$A$2:$A$2001,$A1075,$B$2:$B$2001,$B1075))</f>
        <v/>
      </c>
      <c r="N1075" s="20">
        <f>IF($M1075="","",IF($M1075&lt;=0,"Sin stock: reponer ya",IF($M1075&lt;IFERROR(N(INDEX(Vinos!$N$2:$N$301,MATCH($B1075,Vinos!$A$2:$A$301,0))),0),"Bajo mínimo: reponer","OK")))</f>
        <v/>
      </c>
      <c r="O1075" s="14" t="n"/>
      <c r="P1075" s="14" t="n"/>
      <c r="Q1075" s="20">
        <f>IF($B1075="","",IFERROR(INDEX(Vinos!$C$2:$C$301,MATCH($B1075,Vinos!$A$2:$A$301,0)),""))</f>
        <v/>
      </c>
      <c r="R1075" s="20">
        <f>IF(OR($A1075="",$A1075&lt;&gt;'Resumen del inventario'!$C$3,$N1075="",$N1075="OK"),"",IF(COUNTIFS($A$2:$A1075,$A1075,$B$2:$B1075,$B1075)=1,1,""))</f>
        <v/>
      </c>
      <c r="S1075" s="20">
        <f>IF($R1075=1,COUNTIF($R$2:$R1075,1),"")</f>
        <v/>
      </c>
    </row>
    <row r="1076">
      <c r="A1076" s="19" t="n"/>
      <c r="B1076" s="14" t="n"/>
      <c r="C1076" s="20">
        <f>IF($B1076="","",IFERROR(INDEX(Vinos!$B$2:$B$301,MATCH($B1076,Vinos!$A$2:$A$301,0)),"Código no cargado"))</f>
        <v/>
      </c>
      <c r="D1076" s="14" t="n"/>
      <c r="E1076" s="14" t="n"/>
      <c r="F1076" s="18" t="n"/>
      <c r="G1076" s="18" t="n"/>
      <c r="H1076" s="21">
        <f>IF(AND($F1076="",$G1076=""),"",N($F1076)*IFERROR(N(INDEX(Vinos!$H$2:$H$301,MATCH($B1076,Vinos!$A$2:$A$301,0))),0)+N($G1076))</f>
        <v/>
      </c>
      <c r="I1076" s="18" t="n"/>
      <c r="J1076" s="21">
        <f>IF(OR($H1076="",$I1076=""),"",$H1076-$I1076)</f>
        <v/>
      </c>
      <c r="K1076" s="16">
        <f>IF($H1076="","",IFERROR(IF(INDEX(Vinos!$J$2:$J$301,MATCH($B1076,Vinos!$A$2:$A$301,0))="","",$H1076*INDEX(Vinos!$J$2:$J$301,MATCH($B1076,Vinos!$A$2:$A$301,0))),""))</f>
        <v/>
      </c>
      <c r="L1076" s="16">
        <f>IF($H1076="","",IFERROR(IF(INDEX(Vinos!$K$2:$K$301,MATCH($B1076,Vinos!$A$2:$A$301,0))="","",$H1076*INDEX(Vinos!$K$2:$K$301,MATCH($B1076,Vinos!$A$2:$A$301,0))),""))</f>
        <v/>
      </c>
      <c r="M1076" s="21">
        <f>IF(OR($A1076="",$B1076=""),"",SUMIFS($H$2:$H$2001,$A$2:$A$2001,$A1076,$B$2:$B$2001,$B1076))</f>
        <v/>
      </c>
      <c r="N1076" s="20">
        <f>IF($M1076="","",IF($M1076&lt;=0,"Sin stock: reponer ya",IF($M1076&lt;IFERROR(N(INDEX(Vinos!$N$2:$N$301,MATCH($B1076,Vinos!$A$2:$A$301,0))),0),"Bajo mínimo: reponer","OK")))</f>
        <v/>
      </c>
      <c r="O1076" s="14" t="n"/>
      <c r="P1076" s="14" t="n"/>
      <c r="Q1076" s="20">
        <f>IF($B1076="","",IFERROR(INDEX(Vinos!$C$2:$C$301,MATCH($B1076,Vinos!$A$2:$A$301,0)),""))</f>
        <v/>
      </c>
      <c r="R1076" s="20">
        <f>IF(OR($A1076="",$A1076&lt;&gt;'Resumen del inventario'!$C$3,$N1076="",$N1076="OK"),"",IF(COUNTIFS($A$2:$A1076,$A1076,$B$2:$B1076,$B1076)=1,1,""))</f>
        <v/>
      </c>
      <c r="S1076" s="20">
        <f>IF($R1076=1,COUNTIF($R$2:$R1076,1),"")</f>
        <v/>
      </c>
    </row>
    <row r="1077">
      <c r="A1077" s="19" t="n"/>
      <c r="B1077" s="14" t="n"/>
      <c r="C1077" s="20">
        <f>IF($B1077="","",IFERROR(INDEX(Vinos!$B$2:$B$301,MATCH($B1077,Vinos!$A$2:$A$301,0)),"Código no cargado"))</f>
        <v/>
      </c>
      <c r="D1077" s="14" t="n"/>
      <c r="E1077" s="14" t="n"/>
      <c r="F1077" s="18" t="n"/>
      <c r="G1077" s="18" t="n"/>
      <c r="H1077" s="21">
        <f>IF(AND($F1077="",$G1077=""),"",N($F1077)*IFERROR(N(INDEX(Vinos!$H$2:$H$301,MATCH($B1077,Vinos!$A$2:$A$301,0))),0)+N($G1077))</f>
        <v/>
      </c>
      <c r="I1077" s="18" t="n"/>
      <c r="J1077" s="21">
        <f>IF(OR($H1077="",$I1077=""),"",$H1077-$I1077)</f>
        <v/>
      </c>
      <c r="K1077" s="16">
        <f>IF($H1077="","",IFERROR(IF(INDEX(Vinos!$J$2:$J$301,MATCH($B1077,Vinos!$A$2:$A$301,0))="","",$H1077*INDEX(Vinos!$J$2:$J$301,MATCH($B1077,Vinos!$A$2:$A$301,0))),""))</f>
        <v/>
      </c>
      <c r="L1077" s="16">
        <f>IF($H1077="","",IFERROR(IF(INDEX(Vinos!$K$2:$K$301,MATCH($B1077,Vinos!$A$2:$A$301,0))="","",$H1077*INDEX(Vinos!$K$2:$K$301,MATCH($B1077,Vinos!$A$2:$A$301,0))),""))</f>
        <v/>
      </c>
      <c r="M1077" s="21">
        <f>IF(OR($A1077="",$B1077=""),"",SUMIFS($H$2:$H$2001,$A$2:$A$2001,$A1077,$B$2:$B$2001,$B1077))</f>
        <v/>
      </c>
      <c r="N1077" s="20">
        <f>IF($M1077="","",IF($M1077&lt;=0,"Sin stock: reponer ya",IF($M1077&lt;IFERROR(N(INDEX(Vinos!$N$2:$N$301,MATCH($B1077,Vinos!$A$2:$A$301,0))),0),"Bajo mínimo: reponer","OK")))</f>
        <v/>
      </c>
      <c r="O1077" s="14" t="n"/>
      <c r="P1077" s="14" t="n"/>
      <c r="Q1077" s="20">
        <f>IF($B1077="","",IFERROR(INDEX(Vinos!$C$2:$C$301,MATCH($B1077,Vinos!$A$2:$A$301,0)),""))</f>
        <v/>
      </c>
      <c r="R1077" s="20">
        <f>IF(OR($A1077="",$A1077&lt;&gt;'Resumen del inventario'!$C$3,$N1077="",$N1077="OK"),"",IF(COUNTIFS($A$2:$A1077,$A1077,$B$2:$B1077,$B1077)=1,1,""))</f>
        <v/>
      </c>
      <c r="S1077" s="20">
        <f>IF($R1077=1,COUNTIF($R$2:$R1077,1),"")</f>
        <v/>
      </c>
    </row>
    <row r="1078">
      <c r="A1078" s="19" t="n"/>
      <c r="B1078" s="14" t="n"/>
      <c r="C1078" s="20">
        <f>IF($B1078="","",IFERROR(INDEX(Vinos!$B$2:$B$301,MATCH($B1078,Vinos!$A$2:$A$301,0)),"Código no cargado"))</f>
        <v/>
      </c>
      <c r="D1078" s="14" t="n"/>
      <c r="E1078" s="14" t="n"/>
      <c r="F1078" s="18" t="n"/>
      <c r="G1078" s="18" t="n"/>
      <c r="H1078" s="21">
        <f>IF(AND($F1078="",$G1078=""),"",N($F1078)*IFERROR(N(INDEX(Vinos!$H$2:$H$301,MATCH($B1078,Vinos!$A$2:$A$301,0))),0)+N($G1078))</f>
        <v/>
      </c>
      <c r="I1078" s="18" t="n"/>
      <c r="J1078" s="21">
        <f>IF(OR($H1078="",$I1078=""),"",$H1078-$I1078)</f>
        <v/>
      </c>
      <c r="K1078" s="16">
        <f>IF($H1078="","",IFERROR(IF(INDEX(Vinos!$J$2:$J$301,MATCH($B1078,Vinos!$A$2:$A$301,0))="","",$H1078*INDEX(Vinos!$J$2:$J$301,MATCH($B1078,Vinos!$A$2:$A$301,0))),""))</f>
        <v/>
      </c>
      <c r="L1078" s="16">
        <f>IF($H1078="","",IFERROR(IF(INDEX(Vinos!$K$2:$K$301,MATCH($B1078,Vinos!$A$2:$A$301,0))="","",$H1078*INDEX(Vinos!$K$2:$K$301,MATCH($B1078,Vinos!$A$2:$A$301,0))),""))</f>
        <v/>
      </c>
      <c r="M1078" s="21">
        <f>IF(OR($A1078="",$B1078=""),"",SUMIFS($H$2:$H$2001,$A$2:$A$2001,$A1078,$B$2:$B$2001,$B1078))</f>
        <v/>
      </c>
      <c r="N1078" s="20">
        <f>IF($M1078="","",IF($M1078&lt;=0,"Sin stock: reponer ya",IF($M1078&lt;IFERROR(N(INDEX(Vinos!$N$2:$N$301,MATCH($B1078,Vinos!$A$2:$A$301,0))),0),"Bajo mínimo: reponer","OK")))</f>
        <v/>
      </c>
      <c r="O1078" s="14" t="n"/>
      <c r="P1078" s="14" t="n"/>
      <c r="Q1078" s="20">
        <f>IF($B1078="","",IFERROR(INDEX(Vinos!$C$2:$C$301,MATCH($B1078,Vinos!$A$2:$A$301,0)),""))</f>
        <v/>
      </c>
      <c r="R1078" s="20">
        <f>IF(OR($A1078="",$A1078&lt;&gt;'Resumen del inventario'!$C$3,$N1078="",$N1078="OK"),"",IF(COUNTIFS($A$2:$A1078,$A1078,$B$2:$B1078,$B1078)=1,1,""))</f>
        <v/>
      </c>
      <c r="S1078" s="20">
        <f>IF($R1078=1,COUNTIF($R$2:$R1078,1),"")</f>
        <v/>
      </c>
    </row>
    <row r="1079">
      <c r="A1079" s="19" t="n"/>
      <c r="B1079" s="14" t="n"/>
      <c r="C1079" s="20">
        <f>IF($B1079="","",IFERROR(INDEX(Vinos!$B$2:$B$301,MATCH($B1079,Vinos!$A$2:$A$301,0)),"Código no cargado"))</f>
        <v/>
      </c>
      <c r="D1079" s="14" t="n"/>
      <c r="E1079" s="14" t="n"/>
      <c r="F1079" s="18" t="n"/>
      <c r="G1079" s="18" t="n"/>
      <c r="H1079" s="21">
        <f>IF(AND($F1079="",$G1079=""),"",N($F1079)*IFERROR(N(INDEX(Vinos!$H$2:$H$301,MATCH($B1079,Vinos!$A$2:$A$301,0))),0)+N($G1079))</f>
        <v/>
      </c>
      <c r="I1079" s="18" t="n"/>
      <c r="J1079" s="21">
        <f>IF(OR($H1079="",$I1079=""),"",$H1079-$I1079)</f>
        <v/>
      </c>
      <c r="K1079" s="16">
        <f>IF($H1079="","",IFERROR(IF(INDEX(Vinos!$J$2:$J$301,MATCH($B1079,Vinos!$A$2:$A$301,0))="","",$H1079*INDEX(Vinos!$J$2:$J$301,MATCH($B1079,Vinos!$A$2:$A$301,0))),""))</f>
        <v/>
      </c>
      <c r="L1079" s="16">
        <f>IF($H1079="","",IFERROR(IF(INDEX(Vinos!$K$2:$K$301,MATCH($B1079,Vinos!$A$2:$A$301,0))="","",$H1079*INDEX(Vinos!$K$2:$K$301,MATCH($B1079,Vinos!$A$2:$A$301,0))),""))</f>
        <v/>
      </c>
      <c r="M1079" s="21">
        <f>IF(OR($A1079="",$B1079=""),"",SUMIFS($H$2:$H$2001,$A$2:$A$2001,$A1079,$B$2:$B$2001,$B1079))</f>
        <v/>
      </c>
      <c r="N1079" s="20">
        <f>IF($M1079="","",IF($M1079&lt;=0,"Sin stock: reponer ya",IF($M1079&lt;IFERROR(N(INDEX(Vinos!$N$2:$N$301,MATCH($B1079,Vinos!$A$2:$A$301,0))),0),"Bajo mínimo: reponer","OK")))</f>
        <v/>
      </c>
      <c r="O1079" s="14" t="n"/>
      <c r="P1079" s="14" t="n"/>
      <c r="Q1079" s="20">
        <f>IF($B1079="","",IFERROR(INDEX(Vinos!$C$2:$C$301,MATCH($B1079,Vinos!$A$2:$A$301,0)),""))</f>
        <v/>
      </c>
      <c r="R1079" s="20">
        <f>IF(OR($A1079="",$A1079&lt;&gt;'Resumen del inventario'!$C$3,$N1079="",$N1079="OK"),"",IF(COUNTIFS($A$2:$A1079,$A1079,$B$2:$B1079,$B1079)=1,1,""))</f>
        <v/>
      </c>
      <c r="S1079" s="20">
        <f>IF($R1079=1,COUNTIF($R$2:$R1079,1),"")</f>
        <v/>
      </c>
    </row>
    <row r="1080">
      <c r="A1080" s="19" t="n"/>
      <c r="B1080" s="14" t="n"/>
      <c r="C1080" s="20">
        <f>IF($B1080="","",IFERROR(INDEX(Vinos!$B$2:$B$301,MATCH($B1080,Vinos!$A$2:$A$301,0)),"Código no cargado"))</f>
        <v/>
      </c>
      <c r="D1080" s="14" t="n"/>
      <c r="E1080" s="14" t="n"/>
      <c r="F1080" s="18" t="n"/>
      <c r="G1080" s="18" t="n"/>
      <c r="H1080" s="21">
        <f>IF(AND($F1080="",$G1080=""),"",N($F1080)*IFERROR(N(INDEX(Vinos!$H$2:$H$301,MATCH($B1080,Vinos!$A$2:$A$301,0))),0)+N($G1080))</f>
        <v/>
      </c>
      <c r="I1080" s="18" t="n"/>
      <c r="J1080" s="21">
        <f>IF(OR($H1080="",$I1080=""),"",$H1080-$I1080)</f>
        <v/>
      </c>
      <c r="K1080" s="16">
        <f>IF($H1080="","",IFERROR(IF(INDEX(Vinos!$J$2:$J$301,MATCH($B1080,Vinos!$A$2:$A$301,0))="","",$H1080*INDEX(Vinos!$J$2:$J$301,MATCH($B1080,Vinos!$A$2:$A$301,0))),""))</f>
        <v/>
      </c>
      <c r="L1080" s="16">
        <f>IF($H1080="","",IFERROR(IF(INDEX(Vinos!$K$2:$K$301,MATCH($B1080,Vinos!$A$2:$A$301,0))="","",$H1080*INDEX(Vinos!$K$2:$K$301,MATCH($B1080,Vinos!$A$2:$A$301,0))),""))</f>
        <v/>
      </c>
      <c r="M1080" s="21">
        <f>IF(OR($A1080="",$B1080=""),"",SUMIFS($H$2:$H$2001,$A$2:$A$2001,$A1080,$B$2:$B$2001,$B1080))</f>
        <v/>
      </c>
      <c r="N1080" s="20">
        <f>IF($M1080="","",IF($M1080&lt;=0,"Sin stock: reponer ya",IF($M1080&lt;IFERROR(N(INDEX(Vinos!$N$2:$N$301,MATCH($B1080,Vinos!$A$2:$A$301,0))),0),"Bajo mínimo: reponer","OK")))</f>
        <v/>
      </c>
      <c r="O1080" s="14" t="n"/>
      <c r="P1080" s="14" t="n"/>
      <c r="Q1080" s="20">
        <f>IF($B1080="","",IFERROR(INDEX(Vinos!$C$2:$C$301,MATCH($B1080,Vinos!$A$2:$A$301,0)),""))</f>
        <v/>
      </c>
      <c r="R1080" s="20">
        <f>IF(OR($A1080="",$A1080&lt;&gt;'Resumen del inventario'!$C$3,$N1080="",$N1080="OK"),"",IF(COUNTIFS($A$2:$A1080,$A1080,$B$2:$B1080,$B1080)=1,1,""))</f>
        <v/>
      </c>
      <c r="S1080" s="20">
        <f>IF($R1080=1,COUNTIF($R$2:$R1080,1),"")</f>
        <v/>
      </c>
    </row>
    <row r="1081">
      <c r="A1081" s="19" t="n"/>
      <c r="B1081" s="14" t="n"/>
      <c r="C1081" s="20">
        <f>IF($B1081="","",IFERROR(INDEX(Vinos!$B$2:$B$301,MATCH($B1081,Vinos!$A$2:$A$301,0)),"Código no cargado"))</f>
        <v/>
      </c>
      <c r="D1081" s="14" t="n"/>
      <c r="E1081" s="14" t="n"/>
      <c r="F1081" s="18" t="n"/>
      <c r="G1081" s="18" t="n"/>
      <c r="H1081" s="21">
        <f>IF(AND($F1081="",$G1081=""),"",N($F1081)*IFERROR(N(INDEX(Vinos!$H$2:$H$301,MATCH($B1081,Vinos!$A$2:$A$301,0))),0)+N($G1081))</f>
        <v/>
      </c>
      <c r="I1081" s="18" t="n"/>
      <c r="J1081" s="21">
        <f>IF(OR($H1081="",$I1081=""),"",$H1081-$I1081)</f>
        <v/>
      </c>
      <c r="K1081" s="16">
        <f>IF($H1081="","",IFERROR(IF(INDEX(Vinos!$J$2:$J$301,MATCH($B1081,Vinos!$A$2:$A$301,0))="","",$H1081*INDEX(Vinos!$J$2:$J$301,MATCH($B1081,Vinos!$A$2:$A$301,0))),""))</f>
        <v/>
      </c>
      <c r="L1081" s="16">
        <f>IF($H1081="","",IFERROR(IF(INDEX(Vinos!$K$2:$K$301,MATCH($B1081,Vinos!$A$2:$A$301,0))="","",$H1081*INDEX(Vinos!$K$2:$K$301,MATCH($B1081,Vinos!$A$2:$A$301,0))),""))</f>
        <v/>
      </c>
      <c r="M1081" s="21">
        <f>IF(OR($A1081="",$B1081=""),"",SUMIFS($H$2:$H$2001,$A$2:$A$2001,$A1081,$B$2:$B$2001,$B1081))</f>
        <v/>
      </c>
      <c r="N1081" s="20">
        <f>IF($M1081="","",IF($M1081&lt;=0,"Sin stock: reponer ya",IF($M1081&lt;IFERROR(N(INDEX(Vinos!$N$2:$N$301,MATCH($B1081,Vinos!$A$2:$A$301,0))),0),"Bajo mínimo: reponer","OK")))</f>
        <v/>
      </c>
      <c r="O1081" s="14" t="n"/>
      <c r="P1081" s="14" t="n"/>
      <c r="Q1081" s="20">
        <f>IF($B1081="","",IFERROR(INDEX(Vinos!$C$2:$C$301,MATCH($B1081,Vinos!$A$2:$A$301,0)),""))</f>
        <v/>
      </c>
      <c r="R1081" s="20">
        <f>IF(OR($A1081="",$A1081&lt;&gt;'Resumen del inventario'!$C$3,$N1081="",$N1081="OK"),"",IF(COUNTIFS($A$2:$A1081,$A1081,$B$2:$B1081,$B1081)=1,1,""))</f>
        <v/>
      </c>
      <c r="S1081" s="20">
        <f>IF($R1081=1,COUNTIF($R$2:$R1081,1),"")</f>
        <v/>
      </c>
    </row>
    <row r="1082">
      <c r="A1082" s="19" t="n"/>
      <c r="B1082" s="14" t="n"/>
      <c r="C1082" s="20">
        <f>IF($B1082="","",IFERROR(INDEX(Vinos!$B$2:$B$301,MATCH($B1082,Vinos!$A$2:$A$301,0)),"Código no cargado"))</f>
        <v/>
      </c>
      <c r="D1082" s="14" t="n"/>
      <c r="E1082" s="14" t="n"/>
      <c r="F1082" s="18" t="n"/>
      <c r="G1082" s="18" t="n"/>
      <c r="H1082" s="21">
        <f>IF(AND($F1082="",$G1082=""),"",N($F1082)*IFERROR(N(INDEX(Vinos!$H$2:$H$301,MATCH($B1082,Vinos!$A$2:$A$301,0))),0)+N($G1082))</f>
        <v/>
      </c>
      <c r="I1082" s="18" t="n"/>
      <c r="J1082" s="21">
        <f>IF(OR($H1082="",$I1082=""),"",$H1082-$I1082)</f>
        <v/>
      </c>
      <c r="K1082" s="16">
        <f>IF($H1082="","",IFERROR(IF(INDEX(Vinos!$J$2:$J$301,MATCH($B1082,Vinos!$A$2:$A$301,0))="","",$H1082*INDEX(Vinos!$J$2:$J$301,MATCH($B1082,Vinos!$A$2:$A$301,0))),""))</f>
        <v/>
      </c>
      <c r="L1082" s="16">
        <f>IF($H1082="","",IFERROR(IF(INDEX(Vinos!$K$2:$K$301,MATCH($B1082,Vinos!$A$2:$A$301,0))="","",$H1082*INDEX(Vinos!$K$2:$K$301,MATCH($B1082,Vinos!$A$2:$A$301,0))),""))</f>
        <v/>
      </c>
      <c r="M1082" s="21">
        <f>IF(OR($A1082="",$B1082=""),"",SUMIFS($H$2:$H$2001,$A$2:$A$2001,$A1082,$B$2:$B$2001,$B1082))</f>
        <v/>
      </c>
      <c r="N1082" s="20">
        <f>IF($M1082="","",IF($M1082&lt;=0,"Sin stock: reponer ya",IF($M1082&lt;IFERROR(N(INDEX(Vinos!$N$2:$N$301,MATCH($B1082,Vinos!$A$2:$A$301,0))),0),"Bajo mínimo: reponer","OK")))</f>
        <v/>
      </c>
      <c r="O1082" s="14" t="n"/>
      <c r="P1082" s="14" t="n"/>
      <c r="Q1082" s="20">
        <f>IF($B1082="","",IFERROR(INDEX(Vinos!$C$2:$C$301,MATCH($B1082,Vinos!$A$2:$A$301,0)),""))</f>
        <v/>
      </c>
      <c r="R1082" s="20">
        <f>IF(OR($A1082="",$A1082&lt;&gt;'Resumen del inventario'!$C$3,$N1082="",$N1082="OK"),"",IF(COUNTIFS($A$2:$A1082,$A1082,$B$2:$B1082,$B1082)=1,1,""))</f>
        <v/>
      </c>
      <c r="S1082" s="20">
        <f>IF($R1082=1,COUNTIF($R$2:$R1082,1),"")</f>
        <v/>
      </c>
    </row>
    <row r="1083">
      <c r="A1083" s="19" t="n"/>
      <c r="B1083" s="14" t="n"/>
      <c r="C1083" s="20">
        <f>IF($B1083="","",IFERROR(INDEX(Vinos!$B$2:$B$301,MATCH($B1083,Vinos!$A$2:$A$301,0)),"Código no cargado"))</f>
        <v/>
      </c>
      <c r="D1083" s="14" t="n"/>
      <c r="E1083" s="14" t="n"/>
      <c r="F1083" s="18" t="n"/>
      <c r="G1083" s="18" t="n"/>
      <c r="H1083" s="21">
        <f>IF(AND($F1083="",$G1083=""),"",N($F1083)*IFERROR(N(INDEX(Vinos!$H$2:$H$301,MATCH($B1083,Vinos!$A$2:$A$301,0))),0)+N($G1083))</f>
        <v/>
      </c>
      <c r="I1083" s="18" t="n"/>
      <c r="J1083" s="21">
        <f>IF(OR($H1083="",$I1083=""),"",$H1083-$I1083)</f>
        <v/>
      </c>
      <c r="K1083" s="16">
        <f>IF($H1083="","",IFERROR(IF(INDEX(Vinos!$J$2:$J$301,MATCH($B1083,Vinos!$A$2:$A$301,0))="","",$H1083*INDEX(Vinos!$J$2:$J$301,MATCH($B1083,Vinos!$A$2:$A$301,0))),""))</f>
        <v/>
      </c>
      <c r="L1083" s="16">
        <f>IF($H1083="","",IFERROR(IF(INDEX(Vinos!$K$2:$K$301,MATCH($B1083,Vinos!$A$2:$A$301,0))="","",$H1083*INDEX(Vinos!$K$2:$K$301,MATCH($B1083,Vinos!$A$2:$A$301,0))),""))</f>
        <v/>
      </c>
      <c r="M1083" s="21">
        <f>IF(OR($A1083="",$B1083=""),"",SUMIFS($H$2:$H$2001,$A$2:$A$2001,$A1083,$B$2:$B$2001,$B1083))</f>
        <v/>
      </c>
      <c r="N1083" s="20">
        <f>IF($M1083="","",IF($M1083&lt;=0,"Sin stock: reponer ya",IF($M1083&lt;IFERROR(N(INDEX(Vinos!$N$2:$N$301,MATCH($B1083,Vinos!$A$2:$A$301,0))),0),"Bajo mínimo: reponer","OK")))</f>
        <v/>
      </c>
      <c r="O1083" s="14" t="n"/>
      <c r="P1083" s="14" t="n"/>
      <c r="Q1083" s="20">
        <f>IF($B1083="","",IFERROR(INDEX(Vinos!$C$2:$C$301,MATCH($B1083,Vinos!$A$2:$A$301,0)),""))</f>
        <v/>
      </c>
      <c r="R1083" s="20">
        <f>IF(OR($A1083="",$A1083&lt;&gt;'Resumen del inventario'!$C$3,$N1083="",$N1083="OK"),"",IF(COUNTIFS($A$2:$A1083,$A1083,$B$2:$B1083,$B1083)=1,1,""))</f>
        <v/>
      </c>
      <c r="S1083" s="20">
        <f>IF($R1083=1,COUNTIF($R$2:$R1083,1),"")</f>
        <v/>
      </c>
    </row>
    <row r="1084">
      <c r="A1084" s="19" t="n"/>
      <c r="B1084" s="14" t="n"/>
      <c r="C1084" s="20">
        <f>IF($B1084="","",IFERROR(INDEX(Vinos!$B$2:$B$301,MATCH($B1084,Vinos!$A$2:$A$301,0)),"Código no cargado"))</f>
        <v/>
      </c>
      <c r="D1084" s="14" t="n"/>
      <c r="E1084" s="14" t="n"/>
      <c r="F1084" s="18" t="n"/>
      <c r="G1084" s="18" t="n"/>
      <c r="H1084" s="21">
        <f>IF(AND($F1084="",$G1084=""),"",N($F1084)*IFERROR(N(INDEX(Vinos!$H$2:$H$301,MATCH($B1084,Vinos!$A$2:$A$301,0))),0)+N($G1084))</f>
        <v/>
      </c>
      <c r="I1084" s="18" t="n"/>
      <c r="J1084" s="21">
        <f>IF(OR($H1084="",$I1084=""),"",$H1084-$I1084)</f>
        <v/>
      </c>
      <c r="K1084" s="16">
        <f>IF($H1084="","",IFERROR(IF(INDEX(Vinos!$J$2:$J$301,MATCH($B1084,Vinos!$A$2:$A$301,0))="","",$H1084*INDEX(Vinos!$J$2:$J$301,MATCH($B1084,Vinos!$A$2:$A$301,0))),""))</f>
        <v/>
      </c>
      <c r="L1084" s="16">
        <f>IF($H1084="","",IFERROR(IF(INDEX(Vinos!$K$2:$K$301,MATCH($B1084,Vinos!$A$2:$A$301,0))="","",$H1084*INDEX(Vinos!$K$2:$K$301,MATCH($B1084,Vinos!$A$2:$A$301,0))),""))</f>
        <v/>
      </c>
      <c r="M1084" s="21">
        <f>IF(OR($A1084="",$B1084=""),"",SUMIFS($H$2:$H$2001,$A$2:$A$2001,$A1084,$B$2:$B$2001,$B1084))</f>
        <v/>
      </c>
      <c r="N1084" s="20">
        <f>IF($M1084="","",IF($M1084&lt;=0,"Sin stock: reponer ya",IF($M1084&lt;IFERROR(N(INDEX(Vinos!$N$2:$N$301,MATCH($B1084,Vinos!$A$2:$A$301,0))),0),"Bajo mínimo: reponer","OK")))</f>
        <v/>
      </c>
      <c r="O1084" s="14" t="n"/>
      <c r="P1084" s="14" t="n"/>
      <c r="Q1084" s="20">
        <f>IF($B1084="","",IFERROR(INDEX(Vinos!$C$2:$C$301,MATCH($B1084,Vinos!$A$2:$A$301,0)),""))</f>
        <v/>
      </c>
      <c r="R1084" s="20">
        <f>IF(OR($A1084="",$A1084&lt;&gt;'Resumen del inventario'!$C$3,$N1084="",$N1084="OK"),"",IF(COUNTIFS($A$2:$A1084,$A1084,$B$2:$B1084,$B1084)=1,1,""))</f>
        <v/>
      </c>
      <c r="S1084" s="20">
        <f>IF($R1084=1,COUNTIF($R$2:$R1084,1),"")</f>
        <v/>
      </c>
    </row>
    <row r="1085">
      <c r="A1085" s="19" t="n"/>
      <c r="B1085" s="14" t="n"/>
      <c r="C1085" s="20">
        <f>IF($B1085="","",IFERROR(INDEX(Vinos!$B$2:$B$301,MATCH($B1085,Vinos!$A$2:$A$301,0)),"Código no cargado"))</f>
        <v/>
      </c>
      <c r="D1085" s="14" t="n"/>
      <c r="E1085" s="14" t="n"/>
      <c r="F1085" s="18" t="n"/>
      <c r="G1085" s="18" t="n"/>
      <c r="H1085" s="21">
        <f>IF(AND($F1085="",$G1085=""),"",N($F1085)*IFERROR(N(INDEX(Vinos!$H$2:$H$301,MATCH($B1085,Vinos!$A$2:$A$301,0))),0)+N($G1085))</f>
        <v/>
      </c>
      <c r="I1085" s="18" t="n"/>
      <c r="J1085" s="21">
        <f>IF(OR($H1085="",$I1085=""),"",$H1085-$I1085)</f>
        <v/>
      </c>
      <c r="K1085" s="16">
        <f>IF($H1085="","",IFERROR(IF(INDEX(Vinos!$J$2:$J$301,MATCH($B1085,Vinos!$A$2:$A$301,0))="","",$H1085*INDEX(Vinos!$J$2:$J$301,MATCH($B1085,Vinos!$A$2:$A$301,0))),""))</f>
        <v/>
      </c>
      <c r="L1085" s="16">
        <f>IF($H1085="","",IFERROR(IF(INDEX(Vinos!$K$2:$K$301,MATCH($B1085,Vinos!$A$2:$A$301,0))="","",$H1085*INDEX(Vinos!$K$2:$K$301,MATCH($B1085,Vinos!$A$2:$A$301,0))),""))</f>
        <v/>
      </c>
      <c r="M1085" s="21">
        <f>IF(OR($A1085="",$B1085=""),"",SUMIFS($H$2:$H$2001,$A$2:$A$2001,$A1085,$B$2:$B$2001,$B1085))</f>
        <v/>
      </c>
      <c r="N1085" s="20">
        <f>IF($M1085="","",IF($M1085&lt;=0,"Sin stock: reponer ya",IF($M1085&lt;IFERROR(N(INDEX(Vinos!$N$2:$N$301,MATCH($B1085,Vinos!$A$2:$A$301,0))),0),"Bajo mínimo: reponer","OK")))</f>
        <v/>
      </c>
      <c r="O1085" s="14" t="n"/>
      <c r="P1085" s="14" t="n"/>
      <c r="Q1085" s="20">
        <f>IF($B1085="","",IFERROR(INDEX(Vinos!$C$2:$C$301,MATCH($B1085,Vinos!$A$2:$A$301,0)),""))</f>
        <v/>
      </c>
      <c r="R1085" s="20">
        <f>IF(OR($A1085="",$A1085&lt;&gt;'Resumen del inventario'!$C$3,$N1085="",$N1085="OK"),"",IF(COUNTIFS($A$2:$A1085,$A1085,$B$2:$B1085,$B1085)=1,1,""))</f>
        <v/>
      </c>
      <c r="S1085" s="20">
        <f>IF($R1085=1,COUNTIF($R$2:$R1085,1),"")</f>
        <v/>
      </c>
    </row>
    <row r="1086">
      <c r="A1086" s="19" t="n"/>
      <c r="B1086" s="14" t="n"/>
      <c r="C1086" s="20">
        <f>IF($B1086="","",IFERROR(INDEX(Vinos!$B$2:$B$301,MATCH($B1086,Vinos!$A$2:$A$301,0)),"Código no cargado"))</f>
        <v/>
      </c>
      <c r="D1086" s="14" t="n"/>
      <c r="E1086" s="14" t="n"/>
      <c r="F1086" s="18" t="n"/>
      <c r="G1086" s="18" t="n"/>
      <c r="H1086" s="21">
        <f>IF(AND($F1086="",$G1086=""),"",N($F1086)*IFERROR(N(INDEX(Vinos!$H$2:$H$301,MATCH($B1086,Vinos!$A$2:$A$301,0))),0)+N($G1086))</f>
        <v/>
      </c>
      <c r="I1086" s="18" t="n"/>
      <c r="J1086" s="21">
        <f>IF(OR($H1086="",$I1086=""),"",$H1086-$I1086)</f>
        <v/>
      </c>
      <c r="K1086" s="16">
        <f>IF($H1086="","",IFERROR(IF(INDEX(Vinos!$J$2:$J$301,MATCH($B1086,Vinos!$A$2:$A$301,0))="","",$H1086*INDEX(Vinos!$J$2:$J$301,MATCH($B1086,Vinos!$A$2:$A$301,0))),""))</f>
        <v/>
      </c>
      <c r="L1086" s="16">
        <f>IF($H1086="","",IFERROR(IF(INDEX(Vinos!$K$2:$K$301,MATCH($B1086,Vinos!$A$2:$A$301,0))="","",$H1086*INDEX(Vinos!$K$2:$K$301,MATCH($B1086,Vinos!$A$2:$A$301,0))),""))</f>
        <v/>
      </c>
      <c r="M1086" s="21">
        <f>IF(OR($A1086="",$B1086=""),"",SUMIFS($H$2:$H$2001,$A$2:$A$2001,$A1086,$B$2:$B$2001,$B1086))</f>
        <v/>
      </c>
      <c r="N1086" s="20">
        <f>IF($M1086="","",IF($M1086&lt;=0,"Sin stock: reponer ya",IF($M1086&lt;IFERROR(N(INDEX(Vinos!$N$2:$N$301,MATCH($B1086,Vinos!$A$2:$A$301,0))),0),"Bajo mínimo: reponer","OK")))</f>
        <v/>
      </c>
      <c r="O1086" s="14" t="n"/>
      <c r="P1086" s="14" t="n"/>
      <c r="Q1086" s="20">
        <f>IF($B1086="","",IFERROR(INDEX(Vinos!$C$2:$C$301,MATCH($B1086,Vinos!$A$2:$A$301,0)),""))</f>
        <v/>
      </c>
      <c r="R1086" s="20">
        <f>IF(OR($A1086="",$A1086&lt;&gt;'Resumen del inventario'!$C$3,$N1086="",$N1086="OK"),"",IF(COUNTIFS($A$2:$A1086,$A1086,$B$2:$B1086,$B1086)=1,1,""))</f>
        <v/>
      </c>
      <c r="S1086" s="20">
        <f>IF($R1086=1,COUNTIF($R$2:$R1086,1),"")</f>
        <v/>
      </c>
    </row>
    <row r="1087">
      <c r="A1087" s="19" t="n"/>
      <c r="B1087" s="14" t="n"/>
      <c r="C1087" s="20">
        <f>IF($B1087="","",IFERROR(INDEX(Vinos!$B$2:$B$301,MATCH($B1087,Vinos!$A$2:$A$301,0)),"Código no cargado"))</f>
        <v/>
      </c>
      <c r="D1087" s="14" t="n"/>
      <c r="E1087" s="14" t="n"/>
      <c r="F1087" s="18" t="n"/>
      <c r="G1087" s="18" t="n"/>
      <c r="H1087" s="21">
        <f>IF(AND($F1087="",$G1087=""),"",N($F1087)*IFERROR(N(INDEX(Vinos!$H$2:$H$301,MATCH($B1087,Vinos!$A$2:$A$301,0))),0)+N($G1087))</f>
        <v/>
      </c>
      <c r="I1087" s="18" t="n"/>
      <c r="J1087" s="21">
        <f>IF(OR($H1087="",$I1087=""),"",$H1087-$I1087)</f>
        <v/>
      </c>
      <c r="K1087" s="16">
        <f>IF($H1087="","",IFERROR(IF(INDEX(Vinos!$J$2:$J$301,MATCH($B1087,Vinos!$A$2:$A$301,0))="","",$H1087*INDEX(Vinos!$J$2:$J$301,MATCH($B1087,Vinos!$A$2:$A$301,0))),""))</f>
        <v/>
      </c>
      <c r="L1087" s="16">
        <f>IF($H1087="","",IFERROR(IF(INDEX(Vinos!$K$2:$K$301,MATCH($B1087,Vinos!$A$2:$A$301,0))="","",$H1087*INDEX(Vinos!$K$2:$K$301,MATCH($B1087,Vinos!$A$2:$A$301,0))),""))</f>
        <v/>
      </c>
      <c r="M1087" s="21">
        <f>IF(OR($A1087="",$B1087=""),"",SUMIFS($H$2:$H$2001,$A$2:$A$2001,$A1087,$B$2:$B$2001,$B1087))</f>
        <v/>
      </c>
      <c r="N1087" s="20">
        <f>IF($M1087="","",IF($M1087&lt;=0,"Sin stock: reponer ya",IF($M1087&lt;IFERROR(N(INDEX(Vinos!$N$2:$N$301,MATCH($B1087,Vinos!$A$2:$A$301,0))),0),"Bajo mínimo: reponer","OK")))</f>
        <v/>
      </c>
      <c r="O1087" s="14" t="n"/>
      <c r="P1087" s="14" t="n"/>
      <c r="Q1087" s="20">
        <f>IF($B1087="","",IFERROR(INDEX(Vinos!$C$2:$C$301,MATCH($B1087,Vinos!$A$2:$A$301,0)),""))</f>
        <v/>
      </c>
      <c r="R1087" s="20">
        <f>IF(OR($A1087="",$A1087&lt;&gt;'Resumen del inventario'!$C$3,$N1087="",$N1087="OK"),"",IF(COUNTIFS($A$2:$A1087,$A1087,$B$2:$B1087,$B1087)=1,1,""))</f>
        <v/>
      </c>
      <c r="S1087" s="20">
        <f>IF($R1087=1,COUNTIF($R$2:$R1087,1),"")</f>
        <v/>
      </c>
    </row>
    <row r="1088">
      <c r="A1088" s="19" t="n"/>
      <c r="B1088" s="14" t="n"/>
      <c r="C1088" s="20">
        <f>IF($B1088="","",IFERROR(INDEX(Vinos!$B$2:$B$301,MATCH($B1088,Vinos!$A$2:$A$301,0)),"Código no cargado"))</f>
        <v/>
      </c>
      <c r="D1088" s="14" t="n"/>
      <c r="E1088" s="14" t="n"/>
      <c r="F1088" s="18" t="n"/>
      <c r="G1088" s="18" t="n"/>
      <c r="H1088" s="21">
        <f>IF(AND($F1088="",$G1088=""),"",N($F1088)*IFERROR(N(INDEX(Vinos!$H$2:$H$301,MATCH($B1088,Vinos!$A$2:$A$301,0))),0)+N($G1088))</f>
        <v/>
      </c>
      <c r="I1088" s="18" t="n"/>
      <c r="J1088" s="21">
        <f>IF(OR($H1088="",$I1088=""),"",$H1088-$I1088)</f>
        <v/>
      </c>
      <c r="K1088" s="16">
        <f>IF($H1088="","",IFERROR(IF(INDEX(Vinos!$J$2:$J$301,MATCH($B1088,Vinos!$A$2:$A$301,0))="","",$H1088*INDEX(Vinos!$J$2:$J$301,MATCH($B1088,Vinos!$A$2:$A$301,0))),""))</f>
        <v/>
      </c>
      <c r="L1088" s="16">
        <f>IF($H1088="","",IFERROR(IF(INDEX(Vinos!$K$2:$K$301,MATCH($B1088,Vinos!$A$2:$A$301,0))="","",$H1088*INDEX(Vinos!$K$2:$K$301,MATCH($B1088,Vinos!$A$2:$A$301,0))),""))</f>
        <v/>
      </c>
      <c r="M1088" s="21">
        <f>IF(OR($A1088="",$B1088=""),"",SUMIFS($H$2:$H$2001,$A$2:$A$2001,$A1088,$B$2:$B$2001,$B1088))</f>
        <v/>
      </c>
      <c r="N1088" s="20">
        <f>IF($M1088="","",IF($M1088&lt;=0,"Sin stock: reponer ya",IF($M1088&lt;IFERROR(N(INDEX(Vinos!$N$2:$N$301,MATCH($B1088,Vinos!$A$2:$A$301,0))),0),"Bajo mínimo: reponer","OK")))</f>
        <v/>
      </c>
      <c r="O1088" s="14" t="n"/>
      <c r="P1088" s="14" t="n"/>
      <c r="Q1088" s="20">
        <f>IF($B1088="","",IFERROR(INDEX(Vinos!$C$2:$C$301,MATCH($B1088,Vinos!$A$2:$A$301,0)),""))</f>
        <v/>
      </c>
      <c r="R1088" s="20">
        <f>IF(OR($A1088="",$A1088&lt;&gt;'Resumen del inventario'!$C$3,$N1088="",$N1088="OK"),"",IF(COUNTIFS($A$2:$A1088,$A1088,$B$2:$B1088,$B1088)=1,1,""))</f>
        <v/>
      </c>
      <c r="S1088" s="20">
        <f>IF($R1088=1,COUNTIF($R$2:$R1088,1),"")</f>
        <v/>
      </c>
    </row>
    <row r="1089">
      <c r="A1089" s="19" t="n"/>
      <c r="B1089" s="14" t="n"/>
      <c r="C1089" s="20">
        <f>IF($B1089="","",IFERROR(INDEX(Vinos!$B$2:$B$301,MATCH($B1089,Vinos!$A$2:$A$301,0)),"Código no cargado"))</f>
        <v/>
      </c>
      <c r="D1089" s="14" t="n"/>
      <c r="E1089" s="14" t="n"/>
      <c r="F1089" s="18" t="n"/>
      <c r="G1089" s="18" t="n"/>
      <c r="H1089" s="21">
        <f>IF(AND($F1089="",$G1089=""),"",N($F1089)*IFERROR(N(INDEX(Vinos!$H$2:$H$301,MATCH($B1089,Vinos!$A$2:$A$301,0))),0)+N($G1089))</f>
        <v/>
      </c>
      <c r="I1089" s="18" t="n"/>
      <c r="J1089" s="21">
        <f>IF(OR($H1089="",$I1089=""),"",$H1089-$I1089)</f>
        <v/>
      </c>
      <c r="K1089" s="16">
        <f>IF($H1089="","",IFERROR(IF(INDEX(Vinos!$J$2:$J$301,MATCH($B1089,Vinos!$A$2:$A$301,0))="","",$H1089*INDEX(Vinos!$J$2:$J$301,MATCH($B1089,Vinos!$A$2:$A$301,0))),""))</f>
        <v/>
      </c>
      <c r="L1089" s="16">
        <f>IF($H1089="","",IFERROR(IF(INDEX(Vinos!$K$2:$K$301,MATCH($B1089,Vinos!$A$2:$A$301,0))="","",$H1089*INDEX(Vinos!$K$2:$K$301,MATCH($B1089,Vinos!$A$2:$A$301,0))),""))</f>
        <v/>
      </c>
      <c r="M1089" s="21">
        <f>IF(OR($A1089="",$B1089=""),"",SUMIFS($H$2:$H$2001,$A$2:$A$2001,$A1089,$B$2:$B$2001,$B1089))</f>
        <v/>
      </c>
      <c r="N1089" s="20">
        <f>IF($M1089="","",IF($M1089&lt;=0,"Sin stock: reponer ya",IF($M1089&lt;IFERROR(N(INDEX(Vinos!$N$2:$N$301,MATCH($B1089,Vinos!$A$2:$A$301,0))),0),"Bajo mínimo: reponer","OK")))</f>
        <v/>
      </c>
      <c r="O1089" s="14" t="n"/>
      <c r="P1089" s="14" t="n"/>
      <c r="Q1089" s="20">
        <f>IF($B1089="","",IFERROR(INDEX(Vinos!$C$2:$C$301,MATCH($B1089,Vinos!$A$2:$A$301,0)),""))</f>
        <v/>
      </c>
      <c r="R1089" s="20">
        <f>IF(OR($A1089="",$A1089&lt;&gt;'Resumen del inventario'!$C$3,$N1089="",$N1089="OK"),"",IF(COUNTIFS($A$2:$A1089,$A1089,$B$2:$B1089,$B1089)=1,1,""))</f>
        <v/>
      </c>
      <c r="S1089" s="20">
        <f>IF($R1089=1,COUNTIF($R$2:$R1089,1),"")</f>
        <v/>
      </c>
    </row>
    <row r="1090">
      <c r="A1090" s="19" t="n"/>
      <c r="B1090" s="14" t="n"/>
      <c r="C1090" s="20">
        <f>IF($B1090="","",IFERROR(INDEX(Vinos!$B$2:$B$301,MATCH($B1090,Vinos!$A$2:$A$301,0)),"Código no cargado"))</f>
        <v/>
      </c>
      <c r="D1090" s="14" t="n"/>
      <c r="E1090" s="14" t="n"/>
      <c r="F1090" s="18" t="n"/>
      <c r="G1090" s="18" t="n"/>
      <c r="H1090" s="21">
        <f>IF(AND($F1090="",$G1090=""),"",N($F1090)*IFERROR(N(INDEX(Vinos!$H$2:$H$301,MATCH($B1090,Vinos!$A$2:$A$301,0))),0)+N($G1090))</f>
        <v/>
      </c>
      <c r="I1090" s="18" t="n"/>
      <c r="J1090" s="21">
        <f>IF(OR($H1090="",$I1090=""),"",$H1090-$I1090)</f>
        <v/>
      </c>
      <c r="K1090" s="16">
        <f>IF($H1090="","",IFERROR(IF(INDEX(Vinos!$J$2:$J$301,MATCH($B1090,Vinos!$A$2:$A$301,0))="","",$H1090*INDEX(Vinos!$J$2:$J$301,MATCH($B1090,Vinos!$A$2:$A$301,0))),""))</f>
        <v/>
      </c>
      <c r="L1090" s="16">
        <f>IF($H1090="","",IFERROR(IF(INDEX(Vinos!$K$2:$K$301,MATCH($B1090,Vinos!$A$2:$A$301,0))="","",$H1090*INDEX(Vinos!$K$2:$K$301,MATCH($B1090,Vinos!$A$2:$A$301,0))),""))</f>
        <v/>
      </c>
      <c r="M1090" s="21">
        <f>IF(OR($A1090="",$B1090=""),"",SUMIFS($H$2:$H$2001,$A$2:$A$2001,$A1090,$B$2:$B$2001,$B1090))</f>
        <v/>
      </c>
      <c r="N1090" s="20">
        <f>IF($M1090="","",IF($M1090&lt;=0,"Sin stock: reponer ya",IF($M1090&lt;IFERROR(N(INDEX(Vinos!$N$2:$N$301,MATCH($B1090,Vinos!$A$2:$A$301,0))),0),"Bajo mínimo: reponer","OK")))</f>
        <v/>
      </c>
      <c r="O1090" s="14" t="n"/>
      <c r="P1090" s="14" t="n"/>
      <c r="Q1090" s="20">
        <f>IF($B1090="","",IFERROR(INDEX(Vinos!$C$2:$C$301,MATCH($B1090,Vinos!$A$2:$A$301,0)),""))</f>
        <v/>
      </c>
      <c r="R1090" s="20">
        <f>IF(OR($A1090="",$A1090&lt;&gt;'Resumen del inventario'!$C$3,$N1090="",$N1090="OK"),"",IF(COUNTIFS($A$2:$A1090,$A1090,$B$2:$B1090,$B1090)=1,1,""))</f>
        <v/>
      </c>
      <c r="S1090" s="20">
        <f>IF($R1090=1,COUNTIF($R$2:$R1090,1),"")</f>
        <v/>
      </c>
    </row>
    <row r="1091">
      <c r="A1091" s="19" t="n"/>
      <c r="B1091" s="14" t="n"/>
      <c r="C1091" s="20">
        <f>IF($B1091="","",IFERROR(INDEX(Vinos!$B$2:$B$301,MATCH($B1091,Vinos!$A$2:$A$301,0)),"Código no cargado"))</f>
        <v/>
      </c>
      <c r="D1091" s="14" t="n"/>
      <c r="E1091" s="14" t="n"/>
      <c r="F1091" s="18" t="n"/>
      <c r="G1091" s="18" t="n"/>
      <c r="H1091" s="21">
        <f>IF(AND($F1091="",$G1091=""),"",N($F1091)*IFERROR(N(INDEX(Vinos!$H$2:$H$301,MATCH($B1091,Vinos!$A$2:$A$301,0))),0)+N($G1091))</f>
        <v/>
      </c>
      <c r="I1091" s="18" t="n"/>
      <c r="J1091" s="21">
        <f>IF(OR($H1091="",$I1091=""),"",$H1091-$I1091)</f>
        <v/>
      </c>
      <c r="K1091" s="16">
        <f>IF($H1091="","",IFERROR(IF(INDEX(Vinos!$J$2:$J$301,MATCH($B1091,Vinos!$A$2:$A$301,0))="","",$H1091*INDEX(Vinos!$J$2:$J$301,MATCH($B1091,Vinos!$A$2:$A$301,0))),""))</f>
        <v/>
      </c>
      <c r="L1091" s="16">
        <f>IF($H1091="","",IFERROR(IF(INDEX(Vinos!$K$2:$K$301,MATCH($B1091,Vinos!$A$2:$A$301,0))="","",$H1091*INDEX(Vinos!$K$2:$K$301,MATCH($B1091,Vinos!$A$2:$A$301,0))),""))</f>
        <v/>
      </c>
      <c r="M1091" s="21">
        <f>IF(OR($A1091="",$B1091=""),"",SUMIFS($H$2:$H$2001,$A$2:$A$2001,$A1091,$B$2:$B$2001,$B1091))</f>
        <v/>
      </c>
      <c r="N1091" s="20">
        <f>IF($M1091="","",IF($M1091&lt;=0,"Sin stock: reponer ya",IF($M1091&lt;IFERROR(N(INDEX(Vinos!$N$2:$N$301,MATCH($B1091,Vinos!$A$2:$A$301,0))),0),"Bajo mínimo: reponer","OK")))</f>
        <v/>
      </c>
      <c r="O1091" s="14" t="n"/>
      <c r="P1091" s="14" t="n"/>
      <c r="Q1091" s="20">
        <f>IF($B1091="","",IFERROR(INDEX(Vinos!$C$2:$C$301,MATCH($B1091,Vinos!$A$2:$A$301,0)),""))</f>
        <v/>
      </c>
      <c r="R1091" s="20">
        <f>IF(OR($A1091="",$A1091&lt;&gt;'Resumen del inventario'!$C$3,$N1091="",$N1091="OK"),"",IF(COUNTIFS($A$2:$A1091,$A1091,$B$2:$B1091,$B1091)=1,1,""))</f>
        <v/>
      </c>
      <c r="S1091" s="20">
        <f>IF($R1091=1,COUNTIF($R$2:$R1091,1),"")</f>
        <v/>
      </c>
    </row>
    <row r="1092">
      <c r="A1092" s="19" t="n"/>
      <c r="B1092" s="14" t="n"/>
      <c r="C1092" s="20">
        <f>IF($B1092="","",IFERROR(INDEX(Vinos!$B$2:$B$301,MATCH($B1092,Vinos!$A$2:$A$301,0)),"Código no cargado"))</f>
        <v/>
      </c>
      <c r="D1092" s="14" t="n"/>
      <c r="E1092" s="14" t="n"/>
      <c r="F1092" s="18" t="n"/>
      <c r="G1092" s="18" t="n"/>
      <c r="H1092" s="21">
        <f>IF(AND($F1092="",$G1092=""),"",N($F1092)*IFERROR(N(INDEX(Vinos!$H$2:$H$301,MATCH($B1092,Vinos!$A$2:$A$301,0))),0)+N($G1092))</f>
        <v/>
      </c>
      <c r="I1092" s="18" t="n"/>
      <c r="J1092" s="21">
        <f>IF(OR($H1092="",$I1092=""),"",$H1092-$I1092)</f>
        <v/>
      </c>
      <c r="K1092" s="16">
        <f>IF($H1092="","",IFERROR(IF(INDEX(Vinos!$J$2:$J$301,MATCH($B1092,Vinos!$A$2:$A$301,0))="","",$H1092*INDEX(Vinos!$J$2:$J$301,MATCH($B1092,Vinos!$A$2:$A$301,0))),""))</f>
        <v/>
      </c>
      <c r="L1092" s="16">
        <f>IF($H1092="","",IFERROR(IF(INDEX(Vinos!$K$2:$K$301,MATCH($B1092,Vinos!$A$2:$A$301,0))="","",$H1092*INDEX(Vinos!$K$2:$K$301,MATCH($B1092,Vinos!$A$2:$A$301,0))),""))</f>
        <v/>
      </c>
      <c r="M1092" s="21">
        <f>IF(OR($A1092="",$B1092=""),"",SUMIFS($H$2:$H$2001,$A$2:$A$2001,$A1092,$B$2:$B$2001,$B1092))</f>
        <v/>
      </c>
      <c r="N1092" s="20">
        <f>IF($M1092="","",IF($M1092&lt;=0,"Sin stock: reponer ya",IF($M1092&lt;IFERROR(N(INDEX(Vinos!$N$2:$N$301,MATCH($B1092,Vinos!$A$2:$A$301,0))),0),"Bajo mínimo: reponer","OK")))</f>
        <v/>
      </c>
      <c r="O1092" s="14" t="n"/>
      <c r="P1092" s="14" t="n"/>
      <c r="Q1092" s="20">
        <f>IF($B1092="","",IFERROR(INDEX(Vinos!$C$2:$C$301,MATCH($B1092,Vinos!$A$2:$A$301,0)),""))</f>
        <v/>
      </c>
      <c r="R1092" s="20">
        <f>IF(OR($A1092="",$A1092&lt;&gt;'Resumen del inventario'!$C$3,$N1092="",$N1092="OK"),"",IF(COUNTIFS($A$2:$A1092,$A1092,$B$2:$B1092,$B1092)=1,1,""))</f>
        <v/>
      </c>
      <c r="S1092" s="20">
        <f>IF($R1092=1,COUNTIF($R$2:$R1092,1),"")</f>
        <v/>
      </c>
    </row>
    <row r="1093">
      <c r="A1093" s="19" t="n"/>
      <c r="B1093" s="14" t="n"/>
      <c r="C1093" s="20">
        <f>IF($B1093="","",IFERROR(INDEX(Vinos!$B$2:$B$301,MATCH($B1093,Vinos!$A$2:$A$301,0)),"Código no cargado"))</f>
        <v/>
      </c>
      <c r="D1093" s="14" t="n"/>
      <c r="E1093" s="14" t="n"/>
      <c r="F1093" s="18" t="n"/>
      <c r="G1093" s="18" t="n"/>
      <c r="H1093" s="21">
        <f>IF(AND($F1093="",$G1093=""),"",N($F1093)*IFERROR(N(INDEX(Vinos!$H$2:$H$301,MATCH($B1093,Vinos!$A$2:$A$301,0))),0)+N($G1093))</f>
        <v/>
      </c>
      <c r="I1093" s="18" t="n"/>
      <c r="J1093" s="21">
        <f>IF(OR($H1093="",$I1093=""),"",$H1093-$I1093)</f>
        <v/>
      </c>
      <c r="K1093" s="16">
        <f>IF($H1093="","",IFERROR(IF(INDEX(Vinos!$J$2:$J$301,MATCH($B1093,Vinos!$A$2:$A$301,0))="","",$H1093*INDEX(Vinos!$J$2:$J$301,MATCH($B1093,Vinos!$A$2:$A$301,0))),""))</f>
        <v/>
      </c>
      <c r="L1093" s="16">
        <f>IF($H1093="","",IFERROR(IF(INDEX(Vinos!$K$2:$K$301,MATCH($B1093,Vinos!$A$2:$A$301,0))="","",$H1093*INDEX(Vinos!$K$2:$K$301,MATCH($B1093,Vinos!$A$2:$A$301,0))),""))</f>
        <v/>
      </c>
      <c r="M1093" s="21">
        <f>IF(OR($A1093="",$B1093=""),"",SUMIFS($H$2:$H$2001,$A$2:$A$2001,$A1093,$B$2:$B$2001,$B1093))</f>
        <v/>
      </c>
      <c r="N1093" s="20">
        <f>IF($M1093="","",IF($M1093&lt;=0,"Sin stock: reponer ya",IF($M1093&lt;IFERROR(N(INDEX(Vinos!$N$2:$N$301,MATCH($B1093,Vinos!$A$2:$A$301,0))),0),"Bajo mínimo: reponer","OK")))</f>
        <v/>
      </c>
      <c r="O1093" s="14" t="n"/>
      <c r="P1093" s="14" t="n"/>
      <c r="Q1093" s="20">
        <f>IF($B1093="","",IFERROR(INDEX(Vinos!$C$2:$C$301,MATCH($B1093,Vinos!$A$2:$A$301,0)),""))</f>
        <v/>
      </c>
      <c r="R1093" s="20">
        <f>IF(OR($A1093="",$A1093&lt;&gt;'Resumen del inventario'!$C$3,$N1093="",$N1093="OK"),"",IF(COUNTIFS($A$2:$A1093,$A1093,$B$2:$B1093,$B1093)=1,1,""))</f>
        <v/>
      </c>
      <c r="S1093" s="20">
        <f>IF($R1093=1,COUNTIF($R$2:$R1093,1),"")</f>
        <v/>
      </c>
    </row>
    <row r="1094">
      <c r="A1094" s="19" t="n"/>
      <c r="B1094" s="14" t="n"/>
      <c r="C1094" s="20">
        <f>IF($B1094="","",IFERROR(INDEX(Vinos!$B$2:$B$301,MATCH($B1094,Vinos!$A$2:$A$301,0)),"Código no cargado"))</f>
        <v/>
      </c>
      <c r="D1094" s="14" t="n"/>
      <c r="E1094" s="14" t="n"/>
      <c r="F1094" s="18" t="n"/>
      <c r="G1094" s="18" t="n"/>
      <c r="H1094" s="21">
        <f>IF(AND($F1094="",$G1094=""),"",N($F1094)*IFERROR(N(INDEX(Vinos!$H$2:$H$301,MATCH($B1094,Vinos!$A$2:$A$301,0))),0)+N($G1094))</f>
        <v/>
      </c>
      <c r="I1094" s="18" t="n"/>
      <c r="J1094" s="21">
        <f>IF(OR($H1094="",$I1094=""),"",$H1094-$I1094)</f>
        <v/>
      </c>
      <c r="K1094" s="16">
        <f>IF($H1094="","",IFERROR(IF(INDEX(Vinos!$J$2:$J$301,MATCH($B1094,Vinos!$A$2:$A$301,0))="","",$H1094*INDEX(Vinos!$J$2:$J$301,MATCH($B1094,Vinos!$A$2:$A$301,0))),""))</f>
        <v/>
      </c>
      <c r="L1094" s="16">
        <f>IF($H1094="","",IFERROR(IF(INDEX(Vinos!$K$2:$K$301,MATCH($B1094,Vinos!$A$2:$A$301,0))="","",$H1094*INDEX(Vinos!$K$2:$K$301,MATCH($B1094,Vinos!$A$2:$A$301,0))),""))</f>
        <v/>
      </c>
      <c r="M1094" s="21">
        <f>IF(OR($A1094="",$B1094=""),"",SUMIFS($H$2:$H$2001,$A$2:$A$2001,$A1094,$B$2:$B$2001,$B1094))</f>
        <v/>
      </c>
      <c r="N1094" s="20">
        <f>IF($M1094="","",IF($M1094&lt;=0,"Sin stock: reponer ya",IF($M1094&lt;IFERROR(N(INDEX(Vinos!$N$2:$N$301,MATCH($B1094,Vinos!$A$2:$A$301,0))),0),"Bajo mínimo: reponer","OK")))</f>
        <v/>
      </c>
      <c r="O1094" s="14" t="n"/>
      <c r="P1094" s="14" t="n"/>
      <c r="Q1094" s="20">
        <f>IF($B1094="","",IFERROR(INDEX(Vinos!$C$2:$C$301,MATCH($B1094,Vinos!$A$2:$A$301,0)),""))</f>
        <v/>
      </c>
      <c r="R1094" s="20">
        <f>IF(OR($A1094="",$A1094&lt;&gt;'Resumen del inventario'!$C$3,$N1094="",$N1094="OK"),"",IF(COUNTIFS($A$2:$A1094,$A1094,$B$2:$B1094,$B1094)=1,1,""))</f>
        <v/>
      </c>
      <c r="S1094" s="20">
        <f>IF($R1094=1,COUNTIF($R$2:$R1094,1),"")</f>
        <v/>
      </c>
    </row>
    <row r="1095">
      <c r="A1095" s="19" t="n"/>
      <c r="B1095" s="14" t="n"/>
      <c r="C1095" s="20">
        <f>IF($B1095="","",IFERROR(INDEX(Vinos!$B$2:$B$301,MATCH($B1095,Vinos!$A$2:$A$301,0)),"Código no cargado"))</f>
        <v/>
      </c>
      <c r="D1095" s="14" t="n"/>
      <c r="E1095" s="14" t="n"/>
      <c r="F1095" s="18" t="n"/>
      <c r="G1095" s="18" t="n"/>
      <c r="H1095" s="21">
        <f>IF(AND($F1095="",$G1095=""),"",N($F1095)*IFERROR(N(INDEX(Vinos!$H$2:$H$301,MATCH($B1095,Vinos!$A$2:$A$301,0))),0)+N($G1095))</f>
        <v/>
      </c>
      <c r="I1095" s="18" t="n"/>
      <c r="J1095" s="21">
        <f>IF(OR($H1095="",$I1095=""),"",$H1095-$I1095)</f>
        <v/>
      </c>
      <c r="K1095" s="16">
        <f>IF($H1095="","",IFERROR(IF(INDEX(Vinos!$J$2:$J$301,MATCH($B1095,Vinos!$A$2:$A$301,0))="","",$H1095*INDEX(Vinos!$J$2:$J$301,MATCH($B1095,Vinos!$A$2:$A$301,0))),""))</f>
        <v/>
      </c>
      <c r="L1095" s="16">
        <f>IF($H1095="","",IFERROR(IF(INDEX(Vinos!$K$2:$K$301,MATCH($B1095,Vinos!$A$2:$A$301,0))="","",$H1095*INDEX(Vinos!$K$2:$K$301,MATCH($B1095,Vinos!$A$2:$A$301,0))),""))</f>
        <v/>
      </c>
      <c r="M1095" s="21">
        <f>IF(OR($A1095="",$B1095=""),"",SUMIFS($H$2:$H$2001,$A$2:$A$2001,$A1095,$B$2:$B$2001,$B1095))</f>
        <v/>
      </c>
      <c r="N1095" s="20">
        <f>IF($M1095="","",IF($M1095&lt;=0,"Sin stock: reponer ya",IF($M1095&lt;IFERROR(N(INDEX(Vinos!$N$2:$N$301,MATCH($B1095,Vinos!$A$2:$A$301,0))),0),"Bajo mínimo: reponer","OK")))</f>
        <v/>
      </c>
      <c r="O1095" s="14" t="n"/>
      <c r="P1095" s="14" t="n"/>
      <c r="Q1095" s="20">
        <f>IF($B1095="","",IFERROR(INDEX(Vinos!$C$2:$C$301,MATCH($B1095,Vinos!$A$2:$A$301,0)),""))</f>
        <v/>
      </c>
      <c r="R1095" s="20">
        <f>IF(OR($A1095="",$A1095&lt;&gt;'Resumen del inventario'!$C$3,$N1095="",$N1095="OK"),"",IF(COUNTIFS($A$2:$A1095,$A1095,$B$2:$B1095,$B1095)=1,1,""))</f>
        <v/>
      </c>
      <c r="S1095" s="20">
        <f>IF($R1095=1,COUNTIF($R$2:$R1095,1),"")</f>
        <v/>
      </c>
    </row>
    <row r="1096">
      <c r="A1096" s="19" t="n"/>
      <c r="B1096" s="14" t="n"/>
      <c r="C1096" s="20">
        <f>IF($B1096="","",IFERROR(INDEX(Vinos!$B$2:$B$301,MATCH($B1096,Vinos!$A$2:$A$301,0)),"Código no cargado"))</f>
        <v/>
      </c>
      <c r="D1096" s="14" t="n"/>
      <c r="E1096" s="14" t="n"/>
      <c r="F1096" s="18" t="n"/>
      <c r="G1096" s="18" t="n"/>
      <c r="H1096" s="21">
        <f>IF(AND($F1096="",$G1096=""),"",N($F1096)*IFERROR(N(INDEX(Vinos!$H$2:$H$301,MATCH($B1096,Vinos!$A$2:$A$301,0))),0)+N($G1096))</f>
        <v/>
      </c>
      <c r="I1096" s="18" t="n"/>
      <c r="J1096" s="21">
        <f>IF(OR($H1096="",$I1096=""),"",$H1096-$I1096)</f>
        <v/>
      </c>
      <c r="K1096" s="16">
        <f>IF($H1096="","",IFERROR(IF(INDEX(Vinos!$J$2:$J$301,MATCH($B1096,Vinos!$A$2:$A$301,0))="","",$H1096*INDEX(Vinos!$J$2:$J$301,MATCH($B1096,Vinos!$A$2:$A$301,0))),""))</f>
        <v/>
      </c>
      <c r="L1096" s="16">
        <f>IF($H1096="","",IFERROR(IF(INDEX(Vinos!$K$2:$K$301,MATCH($B1096,Vinos!$A$2:$A$301,0))="","",$H1096*INDEX(Vinos!$K$2:$K$301,MATCH($B1096,Vinos!$A$2:$A$301,0))),""))</f>
        <v/>
      </c>
      <c r="M1096" s="21">
        <f>IF(OR($A1096="",$B1096=""),"",SUMIFS($H$2:$H$2001,$A$2:$A$2001,$A1096,$B$2:$B$2001,$B1096))</f>
        <v/>
      </c>
      <c r="N1096" s="20">
        <f>IF($M1096="","",IF($M1096&lt;=0,"Sin stock: reponer ya",IF($M1096&lt;IFERROR(N(INDEX(Vinos!$N$2:$N$301,MATCH($B1096,Vinos!$A$2:$A$301,0))),0),"Bajo mínimo: reponer","OK")))</f>
        <v/>
      </c>
      <c r="O1096" s="14" t="n"/>
      <c r="P1096" s="14" t="n"/>
      <c r="Q1096" s="20">
        <f>IF($B1096="","",IFERROR(INDEX(Vinos!$C$2:$C$301,MATCH($B1096,Vinos!$A$2:$A$301,0)),""))</f>
        <v/>
      </c>
      <c r="R1096" s="20">
        <f>IF(OR($A1096="",$A1096&lt;&gt;'Resumen del inventario'!$C$3,$N1096="",$N1096="OK"),"",IF(COUNTIFS($A$2:$A1096,$A1096,$B$2:$B1096,$B1096)=1,1,""))</f>
        <v/>
      </c>
      <c r="S1096" s="20">
        <f>IF($R1096=1,COUNTIF($R$2:$R1096,1),"")</f>
        <v/>
      </c>
    </row>
    <row r="1097">
      <c r="A1097" s="19" t="n"/>
      <c r="B1097" s="14" t="n"/>
      <c r="C1097" s="20">
        <f>IF($B1097="","",IFERROR(INDEX(Vinos!$B$2:$B$301,MATCH($B1097,Vinos!$A$2:$A$301,0)),"Código no cargado"))</f>
        <v/>
      </c>
      <c r="D1097" s="14" t="n"/>
      <c r="E1097" s="14" t="n"/>
      <c r="F1097" s="18" t="n"/>
      <c r="G1097" s="18" t="n"/>
      <c r="H1097" s="21">
        <f>IF(AND($F1097="",$G1097=""),"",N($F1097)*IFERROR(N(INDEX(Vinos!$H$2:$H$301,MATCH($B1097,Vinos!$A$2:$A$301,0))),0)+N($G1097))</f>
        <v/>
      </c>
      <c r="I1097" s="18" t="n"/>
      <c r="J1097" s="21">
        <f>IF(OR($H1097="",$I1097=""),"",$H1097-$I1097)</f>
        <v/>
      </c>
      <c r="K1097" s="16">
        <f>IF($H1097="","",IFERROR(IF(INDEX(Vinos!$J$2:$J$301,MATCH($B1097,Vinos!$A$2:$A$301,0))="","",$H1097*INDEX(Vinos!$J$2:$J$301,MATCH($B1097,Vinos!$A$2:$A$301,0))),""))</f>
        <v/>
      </c>
      <c r="L1097" s="16">
        <f>IF($H1097="","",IFERROR(IF(INDEX(Vinos!$K$2:$K$301,MATCH($B1097,Vinos!$A$2:$A$301,0))="","",$H1097*INDEX(Vinos!$K$2:$K$301,MATCH($B1097,Vinos!$A$2:$A$301,0))),""))</f>
        <v/>
      </c>
      <c r="M1097" s="21">
        <f>IF(OR($A1097="",$B1097=""),"",SUMIFS($H$2:$H$2001,$A$2:$A$2001,$A1097,$B$2:$B$2001,$B1097))</f>
        <v/>
      </c>
      <c r="N1097" s="20">
        <f>IF($M1097="","",IF($M1097&lt;=0,"Sin stock: reponer ya",IF($M1097&lt;IFERROR(N(INDEX(Vinos!$N$2:$N$301,MATCH($B1097,Vinos!$A$2:$A$301,0))),0),"Bajo mínimo: reponer","OK")))</f>
        <v/>
      </c>
      <c r="O1097" s="14" t="n"/>
      <c r="P1097" s="14" t="n"/>
      <c r="Q1097" s="20">
        <f>IF($B1097="","",IFERROR(INDEX(Vinos!$C$2:$C$301,MATCH($B1097,Vinos!$A$2:$A$301,0)),""))</f>
        <v/>
      </c>
      <c r="R1097" s="20">
        <f>IF(OR($A1097="",$A1097&lt;&gt;'Resumen del inventario'!$C$3,$N1097="",$N1097="OK"),"",IF(COUNTIFS($A$2:$A1097,$A1097,$B$2:$B1097,$B1097)=1,1,""))</f>
        <v/>
      </c>
      <c r="S1097" s="20">
        <f>IF($R1097=1,COUNTIF($R$2:$R1097,1),"")</f>
        <v/>
      </c>
    </row>
    <row r="1098">
      <c r="A1098" s="19" t="n"/>
      <c r="B1098" s="14" t="n"/>
      <c r="C1098" s="20">
        <f>IF($B1098="","",IFERROR(INDEX(Vinos!$B$2:$B$301,MATCH($B1098,Vinos!$A$2:$A$301,0)),"Código no cargado"))</f>
        <v/>
      </c>
      <c r="D1098" s="14" t="n"/>
      <c r="E1098" s="14" t="n"/>
      <c r="F1098" s="18" t="n"/>
      <c r="G1098" s="18" t="n"/>
      <c r="H1098" s="21">
        <f>IF(AND($F1098="",$G1098=""),"",N($F1098)*IFERROR(N(INDEX(Vinos!$H$2:$H$301,MATCH($B1098,Vinos!$A$2:$A$301,0))),0)+N($G1098))</f>
        <v/>
      </c>
      <c r="I1098" s="18" t="n"/>
      <c r="J1098" s="21">
        <f>IF(OR($H1098="",$I1098=""),"",$H1098-$I1098)</f>
        <v/>
      </c>
      <c r="K1098" s="16">
        <f>IF($H1098="","",IFERROR(IF(INDEX(Vinos!$J$2:$J$301,MATCH($B1098,Vinos!$A$2:$A$301,0))="","",$H1098*INDEX(Vinos!$J$2:$J$301,MATCH($B1098,Vinos!$A$2:$A$301,0))),""))</f>
        <v/>
      </c>
      <c r="L1098" s="16">
        <f>IF($H1098="","",IFERROR(IF(INDEX(Vinos!$K$2:$K$301,MATCH($B1098,Vinos!$A$2:$A$301,0))="","",$H1098*INDEX(Vinos!$K$2:$K$301,MATCH($B1098,Vinos!$A$2:$A$301,0))),""))</f>
        <v/>
      </c>
      <c r="M1098" s="21">
        <f>IF(OR($A1098="",$B1098=""),"",SUMIFS($H$2:$H$2001,$A$2:$A$2001,$A1098,$B$2:$B$2001,$B1098))</f>
        <v/>
      </c>
      <c r="N1098" s="20">
        <f>IF($M1098="","",IF($M1098&lt;=0,"Sin stock: reponer ya",IF($M1098&lt;IFERROR(N(INDEX(Vinos!$N$2:$N$301,MATCH($B1098,Vinos!$A$2:$A$301,0))),0),"Bajo mínimo: reponer","OK")))</f>
        <v/>
      </c>
      <c r="O1098" s="14" t="n"/>
      <c r="P1098" s="14" t="n"/>
      <c r="Q1098" s="20">
        <f>IF($B1098="","",IFERROR(INDEX(Vinos!$C$2:$C$301,MATCH($B1098,Vinos!$A$2:$A$301,0)),""))</f>
        <v/>
      </c>
      <c r="R1098" s="20">
        <f>IF(OR($A1098="",$A1098&lt;&gt;'Resumen del inventario'!$C$3,$N1098="",$N1098="OK"),"",IF(COUNTIFS($A$2:$A1098,$A1098,$B$2:$B1098,$B1098)=1,1,""))</f>
        <v/>
      </c>
      <c r="S1098" s="20">
        <f>IF($R1098=1,COUNTIF($R$2:$R1098,1),"")</f>
        <v/>
      </c>
    </row>
    <row r="1099">
      <c r="A1099" s="19" t="n"/>
      <c r="B1099" s="14" t="n"/>
      <c r="C1099" s="20">
        <f>IF($B1099="","",IFERROR(INDEX(Vinos!$B$2:$B$301,MATCH($B1099,Vinos!$A$2:$A$301,0)),"Código no cargado"))</f>
        <v/>
      </c>
      <c r="D1099" s="14" t="n"/>
      <c r="E1099" s="14" t="n"/>
      <c r="F1099" s="18" t="n"/>
      <c r="G1099" s="18" t="n"/>
      <c r="H1099" s="21">
        <f>IF(AND($F1099="",$G1099=""),"",N($F1099)*IFERROR(N(INDEX(Vinos!$H$2:$H$301,MATCH($B1099,Vinos!$A$2:$A$301,0))),0)+N($G1099))</f>
        <v/>
      </c>
      <c r="I1099" s="18" t="n"/>
      <c r="J1099" s="21">
        <f>IF(OR($H1099="",$I1099=""),"",$H1099-$I1099)</f>
        <v/>
      </c>
      <c r="K1099" s="16">
        <f>IF($H1099="","",IFERROR(IF(INDEX(Vinos!$J$2:$J$301,MATCH($B1099,Vinos!$A$2:$A$301,0))="","",$H1099*INDEX(Vinos!$J$2:$J$301,MATCH($B1099,Vinos!$A$2:$A$301,0))),""))</f>
        <v/>
      </c>
      <c r="L1099" s="16">
        <f>IF($H1099="","",IFERROR(IF(INDEX(Vinos!$K$2:$K$301,MATCH($B1099,Vinos!$A$2:$A$301,0))="","",$H1099*INDEX(Vinos!$K$2:$K$301,MATCH($B1099,Vinos!$A$2:$A$301,0))),""))</f>
        <v/>
      </c>
      <c r="M1099" s="21">
        <f>IF(OR($A1099="",$B1099=""),"",SUMIFS($H$2:$H$2001,$A$2:$A$2001,$A1099,$B$2:$B$2001,$B1099))</f>
        <v/>
      </c>
      <c r="N1099" s="20">
        <f>IF($M1099="","",IF($M1099&lt;=0,"Sin stock: reponer ya",IF($M1099&lt;IFERROR(N(INDEX(Vinos!$N$2:$N$301,MATCH($B1099,Vinos!$A$2:$A$301,0))),0),"Bajo mínimo: reponer","OK")))</f>
        <v/>
      </c>
      <c r="O1099" s="14" t="n"/>
      <c r="P1099" s="14" t="n"/>
      <c r="Q1099" s="20">
        <f>IF($B1099="","",IFERROR(INDEX(Vinos!$C$2:$C$301,MATCH($B1099,Vinos!$A$2:$A$301,0)),""))</f>
        <v/>
      </c>
      <c r="R1099" s="20">
        <f>IF(OR($A1099="",$A1099&lt;&gt;'Resumen del inventario'!$C$3,$N1099="",$N1099="OK"),"",IF(COUNTIFS($A$2:$A1099,$A1099,$B$2:$B1099,$B1099)=1,1,""))</f>
        <v/>
      </c>
      <c r="S1099" s="20">
        <f>IF($R1099=1,COUNTIF($R$2:$R1099,1),"")</f>
        <v/>
      </c>
    </row>
    <row r="1100">
      <c r="A1100" s="19" t="n"/>
      <c r="B1100" s="14" t="n"/>
      <c r="C1100" s="20">
        <f>IF($B1100="","",IFERROR(INDEX(Vinos!$B$2:$B$301,MATCH($B1100,Vinos!$A$2:$A$301,0)),"Código no cargado"))</f>
        <v/>
      </c>
      <c r="D1100" s="14" t="n"/>
      <c r="E1100" s="14" t="n"/>
      <c r="F1100" s="18" t="n"/>
      <c r="G1100" s="18" t="n"/>
      <c r="H1100" s="21">
        <f>IF(AND($F1100="",$G1100=""),"",N($F1100)*IFERROR(N(INDEX(Vinos!$H$2:$H$301,MATCH($B1100,Vinos!$A$2:$A$301,0))),0)+N($G1100))</f>
        <v/>
      </c>
      <c r="I1100" s="18" t="n"/>
      <c r="J1100" s="21">
        <f>IF(OR($H1100="",$I1100=""),"",$H1100-$I1100)</f>
        <v/>
      </c>
      <c r="K1100" s="16">
        <f>IF($H1100="","",IFERROR(IF(INDEX(Vinos!$J$2:$J$301,MATCH($B1100,Vinos!$A$2:$A$301,0))="","",$H1100*INDEX(Vinos!$J$2:$J$301,MATCH($B1100,Vinos!$A$2:$A$301,0))),""))</f>
        <v/>
      </c>
      <c r="L1100" s="16">
        <f>IF($H1100="","",IFERROR(IF(INDEX(Vinos!$K$2:$K$301,MATCH($B1100,Vinos!$A$2:$A$301,0))="","",$H1100*INDEX(Vinos!$K$2:$K$301,MATCH($B1100,Vinos!$A$2:$A$301,0))),""))</f>
        <v/>
      </c>
      <c r="M1100" s="21">
        <f>IF(OR($A1100="",$B1100=""),"",SUMIFS($H$2:$H$2001,$A$2:$A$2001,$A1100,$B$2:$B$2001,$B1100))</f>
        <v/>
      </c>
      <c r="N1100" s="20">
        <f>IF($M1100="","",IF($M1100&lt;=0,"Sin stock: reponer ya",IF($M1100&lt;IFERROR(N(INDEX(Vinos!$N$2:$N$301,MATCH($B1100,Vinos!$A$2:$A$301,0))),0),"Bajo mínimo: reponer","OK")))</f>
        <v/>
      </c>
      <c r="O1100" s="14" t="n"/>
      <c r="P1100" s="14" t="n"/>
      <c r="Q1100" s="20">
        <f>IF($B1100="","",IFERROR(INDEX(Vinos!$C$2:$C$301,MATCH($B1100,Vinos!$A$2:$A$301,0)),""))</f>
        <v/>
      </c>
      <c r="R1100" s="20">
        <f>IF(OR($A1100="",$A1100&lt;&gt;'Resumen del inventario'!$C$3,$N1100="",$N1100="OK"),"",IF(COUNTIFS($A$2:$A1100,$A1100,$B$2:$B1100,$B1100)=1,1,""))</f>
        <v/>
      </c>
      <c r="S1100" s="20">
        <f>IF($R1100=1,COUNTIF($R$2:$R1100,1),"")</f>
        <v/>
      </c>
    </row>
    <row r="1101">
      <c r="A1101" s="19" t="n"/>
      <c r="B1101" s="14" t="n"/>
      <c r="C1101" s="20">
        <f>IF($B1101="","",IFERROR(INDEX(Vinos!$B$2:$B$301,MATCH($B1101,Vinos!$A$2:$A$301,0)),"Código no cargado"))</f>
        <v/>
      </c>
      <c r="D1101" s="14" t="n"/>
      <c r="E1101" s="14" t="n"/>
      <c r="F1101" s="18" t="n"/>
      <c r="G1101" s="18" t="n"/>
      <c r="H1101" s="21">
        <f>IF(AND($F1101="",$G1101=""),"",N($F1101)*IFERROR(N(INDEX(Vinos!$H$2:$H$301,MATCH($B1101,Vinos!$A$2:$A$301,0))),0)+N($G1101))</f>
        <v/>
      </c>
      <c r="I1101" s="18" t="n"/>
      <c r="J1101" s="21">
        <f>IF(OR($H1101="",$I1101=""),"",$H1101-$I1101)</f>
        <v/>
      </c>
      <c r="K1101" s="16">
        <f>IF($H1101="","",IFERROR(IF(INDEX(Vinos!$J$2:$J$301,MATCH($B1101,Vinos!$A$2:$A$301,0))="","",$H1101*INDEX(Vinos!$J$2:$J$301,MATCH($B1101,Vinos!$A$2:$A$301,0))),""))</f>
        <v/>
      </c>
      <c r="L1101" s="16">
        <f>IF($H1101="","",IFERROR(IF(INDEX(Vinos!$K$2:$K$301,MATCH($B1101,Vinos!$A$2:$A$301,0))="","",$H1101*INDEX(Vinos!$K$2:$K$301,MATCH($B1101,Vinos!$A$2:$A$301,0))),""))</f>
        <v/>
      </c>
      <c r="M1101" s="21">
        <f>IF(OR($A1101="",$B1101=""),"",SUMIFS($H$2:$H$2001,$A$2:$A$2001,$A1101,$B$2:$B$2001,$B1101))</f>
        <v/>
      </c>
      <c r="N1101" s="20">
        <f>IF($M1101="","",IF($M1101&lt;=0,"Sin stock: reponer ya",IF($M1101&lt;IFERROR(N(INDEX(Vinos!$N$2:$N$301,MATCH($B1101,Vinos!$A$2:$A$301,0))),0),"Bajo mínimo: reponer","OK")))</f>
        <v/>
      </c>
      <c r="O1101" s="14" t="n"/>
      <c r="P1101" s="14" t="n"/>
      <c r="Q1101" s="20">
        <f>IF($B1101="","",IFERROR(INDEX(Vinos!$C$2:$C$301,MATCH($B1101,Vinos!$A$2:$A$301,0)),""))</f>
        <v/>
      </c>
      <c r="R1101" s="20">
        <f>IF(OR($A1101="",$A1101&lt;&gt;'Resumen del inventario'!$C$3,$N1101="",$N1101="OK"),"",IF(COUNTIFS($A$2:$A1101,$A1101,$B$2:$B1101,$B1101)=1,1,""))</f>
        <v/>
      </c>
      <c r="S1101" s="20">
        <f>IF($R1101=1,COUNTIF($R$2:$R1101,1),"")</f>
        <v/>
      </c>
    </row>
    <row r="1102">
      <c r="A1102" s="19" t="n"/>
      <c r="B1102" s="14" t="n"/>
      <c r="C1102" s="20">
        <f>IF($B1102="","",IFERROR(INDEX(Vinos!$B$2:$B$301,MATCH($B1102,Vinos!$A$2:$A$301,0)),"Código no cargado"))</f>
        <v/>
      </c>
      <c r="D1102" s="14" t="n"/>
      <c r="E1102" s="14" t="n"/>
      <c r="F1102" s="18" t="n"/>
      <c r="G1102" s="18" t="n"/>
      <c r="H1102" s="21">
        <f>IF(AND($F1102="",$G1102=""),"",N($F1102)*IFERROR(N(INDEX(Vinos!$H$2:$H$301,MATCH($B1102,Vinos!$A$2:$A$301,0))),0)+N($G1102))</f>
        <v/>
      </c>
      <c r="I1102" s="18" t="n"/>
      <c r="J1102" s="21">
        <f>IF(OR($H1102="",$I1102=""),"",$H1102-$I1102)</f>
        <v/>
      </c>
      <c r="K1102" s="16">
        <f>IF($H1102="","",IFERROR(IF(INDEX(Vinos!$J$2:$J$301,MATCH($B1102,Vinos!$A$2:$A$301,0))="","",$H1102*INDEX(Vinos!$J$2:$J$301,MATCH($B1102,Vinos!$A$2:$A$301,0))),""))</f>
        <v/>
      </c>
      <c r="L1102" s="16">
        <f>IF($H1102="","",IFERROR(IF(INDEX(Vinos!$K$2:$K$301,MATCH($B1102,Vinos!$A$2:$A$301,0))="","",$H1102*INDEX(Vinos!$K$2:$K$301,MATCH($B1102,Vinos!$A$2:$A$301,0))),""))</f>
        <v/>
      </c>
      <c r="M1102" s="21">
        <f>IF(OR($A1102="",$B1102=""),"",SUMIFS($H$2:$H$2001,$A$2:$A$2001,$A1102,$B$2:$B$2001,$B1102))</f>
        <v/>
      </c>
      <c r="N1102" s="20">
        <f>IF($M1102="","",IF($M1102&lt;=0,"Sin stock: reponer ya",IF($M1102&lt;IFERROR(N(INDEX(Vinos!$N$2:$N$301,MATCH($B1102,Vinos!$A$2:$A$301,0))),0),"Bajo mínimo: reponer","OK")))</f>
        <v/>
      </c>
      <c r="O1102" s="14" t="n"/>
      <c r="P1102" s="14" t="n"/>
      <c r="Q1102" s="20">
        <f>IF($B1102="","",IFERROR(INDEX(Vinos!$C$2:$C$301,MATCH($B1102,Vinos!$A$2:$A$301,0)),""))</f>
        <v/>
      </c>
      <c r="R1102" s="20">
        <f>IF(OR($A1102="",$A1102&lt;&gt;'Resumen del inventario'!$C$3,$N1102="",$N1102="OK"),"",IF(COUNTIFS($A$2:$A1102,$A1102,$B$2:$B1102,$B1102)=1,1,""))</f>
        <v/>
      </c>
      <c r="S1102" s="20">
        <f>IF($R1102=1,COUNTIF($R$2:$R1102,1),"")</f>
        <v/>
      </c>
    </row>
    <row r="1103">
      <c r="A1103" s="19" t="n"/>
      <c r="B1103" s="14" t="n"/>
      <c r="C1103" s="20">
        <f>IF($B1103="","",IFERROR(INDEX(Vinos!$B$2:$B$301,MATCH($B1103,Vinos!$A$2:$A$301,0)),"Código no cargado"))</f>
        <v/>
      </c>
      <c r="D1103" s="14" t="n"/>
      <c r="E1103" s="14" t="n"/>
      <c r="F1103" s="18" t="n"/>
      <c r="G1103" s="18" t="n"/>
      <c r="H1103" s="21">
        <f>IF(AND($F1103="",$G1103=""),"",N($F1103)*IFERROR(N(INDEX(Vinos!$H$2:$H$301,MATCH($B1103,Vinos!$A$2:$A$301,0))),0)+N($G1103))</f>
        <v/>
      </c>
      <c r="I1103" s="18" t="n"/>
      <c r="J1103" s="21">
        <f>IF(OR($H1103="",$I1103=""),"",$H1103-$I1103)</f>
        <v/>
      </c>
      <c r="K1103" s="16">
        <f>IF($H1103="","",IFERROR(IF(INDEX(Vinos!$J$2:$J$301,MATCH($B1103,Vinos!$A$2:$A$301,0))="","",$H1103*INDEX(Vinos!$J$2:$J$301,MATCH($B1103,Vinos!$A$2:$A$301,0))),""))</f>
        <v/>
      </c>
      <c r="L1103" s="16">
        <f>IF($H1103="","",IFERROR(IF(INDEX(Vinos!$K$2:$K$301,MATCH($B1103,Vinos!$A$2:$A$301,0))="","",$H1103*INDEX(Vinos!$K$2:$K$301,MATCH($B1103,Vinos!$A$2:$A$301,0))),""))</f>
        <v/>
      </c>
      <c r="M1103" s="21">
        <f>IF(OR($A1103="",$B1103=""),"",SUMIFS($H$2:$H$2001,$A$2:$A$2001,$A1103,$B$2:$B$2001,$B1103))</f>
        <v/>
      </c>
      <c r="N1103" s="20">
        <f>IF($M1103="","",IF($M1103&lt;=0,"Sin stock: reponer ya",IF($M1103&lt;IFERROR(N(INDEX(Vinos!$N$2:$N$301,MATCH($B1103,Vinos!$A$2:$A$301,0))),0),"Bajo mínimo: reponer","OK")))</f>
        <v/>
      </c>
      <c r="O1103" s="14" t="n"/>
      <c r="P1103" s="14" t="n"/>
      <c r="Q1103" s="20">
        <f>IF($B1103="","",IFERROR(INDEX(Vinos!$C$2:$C$301,MATCH($B1103,Vinos!$A$2:$A$301,0)),""))</f>
        <v/>
      </c>
      <c r="R1103" s="20">
        <f>IF(OR($A1103="",$A1103&lt;&gt;'Resumen del inventario'!$C$3,$N1103="",$N1103="OK"),"",IF(COUNTIFS($A$2:$A1103,$A1103,$B$2:$B1103,$B1103)=1,1,""))</f>
        <v/>
      </c>
      <c r="S1103" s="20">
        <f>IF($R1103=1,COUNTIF($R$2:$R1103,1),"")</f>
        <v/>
      </c>
    </row>
    <row r="1104">
      <c r="A1104" s="19" t="n"/>
      <c r="B1104" s="14" t="n"/>
      <c r="C1104" s="20">
        <f>IF($B1104="","",IFERROR(INDEX(Vinos!$B$2:$B$301,MATCH($B1104,Vinos!$A$2:$A$301,0)),"Código no cargado"))</f>
        <v/>
      </c>
      <c r="D1104" s="14" t="n"/>
      <c r="E1104" s="14" t="n"/>
      <c r="F1104" s="18" t="n"/>
      <c r="G1104" s="18" t="n"/>
      <c r="H1104" s="21">
        <f>IF(AND($F1104="",$G1104=""),"",N($F1104)*IFERROR(N(INDEX(Vinos!$H$2:$H$301,MATCH($B1104,Vinos!$A$2:$A$301,0))),0)+N($G1104))</f>
        <v/>
      </c>
      <c r="I1104" s="18" t="n"/>
      <c r="J1104" s="21">
        <f>IF(OR($H1104="",$I1104=""),"",$H1104-$I1104)</f>
        <v/>
      </c>
      <c r="K1104" s="16">
        <f>IF($H1104="","",IFERROR(IF(INDEX(Vinos!$J$2:$J$301,MATCH($B1104,Vinos!$A$2:$A$301,0))="","",$H1104*INDEX(Vinos!$J$2:$J$301,MATCH($B1104,Vinos!$A$2:$A$301,0))),""))</f>
        <v/>
      </c>
      <c r="L1104" s="16">
        <f>IF($H1104="","",IFERROR(IF(INDEX(Vinos!$K$2:$K$301,MATCH($B1104,Vinos!$A$2:$A$301,0))="","",$H1104*INDEX(Vinos!$K$2:$K$301,MATCH($B1104,Vinos!$A$2:$A$301,0))),""))</f>
        <v/>
      </c>
      <c r="M1104" s="21">
        <f>IF(OR($A1104="",$B1104=""),"",SUMIFS($H$2:$H$2001,$A$2:$A$2001,$A1104,$B$2:$B$2001,$B1104))</f>
        <v/>
      </c>
      <c r="N1104" s="20">
        <f>IF($M1104="","",IF($M1104&lt;=0,"Sin stock: reponer ya",IF($M1104&lt;IFERROR(N(INDEX(Vinos!$N$2:$N$301,MATCH($B1104,Vinos!$A$2:$A$301,0))),0),"Bajo mínimo: reponer","OK")))</f>
        <v/>
      </c>
      <c r="O1104" s="14" t="n"/>
      <c r="P1104" s="14" t="n"/>
      <c r="Q1104" s="20">
        <f>IF($B1104="","",IFERROR(INDEX(Vinos!$C$2:$C$301,MATCH($B1104,Vinos!$A$2:$A$301,0)),""))</f>
        <v/>
      </c>
      <c r="R1104" s="20">
        <f>IF(OR($A1104="",$A1104&lt;&gt;'Resumen del inventario'!$C$3,$N1104="",$N1104="OK"),"",IF(COUNTIFS($A$2:$A1104,$A1104,$B$2:$B1104,$B1104)=1,1,""))</f>
        <v/>
      </c>
      <c r="S1104" s="20">
        <f>IF($R1104=1,COUNTIF($R$2:$R1104,1),"")</f>
        <v/>
      </c>
    </row>
    <row r="1105">
      <c r="A1105" s="19" t="n"/>
      <c r="B1105" s="14" t="n"/>
      <c r="C1105" s="20">
        <f>IF($B1105="","",IFERROR(INDEX(Vinos!$B$2:$B$301,MATCH($B1105,Vinos!$A$2:$A$301,0)),"Código no cargado"))</f>
        <v/>
      </c>
      <c r="D1105" s="14" t="n"/>
      <c r="E1105" s="14" t="n"/>
      <c r="F1105" s="18" t="n"/>
      <c r="G1105" s="18" t="n"/>
      <c r="H1105" s="21">
        <f>IF(AND($F1105="",$G1105=""),"",N($F1105)*IFERROR(N(INDEX(Vinos!$H$2:$H$301,MATCH($B1105,Vinos!$A$2:$A$301,0))),0)+N($G1105))</f>
        <v/>
      </c>
      <c r="I1105" s="18" t="n"/>
      <c r="J1105" s="21">
        <f>IF(OR($H1105="",$I1105=""),"",$H1105-$I1105)</f>
        <v/>
      </c>
      <c r="K1105" s="16">
        <f>IF($H1105="","",IFERROR(IF(INDEX(Vinos!$J$2:$J$301,MATCH($B1105,Vinos!$A$2:$A$301,0))="","",$H1105*INDEX(Vinos!$J$2:$J$301,MATCH($B1105,Vinos!$A$2:$A$301,0))),""))</f>
        <v/>
      </c>
      <c r="L1105" s="16">
        <f>IF($H1105="","",IFERROR(IF(INDEX(Vinos!$K$2:$K$301,MATCH($B1105,Vinos!$A$2:$A$301,0))="","",$H1105*INDEX(Vinos!$K$2:$K$301,MATCH($B1105,Vinos!$A$2:$A$301,0))),""))</f>
        <v/>
      </c>
      <c r="M1105" s="21">
        <f>IF(OR($A1105="",$B1105=""),"",SUMIFS($H$2:$H$2001,$A$2:$A$2001,$A1105,$B$2:$B$2001,$B1105))</f>
        <v/>
      </c>
      <c r="N1105" s="20">
        <f>IF($M1105="","",IF($M1105&lt;=0,"Sin stock: reponer ya",IF($M1105&lt;IFERROR(N(INDEX(Vinos!$N$2:$N$301,MATCH($B1105,Vinos!$A$2:$A$301,0))),0),"Bajo mínimo: reponer","OK")))</f>
        <v/>
      </c>
      <c r="O1105" s="14" t="n"/>
      <c r="P1105" s="14" t="n"/>
      <c r="Q1105" s="20">
        <f>IF($B1105="","",IFERROR(INDEX(Vinos!$C$2:$C$301,MATCH($B1105,Vinos!$A$2:$A$301,0)),""))</f>
        <v/>
      </c>
      <c r="R1105" s="20">
        <f>IF(OR($A1105="",$A1105&lt;&gt;'Resumen del inventario'!$C$3,$N1105="",$N1105="OK"),"",IF(COUNTIFS($A$2:$A1105,$A1105,$B$2:$B1105,$B1105)=1,1,""))</f>
        <v/>
      </c>
      <c r="S1105" s="20">
        <f>IF($R1105=1,COUNTIF($R$2:$R1105,1),"")</f>
        <v/>
      </c>
    </row>
    <row r="1106">
      <c r="A1106" s="19" t="n"/>
      <c r="B1106" s="14" t="n"/>
      <c r="C1106" s="20">
        <f>IF($B1106="","",IFERROR(INDEX(Vinos!$B$2:$B$301,MATCH($B1106,Vinos!$A$2:$A$301,0)),"Código no cargado"))</f>
        <v/>
      </c>
      <c r="D1106" s="14" t="n"/>
      <c r="E1106" s="14" t="n"/>
      <c r="F1106" s="18" t="n"/>
      <c r="G1106" s="18" t="n"/>
      <c r="H1106" s="21">
        <f>IF(AND($F1106="",$G1106=""),"",N($F1106)*IFERROR(N(INDEX(Vinos!$H$2:$H$301,MATCH($B1106,Vinos!$A$2:$A$301,0))),0)+N($G1106))</f>
        <v/>
      </c>
      <c r="I1106" s="18" t="n"/>
      <c r="J1106" s="21">
        <f>IF(OR($H1106="",$I1106=""),"",$H1106-$I1106)</f>
        <v/>
      </c>
      <c r="K1106" s="16">
        <f>IF($H1106="","",IFERROR(IF(INDEX(Vinos!$J$2:$J$301,MATCH($B1106,Vinos!$A$2:$A$301,0))="","",$H1106*INDEX(Vinos!$J$2:$J$301,MATCH($B1106,Vinos!$A$2:$A$301,0))),""))</f>
        <v/>
      </c>
      <c r="L1106" s="16">
        <f>IF($H1106="","",IFERROR(IF(INDEX(Vinos!$K$2:$K$301,MATCH($B1106,Vinos!$A$2:$A$301,0))="","",$H1106*INDEX(Vinos!$K$2:$K$301,MATCH($B1106,Vinos!$A$2:$A$301,0))),""))</f>
        <v/>
      </c>
      <c r="M1106" s="21">
        <f>IF(OR($A1106="",$B1106=""),"",SUMIFS($H$2:$H$2001,$A$2:$A$2001,$A1106,$B$2:$B$2001,$B1106))</f>
        <v/>
      </c>
      <c r="N1106" s="20">
        <f>IF($M1106="","",IF($M1106&lt;=0,"Sin stock: reponer ya",IF($M1106&lt;IFERROR(N(INDEX(Vinos!$N$2:$N$301,MATCH($B1106,Vinos!$A$2:$A$301,0))),0),"Bajo mínimo: reponer","OK")))</f>
        <v/>
      </c>
      <c r="O1106" s="14" t="n"/>
      <c r="P1106" s="14" t="n"/>
      <c r="Q1106" s="20">
        <f>IF($B1106="","",IFERROR(INDEX(Vinos!$C$2:$C$301,MATCH($B1106,Vinos!$A$2:$A$301,0)),""))</f>
        <v/>
      </c>
      <c r="R1106" s="20">
        <f>IF(OR($A1106="",$A1106&lt;&gt;'Resumen del inventario'!$C$3,$N1106="",$N1106="OK"),"",IF(COUNTIFS($A$2:$A1106,$A1106,$B$2:$B1106,$B1106)=1,1,""))</f>
        <v/>
      </c>
      <c r="S1106" s="20">
        <f>IF($R1106=1,COUNTIF($R$2:$R1106,1),"")</f>
        <v/>
      </c>
    </row>
    <row r="1107">
      <c r="A1107" s="19" t="n"/>
      <c r="B1107" s="14" t="n"/>
      <c r="C1107" s="20">
        <f>IF($B1107="","",IFERROR(INDEX(Vinos!$B$2:$B$301,MATCH($B1107,Vinos!$A$2:$A$301,0)),"Código no cargado"))</f>
        <v/>
      </c>
      <c r="D1107" s="14" t="n"/>
      <c r="E1107" s="14" t="n"/>
      <c r="F1107" s="18" t="n"/>
      <c r="G1107" s="18" t="n"/>
      <c r="H1107" s="21">
        <f>IF(AND($F1107="",$G1107=""),"",N($F1107)*IFERROR(N(INDEX(Vinos!$H$2:$H$301,MATCH($B1107,Vinos!$A$2:$A$301,0))),0)+N($G1107))</f>
        <v/>
      </c>
      <c r="I1107" s="18" t="n"/>
      <c r="J1107" s="21">
        <f>IF(OR($H1107="",$I1107=""),"",$H1107-$I1107)</f>
        <v/>
      </c>
      <c r="K1107" s="16">
        <f>IF($H1107="","",IFERROR(IF(INDEX(Vinos!$J$2:$J$301,MATCH($B1107,Vinos!$A$2:$A$301,0))="","",$H1107*INDEX(Vinos!$J$2:$J$301,MATCH($B1107,Vinos!$A$2:$A$301,0))),""))</f>
        <v/>
      </c>
      <c r="L1107" s="16">
        <f>IF($H1107="","",IFERROR(IF(INDEX(Vinos!$K$2:$K$301,MATCH($B1107,Vinos!$A$2:$A$301,0))="","",$H1107*INDEX(Vinos!$K$2:$K$301,MATCH($B1107,Vinos!$A$2:$A$301,0))),""))</f>
        <v/>
      </c>
      <c r="M1107" s="21">
        <f>IF(OR($A1107="",$B1107=""),"",SUMIFS($H$2:$H$2001,$A$2:$A$2001,$A1107,$B$2:$B$2001,$B1107))</f>
        <v/>
      </c>
      <c r="N1107" s="20">
        <f>IF($M1107="","",IF($M1107&lt;=0,"Sin stock: reponer ya",IF($M1107&lt;IFERROR(N(INDEX(Vinos!$N$2:$N$301,MATCH($B1107,Vinos!$A$2:$A$301,0))),0),"Bajo mínimo: reponer","OK")))</f>
        <v/>
      </c>
      <c r="O1107" s="14" t="n"/>
      <c r="P1107" s="14" t="n"/>
      <c r="Q1107" s="20">
        <f>IF($B1107="","",IFERROR(INDEX(Vinos!$C$2:$C$301,MATCH($B1107,Vinos!$A$2:$A$301,0)),""))</f>
        <v/>
      </c>
      <c r="R1107" s="20">
        <f>IF(OR($A1107="",$A1107&lt;&gt;'Resumen del inventario'!$C$3,$N1107="",$N1107="OK"),"",IF(COUNTIFS($A$2:$A1107,$A1107,$B$2:$B1107,$B1107)=1,1,""))</f>
        <v/>
      </c>
      <c r="S1107" s="20">
        <f>IF($R1107=1,COUNTIF($R$2:$R1107,1),"")</f>
        <v/>
      </c>
    </row>
    <row r="1108">
      <c r="A1108" s="19" t="n"/>
      <c r="B1108" s="14" t="n"/>
      <c r="C1108" s="20">
        <f>IF($B1108="","",IFERROR(INDEX(Vinos!$B$2:$B$301,MATCH($B1108,Vinos!$A$2:$A$301,0)),"Código no cargado"))</f>
        <v/>
      </c>
      <c r="D1108" s="14" t="n"/>
      <c r="E1108" s="14" t="n"/>
      <c r="F1108" s="18" t="n"/>
      <c r="G1108" s="18" t="n"/>
      <c r="H1108" s="21">
        <f>IF(AND($F1108="",$G1108=""),"",N($F1108)*IFERROR(N(INDEX(Vinos!$H$2:$H$301,MATCH($B1108,Vinos!$A$2:$A$301,0))),0)+N($G1108))</f>
        <v/>
      </c>
      <c r="I1108" s="18" t="n"/>
      <c r="J1108" s="21">
        <f>IF(OR($H1108="",$I1108=""),"",$H1108-$I1108)</f>
        <v/>
      </c>
      <c r="K1108" s="16">
        <f>IF($H1108="","",IFERROR(IF(INDEX(Vinos!$J$2:$J$301,MATCH($B1108,Vinos!$A$2:$A$301,0))="","",$H1108*INDEX(Vinos!$J$2:$J$301,MATCH($B1108,Vinos!$A$2:$A$301,0))),""))</f>
        <v/>
      </c>
      <c r="L1108" s="16">
        <f>IF($H1108="","",IFERROR(IF(INDEX(Vinos!$K$2:$K$301,MATCH($B1108,Vinos!$A$2:$A$301,0))="","",$H1108*INDEX(Vinos!$K$2:$K$301,MATCH($B1108,Vinos!$A$2:$A$301,0))),""))</f>
        <v/>
      </c>
      <c r="M1108" s="21">
        <f>IF(OR($A1108="",$B1108=""),"",SUMIFS($H$2:$H$2001,$A$2:$A$2001,$A1108,$B$2:$B$2001,$B1108))</f>
        <v/>
      </c>
      <c r="N1108" s="20">
        <f>IF($M1108="","",IF($M1108&lt;=0,"Sin stock: reponer ya",IF($M1108&lt;IFERROR(N(INDEX(Vinos!$N$2:$N$301,MATCH($B1108,Vinos!$A$2:$A$301,0))),0),"Bajo mínimo: reponer","OK")))</f>
        <v/>
      </c>
      <c r="O1108" s="14" t="n"/>
      <c r="P1108" s="14" t="n"/>
      <c r="Q1108" s="20">
        <f>IF($B1108="","",IFERROR(INDEX(Vinos!$C$2:$C$301,MATCH($B1108,Vinos!$A$2:$A$301,0)),""))</f>
        <v/>
      </c>
      <c r="R1108" s="20">
        <f>IF(OR($A1108="",$A1108&lt;&gt;'Resumen del inventario'!$C$3,$N1108="",$N1108="OK"),"",IF(COUNTIFS($A$2:$A1108,$A1108,$B$2:$B1108,$B1108)=1,1,""))</f>
        <v/>
      </c>
      <c r="S1108" s="20">
        <f>IF($R1108=1,COUNTIF($R$2:$R1108,1),"")</f>
        <v/>
      </c>
    </row>
    <row r="1109">
      <c r="A1109" s="19" t="n"/>
      <c r="B1109" s="14" t="n"/>
      <c r="C1109" s="20">
        <f>IF($B1109="","",IFERROR(INDEX(Vinos!$B$2:$B$301,MATCH($B1109,Vinos!$A$2:$A$301,0)),"Código no cargado"))</f>
        <v/>
      </c>
      <c r="D1109" s="14" t="n"/>
      <c r="E1109" s="14" t="n"/>
      <c r="F1109" s="18" t="n"/>
      <c r="G1109" s="18" t="n"/>
      <c r="H1109" s="21">
        <f>IF(AND($F1109="",$G1109=""),"",N($F1109)*IFERROR(N(INDEX(Vinos!$H$2:$H$301,MATCH($B1109,Vinos!$A$2:$A$301,0))),0)+N($G1109))</f>
        <v/>
      </c>
      <c r="I1109" s="18" t="n"/>
      <c r="J1109" s="21">
        <f>IF(OR($H1109="",$I1109=""),"",$H1109-$I1109)</f>
        <v/>
      </c>
      <c r="K1109" s="16">
        <f>IF($H1109="","",IFERROR(IF(INDEX(Vinos!$J$2:$J$301,MATCH($B1109,Vinos!$A$2:$A$301,0))="","",$H1109*INDEX(Vinos!$J$2:$J$301,MATCH($B1109,Vinos!$A$2:$A$301,0))),""))</f>
        <v/>
      </c>
      <c r="L1109" s="16">
        <f>IF($H1109="","",IFERROR(IF(INDEX(Vinos!$K$2:$K$301,MATCH($B1109,Vinos!$A$2:$A$301,0))="","",$H1109*INDEX(Vinos!$K$2:$K$301,MATCH($B1109,Vinos!$A$2:$A$301,0))),""))</f>
        <v/>
      </c>
      <c r="M1109" s="21">
        <f>IF(OR($A1109="",$B1109=""),"",SUMIFS($H$2:$H$2001,$A$2:$A$2001,$A1109,$B$2:$B$2001,$B1109))</f>
        <v/>
      </c>
      <c r="N1109" s="20">
        <f>IF($M1109="","",IF($M1109&lt;=0,"Sin stock: reponer ya",IF($M1109&lt;IFERROR(N(INDEX(Vinos!$N$2:$N$301,MATCH($B1109,Vinos!$A$2:$A$301,0))),0),"Bajo mínimo: reponer","OK")))</f>
        <v/>
      </c>
      <c r="O1109" s="14" t="n"/>
      <c r="P1109" s="14" t="n"/>
      <c r="Q1109" s="20">
        <f>IF($B1109="","",IFERROR(INDEX(Vinos!$C$2:$C$301,MATCH($B1109,Vinos!$A$2:$A$301,0)),""))</f>
        <v/>
      </c>
      <c r="R1109" s="20">
        <f>IF(OR($A1109="",$A1109&lt;&gt;'Resumen del inventario'!$C$3,$N1109="",$N1109="OK"),"",IF(COUNTIFS($A$2:$A1109,$A1109,$B$2:$B1109,$B1109)=1,1,""))</f>
        <v/>
      </c>
      <c r="S1109" s="20">
        <f>IF($R1109=1,COUNTIF($R$2:$R1109,1),"")</f>
        <v/>
      </c>
    </row>
    <row r="1110">
      <c r="A1110" s="19" t="n"/>
      <c r="B1110" s="14" t="n"/>
      <c r="C1110" s="20">
        <f>IF($B1110="","",IFERROR(INDEX(Vinos!$B$2:$B$301,MATCH($B1110,Vinos!$A$2:$A$301,0)),"Código no cargado"))</f>
        <v/>
      </c>
      <c r="D1110" s="14" t="n"/>
      <c r="E1110" s="14" t="n"/>
      <c r="F1110" s="18" t="n"/>
      <c r="G1110" s="18" t="n"/>
      <c r="H1110" s="21">
        <f>IF(AND($F1110="",$G1110=""),"",N($F1110)*IFERROR(N(INDEX(Vinos!$H$2:$H$301,MATCH($B1110,Vinos!$A$2:$A$301,0))),0)+N($G1110))</f>
        <v/>
      </c>
      <c r="I1110" s="18" t="n"/>
      <c r="J1110" s="21">
        <f>IF(OR($H1110="",$I1110=""),"",$H1110-$I1110)</f>
        <v/>
      </c>
      <c r="K1110" s="16">
        <f>IF($H1110="","",IFERROR(IF(INDEX(Vinos!$J$2:$J$301,MATCH($B1110,Vinos!$A$2:$A$301,0))="","",$H1110*INDEX(Vinos!$J$2:$J$301,MATCH($B1110,Vinos!$A$2:$A$301,0))),""))</f>
        <v/>
      </c>
      <c r="L1110" s="16">
        <f>IF($H1110="","",IFERROR(IF(INDEX(Vinos!$K$2:$K$301,MATCH($B1110,Vinos!$A$2:$A$301,0))="","",$H1110*INDEX(Vinos!$K$2:$K$301,MATCH($B1110,Vinos!$A$2:$A$301,0))),""))</f>
        <v/>
      </c>
      <c r="M1110" s="21">
        <f>IF(OR($A1110="",$B1110=""),"",SUMIFS($H$2:$H$2001,$A$2:$A$2001,$A1110,$B$2:$B$2001,$B1110))</f>
        <v/>
      </c>
      <c r="N1110" s="20">
        <f>IF($M1110="","",IF($M1110&lt;=0,"Sin stock: reponer ya",IF($M1110&lt;IFERROR(N(INDEX(Vinos!$N$2:$N$301,MATCH($B1110,Vinos!$A$2:$A$301,0))),0),"Bajo mínimo: reponer","OK")))</f>
        <v/>
      </c>
      <c r="O1110" s="14" t="n"/>
      <c r="P1110" s="14" t="n"/>
      <c r="Q1110" s="20">
        <f>IF($B1110="","",IFERROR(INDEX(Vinos!$C$2:$C$301,MATCH($B1110,Vinos!$A$2:$A$301,0)),""))</f>
        <v/>
      </c>
      <c r="R1110" s="20">
        <f>IF(OR($A1110="",$A1110&lt;&gt;'Resumen del inventario'!$C$3,$N1110="",$N1110="OK"),"",IF(COUNTIFS($A$2:$A1110,$A1110,$B$2:$B1110,$B1110)=1,1,""))</f>
        <v/>
      </c>
      <c r="S1110" s="20">
        <f>IF($R1110=1,COUNTIF($R$2:$R1110,1),"")</f>
        <v/>
      </c>
    </row>
    <row r="1111">
      <c r="A1111" s="19" t="n"/>
      <c r="B1111" s="14" t="n"/>
      <c r="C1111" s="20">
        <f>IF($B1111="","",IFERROR(INDEX(Vinos!$B$2:$B$301,MATCH($B1111,Vinos!$A$2:$A$301,0)),"Código no cargado"))</f>
        <v/>
      </c>
      <c r="D1111" s="14" t="n"/>
      <c r="E1111" s="14" t="n"/>
      <c r="F1111" s="18" t="n"/>
      <c r="G1111" s="18" t="n"/>
      <c r="H1111" s="21">
        <f>IF(AND($F1111="",$G1111=""),"",N($F1111)*IFERROR(N(INDEX(Vinos!$H$2:$H$301,MATCH($B1111,Vinos!$A$2:$A$301,0))),0)+N($G1111))</f>
        <v/>
      </c>
      <c r="I1111" s="18" t="n"/>
      <c r="J1111" s="21">
        <f>IF(OR($H1111="",$I1111=""),"",$H1111-$I1111)</f>
        <v/>
      </c>
      <c r="K1111" s="16">
        <f>IF($H1111="","",IFERROR(IF(INDEX(Vinos!$J$2:$J$301,MATCH($B1111,Vinos!$A$2:$A$301,0))="","",$H1111*INDEX(Vinos!$J$2:$J$301,MATCH($B1111,Vinos!$A$2:$A$301,0))),""))</f>
        <v/>
      </c>
      <c r="L1111" s="16">
        <f>IF($H1111="","",IFERROR(IF(INDEX(Vinos!$K$2:$K$301,MATCH($B1111,Vinos!$A$2:$A$301,0))="","",$H1111*INDEX(Vinos!$K$2:$K$301,MATCH($B1111,Vinos!$A$2:$A$301,0))),""))</f>
        <v/>
      </c>
      <c r="M1111" s="21">
        <f>IF(OR($A1111="",$B1111=""),"",SUMIFS($H$2:$H$2001,$A$2:$A$2001,$A1111,$B$2:$B$2001,$B1111))</f>
        <v/>
      </c>
      <c r="N1111" s="20">
        <f>IF($M1111="","",IF($M1111&lt;=0,"Sin stock: reponer ya",IF($M1111&lt;IFERROR(N(INDEX(Vinos!$N$2:$N$301,MATCH($B1111,Vinos!$A$2:$A$301,0))),0),"Bajo mínimo: reponer","OK")))</f>
        <v/>
      </c>
      <c r="O1111" s="14" t="n"/>
      <c r="P1111" s="14" t="n"/>
      <c r="Q1111" s="20">
        <f>IF($B1111="","",IFERROR(INDEX(Vinos!$C$2:$C$301,MATCH($B1111,Vinos!$A$2:$A$301,0)),""))</f>
        <v/>
      </c>
      <c r="R1111" s="20">
        <f>IF(OR($A1111="",$A1111&lt;&gt;'Resumen del inventario'!$C$3,$N1111="",$N1111="OK"),"",IF(COUNTIFS($A$2:$A1111,$A1111,$B$2:$B1111,$B1111)=1,1,""))</f>
        <v/>
      </c>
      <c r="S1111" s="20">
        <f>IF($R1111=1,COUNTIF($R$2:$R1111,1),"")</f>
        <v/>
      </c>
    </row>
    <row r="1112">
      <c r="A1112" s="19" t="n"/>
      <c r="B1112" s="14" t="n"/>
      <c r="C1112" s="20">
        <f>IF($B1112="","",IFERROR(INDEX(Vinos!$B$2:$B$301,MATCH($B1112,Vinos!$A$2:$A$301,0)),"Código no cargado"))</f>
        <v/>
      </c>
      <c r="D1112" s="14" t="n"/>
      <c r="E1112" s="14" t="n"/>
      <c r="F1112" s="18" t="n"/>
      <c r="G1112" s="18" t="n"/>
      <c r="H1112" s="21">
        <f>IF(AND($F1112="",$G1112=""),"",N($F1112)*IFERROR(N(INDEX(Vinos!$H$2:$H$301,MATCH($B1112,Vinos!$A$2:$A$301,0))),0)+N($G1112))</f>
        <v/>
      </c>
      <c r="I1112" s="18" t="n"/>
      <c r="J1112" s="21">
        <f>IF(OR($H1112="",$I1112=""),"",$H1112-$I1112)</f>
        <v/>
      </c>
      <c r="K1112" s="16">
        <f>IF($H1112="","",IFERROR(IF(INDEX(Vinos!$J$2:$J$301,MATCH($B1112,Vinos!$A$2:$A$301,0))="","",$H1112*INDEX(Vinos!$J$2:$J$301,MATCH($B1112,Vinos!$A$2:$A$301,0))),""))</f>
        <v/>
      </c>
      <c r="L1112" s="16">
        <f>IF($H1112="","",IFERROR(IF(INDEX(Vinos!$K$2:$K$301,MATCH($B1112,Vinos!$A$2:$A$301,0))="","",$H1112*INDEX(Vinos!$K$2:$K$301,MATCH($B1112,Vinos!$A$2:$A$301,0))),""))</f>
        <v/>
      </c>
      <c r="M1112" s="21">
        <f>IF(OR($A1112="",$B1112=""),"",SUMIFS($H$2:$H$2001,$A$2:$A$2001,$A1112,$B$2:$B$2001,$B1112))</f>
        <v/>
      </c>
      <c r="N1112" s="20">
        <f>IF($M1112="","",IF($M1112&lt;=0,"Sin stock: reponer ya",IF($M1112&lt;IFERROR(N(INDEX(Vinos!$N$2:$N$301,MATCH($B1112,Vinos!$A$2:$A$301,0))),0),"Bajo mínimo: reponer","OK")))</f>
        <v/>
      </c>
      <c r="O1112" s="14" t="n"/>
      <c r="P1112" s="14" t="n"/>
      <c r="Q1112" s="20">
        <f>IF($B1112="","",IFERROR(INDEX(Vinos!$C$2:$C$301,MATCH($B1112,Vinos!$A$2:$A$301,0)),""))</f>
        <v/>
      </c>
      <c r="R1112" s="20">
        <f>IF(OR($A1112="",$A1112&lt;&gt;'Resumen del inventario'!$C$3,$N1112="",$N1112="OK"),"",IF(COUNTIFS($A$2:$A1112,$A1112,$B$2:$B1112,$B1112)=1,1,""))</f>
        <v/>
      </c>
      <c r="S1112" s="20">
        <f>IF($R1112=1,COUNTIF($R$2:$R1112,1),"")</f>
        <v/>
      </c>
    </row>
    <row r="1113">
      <c r="A1113" s="19" t="n"/>
      <c r="B1113" s="14" t="n"/>
      <c r="C1113" s="20">
        <f>IF($B1113="","",IFERROR(INDEX(Vinos!$B$2:$B$301,MATCH($B1113,Vinos!$A$2:$A$301,0)),"Código no cargado"))</f>
        <v/>
      </c>
      <c r="D1113" s="14" t="n"/>
      <c r="E1113" s="14" t="n"/>
      <c r="F1113" s="18" t="n"/>
      <c r="G1113" s="18" t="n"/>
      <c r="H1113" s="21">
        <f>IF(AND($F1113="",$G1113=""),"",N($F1113)*IFERROR(N(INDEX(Vinos!$H$2:$H$301,MATCH($B1113,Vinos!$A$2:$A$301,0))),0)+N($G1113))</f>
        <v/>
      </c>
      <c r="I1113" s="18" t="n"/>
      <c r="J1113" s="21">
        <f>IF(OR($H1113="",$I1113=""),"",$H1113-$I1113)</f>
        <v/>
      </c>
      <c r="K1113" s="16">
        <f>IF($H1113="","",IFERROR(IF(INDEX(Vinos!$J$2:$J$301,MATCH($B1113,Vinos!$A$2:$A$301,0))="","",$H1113*INDEX(Vinos!$J$2:$J$301,MATCH($B1113,Vinos!$A$2:$A$301,0))),""))</f>
        <v/>
      </c>
      <c r="L1113" s="16">
        <f>IF($H1113="","",IFERROR(IF(INDEX(Vinos!$K$2:$K$301,MATCH($B1113,Vinos!$A$2:$A$301,0))="","",$H1113*INDEX(Vinos!$K$2:$K$301,MATCH($B1113,Vinos!$A$2:$A$301,0))),""))</f>
        <v/>
      </c>
      <c r="M1113" s="21">
        <f>IF(OR($A1113="",$B1113=""),"",SUMIFS($H$2:$H$2001,$A$2:$A$2001,$A1113,$B$2:$B$2001,$B1113))</f>
        <v/>
      </c>
      <c r="N1113" s="20">
        <f>IF($M1113="","",IF($M1113&lt;=0,"Sin stock: reponer ya",IF($M1113&lt;IFERROR(N(INDEX(Vinos!$N$2:$N$301,MATCH($B1113,Vinos!$A$2:$A$301,0))),0),"Bajo mínimo: reponer","OK")))</f>
        <v/>
      </c>
      <c r="O1113" s="14" t="n"/>
      <c r="P1113" s="14" t="n"/>
      <c r="Q1113" s="20">
        <f>IF($B1113="","",IFERROR(INDEX(Vinos!$C$2:$C$301,MATCH($B1113,Vinos!$A$2:$A$301,0)),""))</f>
        <v/>
      </c>
      <c r="R1113" s="20">
        <f>IF(OR($A1113="",$A1113&lt;&gt;'Resumen del inventario'!$C$3,$N1113="",$N1113="OK"),"",IF(COUNTIFS($A$2:$A1113,$A1113,$B$2:$B1113,$B1113)=1,1,""))</f>
        <v/>
      </c>
      <c r="S1113" s="20">
        <f>IF($R1113=1,COUNTIF($R$2:$R1113,1),"")</f>
        <v/>
      </c>
    </row>
    <row r="1114">
      <c r="A1114" s="19" t="n"/>
      <c r="B1114" s="14" t="n"/>
      <c r="C1114" s="20">
        <f>IF($B1114="","",IFERROR(INDEX(Vinos!$B$2:$B$301,MATCH($B1114,Vinos!$A$2:$A$301,0)),"Código no cargado"))</f>
        <v/>
      </c>
      <c r="D1114" s="14" t="n"/>
      <c r="E1114" s="14" t="n"/>
      <c r="F1114" s="18" t="n"/>
      <c r="G1114" s="18" t="n"/>
      <c r="H1114" s="21">
        <f>IF(AND($F1114="",$G1114=""),"",N($F1114)*IFERROR(N(INDEX(Vinos!$H$2:$H$301,MATCH($B1114,Vinos!$A$2:$A$301,0))),0)+N($G1114))</f>
        <v/>
      </c>
      <c r="I1114" s="18" t="n"/>
      <c r="J1114" s="21">
        <f>IF(OR($H1114="",$I1114=""),"",$H1114-$I1114)</f>
        <v/>
      </c>
      <c r="K1114" s="16">
        <f>IF($H1114="","",IFERROR(IF(INDEX(Vinos!$J$2:$J$301,MATCH($B1114,Vinos!$A$2:$A$301,0))="","",$H1114*INDEX(Vinos!$J$2:$J$301,MATCH($B1114,Vinos!$A$2:$A$301,0))),""))</f>
        <v/>
      </c>
      <c r="L1114" s="16">
        <f>IF($H1114="","",IFERROR(IF(INDEX(Vinos!$K$2:$K$301,MATCH($B1114,Vinos!$A$2:$A$301,0))="","",$H1114*INDEX(Vinos!$K$2:$K$301,MATCH($B1114,Vinos!$A$2:$A$301,0))),""))</f>
        <v/>
      </c>
      <c r="M1114" s="21">
        <f>IF(OR($A1114="",$B1114=""),"",SUMIFS($H$2:$H$2001,$A$2:$A$2001,$A1114,$B$2:$B$2001,$B1114))</f>
        <v/>
      </c>
      <c r="N1114" s="20">
        <f>IF($M1114="","",IF($M1114&lt;=0,"Sin stock: reponer ya",IF($M1114&lt;IFERROR(N(INDEX(Vinos!$N$2:$N$301,MATCH($B1114,Vinos!$A$2:$A$301,0))),0),"Bajo mínimo: reponer","OK")))</f>
        <v/>
      </c>
      <c r="O1114" s="14" t="n"/>
      <c r="P1114" s="14" t="n"/>
      <c r="Q1114" s="20">
        <f>IF($B1114="","",IFERROR(INDEX(Vinos!$C$2:$C$301,MATCH($B1114,Vinos!$A$2:$A$301,0)),""))</f>
        <v/>
      </c>
      <c r="R1114" s="20">
        <f>IF(OR($A1114="",$A1114&lt;&gt;'Resumen del inventario'!$C$3,$N1114="",$N1114="OK"),"",IF(COUNTIFS($A$2:$A1114,$A1114,$B$2:$B1114,$B1114)=1,1,""))</f>
        <v/>
      </c>
      <c r="S1114" s="20">
        <f>IF($R1114=1,COUNTIF($R$2:$R1114,1),"")</f>
        <v/>
      </c>
    </row>
    <row r="1115">
      <c r="A1115" s="19" t="n"/>
      <c r="B1115" s="14" t="n"/>
      <c r="C1115" s="20">
        <f>IF($B1115="","",IFERROR(INDEX(Vinos!$B$2:$B$301,MATCH($B1115,Vinos!$A$2:$A$301,0)),"Código no cargado"))</f>
        <v/>
      </c>
      <c r="D1115" s="14" t="n"/>
      <c r="E1115" s="14" t="n"/>
      <c r="F1115" s="18" t="n"/>
      <c r="G1115" s="18" t="n"/>
      <c r="H1115" s="21">
        <f>IF(AND($F1115="",$G1115=""),"",N($F1115)*IFERROR(N(INDEX(Vinos!$H$2:$H$301,MATCH($B1115,Vinos!$A$2:$A$301,0))),0)+N($G1115))</f>
        <v/>
      </c>
      <c r="I1115" s="18" t="n"/>
      <c r="J1115" s="21">
        <f>IF(OR($H1115="",$I1115=""),"",$H1115-$I1115)</f>
        <v/>
      </c>
      <c r="K1115" s="16">
        <f>IF($H1115="","",IFERROR(IF(INDEX(Vinos!$J$2:$J$301,MATCH($B1115,Vinos!$A$2:$A$301,0))="","",$H1115*INDEX(Vinos!$J$2:$J$301,MATCH($B1115,Vinos!$A$2:$A$301,0))),""))</f>
        <v/>
      </c>
      <c r="L1115" s="16">
        <f>IF($H1115="","",IFERROR(IF(INDEX(Vinos!$K$2:$K$301,MATCH($B1115,Vinos!$A$2:$A$301,0))="","",$H1115*INDEX(Vinos!$K$2:$K$301,MATCH($B1115,Vinos!$A$2:$A$301,0))),""))</f>
        <v/>
      </c>
      <c r="M1115" s="21">
        <f>IF(OR($A1115="",$B1115=""),"",SUMIFS($H$2:$H$2001,$A$2:$A$2001,$A1115,$B$2:$B$2001,$B1115))</f>
        <v/>
      </c>
      <c r="N1115" s="20">
        <f>IF($M1115="","",IF($M1115&lt;=0,"Sin stock: reponer ya",IF($M1115&lt;IFERROR(N(INDEX(Vinos!$N$2:$N$301,MATCH($B1115,Vinos!$A$2:$A$301,0))),0),"Bajo mínimo: reponer","OK")))</f>
        <v/>
      </c>
      <c r="O1115" s="14" t="n"/>
      <c r="P1115" s="14" t="n"/>
      <c r="Q1115" s="20">
        <f>IF($B1115="","",IFERROR(INDEX(Vinos!$C$2:$C$301,MATCH($B1115,Vinos!$A$2:$A$301,0)),""))</f>
        <v/>
      </c>
      <c r="R1115" s="20">
        <f>IF(OR($A1115="",$A1115&lt;&gt;'Resumen del inventario'!$C$3,$N1115="",$N1115="OK"),"",IF(COUNTIFS($A$2:$A1115,$A1115,$B$2:$B1115,$B1115)=1,1,""))</f>
        <v/>
      </c>
      <c r="S1115" s="20">
        <f>IF($R1115=1,COUNTIF($R$2:$R1115,1),"")</f>
        <v/>
      </c>
    </row>
    <row r="1116">
      <c r="A1116" s="19" t="n"/>
      <c r="B1116" s="14" t="n"/>
      <c r="C1116" s="20">
        <f>IF($B1116="","",IFERROR(INDEX(Vinos!$B$2:$B$301,MATCH($B1116,Vinos!$A$2:$A$301,0)),"Código no cargado"))</f>
        <v/>
      </c>
      <c r="D1116" s="14" t="n"/>
      <c r="E1116" s="14" t="n"/>
      <c r="F1116" s="18" t="n"/>
      <c r="G1116" s="18" t="n"/>
      <c r="H1116" s="21">
        <f>IF(AND($F1116="",$G1116=""),"",N($F1116)*IFERROR(N(INDEX(Vinos!$H$2:$H$301,MATCH($B1116,Vinos!$A$2:$A$301,0))),0)+N($G1116))</f>
        <v/>
      </c>
      <c r="I1116" s="18" t="n"/>
      <c r="J1116" s="21">
        <f>IF(OR($H1116="",$I1116=""),"",$H1116-$I1116)</f>
        <v/>
      </c>
      <c r="K1116" s="16">
        <f>IF($H1116="","",IFERROR(IF(INDEX(Vinos!$J$2:$J$301,MATCH($B1116,Vinos!$A$2:$A$301,0))="","",$H1116*INDEX(Vinos!$J$2:$J$301,MATCH($B1116,Vinos!$A$2:$A$301,0))),""))</f>
        <v/>
      </c>
      <c r="L1116" s="16">
        <f>IF($H1116="","",IFERROR(IF(INDEX(Vinos!$K$2:$K$301,MATCH($B1116,Vinos!$A$2:$A$301,0))="","",$H1116*INDEX(Vinos!$K$2:$K$301,MATCH($B1116,Vinos!$A$2:$A$301,0))),""))</f>
        <v/>
      </c>
      <c r="M1116" s="21">
        <f>IF(OR($A1116="",$B1116=""),"",SUMIFS($H$2:$H$2001,$A$2:$A$2001,$A1116,$B$2:$B$2001,$B1116))</f>
        <v/>
      </c>
      <c r="N1116" s="20">
        <f>IF($M1116="","",IF($M1116&lt;=0,"Sin stock: reponer ya",IF($M1116&lt;IFERROR(N(INDEX(Vinos!$N$2:$N$301,MATCH($B1116,Vinos!$A$2:$A$301,0))),0),"Bajo mínimo: reponer","OK")))</f>
        <v/>
      </c>
      <c r="O1116" s="14" t="n"/>
      <c r="P1116" s="14" t="n"/>
      <c r="Q1116" s="20">
        <f>IF($B1116="","",IFERROR(INDEX(Vinos!$C$2:$C$301,MATCH($B1116,Vinos!$A$2:$A$301,0)),""))</f>
        <v/>
      </c>
      <c r="R1116" s="20">
        <f>IF(OR($A1116="",$A1116&lt;&gt;'Resumen del inventario'!$C$3,$N1116="",$N1116="OK"),"",IF(COUNTIFS($A$2:$A1116,$A1116,$B$2:$B1116,$B1116)=1,1,""))</f>
        <v/>
      </c>
      <c r="S1116" s="20">
        <f>IF($R1116=1,COUNTIF($R$2:$R1116,1),"")</f>
        <v/>
      </c>
    </row>
    <row r="1117">
      <c r="A1117" s="19" t="n"/>
      <c r="B1117" s="14" t="n"/>
      <c r="C1117" s="20">
        <f>IF($B1117="","",IFERROR(INDEX(Vinos!$B$2:$B$301,MATCH($B1117,Vinos!$A$2:$A$301,0)),"Código no cargado"))</f>
        <v/>
      </c>
      <c r="D1117" s="14" t="n"/>
      <c r="E1117" s="14" t="n"/>
      <c r="F1117" s="18" t="n"/>
      <c r="G1117" s="18" t="n"/>
      <c r="H1117" s="21">
        <f>IF(AND($F1117="",$G1117=""),"",N($F1117)*IFERROR(N(INDEX(Vinos!$H$2:$H$301,MATCH($B1117,Vinos!$A$2:$A$301,0))),0)+N($G1117))</f>
        <v/>
      </c>
      <c r="I1117" s="18" t="n"/>
      <c r="J1117" s="21">
        <f>IF(OR($H1117="",$I1117=""),"",$H1117-$I1117)</f>
        <v/>
      </c>
      <c r="K1117" s="16">
        <f>IF($H1117="","",IFERROR(IF(INDEX(Vinos!$J$2:$J$301,MATCH($B1117,Vinos!$A$2:$A$301,0))="","",$H1117*INDEX(Vinos!$J$2:$J$301,MATCH($B1117,Vinos!$A$2:$A$301,0))),""))</f>
        <v/>
      </c>
      <c r="L1117" s="16">
        <f>IF($H1117="","",IFERROR(IF(INDEX(Vinos!$K$2:$K$301,MATCH($B1117,Vinos!$A$2:$A$301,0))="","",$H1117*INDEX(Vinos!$K$2:$K$301,MATCH($B1117,Vinos!$A$2:$A$301,0))),""))</f>
        <v/>
      </c>
      <c r="M1117" s="21">
        <f>IF(OR($A1117="",$B1117=""),"",SUMIFS($H$2:$H$2001,$A$2:$A$2001,$A1117,$B$2:$B$2001,$B1117))</f>
        <v/>
      </c>
      <c r="N1117" s="20">
        <f>IF($M1117="","",IF($M1117&lt;=0,"Sin stock: reponer ya",IF($M1117&lt;IFERROR(N(INDEX(Vinos!$N$2:$N$301,MATCH($B1117,Vinos!$A$2:$A$301,0))),0),"Bajo mínimo: reponer","OK")))</f>
        <v/>
      </c>
      <c r="O1117" s="14" t="n"/>
      <c r="P1117" s="14" t="n"/>
      <c r="Q1117" s="20">
        <f>IF($B1117="","",IFERROR(INDEX(Vinos!$C$2:$C$301,MATCH($B1117,Vinos!$A$2:$A$301,0)),""))</f>
        <v/>
      </c>
      <c r="R1117" s="20">
        <f>IF(OR($A1117="",$A1117&lt;&gt;'Resumen del inventario'!$C$3,$N1117="",$N1117="OK"),"",IF(COUNTIFS($A$2:$A1117,$A1117,$B$2:$B1117,$B1117)=1,1,""))</f>
        <v/>
      </c>
      <c r="S1117" s="20">
        <f>IF($R1117=1,COUNTIF($R$2:$R1117,1),"")</f>
        <v/>
      </c>
    </row>
    <row r="1118">
      <c r="A1118" s="19" t="n"/>
      <c r="B1118" s="14" t="n"/>
      <c r="C1118" s="20">
        <f>IF($B1118="","",IFERROR(INDEX(Vinos!$B$2:$B$301,MATCH($B1118,Vinos!$A$2:$A$301,0)),"Código no cargado"))</f>
        <v/>
      </c>
      <c r="D1118" s="14" t="n"/>
      <c r="E1118" s="14" t="n"/>
      <c r="F1118" s="18" t="n"/>
      <c r="G1118" s="18" t="n"/>
      <c r="H1118" s="21">
        <f>IF(AND($F1118="",$G1118=""),"",N($F1118)*IFERROR(N(INDEX(Vinos!$H$2:$H$301,MATCH($B1118,Vinos!$A$2:$A$301,0))),0)+N($G1118))</f>
        <v/>
      </c>
      <c r="I1118" s="18" t="n"/>
      <c r="J1118" s="21">
        <f>IF(OR($H1118="",$I1118=""),"",$H1118-$I1118)</f>
        <v/>
      </c>
      <c r="K1118" s="16">
        <f>IF($H1118="","",IFERROR(IF(INDEX(Vinos!$J$2:$J$301,MATCH($B1118,Vinos!$A$2:$A$301,0))="","",$H1118*INDEX(Vinos!$J$2:$J$301,MATCH($B1118,Vinos!$A$2:$A$301,0))),""))</f>
        <v/>
      </c>
      <c r="L1118" s="16">
        <f>IF($H1118="","",IFERROR(IF(INDEX(Vinos!$K$2:$K$301,MATCH($B1118,Vinos!$A$2:$A$301,0))="","",$H1118*INDEX(Vinos!$K$2:$K$301,MATCH($B1118,Vinos!$A$2:$A$301,0))),""))</f>
        <v/>
      </c>
      <c r="M1118" s="21">
        <f>IF(OR($A1118="",$B1118=""),"",SUMIFS($H$2:$H$2001,$A$2:$A$2001,$A1118,$B$2:$B$2001,$B1118))</f>
        <v/>
      </c>
      <c r="N1118" s="20">
        <f>IF($M1118="","",IF($M1118&lt;=0,"Sin stock: reponer ya",IF($M1118&lt;IFERROR(N(INDEX(Vinos!$N$2:$N$301,MATCH($B1118,Vinos!$A$2:$A$301,0))),0),"Bajo mínimo: reponer","OK")))</f>
        <v/>
      </c>
      <c r="O1118" s="14" t="n"/>
      <c r="P1118" s="14" t="n"/>
      <c r="Q1118" s="20">
        <f>IF($B1118="","",IFERROR(INDEX(Vinos!$C$2:$C$301,MATCH($B1118,Vinos!$A$2:$A$301,0)),""))</f>
        <v/>
      </c>
      <c r="R1118" s="20">
        <f>IF(OR($A1118="",$A1118&lt;&gt;'Resumen del inventario'!$C$3,$N1118="",$N1118="OK"),"",IF(COUNTIFS($A$2:$A1118,$A1118,$B$2:$B1118,$B1118)=1,1,""))</f>
        <v/>
      </c>
      <c r="S1118" s="20">
        <f>IF($R1118=1,COUNTIF($R$2:$R1118,1),"")</f>
        <v/>
      </c>
    </row>
    <row r="1119">
      <c r="A1119" s="19" t="n"/>
      <c r="B1119" s="14" t="n"/>
      <c r="C1119" s="20">
        <f>IF($B1119="","",IFERROR(INDEX(Vinos!$B$2:$B$301,MATCH($B1119,Vinos!$A$2:$A$301,0)),"Código no cargado"))</f>
        <v/>
      </c>
      <c r="D1119" s="14" t="n"/>
      <c r="E1119" s="14" t="n"/>
      <c r="F1119" s="18" t="n"/>
      <c r="G1119" s="18" t="n"/>
      <c r="H1119" s="21">
        <f>IF(AND($F1119="",$G1119=""),"",N($F1119)*IFERROR(N(INDEX(Vinos!$H$2:$H$301,MATCH($B1119,Vinos!$A$2:$A$301,0))),0)+N($G1119))</f>
        <v/>
      </c>
      <c r="I1119" s="18" t="n"/>
      <c r="J1119" s="21">
        <f>IF(OR($H1119="",$I1119=""),"",$H1119-$I1119)</f>
        <v/>
      </c>
      <c r="K1119" s="16">
        <f>IF($H1119="","",IFERROR(IF(INDEX(Vinos!$J$2:$J$301,MATCH($B1119,Vinos!$A$2:$A$301,0))="","",$H1119*INDEX(Vinos!$J$2:$J$301,MATCH($B1119,Vinos!$A$2:$A$301,0))),""))</f>
        <v/>
      </c>
      <c r="L1119" s="16">
        <f>IF($H1119="","",IFERROR(IF(INDEX(Vinos!$K$2:$K$301,MATCH($B1119,Vinos!$A$2:$A$301,0))="","",$H1119*INDEX(Vinos!$K$2:$K$301,MATCH($B1119,Vinos!$A$2:$A$301,0))),""))</f>
        <v/>
      </c>
      <c r="M1119" s="21">
        <f>IF(OR($A1119="",$B1119=""),"",SUMIFS($H$2:$H$2001,$A$2:$A$2001,$A1119,$B$2:$B$2001,$B1119))</f>
        <v/>
      </c>
      <c r="N1119" s="20">
        <f>IF($M1119="","",IF($M1119&lt;=0,"Sin stock: reponer ya",IF($M1119&lt;IFERROR(N(INDEX(Vinos!$N$2:$N$301,MATCH($B1119,Vinos!$A$2:$A$301,0))),0),"Bajo mínimo: reponer","OK")))</f>
        <v/>
      </c>
      <c r="O1119" s="14" t="n"/>
      <c r="P1119" s="14" t="n"/>
      <c r="Q1119" s="20">
        <f>IF($B1119="","",IFERROR(INDEX(Vinos!$C$2:$C$301,MATCH($B1119,Vinos!$A$2:$A$301,0)),""))</f>
        <v/>
      </c>
      <c r="R1119" s="20">
        <f>IF(OR($A1119="",$A1119&lt;&gt;'Resumen del inventario'!$C$3,$N1119="",$N1119="OK"),"",IF(COUNTIFS($A$2:$A1119,$A1119,$B$2:$B1119,$B1119)=1,1,""))</f>
        <v/>
      </c>
      <c r="S1119" s="20">
        <f>IF($R1119=1,COUNTIF($R$2:$R1119,1),"")</f>
        <v/>
      </c>
    </row>
    <row r="1120">
      <c r="A1120" s="19" t="n"/>
      <c r="B1120" s="14" t="n"/>
      <c r="C1120" s="20">
        <f>IF($B1120="","",IFERROR(INDEX(Vinos!$B$2:$B$301,MATCH($B1120,Vinos!$A$2:$A$301,0)),"Código no cargado"))</f>
        <v/>
      </c>
      <c r="D1120" s="14" t="n"/>
      <c r="E1120" s="14" t="n"/>
      <c r="F1120" s="18" t="n"/>
      <c r="G1120" s="18" t="n"/>
      <c r="H1120" s="21">
        <f>IF(AND($F1120="",$G1120=""),"",N($F1120)*IFERROR(N(INDEX(Vinos!$H$2:$H$301,MATCH($B1120,Vinos!$A$2:$A$301,0))),0)+N($G1120))</f>
        <v/>
      </c>
      <c r="I1120" s="18" t="n"/>
      <c r="J1120" s="21">
        <f>IF(OR($H1120="",$I1120=""),"",$H1120-$I1120)</f>
        <v/>
      </c>
      <c r="K1120" s="16">
        <f>IF($H1120="","",IFERROR(IF(INDEX(Vinos!$J$2:$J$301,MATCH($B1120,Vinos!$A$2:$A$301,0))="","",$H1120*INDEX(Vinos!$J$2:$J$301,MATCH($B1120,Vinos!$A$2:$A$301,0))),""))</f>
        <v/>
      </c>
      <c r="L1120" s="16">
        <f>IF($H1120="","",IFERROR(IF(INDEX(Vinos!$K$2:$K$301,MATCH($B1120,Vinos!$A$2:$A$301,0))="","",$H1120*INDEX(Vinos!$K$2:$K$301,MATCH($B1120,Vinos!$A$2:$A$301,0))),""))</f>
        <v/>
      </c>
      <c r="M1120" s="21">
        <f>IF(OR($A1120="",$B1120=""),"",SUMIFS($H$2:$H$2001,$A$2:$A$2001,$A1120,$B$2:$B$2001,$B1120))</f>
        <v/>
      </c>
      <c r="N1120" s="20">
        <f>IF($M1120="","",IF($M1120&lt;=0,"Sin stock: reponer ya",IF($M1120&lt;IFERROR(N(INDEX(Vinos!$N$2:$N$301,MATCH($B1120,Vinos!$A$2:$A$301,0))),0),"Bajo mínimo: reponer","OK")))</f>
        <v/>
      </c>
      <c r="O1120" s="14" t="n"/>
      <c r="P1120" s="14" t="n"/>
      <c r="Q1120" s="20">
        <f>IF($B1120="","",IFERROR(INDEX(Vinos!$C$2:$C$301,MATCH($B1120,Vinos!$A$2:$A$301,0)),""))</f>
        <v/>
      </c>
      <c r="R1120" s="20">
        <f>IF(OR($A1120="",$A1120&lt;&gt;'Resumen del inventario'!$C$3,$N1120="",$N1120="OK"),"",IF(COUNTIFS($A$2:$A1120,$A1120,$B$2:$B1120,$B1120)=1,1,""))</f>
        <v/>
      </c>
      <c r="S1120" s="20">
        <f>IF($R1120=1,COUNTIF($R$2:$R1120,1),"")</f>
        <v/>
      </c>
    </row>
    <row r="1121">
      <c r="A1121" s="19" t="n"/>
      <c r="B1121" s="14" t="n"/>
      <c r="C1121" s="20">
        <f>IF($B1121="","",IFERROR(INDEX(Vinos!$B$2:$B$301,MATCH($B1121,Vinos!$A$2:$A$301,0)),"Código no cargado"))</f>
        <v/>
      </c>
      <c r="D1121" s="14" t="n"/>
      <c r="E1121" s="14" t="n"/>
      <c r="F1121" s="18" t="n"/>
      <c r="G1121" s="18" t="n"/>
      <c r="H1121" s="21">
        <f>IF(AND($F1121="",$G1121=""),"",N($F1121)*IFERROR(N(INDEX(Vinos!$H$2:$H$301,MATCH($B1121,Vinos!$A$2:$A$301,0))),0)+N($G1121))</f>
        <v/>
      </c>
      <c r="I1121" s="18" t="n"/>
      <c r="J1121" s="21">
        <f>IF(OR($H1121="",$I1121=""),"",$H1121-$I1121)</f>
        <v/>
      </c>
      <c r="K1121" s="16">
        <f>IF($H1121="","",IFERROR(IF(INDEX(Vinos!$J$2:$J$301,MATCH($B1121,Vinos!$A$2:$A$301,0))="","",$H1121*INDEX(Vinos!$J$2:$J$301,MATCH($B1121,Vinos!$A$2:$A$301,0))),""))</f>
        <v/>
      </c>
      <c r="L1121" s="16">
        <f>IF($H1121="","",IFERROR(IF(INDEX(Vinos!$K$2:$K$301,MATCH($B1121,Vinos!$A$2:$A$301,0))="","",$H1121*INDEX(Vinos!$K$2:$K$301,MATCH($B1121,Vinos!$A$2:$A$301,0))),""))</f>
        <v/>
      </c>
      <c r="M1121" s="21">
        <f>IF(OR($A1121="",$B1121=""),"",SUMIFS($H$2:$H$2001,$A$2:$A$2001,$A1121,$B$2:$B$2001,$B1121))</f>
        <v/>
      </c>
      <c r="N1121" s="20">
        <f>IF($M1121="","",IF($M1121&lt;=0,"Sin stock: reponer ya",IF($M1121&lt;IFERROR(N(INDEX(Vinos!$N$2:$N$301,MATCH($B1121,Vinos!$A$2:$A$301,0))),0),"Bajo mínimo: reponer","OK")))</f>
        <v/>
      </c>
      <c r="O1121" s="14" t="n"/>
      <c r="P1121" s="14" t="n"/>
      <c r="Q1121" s="20">
        <f>IF($B1121="","",IFERROR(INDEX(Vinos!$C$2:$C$301,MATCH($B1121,Vinos!$A$2:$A$301,0)),""))</f>
        <v/>
      </c>
      <c r="R1121" s="20">
        <f>IF(OR($A1121="",$A1121&lt;&gt;'Resumen del inventario'!$C$3,$N1121="",$N1121="OK"),"",IF(COUNTIFS($A$2:$A1121,$A1121,$B$2:$B1121,$B1121)=1,1,""))</f>
        <v/>
      </c>
      <c r="S1121" s="20">
        <f>IF($R1121=1,COUNTIF($R$2:$R1121,1),"")</f>
        <v/>
      </c>
    </row>
    <row r="1122">
      <c r="A1122" s="19" t="n"/>
      <c r="B1122" s="14" t="n"/>
      <c r="C1122" s="20">
        <f>IF($B1122="","",IFERROR(INDEX(Vinos!$B$2:$B$301,MATCH($B1122,Vinos!$A$2:$A$301,0)),"Código no cargado"))</f>
        <v/>
      </c>
      <c r="D1122" s="14" t="n"/>
      <c r="E1122" s="14" t="n"/>
      <c r="F1122" s="18" t="n"/>
      <c r="G1122" s="18" t="n"/>
      <c r="H1122" s="21">
        <f>IF(AND($F1122="",$G1122=""),"",N($F1122)*IFERROR(N(INDEX(Vinos!$H$2:$H$301,MATCH($B1122,Vinos!$A$2:$A$301,0))),0)+N($G1122))</f>
        <v/>
      </c>
      <c r="I1122" s="18" t="n"/>
      <c r="J1122" s="21">
        <f>IF(OR($H1122="",$I1122=""),"",$H1122-$I1122)</f>
        <v/>
      </c>
      <c r="K1122" s="16">
        <f>IF($H1122="","",IFERROR(IF(INDEX(Vinos!$J$2:$J$301,MATCH($B1122,Vinos!$A$2:$A$301,0))="","",$H1122*INDEX(Vinos!$J$2:$J$301,MATCH($B1122,Vinos!$A$2:$A$301,0))),""))</f>
        <v/>
      </c>
      <c r="L1122" s="16">
        <f>IF($H1122="","",IFERROR(IF(INDEX(Vinos!$K$2:$K$301,MATCH($B1122,Vinos!$A$2:$A$301,0))="","",$H1122*INDEX(Vinos!$K$2:$K$301,MATCH($B1122,Vinos!$A$2:$A$301,0))),""))</f>
        <v/>
      </c>
      <c r="M1122" s="21">
        <f>IF(OR($A1122="",$B1122=""),"",SUMIFS($H$2:$H$2001,$A$2:$A$2001,$A1122,$B$2:$B$2001,$B1122))</f>
        <v/>
      </c>
      <c r="N1122" s="20">
        <f>IF($M1122="","",IF($M1122&lt;=0,"Sin stock: reponer ya",IF($M1122&lt;IFERROR(N(INDEX(Vinos!$N$2:$N$301,MATCH($B1122,Vinos!$A$2:$A$301,0))),0),"Bajo mínimo: reponer","OK")))</f>
        <v/>
      </c>
      <c r="O1122" s="14" t="n"/>
      <c r="P1122" s="14" t="n"/>
      <c r="Q1122" s="20">
        <f>IF($B1122="","",IFERROR(INDEX(Vinos!$C$2:$C$301,MATCH($B1122,Vinos!$A$2:$A$301,0)),""))</f>
        <v/>
      </c>
      <c r="R1122" s="20">
        <f>IF(OR($A1122="",$A1122&lt;&gt;'Resumen del inventario'!$C$3,$N1122="",$N1122="OK"),"",IF(COUNTIFS($A$2:$A1122,$A1122,$B$2:$B1122,$B1122)=1,1,""))</f>
        <v/>
      </c>
      <c r="S1122" s="20">
        <f>IF($R1122=1,COUNTIF($R$2:$R1122,1),"")</f>
        <v/>
      </c>
    </row>
    <row r="1123">
      <c r="A1123" s="19" t="n"/>
      <c r="B1123" s="14" t="n"/>
      <c r="C1123" s="20">
        <f>IF($B1123="","",IFERROR(INDEX(Vinos!$B$2:$B$301,MATCH($B1123,Vinos!$A$2:$A$301,0)),"Código no cargado"))</f>
        <v/>
      </c>
      <c r="D1123" s="14" t="n"/>
      <c r="E1123" s="14" t="n"/>
      <c r="F1123" s="18" t="n"/>
      <c r="G1123" s="18" t="n"/>
      <c r="H1123" s="21">
        <f>IF(AND($F1123="",$G1123=""),"",N($F1123)*IFERROR(N(INDEX(Vinos!$H$2:$H$301,MATCH($B1123,Vinos!$A$2:$A$301,0))),0)+N($G1123))</f>
        <v/>
      </c>
      <c r="I1123" s="18" t="n"/>
      <c r="J1123" s="21">
        <f>IF(OR($H1123="",$I1123=""),"",$H1123-$I1123)</f>
        <v/>
      </c>
      <c r="K1123" s="16">
        <f>IF($H1123="","",IFERROR(IF(INDEX(Vinos!$J$2:$J$301,MATCH($B1123,Vinos!$A$2:$A$301,0))="","",$H1123*INDEX(Vinos!$J$2:$J$301,MATCH($B1123,Vinos!$A$2:$A$301,0))),""))</f>
        <v/>
      </c>
      <c r="L1123" s="16">
        <f>IF($H1123="","",IFERROR(IF(INDEX(Vinos!$K$2:$K$301,MATCH($B1123,Vinos!$A$2:$A$301,0))="","",$H1123*INDEX(Vinos!$K$2:$K$301,MATCH($B1123,Vinos!$A$2:$A$301,0))),""))</f>
        <v/>
      </c>
      <c r="M1123" s="21">
        <f>IF(OR($A1123="",$B1123=""),"",SUMIFS($H$2:$H$2001,$A$2:$A$2001,$A1123,$B$2:$B$2001,$B1123))</f>
        <v/>
      </c>
      <c r="N1123" s="20">
        <f>IF($M1123="","",IF($M1123&lt;=0,"Sin stock: reponer ya",IF($M1123&lt;IFERROR(N(INDEX(Vinos!$N$2:$N$301,MATCH($B1123,Vinos!$A$2:$A$301,0))),0),"Bajo mínimo: reponer","OK")))</f>
        <v/>
      </c>
      <c r="O1123" s="14" t="n"/>
      <c r="P1123" s="14" t="n"/>
      <c r="Q1123" s="20">
        <f>IF($B1123="","",IFERROR(INDEX(Vinos!$C$2:$C$301,MATCH($B1123,Vinos!$A$2:$A$301,0)),""))</f>
        <v/>
      </c>
      <c r="R1123" s="20">
        <f>IF(OR($A1123="",$A1123&lt;&gt;'Resumen del inventario'!$C$3,$N1123="",$N1123="OK"),"",IF(COUNTIFS($A$2:$A1123,$A1123,$B$2:$B1123,$B1123)=1,1,""))</f>
        <v/>
      </c>
      <c r="S1123" s="20">
        <f>IF($R1123=1,COUNTIF($R$2:$R1123,1),"")</f>
        <v/>
      </c>
    </row>
    <row r="1124">
      <c r="A1124" s="19" t="n"/>
      <c r="B1124" s="14" t="n"/>
      <c r="C1124" s="20">
        <f>IF($B1124="","",IFERROR(INDEX(Vinos!$B$2:$B$301,MATCH($B1124,Vinos!$A$2:$A$301,0)),"Código no cargado"))</f>
        <v/>
      </c>
      <c r="D1124" s="14" t="n"/>
      <c r="E1124" s="14" t="n"/>
      <c r="F1124" s="18" t="n"/>
      <c r="G1124" s="18" t="n"/>
      <c r="H1124" s="21">
        <f>IF(AND($F1124="",$G1124=""),"",N($F1124)*IFERROR(N(INDEX(Vinos!$H$2:$H$301,MATCH($B1124,Vinos!$A$2:$A$301,0))),0)+N($G1124))</f>
        <v/>
      </c>
      <c r="I1124" s="18" t="n"/>
      <c r="J1124" s="21">
        <f>IF(OR($H1124="",$I1124=""),"",$H1124-$I1124)</f>
        <v/>
      </c>
      <c r="K1124" s="16">
        <f>IF($H1124="","",IFERROR(IF(INDEX(Vinos!$J$2:$J$301,MATCH($B1124,Vinos!$A$2:$A$301,0))="","",$H1124*INDEX(Vinos!$J$2:$J$301,MATCH($B1124,Vinos!$A$2:$A$301,0))),""))</f>
        <v/>
      </c>
      <c r="L1124" s="16">
        <f>IF($H1124="","",IFERROR(IF(INDEX(Vinos!$K$2:$K$301,MATCH($B1124,Vinos!$A$2:$A$301,0))="","",$H1124*INDEX(Vinos!$K$2:$K$301,MATCH($B1124,Vinos!$A$2:$A$301,0))),""))</f>
        <v/>
      </c>
      <c r="M1124" s="21">
        <f>IF(OR($A1124="",$B1124=""),"",SUMIFS($H$2:$H$2001,$A$2:$A$2001,$A1124,$B$2:$B$2001,$B1124))</f>
        <v/>
      </c>
      <c r="N1124" s="20">
        <f>IF($M1124="","",IF($M1124&lt;=0,"Sin stock: reponer ya",IF($M1124&lt;IFERROR(N(INDEX(Vinos!$N$2:$N$301,MATCH($B1124,Vinos!$A$2:$A$301,0))),0),"Bajo mínimo: reponer","OK")))</f>
        <v/>
      </c>
      <c r="O1124" s="14" t="n"/>
      <c r="P1124" s="14" t="n"/>
      <c r="Q1124" s="20">
        <f>IF($B1124="","",IFERROR(INDEX(Vinos!$C$2:$C$301,MATCH($B1124,Vinos!$A$2:$A$301,0)),""))</f>
        <v/>
      </c>
      <c r="R1124" s="20">
        <f>IF(OR($A1124="",$A1124&lt;&gt;'Resumen del inventario'!$C$3,$N1124="",$N1124="OK"),"",IF(COUNTIFS($A$2:$A1124,$A1124,$B$2:$B1124,$B1124)=1,1,""))</f>
        <v/>
      </c>
      <c r="S1124" s="20">
        <f>IF($R1124=1,COUNTIF($R$2:$R1124,1),"")</f>
        <v/>
      </c>
    </row>
    <row r="1125">
      <c r="A1125" s="19" t="n"/>
      <c r="B1125" s="14" t="n"/>
      <c r="C1125" s="20">
        <f>IF($B1125="","",IFERROR(INDEX(Vinos!$B$2:$B$301,MATCH($B1125,Vinos!$A$2:$A$301,0)),"Código no cargado"))</f>
        <v/>
      </c>
      <c r="D1125" s="14" t="n"/>
      <c r="E1125" s="14" t="n"/>
      <c r="F1125" s="18" t="n"/>
      <c r="G1125" s="18" t="n"/>
      <c r="H1125" s="21">
        <f>IF(AND($F1125="",$G1125=""),"",N($F1125)*IFERROR(N(INDEX(Vinos!$H$2:$H$301,MATCH($B1125,Vinos!$A$2:$A$301,0))),0)+N($G1125))</f>
        <v/>
      </c>
      <c r="I1125" s="18" t="n"/>
      <c r="J1125" s="21">
        <f>IF(OR($H1125="",$I1125=""),"",$H1125-$I1125)</f>
        <v/>
      </c>
      <c r="K1125" s="16">
        <f>IF($H1125="","",IFERROR(IF(INDEX(Vinos!$J$2:$J$301,MATCH($B1125,Vinos!$A$2:$A$301,0))="","",$H1125*INDEX(Vinos!$J$2:$J$301,MATCH($B1125,Vinos!$A$2:$A$301,0))),""))</f>
        <v/>
      </c>
      <c r="L1125" s="16">
        <f>IF($H1125="","",IFERROR(IF(INDEX(Vinos!$K$2:$K$301,MATCH($B1125,Vinos!$A$2:$A$301,0))="","",$H1125*INDEX(Vinos!$K$2:$K$301,MATCH($B1125,Vinos!$A$2:$A$301,0))),""))</f>
        <v/>
      </c>
      <c r="M1125" s="21">
        <f>IF(OR($A1125="",$B1125=""),"",SUMIFS($H$2:$H$2001,$A$2:$A$2001,$A1125,$B$2:$B$2001,$B1125))</f>
        <v/>
      </c>
      <c r="N1125" s="20">
        <f>IF($M1125="","",IF($M1125&lt;=0,"Sin stock: reponer ya",IF($M1125&lt;IFERROR(N(INDEX(Vinos!$N$2:$N$301,MATCH($B1125,Vinos!$A$2:$A$301,0))),0),"Bajo mínimo: reponer","OK")))</f>
        <v/>
      </c>
      <c r="O1125" s="14" t="n"/>
      <c r="P1125" s="14" t="n"/>
      <c r="Q1125" s="20">
        <f>IF($B1125="","",IFERROR(INDEX(Vinos!$C$2:$C$301,MATCH($B1125,Vinos!$A$2:$A$301,0)),""))</f>
        <v/>
      </c>
      <c r="R1125" s="20">
        <f>IF(OR($A1125="",$A1125&lt;&gt;'Resumen del inventario'!$C$3,$N1125="",$N1125="OK"),"",IF(COUNTIFS($A$2:$A1125,$A1125,$B$2:$B1125,$B1125)=1,1,""))</f>
        <v/>
      </c>
      <c r="S1125" s="20">
        <f>IF($R1125=1,COUNTIF($R$2:$R1125,1),"")</f>
        <v/>
      </c>
    </row>
    <row r="1126">
      <c r="A1126" s="19" t="n"/>
      <c r="B1126" s="14" t="n"/>
      <c r="C1126" s="20">
        <f>IF($B1126="","",IFERROR(INDEX(Vinos!$B$2:$B$301,MATCH($B1126,Vinos!$A$2:$A$301,0)),"Código no cargado"))</f>
        <v/>
      </c>
      <c r="D1126" s="14" t="n"/>
      <c r="E1126" s="14" t="n"/>
      <c r="F1126" s="18" t="n"/>
      <c r="G1126" s="18" t="n"/>
      <c r="H1126" s="21">
        <f>IF(AND($F1126="",$G1126=""),"",N($F1126)*IFERROR(N(INDEX(Vinos!$H$2:$H$301,MATCH($B1126,Vinos!$A$2:$A$301,0))),0)+N($G1126))</f>
        <v/>
      </c>
      <c r="I1126" s="18" t="n"/>
      <c r="J1126" s="21">
        <f>IF(OR($H1126="",$I1126=""),"",$H1126-$I1126)</f>
        <v/>
      </c>
      <c r="K1126" s="16">
        <f>IF($H1126="","",IFERROR(IF(INDEX(Vinos!$J$2:$J$301,MATCH($B1126,Vinos!$A$2:$A$301,0))="","",$H1126*INDEX(Vinos!$J$2:$J$301,MATCH($B1126,Vinos!$A$2:$A$301,0))),""))</f>
        <v/>
      </c>
      <c r="L1126" s="16">
        <f>IF($H1126="","",IFERROR(IF(INDEX(Vinos!$K$2:$K$301,MATCH($B1126,Vinos!$A$2:$A$301,0))="","",$H1126*INDEX(Vinos!$K$2:$K$301,MATCH($B1126,Vinos!$A$2:$A$301,0))),""))</f>
        <v/>
      </c>
      <c r="M1126" s="21">
        <f>IF(OR($A1126="",$B1126=""),"",SUMIFS($H$2:$H$2001,$A$2:$A$2001,$A1126,$B$2:$B$2001,$B1126))</f>
        <v/>
      </c>
      <c r="N1126" s="20">
        <f>IF($M1126="","",IF($M1126&lt;=0,"Sin stock: reponer ya",IF($M1126&lt;IFERROR(N(INDEX(Vinos!$N$2:$N$301,MATCH($B1126,Vinos!$A$2:$A$301,0))),0),"Bajo mínimo: reponer","OK")))</f>
        <v/>
      </c>
      <c r="O1126" s="14" t="n"/>
      <c r="P1126" s="14" t="n"/>
      <c r="Q1126" s="20">
        <f>IF($B1126="","",IFERROR(INDEX(Vinos!$C$2:$C$301,MATCH($B1126,Vinos!$A$2:$A$301,0)),""))</f>
        <v/>
      </c>
      <c r="R1126" s="20">
        <f>IF(OR($A1126="",$A1126&lt;&gt;'Resumen del inventario'!$C$3,$N1126="",$N1126="OK"),"",IF(COUNTIFS($A$2:$A1126,$A1126,$B$2:$B1126,$B1126)=1,1,""))</f>
        <v/>
      </c>
      <c r="S1126" s="20">
        <f>IF($R1126=1,COUNTIF($R$2:$R1126,1),"")</f>
        <v/>
      </c>
    </row>
    <row r="1127">
      <c r="A1127" s="19" t="n"/>
      <c r="B1127" s="14" t="n"/>
      <c r="C1127" s="20">
        <f>IF($B1127="","",IFERROR(INDEX(Vinos!$B$2:$B$301,MATCH($B1127,Vinos!$A$2:$A$301,0)),"Código no cargado"))</f>
        <v/>
      </c>
      <c r="D1127" s="14" t="n"/>
      <c r="E1127" s="14" t="n"/>
      <c r="F1127" s="18" t="n"/>
      <c r="G1127" s="18" t="n"/>
      <c r="H1127" s="21">
        <f>IF(AND($F1127="",$G1127=""),"",N($F1127)*IFERROR(N(INDEX(Vinos!$H$2:$H$301,MATCH($B1127,Vinos!$A$2:$A$301,0))),0)+N($G1127))</f>
        <v/>
      </c>
      <c r="I1127" s="18" t="n"/>
      <c r="J1127" s="21">
        <f>IF(OR($H1127="",$I1127=""),"",$H1127-$I1127)</f>
        <v/>
      </c>
      <c r="K1127" s="16">
        <f>IF($H1127="","",IFERROR(IF(INDEX(Vinos!$J$2:$J$301,MATCH($B1127,Vinos!$A$2:$A$301,0))="","",$H1127*INDEX(Vinos!$J$2:$J$301,MATCH($B1127,Vinos!$A$2:$A$301,0))),""))</f>
        <v/>
      </c>
      <c r="L1127" s="16">
        <f>IF($H1127="","",IFERROR(IF(INDEX(Vinos!$K$2:$K$301,MATCH($B1127,Vinos!$A$2:$A$301,0))="","",$H1127*INDEX(Vinos!$K$2:$K$301,MATCH($B1127,Vinos!$A$2:$A$301,0))),""))</f>
        <v/>
      </c>
      <c r="M1127" s="21">
        <f>IF(OR($A1127="",$B1127=""),"",SUMIFS($H$2:$H$2001,$A$2:$A$2001,$A1127,$B$2:$B$2001,$B1127))</f>
        <v/>
      </c>
      <c r="N1127" s="20">
        <f>IF($M1127="","",IF($M1127&lt;=0,"Sin stock: reponer ya",IF($M1127&lt;IFERROR(N(INDEX(Vinos!$N$2:$N$301,MATCH($B1127,Vinos!$A$2:$A$301,0))),0),"Bajo mínimo: reponer","OK")))</f>
        <v/>
      </c>
      <c r="O1127" s="14" t="n"/>
      <c r="P1127" s="14" t="n"/>
      <c r="Q1127" s="20">
        <f>IF($B1127="","",IFERROR(INDEX(Vinos!$C$2:$C$301,MATCH($B1127,Vinos!$A$2:$A$301,0)),""))</f>
        <v/>
      </c>
      <c r="R1127" s="20">
        <f>IF(OR($A1127="",$A1127&lt;&gt;'Resumen del inventario'!$C$3,$N1127="",$N1127="OK"),"",IF(COUNTIFS($A$2:$A1127,$A1127,$B$2:$B1127,$B1127)=1,1,""))</f>
        <v/>
      </c>
      <c r="S1127" s="20">
        <f>IF($R1127=1,COUNTIF($R$2:$R1127,1),"")</f>
        <v/>
      </c>
    </row>
    <row r="1128">
      <c r="A1128" s="19" t="n"/>
      <c r="B1128" s="14" t="n"/>
      <c r="C1128" s="20">
        <f>IF($B1128="","",IFERROR(INDEX(Vinos!$B$2:$B$301,MATCH($B1128,Vinos!$A$2:$A$301,0)),"Código no cargado"))</f>
        <v/>
      </c>
      <c r="D1128" s="14" t="n"/>
      <c r="E1128" s="14" t="n"/>
      <c r="F1128" s="18" t="n"/>
      <c r="G1128" s="18" t="n"/>
      <c r="H1128" s="21">
        <f>IF(AND($F1128="",$G1128=""),"",N($F1128)*IFERROR(N(INDEX(Vinos!$H$2:$H$301,MATCH($B1128,Vinos!$A$2:$A$301,0))),0)+N($G1128))</f>
        <v/>
      </c>
      <c r="I1128" s="18" t="n"/>
      <c r="J1128" s="21">
        <f>IF(OR($H1128="",$I1128=""),"",$H1128-$I1128)</f>
        <v/>
      </c>
      <c r="K1128" s="16">
        <f>IF($H1128="","",IFERROR(IF(INDEX(Vinos!$J$2:$J$301,MATCH($B1128,Vinos!$A$2:$A$301,0))="","",$H1128*INDEX(Vinos!$J$2:$J$301,MATCH($B1128,Vinos!$A$2:$A$301,0))),""))</f>
        <v/>
      </c>
      <c r="L1128" s="16">
        <f>IF($H1128="","",IFERROR(IF(INDEX(Vinos!$K$2:$K$301,MATCH($B1128,Vinos!$A$2:$A$301,0))="","",$H1128*INDEX(Vinos!$K$2:$K$301,MATCH($B1128,Vinos!$A$2:$A$301,0))),""))</f>
        <v/>
      </c>
      <c r="M1128" s="21">
        <f>IF(OR($A1128="",$B1128=""),"",SUMIFS($H$2:$H$2001,$A$2:$A$2001,$A1128,$B$2:$B$2001,$B1128))</f>
        <v/>
      </c>
      <c r="N1128" s="20">
        <f>IF($M1128="","",IF($M1128&lt;=0,"Sin stock: reponer ya",IF($M1128&lt;IFERROR(N(INDEX(Vinos!$N$2:$N$301,MATCH($B1128,Vinos!$A$2:$A$301,0))),0),"Bajo mínimo: reponer","OK")))</f>
        <v/>
      </c>
      <c r="O1128" s="14" t="n"/>
      <c r="P1128" s="14" t="n"/>
      <c r="Q1128" s="20">
        <f>IF($B1128="","",IFERROR(INDEX(Vinos!$C$2:$C$301,MATCH($B1128,Vinos!$A$2:$A$301,0)),""))</f>
        <v/>
      </c>
      <c r="R1128" s="20">
        <f>IF(OR($A1128="",$A1128&lt;&gt;'Resumen del inventario'!$C$3,$N1128="",$N1128="OK"),"",IF(COUNTIFS($A$2:$A1128,$A1128,$B$2:$B1128,$B1128)=1,1,""))</f>
        <v/>
      </c>
      <c r="S1128" s="20">
        <f>IF($R1128=1,COUNTIF($R$2:$R1128,1),"")</f>
        <v/>
      </c>
    </row>
    <row r="1129">
      <c r="A1129" s="19" t="n"/>
      <c r="B1129" s="14" t="n"/>
      <c r="C1129" s="20">
        <f>IF($B1129="","",IFERROR(INDEX(Vinos!$B$2:$B$301,MATCH($B1129,Vinos!$A$2:$A$301,0)),"Código no cargado"))</f>
        <v/>
      </c>
      <c r="D1129" s="14" t="n"/>
      <c r="E1129" s="14" t="n"/>
      <c r="F1129" s="18" t="n"/>
      <c r="G1129" s="18" t="n"/>
      <c r="H1129" s="21">
        <f>IF(AND($F1129="",$G1129=""),"",N($F1129)*IFERROR(N(INDEX(Vinos!$H$2:$H$301,MATCH($B1129,Vinos!$A$2:$A$301,0))),0)+N($G1129))</f>
        <v/>
      </c>
      <c r="I1129" s="18" t="n"/>
      <c r="J1129" s="21">
        <f>IF(OR($H1129="",$I1129=""),"",$H1129-$I1129)</f>
        <v/>
      </c>
      <c r="K1129" s="16">
        <f>IF($H1129="","",IFERROR(IF(INDEX(Vinos!$J$2:$J$301,MATCH($B1129,Vinos!$A$2:$A$301,0))="","",$H1129*INDEX(Vinos!$J$2:$J$301,MATCH($B1129,Vinos!$A$2:$A$301,0))),""))</f>
        <v/>
      </c>
      <c r="L1129" s="16">
        <f>IF($H1129="","",IFERROR(IF(INDEX(Vinos!$K$2:$K$301,MATCH($B1129,Vinos!$A$2:$A$301,0))="","",$H1129*INDEX(Vinos!$K$2:$K$301,MATCH($B1129,Vinos!$A$2:$A$301,0))),""))</f>
        <v/>
      </c>
      <c r="M1129" s="21">
        <f>IF(OR($A1129="",$B1129=""),"",SUMIFS($H$2:$H$2001,$A$2:$A$2001,$A1129,$B$2:$B$2001,$B1129))</f>
        <v/>
      </c>
      <c r="N1129" s="20">
        <f>IF($M1129="","",IF($M1129&lt;=0,"Sin stock: reponer ya",IF($M1129&lt;IFERROR(N(INDEX(Vinos!$N$2:$N$301,MATCH($B1129,Vinos!$A$2:$A$301,0))),0),"Bajo mínimo: reponer","OK")))</f>
        <v/>
      </c>
      <c r="O1129" s="14" t="n"/>
      <c r="P1129" s="14" t="n"/>
      <c r="Q1129" s="20">
        <f>IF($B1129="","",IFERROR(INDEX(Vinos!$C$2:$C$301,MATCH($B1129,Vinos!$A$2:$A$301,0)),""))</f>
        <v/>
      </c>
      <c r="R1129" s="20">
        <f>IF(OR($A1129="",$A1129&lt;&gt;'Resumen del inventario'!$C$3,$N1129="",$N1129="OK"),"",IF(COUNTIFS($A$2:$A1129,$A1129,$B$2:$B1129,$B1129)=1,1,""))</f>
        <v/>
      </c>
      <c r="S1129" s="20">
        <f>IF($R1129=1,COUNTIF($R$2:$R1129,1),"")</f>
        <v/>
      </c>
    </row>
    <row r="1130">
      <c r="A1130" s="19" t="n"/>
      <c r="B1130" s="14" t="n"/>
      <c r="C1130" s="20">
        <f>IF($B1130="","",IFERROR(INDEX(Vinos!$B$2:$B$301,MATCH($B1130,Vinos!$A$2:$A$301,0)),"Código no cargado"))</f>
        <v/>
      </c>
      <c r="D1130" s="14" t="n"/>
      <c r="E1130" s="14" t="n"/>
      <c r="F1130" s="18" t="n"/>
      <c r="G1130" s="18" t="n"/>
      <c r="H1130" s="21">
        <f>IF(AND($F1130="",$G1130=""),"",N($F1130)*IFERROR(N(INDEX(Vinos!$H$2:$H$301,MATCH($B1130,Vinos!$A$2:$A$301,0))),0)+N($G1130))</f>
        <v/>
      </c>
      <c r="I1130" s="18" t="n"/>
      <c r="J1130" s="21">
        <f>IF(OR($H1130="",$I1130=""),"",$H1130-$I1130)</f>
        <v/>
      </c>
      <c r="K1130" s="16">
        <f>IF($H1130="","",IFERROR(IF(INDEX(Vinos!$J$2:$J$301,MATCH($B1130,Vinos!$A$2:$A$301,0))="","",$H1130*INDEX(Vinos!$J$2:$J$301,MATCH($B1130,Vinos!$A$2:$A$301,0))),""))</f>
        <v/>
      </c>
      <c r="L1130" s="16">
        <f>IF($H1130="","",IFERROR(IF(INDEX(Vinos!$K$2:$K$301,MATCH($B1130,Vinos!$A$2:$A$301,0))="","",$H1130*INDEX(Vinos!$K$2:$K$301,MATCH($B1130,Vinos!$A$2:$A$301,0))),""))</f>
        <v/>
      </c>
      <c r="M1130" s="21">
        <f>IF(OR($A1130="",$B1130=""),"",SUMIFS($H$2:$H$2001,$A$2:$A$2001,$A1130,$B$2:$B$2001,$B1130))</f>
        <v/>
      </c>
      <c r="N1130" s="20">
        <f>IF($M1130="","",IF($M1130&lt;=0,"Sin stock: reponer ya",IF($M1130&lt;IFERROR(N(INDEX(Vinos!$N$2:$N$301,MATCH($B1130,Vinos!$A$2:$A$301,0))),0),"Bajo mínimo: reponer","OK")))</f>
        <v/>
      </c>
      <c r="O1130" s="14" t="n"/>
      <c r="P1130" s="14" t="n"/>
      <c r="Q1130" s="20">
        <f>IF($B1130="","",IFERROR(INDEX(Vinos!$C$2:$C$301,MATCH($B1130,Vinos!$A$2:$A$301,0)),""))</f>
        <v/>
      </c>
      <c r="R1130" s="20">
        <f>IF(OR($A1130="",$A1130&lt;&gt;'Resumen del inventario'!$C$3,$N1130="",$N1130="OK"),"",IF(COUNTIFS($A$2:$A1130,$A1130,$B$2:$B1130,$B1130)=1,1,""))</f>
        <v/>
      </c>
      <c r="S1130" s="20">
        <f>IF($R1130=1,COUNTIF($R$2:$R1130,1),"")</f>
        <v/>
      </c>
    </row>
    <row r="1131">
      <c r="A1131" s="19" t="n"/>
      <c r="B1131" s="14" t="n"/>
      <c r="C1131" s="20">
        <f>IF($B1131="","",IFERROR(INDEX(Vinos!$B$2:$B$301,MATCH($B1131,Vinos!$A$2:$A$301,0)),"Código no cargado"))</f>
        <v/>
      </c>
      <c r="D1131" s="14" t="n"/>
      <c r="E1131" s="14" t="n"/>
      <c r="F1131" s="18" t="n"/>
      <c r="G1131" s="18" t="n"/>
      <c r="H1131" s="21">
        <f>IF(AND($F1131="",$G1131=""),"",N($F1131)*IFERROR(N(INDEX(Vinos!$H$2:$H$301,MATCH($B1131,Vinos!$A$2:$A$301,0))),0)+N($G1131))</f>
        <v/>
      </c>
      <c r="I1131" s="18" t="n"/>
      <c r="J1131" s="21">
        <f>IF(OR($H1131="",$I1131=""),"",$H1131-$I1131)</f>
        <v/>
      </c>
      <c r="K1131" s="16">
        <f>IF($H1131="","",IFERROR(IF(INDEX(Vinos!$J$2:$J$301,MATCH($B1131,Vinos!$A$2:$A$301,0))="","",$H1131*INDEX(Vinos!$J$2:$J$301,MATCH($B1131,Vinos!$A$2:$A$301,0))),""))</f>
        <v/>
      </c>
      <c r="L1131" s="16">
        <f>IF($H1131="","",IFERROR(IF(INDEX(Vinos!$K$2:$K$301,MATCH($B1131,Vinos!$A$2:$A$301,0))="","",$H1131*INDEX(Vinos!$K$2:$K$301,MATCH($B1131,Vinos!$A$2:$A$301,0))),""))</f>
        <v/>
      </c>
      <c r="M1131" s="21">
        <f>IF(OR($A1131="",$B1131=""),"",SUMIFS($H$2:$H$2001,$A$2:$A$2001,$A1131,$B$2:$B$2001,$B1131))</f>
        <v/>
      </c>
      <c r="N1131" s="20">
        <f>IF($M1131="","",IF($M1131&lt;=0,"Sin stock: reponer ya",IF($M1131&lt;IFERROR(N(INDEX(Vinos!$N$2:$N$301,MATCH($B1131,Vinos!$A$2:$A$301,0))),0),"Bajo mínimo: reponer","OK")))</f>
        <v/>
      </c>
      <c r="O1131" s="14" t="n"/>
      <c r="P1131" s="14" t="n"/>
      <c r="Q1131" s="20">
        <f>IF($B1131="","",IFERROR(INDEX(Vinos!$C$2:$C$301,MATCH($B1131,Vinos!$A$2:$A$301,0)),""))</f>
        <v/>
      </c>
      <c r="R1131" s="20">
        <f>IF(OR($A1131="",$A1131&lt;&gt;'Resumen del inventario'!$C$3,$N1131="",$N1131="OK"),"",IF(COUNTIFS($A$2:$A1131,$A1131,$B$2:$B1131,$B1131)=1,1,""))</f>
        <v/>
      </c>
      <c r="S1131" s="20">
        <f>IF($R1131=1,COUNTIF($R$2:$R1131,1),"")</f>
        <v/>
      </c>
    </row>
    <row r="1132">
      <c r="A1132" s="19" t="n"/>
      <c r="B1132" s="14" t="n"/>
      <c r="C1132" s="20">
        <f>IF($B1132="","",IFERROR(INDEX(Vinos!$B$2:$B$301,MATCH($B1132,Vinos!$A$2:$A$301,0)),"Código no cargado"))</f>
        <v/>
      </c>
      <c r="D1132" s="14" t="n"/>
      <c r="E1132" s="14" t="n"/>
      <c r="F1132" s="18" t="n"/>
      <c r="G1132" s="18" t="n"/>
      <c r="H1132" s="21">
        <f>IF(AND($F1132="",$G1132=""),"",N($F1132)*IFERROR(N(INDEX(Vinos!$H$2:$H$301,MATCH($B1132,Vinos!$A$2:$A$301,0))),0)+N($G1132))</f>
        <v/>
      </c>
      <c r="I1132" s="18" t="n"/>
      <c r="J1132" s="21">
        <f>IF(OR($H1132="",$I1132=""),"",$H1132-$I1132)</f>
        <v/>
      </c>
      <c r="K1132" s="16">
        <f>IF($H1132="","",IFERROR(IF(INDEX(Vinos!$J$2:$J$301,MATCH($B1132,Vinos!$A$2:$A$301,0))="","",$H1132*INDEX(Vinos!$J$2:$J$301,MATCH($B1132,Vinos!$A$2:$A$301,0))),""))</f>
        <v/>
      </c>
      <c r="L1132" s="16">
        <f>IF($H1132="","",IFERROR(IF(INDEX(Vinos!$K$2:$K$301,MATCH($B1132,Vinos!$A$2:$A$301,0))="","",$H1132*INDEX(Vinos!$K$2:$K$301,MATCH($B1132,Vinos!$A$2:$A$301,0))),""))</f>
        <v/>
      </c>
      <c r="M1132" s="21">
        <f>IF(OR($A1132="",$B1132=""),"",SUMIFS($H$2:$H$2001,$A$2:$A$2001,$A1132,$B$2:$B$2001,$B1132))</f>
        <v/>
      </c>
      <c r="N1132" s="20">
        <f>IF($M1132="","",IF($M1132&lt;=0,"Sin stock: reponer ya",IF($M1132&lt;IFERROR(N(INDEX(Vinos!$N$2:$N$301,MATCH($B1132,Vinos!$A$2:$A$301,0))),0),"Bajo mínimo: reponer","OK")))</f>
        <v/>
      </c>
      <c r="O1132" s="14" t="n"/>
      <c r="P1132" s="14" t="n"/>
      <c r="Q1132" s="20">
        <f>IF($B1132="","",IFERROR(INDEX(Vinos!$C$2:$C$301,MATCH($B1132,Vinos!$A$2:$A$301,0)),""))</f>
        <v/>
      </c>
      <c r="R1132" s="20">
        <f>IF(OR($A1132="",$A1132&lt;&gt;'Resumen del inventario'!$C$3,$N1132="",$N1132="OK"),"",IF(COUNTIFS($A$2:$A1132,$A1132,$B$2:$B1132,$B1132)=1,1,""))</f>
        <v/>
      </c>
      <c r="S1132" s="20">
        <f>IF($R1132=1,COUNTIF($R$2:$R1132,1),"")</f>
        <v/>
      </c>
    </row>
    <row r="1133">
      <c r="A1133" s="19" t="n"/>
      <c r="B1133" s="14" t="n"/>
      <c r="C1133" s="20">
        <f>IF($B1133="","",IFERROR(INDEX(Vinos!$B$2:$B$301,MATCH($B1133,Vinos!$A$2:$A$301,0)),"Código no cargado"))</f>
        <v/>
      </c>
      <c r="D1133" s="14" t="n"/>
      <c r="E1133" s="14" t="n"/>
      <c r="F1133" s="18" t="n"/>
      <c r="G1133" s="18" t="n"/>
      <c r="H1133" s="21">
        <f>IF(AND($F1133="",$G1133=""),"",N($F1133)*IFERROR(N(INDEX(Vinos!$H$2:$H$301,MATCH($B1133,Vinos!$A$2:$A$301,0))),0)+N($G1133))</f>
        <v/>
      </c>
      <c r="I1133" s="18" t="n"/>
      <c r="J1133" s="21">
        <f>IF(OR($H1133="",$I1133=""),"",$H1133-$I1133)</f>
        <v/>
      </c>
      <c r="K1133" s="16">
        <f>IF($H1133="","",IFERROR(IF(INDEX(Vinos!$J$2:$J$301,MATCH($B1133,Vinos!$A$2:$A$301,0))="","",$H1133*INDEX(Vinos!$J$2:$J$301,MATCH($B1133,Vinos!$A$2:$A$301,0))),""))</f>
        <v/>
      </c>
      <c r="L1133" s="16">
        <f>IF($H1133="","",IFERROR(IF(INDEX(Vinos!$K$2:$K$301,MATCH($B1133,Vinos!$A$2:$A$301,0))="","",$H1133*INDEX(Vinos!$K$2:$K$301,MATCH($B1133,Vinos!$A$2:$A$301,0))),""))</f>
        <v/>
      </c>
      <c r="M1133" s="21">
        <f>IF(OR($A1133="",$B1133=""),"",SUMIFS($H$2:$H$2001,$A$2:$A$2001,$A1133,$B$2:$B$2001,$B1133))</f>
        <v/>
      </c>
      <c r="N1133" s="20">
        <f>IF($M1133="","",IF($M1133&lt;=0,"Sin stock: reponer ya",IF($M1133&lt;IFERROR(N(INDEX(Vinos!$N$2:$N$301,MATCH($B1133,Vinos!$A$2:$A$301,0))),0),"Bajo mínimo: reponer","OK")))</f>
        <v/>
      </c>
      <c r="O1133" s="14" t="n"/>
      <c r="P1133" s="14" t="n"/>
      <c r="Q1133" s="20">
        <f>IF($B1133="","",IFERROR(INDEX(Vinos!$C$2:$C$301,MATCH($B1133,Vinos!$A$2:$A$301,0)),""))</f>
        <v/>
      </c>
      <c r="R1133" s="20">
        <f>IF(OR($A1133="",$A1133&lt;&gt;'Resumen del inventario'!$C$3,$N1133="",$N1133="OK"),"",IF(COUNTIFS($A$2:$A1133,$A1133,$B$2:$B1133,$B1133)=1,1,""))</f>
        <v/>
      </c>
      <c r="S1133" s="20">
        <f>IF($R1133=1,COUNTIF($R$2:$R1133,1),"")</f>
        <v/>
      </c>
    </row>
    <row r="1134">
      <c r="A1134" s="19" t="n"/>
      <c r="B1134" s="14" t="n"/>
      <c r="C1134" s="20">
        <f>IF($B1134="","",IFERROR(INDEX(Vinos!$B$2:$B$301,MATCH($B1134,Vinos!$A$2:$A$301,0)),"Código no cargado"))</f>
        <v/>
      </c>
      <c r="D1134" s="14" t="n"/>
      <c r="E1134" s="14" t="n"/>
      <c r="F1134" s="18" t="n"/>
      <c r="G1134" s="18" t="n"/>
      <c r="H1134" s="21">
        <f>IF(AND($F1134="",$G1134=""),"",N($F1134)*IFERROR(N(INDEX(Vinos!$H$2:$H$301,MATCH($B1134,Vinos!$A$2:$A$301,0))),0)+N($G1134))</f>
        <v/>
      </c>
      <c r="I1134" s="18" t="n"/>
      <c r="J1134" s="21">
        <f>IF(OR($H1134="",$I1134=""),"",$H1134-$I1134)</f>
        <v/>
      </c>
      <c r="K1134" s="16">
        <f>IF($H1134="","",IFERROR(IF(INDEX(Vinos!$J$2:$J$301,MATCH($B1134,Vinos!$A$2:$A$301,0))="","",$H1134*INDEX(Vinos!$J$2:$J$301,MATCH($B1134,Vinos!$A$2:$A$301,0))),""))</f>
        <v/>
      </c>
      <c r="L1134" s="16">
        <f>IF($H1134="","",IFERROR(IF(INDEX(Vinos!$K$2:$K$301,MATCH($B1134,Vinos!$A$2:$A$301,0))="","",$H1134*INDEX(Vinos!$K$2:$K$301,MATCH($B1134,Vinos!$A$2:$A$301,0))),""))</f>
        <v/>
      </c>
      <c r="M1134" s="21">
        <f>IF(OR($A1134="",$B1134=""),"",SUMIFS($H$2:$H$2001,$A$2:$A$2001,$A1134,$B$2:$B$2001,$B1134))</f>
        <v/>
      </c>
      <c r="N1134" s="20">
        <f>IF($M1134="","",IF($M1134&lt;=0,"Sin stock: reponer ya",IF($M1134&lt;IFERROR(N(INDEX(Vinos!$N$2:$N$301,MATCH($B1134,Vinos!$A$2:$A$301,0))),0),"Bajo mínimo: reponer","OK")))</f>
        <v/>
      </c>
      <c r="O1134" s="14" t="n"/>
      <c r="P1134" s="14" t="n"/>
      <c r="Q1134" s="20">
        <f>IF($B1134="","",IFERROR(INDEX(Vinos!$C$2:$C$301,MATCH($B1134,Vinos!$A$2:$A$301,0)),""))</f>
        <v/>
      </c>
      <c r="R1134" s="20">
        <f>IF(OR($A1134="",$A1134&lt;&gt;'Resumen del inventario'!$C$3,$N1134="",$N1134="OK"),"",IF(COUNTIFS($A$2:$A1134,$A1134,$B$2:$B1134,$B1134)=1,1,""))</f>
        <v/>
      </c>
      <c r="S1134" s="20">
        <f>IF($R1134=1,COUNTIF($R$2:$R1134,1),"")</f>
        <v/>
      </c>
    </row>
    <row r="1135">
      <c r="A1135" s="19" t="n"/>
      <c r="B1135" s="14" t="n"/>
      <c r="C1135" s="20">
        <f>IF($B1135="","",IFERROR(INDEX(Vinos!$B$2:$B$301,MATCH($B1135,Vinos!$A$2:$A$301,0)),"Código no cargado"))</f>
        <v/>
      </c>
      <c r="D1135" s="14" t="n"/>
      <c r="E1135" s="14" t="n"/>
      <c r="F1135" s="18" t="n"/>
      <c r="G1135" s="18" t="n"/>
      <c r="H1135" s="21">
        <f>IF(AND($F1135="",$G1135=""),"",N($F1135)*IFERROR(N(INDEX(Vinos!$H$2:$H$301,MATCH($B1135,Vinos!$A$2:$A$301,0))),0)+N($G1135))</f>
        <v/>
      </c>
      <c r="I1135" s="18" t="n"/>
      <c r="J1135" s="21">
        <f>IF(OR($H1135="",$I1135=""),"",$H1135-$I1135)</f>
        <v/>
      </c>
      <c r="K1135" s="16">
        <f>IF($H1135="","",IFERROR(IF(INDEX(Vinos!$J$2:$J$301,MATCH($B1135,Vinos!$A$2:$A$301,0))="","",$H1135*INDEX(Vinos!$J$2:$J$301,MATCH($B1135,Vinos!$A$2:$A$301,0))),""))</f>
        <v/>
      </c>
      <c r="L1135" s="16">
        <f>IF($H1135="","",IFERROR(IF(INDEX(Vinos!$K$2:$K$301,MATCH($B1135,Vinos!$A$2:$A$301,0))="","",$H1135*INDEX(Vinos!$K$2:$K$301,MATCH($B1135,Vinos!$A$2:$A$301,0))),""))</f>
        <v/>
      </c>
      <c r="M1135" s="21">
        <f>IF(OR($A1135="",$B1135=""),"",SUMIFS($H$2:$H$2001,$A$2:$A$2001,$A1135,$B$2:$B$2001,$B1135))</f>
        <v/>
      </c>
      <c r="N1135" s="20">
        <f>IF($M1135="","",IF($M1135&lt;=0,"Sin stock: reponer ya",IF($M1135&lt;IFERROR(N(INDEX(Vinos!$N$2:$N$301,MATCH($B1135,Vinos!$A$2:$A$301,0))),0),"Bajo mínimo: reponer","OK")))</f>
        <v/>
      </c>
      <c r="O1135" s="14" t="n"/>
      <c r="P1135" s="14" t="n"/>
      <c r="Q1135" s="20">
        <f>IF($B1135="","",IFERROR(INDEX(Vinos!$C$2:$C$301,MATCH($B1135,Vinos!$A$2:$A$301,0)),""))</f>
        <v/>
      </c>
      <c r="R1135" s="20">
        <f>IF(OR($A1135="",$A1135&lt;&gt;'Resumen del inventario'!$C$3,$N1135="",$N1135="OK"),"",IF(COUNTIFS($A$2:$A1135,$A1135,$B$2:$B1135,$B1135)=1,1,""))</f>
        <v/>
      </c>
      <c r="S1135" s="20">
        <f>IF($R1135=1,COUNTIF($R$2:$R1135,1),"")</f>
        <v/>
      </c>
    </row>
    <row r="1136">
      <c r="A1136" s="19" t="n"/>
      <c r="B1136" s="14" t="n"/>
      <c r="C1136" s="20">
        <f>IF($B1136="","",IFERROR(INDEX(Vinos!$B$2:$B$301,MATCH($B1136,Vinos!$A$2:$A$301,0)),"Código no cargado"))</f>
        <v/>
      </c>
      <c r="D1136" s="14" t="n"/>
      <c r="E1136" s="14" t="n"/>
      <c r="F1136" s="18" t="n"/>
      <c r="G1136" s="18" t="n"/>
      <c r="H1136" s="21">
        <f>IF(AND($F1136="",$G1136=""),"",N($F1136)*IFERROR(N(INDEX(Vinos!$H$2:$H$301,MATCH($B1136,Vinos!$A$2:$A$301,0))),0)+N($G1136))</f>
        <v/>
      </c>
      <c r="I1136" s="18" t="n"/>
      <c r="J1136" s="21">
        <f>IF(OR($H1136="",$I1136=""),"",$H1136-$I1136)</f>
        <v/>
      </c>
      <c r="K1136" s="16">
        <f>IF($H1136="","",IFERROR(IF(INDEX(Vinos!$J$2:$J$301,MATCH($B1136,Vinos!$A$2:$A$301,0))="","",$H1136*INDEX(Vinos!$J$2:$J$301,MATCH($B1136,Vinos!$A$2:$A$301,0))),""))</f>
        <v/>
      </c>
      <c r="L1136" s="16">
        <f>IF($H1136="","",IFERROR(IF(INDEX(Vinos!$K$2:$K$301,MATCH($B1136,Vinos!$A$2:$A$301,0))="","",$H1136*INDEX(Vinos!$K$2:$K$301,MATCH($B1136,Vinos!$A$2:$A$301,0))),""))</f>
        <v/>
      </c>
      <c r="M1136" s="21">
        <f>IF(OR($A1136="",$B1136=""),"",SUMIFS($H$2:$H$2001,$A$2:$A$2001,$A1136,$B$2:$B$2001,$B1136))</f>
        <v/>
      </c>
      <c r="N1136" s="20">
        <f>IF($M1136="","",IF($M1136&lt;=0,"Sin stock: reponer ya",IF($M1136&lt;IFERROR(N(INDEX(Vinos!$N$2:$N$301,MATCH($B1136,Vinos!$A$2:$A$301,0))),0),"Bajo mínimo: reponer","OK")))</f>
        <v/>
      </c>
      <c r="O1136" s="14" t="n"/>
      <c r="P1136" s="14" t="n"/>
      <c r="Q1136" s="20">
        <f>IF($B1136="","",IFERROR(INDEX(Vinos!$C$2:$C$301,MATCH($B1136,Vinos!$A$2:$A$301,0)),""))</f>
        <v/>
      </c>
      <c r="R1136" s="20">
        <f>IF(OR($A1136="",$A1136&lt;&gt;'Resumen del inventario'!$C$3,$N1136="",$N1136="OK"),"",IF(COUNTIFS($A$2:$A1136,$A1136,$B$2:$B1136,$B1136)=1,1,""))</f>
        <v/>
      </c>
      <c r="S1136" s="20">
        <f>IF($R1136=1,COUNTIF($R$2:$R1136,1),"")</f>
        <v/>
      </c>
    </row>
    <row r="1137">
      <c r="A1137" s="19" t="n"/>
      <c r="B1137" s="14" t="n"/>
      <c r="C1137" s="20">
        <f>IF($B1137="","",IFERROR(INDEX(Vinos!$B$2:$B$301,MATCH($B1137,Vinos!$A$2:$A$301,0)),"Código no cargado"))</f>
        <v/>
      </c>
      <c r="D1137" s="14" t="n"/>
      <c r="E1137" s="14" t="n"/>
      <c r="F1137" s="18" t="n"/>
      <c r="G1137" s="18" t="n"/>
      <c r="H1137" s="21">
        <f>IF(AND($F1137="",$G1137=""),"",N($F1137)*IFERROR(N(INDEX(Vinos!$H$2:$H$301,MATCH($B1137,Vinos!$A$2:$A$301,0))),0)+N($G1137))</f>
        <v/>
      </c>
      <c r="I1137" s="18" t="n"/>
      <c r="J1137" s="21">
        <f>IF(OR($H1137="",$I1137=""),"",$H1137-$I1137)</f>
        <v/>
      </c>
      <c r="K1137" s="16">
        <f>IF($H1137="","",IFERROR(IF(INDEX(Vinos!$J$2:$J$301,MATCH($B1137,Vinos!$A$2:$A$301,0))="","",$H1137*INDEX(Vinos!$J$2:$J$301,MATCH($B1137,Vinos!$A$2:$A$301,0))),""))</f>
        <v/>
      </c>
      <c r="L1137" s="16">
        <f>IF($H1137="","",IFERROR(IF(INDEX(Vinos!$K$2:$K$301,MATCH($B1137,Vinos!$A$2:$A$301,0))="","",$H1137*INDEX(Vinos!$K$2:$K$301,MATCH($B1137,Vinos!$A$2:$A$301,0))),""))</f>
        <v/>
      </c>
      <c r="M1137" s="21">
        <f>IF(OR($A1137="",$B1137=""),"",SUMIFS($H$2:$H$2001,$A$2:$A$2001,$A1137,$B$2:$B$2001,$B1137))</f>
        <v/>
      </c>
      <c r="N1137" s="20">
        <f>IF($M1137="","",IF($M1137&lt;=0,"Sin stock: reponer ya",IF($M1137&lt;IFERROR(N(INDEX(Vinos!$N$2:$N$301,MATCH($B1137,Vinos!$A$2:$A$301,0))),0),"Bajo mínimo: reponer","OK")))</f>
        <v/>
      </c>
      <c r="O1137" s="14" t="n"/>
      <c r="P1137" s="14" t="n"/>
      <c r="Q1137" s="20">
        <f>IF($B1137="","",IFERROR(INDEX(Vinos!$C$2:$C$301,MATCH($B1137,Vinos!$A$2:$A$301,0)),""))</f>
        <v/>
      </c>
      <c r="R1137" s="20">
        <f>IF(OR($A1137="",$A1137&lt;&gt;'Resumen del inventario'!$C$3,$N1137="",$N1137="OK"),"",IF(COUNTIFS($A$2:$A1137,$A1137,$B$2:$B1137,$B1137)=1,1,""))</f>
        <v/>
      </c>
      <c r="S1137" s="20">
        <f>IF($R1137=1,COUNTIF($R$2:$R1137,1),"")</f>
        <v/>
      </c>
    </row>
    <row r="1138">
      <c r="A1138" s="19" t="n"/>
      <c r="B1138" s="14" t="n"/>
      <c r="C1138" s="20">
        <f>IF($B1138="","",IFERROR(INDEX(Vinos!$B$2:$B$301,MATCH($B1138,Vinos!$A$2:$A$301,0)),"Código no cargado"))</f>
        <v/>
      </c>
      <c r="D1138" s="14" t="n"/>
      <c r="E1138" s="14" t="n"/>
      <c r="F1138" s="18" t="n"/>
      <c r="G1138" s="18" t="n"/>
      <c r="H1138" s="21">
        <f>IF(AND($F1138="",$G1138=""),"",N($F1138)*IFERROR(N(INDEX(Vinos!$H$2:$H$301,MATCH($B1138,Vinos!$A$2:$A$301,0))),0)+N($G1138))</f>
        <v/>
      </c>
      <c r="I1138" s="18" t="n"/>
      <c r="J1138" s="21">
        <f>IF(OR($H1138="",$I1138=""),"",$H1138-$I1138)</f>
        <v/>
      </c>
      <c r="K1138" s="16">
        <f>IF($H1138="","",IFERROR(IF(INDEX(Vinos!$J$2:$J$301,MATCH($B1138,Vinos!$A$2:$A$301,0))="","",$H1138*INDEX(Vinos!$J$2:$J$301,MATCH($B1138,Vinos!$A$2:$A$301,0))),""))</f>
        <v/>
      </c>
      <c r="L1138" s="16">
        <f>IF($H1138="","",IFERROR(IF(INDEX(Vinos!$K$2:$K$301,MATCH($B1138,Vinos!$A$2:$A$301,0))="","",$H1138*INDEX(Vinos!$K$2:$K$301,MATCH($B1138,Vinos!$A$2:$A$301,0))),""))</f>
        <v/>
      </c>
      <c r="M1138" s="21">
        <f>IF(OR($A1138="",$B1138=""),"",SUMIFS($H$2:$H$2001,$A$2:$A$2001,$A1138,$B$2:$B$2001,$B1138))</f>
        <v/>
      </c>
      <c r="N1138" s="20">
        <f>IF($M1138="","",IF($M1138&lt;=0,"Sin stock: reponer ya",IF($M1138&lt;IFERROR(N(INDEX(Vinos!$N$2:$N$301,MATCH($B1138,Vinos!$A$2:$A$301,0))),0),"Bajo mínimo: reponer","OK")))</f>
        <v/>
      </c>
      <c r="O1138" s="14" t="n"/>
      <c r="P1138" s="14" t="n"/>
      <c r="Q1138" s="20">
        <f>IF($B1138="","",IFERROR(INDEX(Vinos!$C$2:$C$301,MATCH($B1138,Vinos!$A$2:$A$301,0)),""))</f>
        <v/>
      </c>
      <c r="R1138" s="20">
        <f>IF(OR($A1138="",$A1138&lt;&gt;'Resumen del inventario'!$C$3,$N1138="",$N1138="OK"),"",IF(COUNTIFS($A$2:$A1138,$A1138,$B$2:$B1138,$B1138)=1,1,""))</f>
        <v/>
      </c>
      <c r="S1138" s="20">
        <f>IF($R1138=1,COUNTIF($R$2:$R1138,1),"")</f>
        <v/>
      </c>
    </row>
    <row r="1139">
      <c r="A1139" s="19" t="n"/>
      <c r="B1139" s="14" t="n"/>
      <c r="C1139" s="20">
        <f>IF($B1139="","",IFERROR(INDEX(Vinos!$B$2:$B$301,MATCH($B1139,Vinos!$A$2:$A$301,0)),"Código no cargado"))</f>
        <v/>
      </c>
      <c r="D1139" s="14" t="n"/>
      <c r="E1139" s="14" t="n"/>
      <c r="F1139" s="18" t="n"/>
      <c r="G1139" s="18" t="n"/>
      <c r="H1139" s="21">
        <f>IF(AND($F1139="",$G1139=""),"",N($F1139)*IFERROR(N(INDEX(Vinos!$H$2:$H$301,MATCH($B1139,Vinos!$A$2:$A$301,0))),0)+N($G1139))</f>
        <v/>
      </c>
      <c r="I1139" s="18" t="n"/>
      <c r="J1139" s="21">
        <f>IF(OR($H1139="",$I1139=""),"",$H1139-$I1139)</f>
        <v/>
      </c>
      <c r="K1139" s="16">
        <f>IF($H1139="","",IFERROR(IF(INDEX(Vinos!$J$2:$J$301,MATCH($B1139,Vinos!$A$2:$A$301,0))="","",$H1139*INDEX(Vinos!$J$2:$J$301,MATCH($B1139,Vinos!$A$2:$A$301,0))),""))</f>
        <v/>
      </c>
      <c r="L1139" s="16">
        <f>IF($H1139="","",IFERROR(IF(INDEX(Vinos!$K$2:$K$301,MATCH($B1139,Vinos!$A$2:$A$301,0))="","",$H1139*INDEX(Vinos!$K$2:$K$301,MATCH($B1139,Vinos!$A$2:$A$301,0))),""))</f>
        <v/>
      </c>
      <c r="M1139" s="21">
        <f>IF(OR($A1139="",$B1139=""),"",SUMIFS($H$2:$H$2001,$A$2:$A$2001,$A1139,$B$2:$B$2001,$B1139))</f>
        <v/>
      </c>
      <c r="N1139" s="20">
        <f>IF($M1139="","",IF($M1139&lt;=0,"Sin stock: reponer ya",IF($M1139&lt;IFERROR(N(INDEX(Vinos!$N$2:$N$301,MATCH($B1139,Vinos!$A$2:$A$301,0))),0),"Bajo mínimo: reponer","OK")))</f>
        <v/>
      </c>
      <c r="O1139" s="14" t="n"/>
      <c r="P1139" s="14" t="n"/>
      <c r="Q1139" s="20">
        <f>IF($B1139="","",IFERROR(INDEX(Vinos!$C$2:$C$301,MATCH($B1139,Vinos!$A$2:$A$301,0)),""))</f>
        <v/>
      </c>
      <c r="R1139" s="20">
        <f>IF(OR($A1139="",$A1139&lt;&gt;'Resumen del inventario'!$C$3,$N1139="",$N1139="OK"),"",IF(COUNTIFS($A$2:$A1139,$A1139,$B$2:$B1139,$B1139)=1,1,""))</f>
        <v/>
      </c>
      <c r="S1139" s="20">
        <f>IF($R1139=1,COUNTIF($R$2:$R1139,1),"")</f>
        <v/>
      </c>
    </row>
    <row r="1140">
      <c r="A1140" s="19" t="n"/>
      <c r="B1140" s="14" t="n"/>
      <c r="C1140" s="20">
        <f>IF($B1140="","",IFERROR(INDEX(Vinos!$B$2:$B$301,MATCH($B1140,Vinos!$A$2:$A$301,0)),"Código no cargado"))</f>
        <v/>
      </c>
      <c r="D1140" s="14" t="n"/>
      <c r="E1140" s="14" t="n"/>
      <c r="F1140" s="18" t="n"/>
      <c r="G1140" s="18" t="n"/>
      <c r="H1140" s="21">
        <f>IF(AND($F1140="",$G1140=""),"",N($F1140)*IFERROR(N(INDEX(Vinos!$H$2:$H$301,MATCH($B1140,Vinos!$A$2:$A$301,0))),0)+N($G1140))</f>
        <v/>
      </c>
      <c r="I1140" s="18" t="n"/>
      <c r="J1140" s="21">
        <f>IF(OR($H1140="",$I1140=""),"",$H1140-$I1140)</f>
        <v/>
      </c>
      <c r="K1140" s="16">
        <f>IF($H1140="","",IFERROR(IF(INDEX(Vinos!$J$2:$J$301,MATCH($B1140,Vinos!$A$2:$A$301,0))="","",$H1140*INDEX(Vinos!$J$2:$J$301,MATCH($B1140,Vinos!$A$2:$A$301,0))),""))</f>
        <v/>
      </c>
      <c r="L1140" s="16">
        <f>IF($H1140="","",IFERROR(IF(INDEX(Vinos!$K$2:$K$301,MATCH($B1140,Vinos!$A$2:$A$301,0))="","",$H1140*INDEX(Vinos!$K$2:$K$301,MATCH($B1140,Vinos!$A$2:$A$301,0))),""))</f>
        <v/>
      </c>
      <c r="M1140" s="21">
        <f>IF(OR($A1140="",$B1140=""),"",SUMIFS($H$2:$H$2001,$A$2:$A$2001,$A1140,$B$2:$B$2001,$B1140))</f>
        <v/>
      </c>
      <c r="N1140" s="20">
        <f>IF($M1140="","",IF($M1140&lt;=0,"Sin stock: reponer ya",IF($M1140&lt;IFERROR(N(INDEX(Vinos!$N$2:$N$301,MATCH($B1140,Vinos!$A$2:$A$301,0))),0),"Bajo mínimo: reponer","OK")))</f>
        <v/>
      </c>
      <c r="O1140" s="14" t="n"/>
      <c r="P1140" s="14" t="n"/>
      <c r="Q1140" s="20">
        <f>IF($B1140="","",IFERROR(INDEX(Vinos!$C$2:$C$301,MATCH($B1140,Vinos!$A$2:$A$301,0)),""))</f>
        <v/>
      </c>
      <c r="R1140" s="20">
        <f>IF(OR($A1140="",$A1140&lt;&gt;'Resumen del inventario'!$C$3,$N1140="",$N1140="OK"),"",IF(COUNTIFS($A$2:$A1140,$A1140,$B$2:$B1140,$B1140)=1,1,""))</f>
        <v/>
      </c>
      <c r="S1140" s="20">
        <f>IF($R1140=1,COUNTIF($R$2:$R1140,1),"")</f>
        <v/>
      </c>
    </row>
    <row r="1141">
      <c r="A1141" s="19" t="n"/>
      <c r="B1141" s="14" t="n"/>
      <c r="C1141" s="20">
        <f>IF($B1141="","",IFERROR(INDEX(Vinos!$B$2:$B$301,MATCH($B1141,Vinos!$A$2:$A$301,0)),"Código no cargado"))</f>
        <v/>
      </c>
      <c r="D1141" s="14" t="n"/>
      <c r="E1141" s="14" t="n"/>
      <c r="F1141" s="18" t="n"/>
      <c r="G1141" s="18" t="n"/>
      <c r="H1141" s="21">
        <f>IF(AND($F1141="",$G1141=""),"",N($F1141)*IFERROR(N(INDEX(Vinos!$H$2:$H$301,MATCH($B1141,Vinos!$A$2:$A$301,0))),0)+N($G1141))</f>
        <v/>
      </c>
      <c r="I1141" s="18" t="n"/>
      <c r="J1141" s="21">
        <f>IF(OR($H1141="",$I1141=""),"",$H1141-$I1141)</f>
        <v/>
      </c>
      <c r="K1141" s="16">
        <f>IF($H1141="","",IFERROR(IF(INDEX(Vinos!$J$2:$J$301,MATCH($B1141,Vinos!$A$2:$A$301,0))="","",$H1141*INDEX(Vinos!$J$2:$J$301,MATCH($B1141,Vinos!$A$2:$A$301,0))),""))</f>
        <v/>
      </c>
      <c r="L1141" s="16">
        <f>IF($H1141="","",IFERROR(IF(INDEX(Vinos!$K$2:$K$301,MATCH($B1141,Vinos!$A$2:$A$301,0))="","",$H1141*INDEX(Vinos!$K$2:$K$301,MATCH($B1141,Vinos!$A$2:$A$301,0))),""))</f>
        <v/>
      </c>
      <c r="M1141" s="21">
        <f>IF(OR($A1141="",$B1141=""),"",SUMIFS($H$2:$H$2001,$A$2:$A$2001,$A1141,$B$2:$B$2001,$B1141))</f>
        <v/>
      </c>
      <c r="N1141" s="20">
        <f>IF($M1141="","",IF($M1141&lt;=0,"Sin stock: reponer ya",IF($M1141&lt;IFERROR(N(INDEX(Vinos!$N$2:$N$301,MATCH($B1141,Vinos!$A$2:$A$301,0))),0),"Bajo mínimo: reponer","OK")))</f>
        <v/>
      </c>
      <c r="O1141" s="14" t="n"/>
      <c r="P1141" s="14" t="n"/>
      <c r="Q1141" s="20">
        <f>IF($B1141="","",IFERROR(INDEX(Vinos!$C$2:$C$301,MATCH($B1141,Vinos!$A$2:$A$301,0)),""))</f>
        <v/>
      </c>
      <c r="R1141" s="20">
        <f>IF(OR($A1141="",$A1141&lt;&gt;'Resumen del inventario'!$C$3,$N1141="",$N1141="OK"),"",IF(COUNTIFS($A$2:$A1141,$A1141,$B$2:$B1141,$B1141)=1,1,""))</f>
        <v/>
      </c>
      <c r="S1141" s="20">
        <f>IF($R1141=1,COUNTIF($R$2:$R1141,1),"")</f>
        <v/>
      </c>
    </row>
    <row r="1142">
      <c r="A1142" s="19" t="n"/>
      <c r="B1142" s="14" t="n"/>
      <c r="C1142" s="20">
        <f>IF($B1142="","",IFERROR(INDEX(Vinos!$B$2:$B$301,MATCH($B1142,Vinos!$A$2:$A$301,0)),"Código no cargado"))</f>
        <v/>
      </c>
      <c r="D1142" s="14" t="n"/>
      <c r="E1142" s="14" t="n"/>
      <c r="F1142" s="18" t="n"/>
      <c r="G1142" s="18" t="n"/>
      <c r="H1142" s="21">
        <f>IF(AND($F1142="",$G1142=""),"",N($F1142)*IFERROR(N(INDEX(Vinos!$H$2:$H$301,MATCH($B1142,Vinos!$A$2:$A$301,0))),0)+N($G1142))</f>
        <v/>
      </c>
      <c r="I1142" s="18" t="n"/>
      <c r="J1142" s="21">
        <f>IF(OR($H1142="",$I1142=""),"",$H1142-$I1142)</f>
        <v/>
      </c>
      <c r="K1142" s="16">
        <f>IF($H1142="","",IFERROR(IF(INDEX(Vinos!$J$2:$J$301,MATCH($B1142,Vinos!$A$2:$A$301,0))="","",$H1142*INDEX(Vinos!$J$2:$J$301,MATCH($B1142,Vinos!$A$2:$A$301,0))),""))</f>
        <v/>
      </c>
      <c r="L1142" s="16">
        <f>IF($H1142="","",IFERROR(IF(INDEX(Vinos!$K$2:$K$301,MATCH($B1142,Vinos!$A$2:$A$301,0))="","",$H1142*INDEX(Vinos!$K$2:$K$301,MATCH($B1142,Vinos!$A$2:$A$301,0))),""))</f>
        <v/>
      </c>
      <c r="M1142" s="21">
        <f>IF(OR($A1142="",$B1142=""),"",SUMIFS($H$2:$H$2001,$A$2:$A$2001,$A1142,$B$2:$B$2001,$B1142))</f>
        <v/>
      </c>
      <c r="N1142" s="20">
        <f>IF($M1142="","",IF($M1142&lt;=0,"Sin stock: reponer ya",IF($M1142&lt;IFERROR(N(INDEX(Vinos!$N$2:$N$301,MATCH($B1142,Vinos!$A$2:$A$301,0))),0),"Bajo mínimo: reponer","OK")))</f>
        <v/>
      </c>
      <c r="O1142" s="14" t="n"/>
      <c r="P1142" s="14" t="n"/>
      <c r="Q1142" s="20">
        <f>IF($B1142="","",IFERROR(INDEX(Vinos!$C$2:$C$301,MATCH($B1142,Vinos!$A$2:$A$301,0)),""))</f>
        <v/>
      </c>
      <c r="R1142" s="20">
        <f>IF(OR($A1142="",$A1142&lt;&gt;'Resumen del inventario'!$C$3,$N1142="",$N1142="OK"),"",IF(COUNTIFS($A$2:$A1142,$A1142,$B$2:$B1142,$B1142)=1,1,""))</f>
        <v/>
      </c>
      <c r="S1142" s="20">
        <f>IF($R1142=1,COUNTIF($R$2:$R1142,1),"")</f>
        <v/>
      </c>
    </row>
    <row r="1143">
      <c r="A1143" s="19" t="n"/>
      <c r="B1143" s="14" t="n"/>
      <c r="C1143" s="20">
        <f>IF($B1143="","",IFERROR(INDEX(Vinos!$B$2:$B$301,MATCH($B1143,Vinos!$A$2:$A$301,0)),"Código no cargado"))</f>
        <v/>
      </c>
      <c r="D1143" s="14" t="n"/>
      <c r="E1143" s="14" t="n"/>
      <c r="F1143" s="18" t="n"/>
      <c r="G1143" s="18" t="n"/>
      <c r="H1143" s="21">
        <f>IF(AND($F1143="",$G1143=""),"",N($F1143)*IFERROR(N(INDEX(Vinos!$H$2:$H$301,MATCH($B1143,Vinos!$A$2:$A$301,0))),0)+N($G1143))</f>
        <v/>
      </c>
      <c r="I1143" s="18" t="n"/>
      <c r="J1143" s="21">
        <f>IF(OR($H1143="",$I1143=""),"",$H1143-$I1143)</f>
        <v/>
      </c>
      <c r="K1143" s="16">
        <f>IF($H1143="","",IFERROR(IF(INDEX(Vinos!$J$2:$J$301,MATCH($B1143,Vinos!$A$2:$A$301,0))="","",$H1143*INDEX(Vinos!$J$2:$J$301,MATCH($B1143,Vinos!$A$2:$A$301,0))),""))</f>
        <v/>
      </c>
      <c r="L1143" s="16">
        <f>IF($H1143="","",IFERROR(IF(INDEX(Vinos!$K$2:$K$301,MATCH($B1143,Vinos!$A$2:$A$301,0))="","",$H1143*INDEX(Vinos!$K$2:$K$301,MATCH($B1143,Vinos!$A$2:$A$301,0))),""))</f>
        <v/>
      </c>
      <c r="M1143" s="21">
        <f>IF(OR($A1143="",$B1143=""),"",SUMIFS($H$2:$H$2001,$A$2:$A$2001,$A1143,$B$2:$B$2001,$B1143))</f>
        <v/>
      </c>
      <c r="N1143" s="20">
        <f>IF($M1143="","",IF($M1143&lt;=0,"Sin stock: reponer ya",IF($M1143&lt;IFERROR(N(INDEX(Vinos!$N$2:$N$301,MATCH($B1143,Vinos!$A$2:$A$301,0))),0),"Bajo mínimo: reponer","OK")))</f>
        <v/>
      </c>
      <c r="O1143" s="14" t="n"/>
      <c r="P1143" s="14" t="n"/>
      <c r="Q1143" s="20">
        <f>IF($B1143="","",IFERROR(INDEX(Vinos!$C$2:$C$301,MATCH($B1143,Vinos!$A$2:$A$301,0)),""))</f>
        <v/>
      </c>
      <c r="R1143" s="20">
        <f>IF(OR($A1143="",$A1143&lt;&gt;'Resumen del inventario'!$C$3,$N1143="",$N1143="OK"),"",IF(COUNTIFS($A$2:$A1143,$A1143,$B$2:$B1143,$B1143)=1,1,""))</f>
        <v/>
      </c>
      <c r="S1143" s="20">
        <f>IF($R1143=1,COUNTIF($R$2:$R1143,1),"")</f>
        <v/>
      </c>
    </row>
    <row r="1144">
      <c r="A1144" s="19" t="n"/>
      <c r="B1144" s="14" t="n"/>
      <c r="C1144" s="20">
        <f>IF($B1144="","",IFERROR(INDEX(Vinos!$B$2:$B$301,MATCH($B1144,Vinos!$A$2:$A$301,0)),"Código no cargado"))</f>
        <v/>
      </c>
      <c r="D1144" s="14" t="n"/>
      <c r="E1144" s="14" t="n"/>
      <c r="F1144" s="18" t="n"/>
      <c r="G1144" s="18" t="n"/>
      <c r="H1144" s="21">
        <f>IF(AND($F1144="",$G1144=""),"",N($F1144)*IFERROR(N(INDEX(Vinos!$H$2:$H$301,MATCH($B1144,Vinos!$A$2:$A$301,0))),0)+N($G1144))</f>
        <v/>
      </c>
      <c r="I1144" s="18" t="n"/>
      <c r="J1144" s="21">
        <f>IF(OR($H1144="",$I1144=""),"",$H1144-$I1144)</f>
        <v/>
      </c>
      <c r="K1144" s="16">
        <f>IF($H1144="","",IFERROR(IF(INDEX(Vinos!$J$2:$J$301,MATCH($B1144,Vinos!$A$2:$A$301,0))="","",$H1144*INDEX(Vinos!$J$2:$J$301,MATCH($B1144,Vinos!$A$2:$A$301,0))),""))</f>
        <v/>
      </c>
      <c r="L1144" s="16">
        <f>IF($H1144="","",IFERROR(IF(INDEX(Vinos!$K$2:$K$301,MATCH($B1144,Vinos!$A$2:$A$301,0))="","",$H1144*INDEX(Vinos!$K$2:$K$301,MATCH($B1144,Vinos!$A$2:$A$301,0))),""))</f>
        <v/>
      </c>
      <c r="M1144" s="21">
        <f>IF(OR($A1144="",$B1144=""),"",SUMIFS($H$2:$H$2001,$A$2:$A$2001,$A1144,$B$2:$B$2001,$B1144))</f>
        <v/>
      </c>
      <c r="N1144" s="20">
        <f>IF($M1144="","",IF($M1144&lt;=0,"Sin stock: reponer ya",IF($M1144&lt;IFERROR(N(INDEX(Vinos!$N$2:$N$301,MATCH($B1144,Vinos!$A$2:$A$301,0))),0),"Bajo mínimo: reponer","OK")))</f>
        <v/>
      </c>
      <c r="O1144" s="14" t="n"/>
      <c r="P1144" s="14" t="n"/>
      <c r="Q1144" s="20">
        <f>IF($B1144="","",IFERROR(INDEX(Vinos!$C$2:$C$301,MATCH($B1144,Vinos!$A$2:$A$301,0)),""))</f>
        <v/>
      </c>
      <c r="R1144" s="20">
        <f>IF(OR($A1144="",$A1144&lt;&gt;'Resumen del inventario'!$C$3,$N1144="",$N1144="OK"),"",IF(COUNTIFS($A$2:$A1144,$A1144,$B$2:$B1144,$B1144)=1,1,""))</f>
        <v/>
      </c>
      <c r="S1144" s="20">
        <f>IF($R1144=1,COUNTIF($R$2:$R1144,1),"")</f>
        <v/>
      </c>
    </row>
    <row r="1145">
      <c r="A1145" s="19" t="n"/>
      <c r="B1145" s="14" t="n"/>
      <c r="C1145" s="20">
        <f>IF($B1145="","",IFERROR(INDEX(Vinos!$B$2:$B$301,MATCH($B1145,Vinos!$A$2:$A$301,0)),"Código no cargado"))</f>
        <v/>
      </c>
      <c r="D1145" s="14" t="n"/>
      <c r="E1145" s="14" t="n"/>
      <c r="F1145" s="18" t="n"/>
      <c r="G1145" s="18" t="n"/>
      <c r="H1145" s="21">
        <f>IF(AND($F1145="",$G1145=""),"",N($F1145)*IFERROR(N(INDEX(Vinos!$H$2:$H$301,MATCH($B1145,Vinos!$A$2:$A$301,0))),0)+N($G1145))</f>
        <v/>
      </c>
      <c r="I1145" s="18" t="n"/>
      <c r="J1145" s="21">
        <f>IF(OR($H1145="",$I1145=""),"",$H1145-$I1145)</f>
        <v/>
      </c>
      <c r="K1145" s="16">
        <f>IF($H1145="","",IFERROR(IF(INDEX(Vinos!$J$2:$J$301,MATCH($B1145,Vinos!$A$2:$A$301,0))="","",$H1145*INDEX(Vinos!$J$2:$J$301,MATCH($B1145,Vinos!$A$2:$A$301,0))),""))</f>
        <v/>
      </c>
      <c r="L1145" s="16">
        <f>IF($H1145="","",IFERROR(IF(INDEX(Vinos!$K$2:$K$301,MATCH($B1145,Vinos!$A$2:$A$301,0))="","",$H1145*INDEX(Vinos!$K$2:$K$301,MATCH($B1145,Vinos!$A$2:$A$301,0))),""))</f>
        <v/>
      </c>
      <c r="M1145" s="21">
        <f>IF(OR($A1145="",$B1145=""),"",SUMIFS($H$2:$H$2001,$A$2:$A$2001,$A1145,$B$2:$B$2001,$B1145))</f>
        <v/>
      </c>
      <c r="N1145" s="20">
        <f>IF($M1145="","",IF($M1145&lt;=0,"Sin stock: reponer ya",IF($M1145&lt;IFERROR(N(INDEX(Vinos!$N$2:$N$301,MATCH($B1145,Vinos!$A$2:$A$301,0))),0),"Bajo mínimo: reponer","OK")))</f>
        <v/>
      </c>
      <c r="O1145" s="14" t="n"/>
      <c r="P1145" s="14" t="n"/>
      <c r="Q1145" s="20">
        <f>IF($B1145="","",IFERROR(INDEX(Vinos!$C$2:$C$301,MATCH($B1145,Vinos!$A$2:$A$301,0)),""))</f>
        <v/>
      </c>
      <c r="R1145" s="20">
        <f>IF(OR($A1145="",$A1145&lt;&gt;'Resumen del inventario'!$C$3,$N1145="",$N1145="OK"),"",IF(COUNTIFS($A$2:$A1145,$A1145,$B$2:$B1145,$B1145)=1,1,""))</f>
        <v/>
      </c>
      <c r="S1145" s="20">
        <f>IF($R1145=1,COUNTIF($R$2:$R1145,1),"")</f>
        <v/>
      </c>
    </row>
    <row r="1146">
      <c r="A1146" s="19" t="n"/>
      <c r="B1146" s="14" t="n"/>
      <c r="C1146" s="20">
        <f>IF($B1146="","",IFERROR(INDEX(Vinos!$B$2:$B$301,MATCH($B1146,Vinos!$A$2:$A$301,0)),"Código no cargado"))</f>
        <v/>
      </c>
      <c r="D1146" s="14" t="n"/>
      <c r="E1146" s="14" t="n"/>
      <c r="F1146" s="18" t="n"/>
      <c r="G1146" s="18" t="n"/>
      <c r="H1146" s="21">
        <f>IF(AND($F1146="",$G1146=""),"",N($F1146)*IFERROR(N(INDEX(Vinos!$H$2:$H$301,MATCH($B1146,Vinos!$A$2:$A$301,0))),0)+N($G1146))</f>
        <v/>
      </c>
      <c r="I1146" s="18" t="n"/>
      <c r="J1146" s="21">
        <f>IF(OR($H1146="",$I1146=""),"",$H1146-$I1146)</f>
        <v/>
      </c>
      <c r="K1146" s="16">
        <f>IF($H1146="","",IFERROR(IF(INDEX(Vinos!$J$2:$J$301,MATCH($B1146,Vinos!$A$2:$A$301,0))="","",$H1146*INDEX(Vinos!$J$2:$J$301,MATCH($B1146,Vinos!$A$2:$A$301,0))),""))</f>
        <v/>
      </c>
      <c r="L1146" s="16">
        <f>IF($H1146="","",IFERROR(IF(INDEX(Vinos!$K$2:$K$301,MATCH($B1146,Vinos!$A$2:$A$301,0))="","",$H1146*INDEX(Vinos!$K$2:$K$301,MATCH($B1146,Vinos!$A$2:$A$301,0))),""))</f>
        <v/>
      </c>
      <c r="M1146" s="21">
        <f>IF(OR($A1146="",$B1146=""),"",SUMIFS($H$2:$H$2001,$A$2:$A$2001,$A1146,$B$2:$B$2001,$B1146))</f>
        <v/>
      </c>
      <c r="N1146" s="20">
        <f>IF($M1146="","",IF($M1146&lt;=0,"Sin stock: reponer ya",IF($M1146&lt;IFERROR(N(INDEX(Vinos!$N$2:$N$301,MATCH($B1146,Vinos!$A$2:$A$301,0))),0),"Bajo mínimo: reponer","OK")))</f>
        <v/>
      </c>
      <c r="O1146" s="14" t="n"/>
      <c r="P1146" s="14" t="n"/>
      <c r="Q1146" s="20">
        <f>IF($B1146="","",IFERROR(INDEX(Vinos!$C$2:$C$301,MATCH($B1146,Vinos!$A$2:$A$301,0)),""))</f>
        <v/>
      </c>
      <c r="R1146" s="20">
        <f>IF(OR($A1146="",$A1146&lt;&gt;'Resumen del inventario'!$C$3,$N1146="",$N1146="OK"),"",IF(COUNTIFS($A$2:$A1146,$A1146,$B$2:$B1146,$B1146)=1,1,""))</f>
        <v/>
      </c>
      <c r="S1146" s="20">
        <f>IF($R1146=1,COUNTIF($R$2:$R1146,1),"")</f>
        <v/>
      </c>
    </row>
    <row r="1147">
      <c r="A1147" s="19" t="n"/>
      <c r="B1147" s="14" t="n"/>
      <c r="C1147" s="20">
        <f>IF($B1147="","",IFERROR(INDEX(Vinos!$B$2:$B$301,MATCH($B1147,Vinos!$A$2:$A$301,0)),"Código no cargado"))</f>
        <v/>
      </c>
      <c r="D1147" s="14" t="n"/>
      <c r="E1147" s="14" t="n"/>
      <c r="F1147" s="18" t="n"/>
      <c r="G1147" s="18" t="n"/>
      <c r="H1147" s="21">
        <f>IF(AND($F1147="",$G1147=""),"",N($F1147)*IFERROR(N(INDEX(Vinos!$H$2:$H$301,MATCH($B1147,Vinos!$A$2:$A$301,0))),0)+N($G1147))</f>
        <v/>
      </c>
      <c r="I1147" s="18" t="n"/>
      <c r="J1147" s="21">
        <f>IF(OR($H1147="",$I1147=""),"",$H1147-$I1147)</f>
        <v/>
      </c>
      <c r="K1147" s="16">
        <f>IF($H1147="","",IFERROR(IF(INDEX(Vinos!$J$2:$J$301,MATCH($B1147,Vinos!$A$2:$A$301,0))="","",$H1147*INDEX(Vinos!$J$2:$J$301,MATCH($B1147,Vinos!$A$2:$A$301,0))),""))</f>
        <v/>
      </c>
      <c r="L1147" s="16">
        <f>IF($H1147="","",IFERROR(IF(INDEX(Vinos!$K$2:$K$301,MATCH($B1147,Vinos!$A$2:$A$301,0))="","",$H1147*INDEX(Vinos!$K$2:$K$301,MATCH($B1147,Vinos!$A$2:$A$301,0))),""))</f>
        <v/>
      </c>
      <c r="M1147" s="21">
        <f>IF(OR($A1147="",$B1147=""),"",SUMIFS($H$2:$H$2001,$A$2:$A$2001,$A1147,$B$2:$B$2001,$B1147))</f>
        <v/>
      </c>
      <c r="N1147" s="20">
        <f>IF($M1147="","",IF($M1147&lt;=0,"Sin stock: reponer ya",IF($M1147&lt;IFERROR(N(INDEX(Vinos!$N$2:$N$301,MATCH($B1147,Vinos!$A$2:$A$301,0))),0),"Bajo mínimo: reponer","OK")))</f>
        <v/>
      </c>
      <c r="O1147" s="14" t="n"/>
      <c r="P1147" s="14" t="n"/>
      <c r="Q1147" s="20">
        <f>IF($B1147="","",IFERROR(INDEX(Vinos!$C$2:$C$301,MATCH($B1147,Vinos!$A$2:$A$301,0)),""))</f>
        <v/>
      </c>
      <c r="R1147" s="20">
        <f>IF(OR($A1147="",$A1147&lt;&gt;'Resumen del inventario'!$C$3,$N1147="",$N1147="OK"),"",IF(COUNTIFS($A$2:$A1147,$A1147,$B$2:$B1147,$B1147)=1,1,""))</f>
        <v/>
      </c>
      <c r="S1147" s="20">
        <f>IF($R1147=1,COUNTIF($R$2:$R1147,1),"")</f>
        <v/>
      </c>
    </row>
    <row r="1148">
      <c r="A1148" s="19" t="n"/>
      <c r="B1148" s="14" t="n"/>
      <c r="C1148" s="20">
        <f>IF($B1148="","",IFERROR(INDEX(Vinos!$B$2:$B$301,MATCH($B1148,Vinos!$A$2:$A$301,0)),"Código no cargado"))</f>
        <v/>
      </c>
      <c r="D1148" s="14" t="n"/>
      <c r="E1148" s="14" t="n"/>
      <c r="F1148" s="18" t="n"/>
      <c r="G1148" s="18" t="n"/>
      <c r="H1148" s="21">
        <f>IF(AND($F1148="",$G1148=""),"",N($F1148)*IFERROR(N(INDEX(Vinos!$H$2:$H$301,MATCH($B1148,Vinos!$A$2:$A$301,0))),0)+N($G1148))</f>
        <v/>
      </c>
      <c r="I1148" s="18" t="n"/>
      <c r="J1148" s="21">
        <f>IF(OR($H1148="",$I1148=""),"",$H1148-$I1148)</f>
        <v/>
      </c>
      <c r="K1148" s="16">
        <f>IF($H1148="","",IFERROR(IF(INDEX(Vinos!$J$2:$J$301,MATCH($B1148,Vinos!$A$2:$A$301,0))="","",$H1148*INDEX(Vinos!$J$2:$J$301,MATCH($B1148,Vinos!$A$2:$A$301,0))),""))</f>
        <v/>
      </c>
      <c r="L1148" s="16">
        <f>IF($H1148="","",IFERROR(IF(INDEX(Vinos!$K$2:$K$301,MATCH($B1148,Vinos!$A$2:$A$301,0))="","",$H1148*INDEX(Vinos!$K$2:$K$301,MATCH($B1148,Vinos!$A$2:$A$301,0))),""))</f>
        <v/>
      </c>
      <c r="M1148" s="21">
        <f>IF(OR($A1148="",$B1148=""),"",SUMIFS($H$2:$H$2001,$A$2:$A$2001,$A1148,$B$2:$B$2001,$B1148))</f>
        <v/>
      </c>
      <c r="N1148" s="20">
        <f>IF($M1148="","",IF($M1148&lt;=0,"Sin stock: reponer ya",IF($M1148&lt;IFERROR(N(INDEX(Vinos!$N$2:$N$301,MATCH($B1148,Vinos!$A$2:$A$301,0))),0),"Bajo mínimo: reponer","OK")))</f>
        <v/>
      </c>
      <c r="O1148" s="14" t="n"/>
      <c r="P1148" s="14" t="n"/>
      <c r="Q1148" s="20">
        <f>IF($B1148="","",IFERROR(INDEX(Vinos!$C$2:$C$301,MATCH($B1148,Vinos!$A$2:$A$301,0)),""))</f>
        <v/>
      </c>
      <c r="R1148" s="20">
        <f>IF(OR($A1148="",$A1148&lt;&gt;'Resumen del inventario'!$C$3,$N1148="",$N1148="OK"),"",IF(COUNTIFS($A$2:$A1148,$A1148,$B$2:$B1148,$B1148)=1,1,""))</f>
        <v/>
      </c>
      <c r="S1148" s="20">
        <f>IF($R1148=1,COUNTIF($R$2:$R1148,1),"")</f>
        <v/>
      </c>
    </row>
    <row r="1149">
      <c r="A1149" s="19" t="n"/>
      <c r="B1149" s="14" t="n"/>
      <c r="C1149" s="20">
        <f>IF($B1149="","",IFERROR(INDEX(Vinos!$B$2:$B$301,MATCH($B1149,Vinos!$A$2:$A$301,0)),"Código no cargado"))</f>
        <v/>
      </c>
      <c r="D1149" s="14" t="n"/>
      <c r="E1149" s="14" t="n"/>
      <c r="F1149" s="18" t="n"/>
      <c r="G1149" s="18" t="n"/>
      <c r="H1149" s="21">
        <f>IF(AND($F1149="",$G1149=""),"",N($F1149)*IFERROR(N(INDEX(Vinos!$H$2:$H$301,MATCH($B1149,Vinos!$A$2:$A$301,0))),0)+N($G1149))</f>
        <v/>
      </c>
      <c r="I1149" s="18" t="n"/>
      <c r="J1149" s="21">
        <f>IF(OR($H1149="",$I1149=""),"",$H1149-$I1149)</f>
        <v/>
      </c>
      <c r="K1149" s="16">
        <f>IF($H1149="","",IFERROR(IF(INDEX(Vinos!$J$2:$J$301,MATCH($B1149,Vinos!$A$2:$A$301,0))="","",$H1149*INDEX(Vinos!$J$2:$J$301,MATCH($B1149,Vinos!$A$2:$A$301,0))),""))</f>
        <v/>
      </c>
      <c r="L1149" s="16">
        <f>IF($H1149="","",IFERROR(IF(INDEX(Vinos!$K$2:$K$301,MATCH($B1149,Vinos!$A$2:$A$301,0))="","",$H1149*INDEX(Vinos!$K$2:$K$301,MATCH($B1149,Vinos!$A$2:$A$301,0))),""))</f>
        <v/>
      </c>
      <c r="M1149" s="21">
        <f>IF(OR($A1149="",$B1149=""),"",SUMIFS($H$2:$H$2001,$A$2:$A$2001,$A1149,$B$2:$B$2001,$B1149))</f>
        <v/>
      </c>
      <c r="N1149" s="20">
        <f>IF($M1149="","",IF($M1149&lt;=0,"Sin stock: reponer ya",IF($M1149&lt;IFERROR(N(INDEX(Vinos!$N$2:$N$301,MATCH($B1149,Vinos!$A$2:$A$301,0))),0),"Bajo mínimo: reponer","OK")))</f>
        <v/>
      </c>
      <c r="O1149" s="14" t="n"/>
      <c r="P1149" s="14" t="n"/>
      <c r="Q1149" s="20">
        <f>IF($B1149="","",IFERROR(INDEX(Vinos!$C$2:$C$301,MATCH($B1149,Vinos!$A$2:$A$301,0)),""))</f>
        <v/>
      </c>
      <c r="R1149" s="20">
        <f>IF(OR($A1149="",$A1149&lt;&gt;'Resumen del inventario'!$C$3,$N1149="",$N1149="OK"),"",IF(COUNTIFS($A$2:$A1149,$A1149,$B$2:$B1149,$B1149)=1,1,""))</f>
        <v/>
      </c>
      <c r="S1149" s="20">
        <f>IF($R1149=1,COUNTIF($R$2:$R1149,1),"")</f>
        <v/>
      </c>
    </row>
    <row r="1150">
      <c r="A1150" s="19" t="n"/>
      <c r="B1150" s="14" t="n"/>
      <c r="C1150" s="20">
        <f>IF($B1150="","",IFERROR(INDEX(Vinos!$B$2:$B$301,MATCH($B1150,Vinos!$A$2:$A$301,0)),"Código no cargado"))</f>
        <v/>
      </c>
      <c r="D1150" s="14" t="n"/>
      <c r="E1150" s="14" t="n"/>
      <c r="F1150" s="18" t="n"/>
      <c r="G1150" s="18" t="n"/>
      <c r="H1150" s="21">
        <f>IF(AND($F1150="",$G1150=""),"",N($F1150)*IFERROR(N(INDEX(Vinos!$H$2:$H$301,MATCH($B1150,Vinos!$A$2:$A$301,0))),0)+N($G1150))</f>
        <v/>
      </c>
      <c r="I1150" s="18" t="n"/>
      <c r="J1150" s="21">
        <f>IF(OR($H1150="",$I1150=""),"",$H1150-$I1150)</f>
        <v/>
      </c>
      <c r="K1150" s="16">
        <f>IF($H1150="","",IFERROR(IF(INDEX(Vinos!$J$2:$J$301,MATCH($B1150,Vinos!$A$2:$A$301,0))="","",$H1150*INDEX(Vinos!$J$2:$J$301,MATCH($B1150,Vinos!$A$2:$A$301,0))),""))</f>
        <v/>
      </c>
      <c r="L1150" s="16">
        <f>IF($H1150="","",IFERROR(IF(INDEX(Vinos!$K$2:$K$301,MATCH($B1150,Vinos!$A$2:$A$301,0))="","",$H1150*INDEX(Vinos!$K$2:$K$301,MATCH($B1150,Vinos!$A$2:$A$301,0))),""))</f>
        <v/>
      </c>
      <c r="M1150" s="21">
        <f>IF(OR($A1150="",$B1150=""),"",SUMIFS($H$2:$H$2001,$A$2:$A$2001,$A1150,$B$2:$B$2001,$B1150))</f>
        <v/>
      </c>
      <c r="N1150" s="20">
        <f>IF($M1150="","",IF($M1150&lt;=0,"Sin stock: reponer ya",IF($M1150&lt;IFERROR(N(INDEX(Vinos!$N$2:$N$301,MATCH($B1150,Vinos!$A$2:$A$301,0))),0),"Bajo mínimo: reponer","OK")))</f>
        <v/>
      </c>
      <c r="O1150" s="14" t="n"/>
      <c r="P1150" s="14" t="n"/>
      <c r="Q1150" s="20">
        <f>IF($B1150="","",IFERROR(INDEX(Vinos!$C$2:$C$301,MATCH($B1150,Vinos!$A$2:$A$301,0)),""))</f>
        <v/>
      </c>
      <c r="R1150" s="20">
        <f>IF(OR($A1150="",$A1150&lt;&gt;'Resumen del inventario'!$C$3,$N1150="",$N1150="OK"),"",IF(COUNTIFS($A$2:$A1150,$A1150,$B$2:$B1150,$B1150)=1,1,""))</f>
        <v/>
      </c>
      <c r="S1150" s="20">
        <f>IF($R1150=1,COUNTIF($R$2:$R1150,1),"")</f>
        <v/>
      </c>
    </row>
    <row r="1151">
      <c r="A1151" s="19" t="n"/>
      <c r="B1151" s="14" t="n"/>
      <c r="C1151" s="20">
        <f>IF($B1151="","",IFERROR(INDEX(Vinos!$B$2:$B$301,MATCH($B1151,Vinos!$A$2:$A$301,0)),"Código no cargado"))</f>
        <v/>
      </c>
      <c r="D1151" s="14" t="n"/>
      <c r="E1151" s="14" t="n"/>
      <c r="F1151" s="18" t="n"/>
      <c r="G1151" s="18" t="n"/>
      <c r="H1151" s="21">
        <f>IF(AND($F1151="",$G1151=""),"",N($F1151)*IFERROR(N(INDEX(Vinos!$H$2:$H$301,MATCH($B1151,Vinos!$A$2:$A$301,0))),0)+N($G1151))</f>
        <v/>
      </c>
      <c r="I1151" s="18" t="n"/>
      <c r="J1151" s="21">
        <f>IF(OR($H1151="",$I1151=""),"",$H1151-$I1151)</f>
        <v/>
      </c>
      <c r="K1151" s="16">
        <f>IF($H1151="","",IFERROR(IF(INDEX(Vinos!$J$2:$J$301,MATCH($B1151,Vinos!$A$2:$A$301,0))="","",$H1151*INDEX(Vinos!$J$2:$J$301,MATCH($B1151,Vinos!$A$2:$A$301,0))),""))</f>
        <v/>
      </c>
      <c r="L1151" s="16">
        <f>IF($H1151="","",IFERROR(IF(INDEX(Vinos!$K$2:$K$301,MATCH($B1151,Vinos!$A$2:$A$301,0))="","",$H1151*INDEX(Vinos!$K$2:$K$301,MATCH($B1151,Vinos!$A$2:$A$301,0))),""))</f>
        <v/>
      </c>
      <c r="M1151" s="21">
        <f>IF(OR($A1151="",$B1151=""),"",SUMIFS($H$2:$H$2001,$A$2:$A$2001,$A1151,$B$2:$B$2001,$B1151))</f>
        <v/>
      </c>
      <c r="N1151" s="20">
        <f>IF($M1151="","",IF($M1151&lt;=0,"Sin stock: reponer ya",IF($M1151&lt;IFERROR(N(INDEX(Vinos!$N$2:$N$301,MATCH($B1151,Vinos!$A$2:$A$301,0))),0),"Bajo mínimo: reponer","OK")))</f>
        <v/>
      </c>
      <c r="O1151" s="14" t="n"/>
      <c r="P1151" s="14" t="n"/>
      <c r="Q1151" s="20">
        <f>IF($B1151="","",IFERROR(INDEX(Vinos!$C$2:$C$301,MATCH($B1151,Vinos!$A$2:$A$301,0)),""))</f>
        <v/>
      </c>
      <c r="R1151" s="20">
        <f>IF(OR($A1151="",$A1151&lt;&gt;'Resumen del inventario'!$C$3,$N1151="",$N1151="OK"),"",IF(COUNTIFS($A$2:$A1151,$A1151,$B$2:$B1151,$B1151)=1,1,""))</f>
        <v/>
      </c>
      <c r="S1151" s="20">
        <f>IF($R1151=1,COUNTIF($R$2:$R1151,1),"")</f>
        <v/>
      </c>
    </row>
    <row r="1152">
      <c r="A1152" s="19" t="n"/>
      <c r="B1152" s="14" t="n"/>
      <c r="C1152" s="20">
        <f>IF($B1152="","",IFERROR(INDEX(Vinos!$B$2:$B$301,MATCH($B1152,Vinos!$A$2:$A$301,0)),"Código no cargado"))</f>
        <v/>
      </c>
      <c r="D1152" s="14" t="n"/>
      <c r="E1152" s="14" t="n"/>
      <c r="F1152" s="18" t="n"/>
      <c r="G1152" s="18" t="n"/>
      <c r="H1152" s="21">
        <f>IF(AND($F1152="",$G1152=""),"",N($F1152)*IFERROR(N(INDEX(Vinos!$H$2:$H$301,MATCH($B1152,Vinos!$A$2:$A$301,0))),0)+N($G1152))</f>
        <v/>
      </c>
      <c r="I1152" s="18" t="n"/>
      <c r="J1152" s="21">
        <f>IF(OR($H1152="",$I1152=""),"",$H1152-$I1152)</f>
        <v/>
      </c>
      <c r="K1152" s="16">
        <f>IF($H1152="","",IFERROR(IF(INDEX(Vinos!$J$2:$J$301,MATCH($B1152,Vinos!$A$2:$A$301,0))="","",$H1152*INDEX(Vinos!$J$2:$J$301,MATCH($B1152,Vinos!$A$2:$A$301,0))),""))</f>
        <v/>
      </c>
      <c r="L1152" s="16">
        <f>IF($H1152="","",IFERROR(IF(INDEX(Vinos!$K$2:$K$301,MATCH($B1152,Vinos!$A$2:$A$301,0))="","",$H1152*INDEX(Vinos!$K$2:$K$301,MATCH($B1152,Vinos!$A$2:$A$301,0))),""))</f>
        <v/>
      </c>
      <c r="M1152" s="21">
        <f>IF(OR($A1152="",$B1152=""),"",SUMIFS($H$2:$H$2001,$A$2:$A$2001,$A1152,$B$2:$B$2001,$B1152))</f>
        <v/>
      </c>
      <c r="N1152" s="20">
        <f>IF($M1152="","",IF($M1152&lt;=0,"Sin stock: reponer ya",IF($M1152&lt;IFERROR(N(INDEX(Vinos!$N$2:$N$301,MATCH($B1152,Vinos!$A$2:$A$301,0))),0),"Bajo mínimo: reponer","OK")))</f>
        <v/>
      </c>
      <c r="O1152" s="14" t="n"/>
      <c r="P1152" s="14" t="n"/>
      <c r="Q1152" s="20">
        <f>IF($B1152="","",IFERROR(INDEX(Vinos!$C$2:$C$301,MATCH($B1152,Vinos!$A$2:$A$301,0)),""))</f>
        <v/>
      </c>
      <c r="R1152" s="20">
        <f>IF(OR($A1152="",$A1152&lt;&gt;'Resumen del inventario'!$C$3,$N1152="",$N1152="OK"),"",IF(COUNTIFS($A$2:$A1152,$A1152,$B$2:$B1152,$B1152)=1,1,""))</f>
        <v/>
      </c>
      <c r="S1152" s="20">
        <f>IF($R1152=1,COUNTIF($R$2:$R1152,1),"")</f>
        <v/>
      </c>
    </row>
    <row r="1153">
      <c r="A1153" s="19" t="n"/>
      <c r="B1153" s="14" t="n"/>
      <c r="C1153" s="20">
        <f>IF($B1153="","",IFERROR(INDEX(Vinos!$B$2:$B$301,MATCH($B1153,Vinos!$A$2:$A$301,0)),"Código no cargado"))</f>
        <v/>
      </c>
      <c r="D1153" s="14" t="n"/>
      <c r="E1153" s="14" t="n"/>
      <c r="F1153" s="18" t="n"/>
      <c r="G1153" s="18" t="n"/>
      <c r="H1153" s="21">
        <f>IF(AND($F1153="",$G1153=""),"",N($F1153)*IFERROR(N(INDEX(Vinos!$H$2:$H$301,MATCH($B1153,Vinos!$A$2:$A$301,0))),0)+N($G1153))</f>
        <v/>
      </c>
      <c r="I1153" s="18" t="n"/>
      <c r="J1153" s="21">
        <f>IF(OR($H1153="",$I1153=""),"",$H1153-$I1153)</f>
        <v/>
      </c>
      <c r="K1153" s="16">
        <f>IF($H1153="","",IFERROR(IF(INDEX(Vinos!$J$2:$J$301,MATCH($B1153,Vinos!$A$2:$A$301,0))="","",$H1153*INDEX(Vinos!$J$2:$J$301,MATCH($B1153,Vinos!$A$2:$A$301,0))),""))</f>
        <v/>
      </c>
      <c r="L1153" s="16">
        <f>IF($H1153="","",IFERROR(IF(INDEX(Vinos!$K$2:$K$301,MATCH($B1153,Vinos!$A$2:$A$301,0))="","",$H1153*INDEX(Vinos!$K$2:$K$301,MATCH($B1153,Vinos!$A$2:$A$301,0))),""))</f>
        <v/>
      </c>
      <c r="M1153" s="21">
        <f>IF(OR($A1153="",$B1153=""),"",SUMIFS($H$2:$H$2001,$A$2:$A$2001,$A1153,$B$2:$B$2001,$B1153))</f>
        <v/>
      </c>
      <c r="N1153" s="20">
        <f>IF($M1153="","",IF($M1153&lt;=0,"Sin stock: reponer ya",IF($M1153&lt;IFERROR(N(INDEX(Vinos!$N$2:$N$301,MATCH($B1153,Vinos!$A$2:$A$301,0))),0),"Bajo mínimo: reponer","OK")))</f>
        <v/>
      </c>
      <c r="O1153" s="14" t="n"/>
      <c r="P1153" s="14" t="n"/>
      <c r="Q1153" s="20">
        <f>IF($B1153="","",IFERROR(INDEX(Vinos!$C$2:$C$301,MATCH($B1153,Vinos!$A$2:$A$301,0)),""))</f>
        <v/>
      </c>
      <c r="R1153" s="20">
        <f>IF(OR($A1153="",$A1153&lt;&gt;'Resumen del inventario'!$C$3,$N1153="",$N1153="OK"),"",IF(COUNTIFS($A$2:$A1153,$A1153,$B$2:$B1153,$B1153)=1,1,""))</f>
        <v/>
      </c>
      <c r="S1153" s="20">
        <f>IF($R1153=1,COUNTIF($R$2:$R1153,1),"")</f>
        <v/>
      </c>
    </row>
    <row r="1154">
      <c r="A1154" s="19" t="n"/>
      <c r="B1154" s="14" t="n"/>
      <c r="C1154" s="20">
        <f>IF($B1154="","",IFERROR(INDEX(Vinos!$B$2:$B$301,MATCH($B1154,Vinos!$A$2:$A$301,0)),"Código no cargado"))</f>
        <v/>
      </c>
      <c r="D1154" s="14" t="n"/>
      <c r="E1154" s="14" t="n"/>
      <c r="F1154" s="18" t="n"/>
      <c r="G1154" s="18" t="n"/>
      <c r="H1154" s="21">
        <f>IF(AND($F1154="",$G1154=""),"",N($F1154)*IFERROR(N(INDEX(Vinos!$H$2:$H$301,MATCH($B1154,Vinos!$A$2:$A$301,0))),0)+N($G1154))</f>
        <v/>
      </c>
      <c r="I1154" s="18" t="n"/>
      <c r="J1154" s="21">
        <f>IF(OR($H1154="",$I1154=""),"",$H1154-$I1154)</f>
        <v/>
      </c>
      <c r="K1154" s="16">
        <f>IF($H1154="","",IFERROR(IF(INDEX(Vinos!$J$2:$J$301,MATCH($B1154,Vinos!$A$2:$A$301,0))="","",$H1154*INDEX(Vinos!$J$2:$J$301,MATCH($B1154,Vinos!$A$2:$A$301,0))),""))</f>
        <v/>
      </c>
      <c r="L1154" s="16">
        <f>IF($H1154="","",IFERROR(IF(INDEX(Vinos!$K$2:$K$301,MATCH($B1154,Vinos!$A$2:$A$301,0))="","",$H1154*INDEX(Vinos!$K$2:$K$301,MATCH($B1154,Vinos!$A$2:$A$301,0))),""))</f>
        <v/>
      </c>
      <c r="M1154" s="21">
        <f>IF(OR($A1154="",$B1154=""),"",SUMIFS($H$2:$H$2001,$A$2:$A$2001,$A1154,$B$2:$B$2001,$B1154))</f>
        <v/>
      </c>
      <c r="N1154" s="20">
        <f>IF($M1154="","",IF($M1154&lt;=0,"Sin stock: reponer ya",IF($M1154&lt;IFERROR(N(INDEX(Vinos!$N$2:$N$301,MATCH($B1154,Vinos!$A$2:$A$301,0))),0),"Bajo mínimo: reponer","OK")))</f>
        <v/>
      </c>
      <c r="O1154" s="14" t="n"/>
      <c r="P1154" s="14" t="n"/>
      <c r="Q1154" s="20">
        <f>IF($B1154="","",IFERROR(INDEX(Vinos!$C$2:$C$301,MATCH($B1154,Vinos!$A$2:$A$301,0)),""))</f>
        <v/>
      </c>
      <c r="R1154" s="20">
        <f>IF(OR($A1154="",$A1154&lt;&gt;'Resumen del inventario'!$C$3,$N1154="",$N1154="OK"),"",IF(COUNTIFS($A$2:$A1154,$A1154,$B$2:$B1154,$B1154)=1,1,""))</f>
        <v/>
      </c>
      <c r="S1154" s="20">
        <f>IF($R1154=1,COUNTIF($R$2:$R1154,1),"")</f>
        <v/>
      </c>
    </row>
    <row r="1155">
      <c r="A1155" s="19" t="n"/>
      <c r="B1155" s="14" t="n"/>
      <c r="C1155" s="20">
        <f>IF($B1155="","",IFERROR(INDEX(Vinos!$B$2:$B$301,MATCH($B1155,Vinos!$A$2:$A$301,0)),"Código no cargado"))</f>
        <v/>
      </c>
      <c r="D1155" s="14" t="n"/>
      <c r="E1155" s="14" t="n"/>
      <c r="F1155" s="18" t="n"/>
      <c r="G1155" s="18" t="n"/>
      <c r="H1155" s="21">
        <f>IF(AND($F1155="",$G1155=""),"",N($F1155)*IFERROR(N(INDEX(Vinos!$H$2:$H$301,MATCH($B1155,Vinos!$A$2:$A$301,0))),0)+N($G1155))</f>
        <v/>
      </c>
      <c r="I1155" s="18" t="n"/>
      <c r="J1155" s="21">
        <f>IF(OR($H1155="",$I1155=""),"",$H1155-$I1155)</f>
        <v/>
      </c>
      <c r="K1155" s="16">
        <f>IF($H1155="","",IFERROR(IF(INDEX(Vinos!$J$2:$J$301,MATCH($B1155,Vinos!$A$2:$A$301,0))="","",$H1155*INDEX(Vinos!$J$2:$J$301,MATCH($B1155,Vinos!$A$2:$A$301,0))),""))</f>
        <v/>
      </c>
      <c r="L1155" s="16">
        <f>IF($H1155="","",IFERROR(IF(INDEX(Vinos!$K$2:$K$301,MATCH($B1155,Vinos!$A$2:$A$301,0))="","",$H1155*INDEX(Vinos!$K$2:$K$301,MATCH($B1155,Vinos!$A$2:$A$301,0))),""))</f>
        <v/>
      </c>
      <c r="M1155" s="21">
        <f>IF(OR($A1155="",$B1155=""),"",SUMIFS($H$2:$H$2001,$A$2:$A$2001,$A1155,$B$2:$B$2001,$B1155))</f>
        <v/>
      </c>
      <c r="N1155" s="20">
        <f>IF($M1155="","",IF($M1155&lt;=0,"Sin stock: reponer ya",IF($M1155&lt;IFERROR(N(INDEX(Vinos!$N$2:$N$301,MATCH($B1155,Vinos!$A$2:$A$301,0))),0),"Bajo mínimo: reponer","OK")))</f>
        <v/>
      </c>
      <c r="O1155" s="14" t="n"/>
      <c r="P1155" s="14" t="n"/>
      <c r="Q1155" s="20">
        <f>IF($B1155="","",IFERROR(INDEX(Vinos!$C$2:$C$301,MATCH($B1155,Vinos!$A$2:$A$301,0)),""))</f>
        <v/>
      </c>
      <c r="R1155" s="20">
        <f>IF(OR($A1155="",$A1155&lt;&gt;'Resumen del inventario'!$C$3,$N1155="",$N1155="OK"),"",IF(COUNTIFS($A$2:$A1155,$A1155,$B$2:$B1155,$B1155)=1,1,""))</f>
        <v/>
      </c>
      <c r="S1155" s="20">
        <f>IF($R1155=1,COUNTIF($R$2:$R1155,1),"")</f>
        <v/>
      </c>
    </row>
    <row r="1156">
      <c r="A1156" s="19" t="n"/>
      <c r="B1156" s="14" t="n"/>
      <c r="C1156" s="20">
        <f>IF($B1156="","",IFERROR(INDEX(Vinos!$B$2:$B$301,MATCH($B1156,Vinos!$A$2:$A$301,0)),"Código no cargado"))</f>
        <v/>
      </c>
      <c r="D1156" s="14" t="n"/>
      <c r="E1156" s="14" t="n"/>
      <c r="F1156" s="18" t="n"/>
      <c r="G1156" s="18" t="n"/>
      <c r="H1156" s="21">
        <f>IF(AND($F1156="",$G1156=""),"",N($F1156)*IFERROR(N(INDEX(Vinos!$H$2:$H$301,MATCH($B1156,Vinos!$A$2:$A$301,0))),0)+N($G1156))</f>
        <v/>
      </c>
      <c r="I1156" s="18" t="n"/>
      <c r="J1156" s="21">
        <f>IF(OR($H1156="",$I1156=""),"",$H1156-$I1156)</f>
        <v/>
      </c>
      <c r="K1156" s="16">
        <f>IF($H1156="","",IFERROR(IF(INDEX(Vinos!$J$2:$J$301,MATCH($B1156,Vinos!$A$2:$A$301,0))="","",$H1156*INDEX(Vinos!$J$2:$J$301,MATCH($B1156,Vinos!$A$2:$A$301,0))),""))</f>
        <v/>
      </c>
      <c r="L1156" s="16">
        <f>IF($H1156="","",IFERROR(IF(INDEX(Vinos!$K$2:$K$301,MATCH($B1156,Vinos!$A$2:$A$301,0))="","",$H1156*INDEX(Vinos!$K$2:$K$301,MATCH($B1156,Vinos!$A$2:$A$301,0))),""))</f>
        <v/>
      </c>
      <c r="M1156" s="21">
        <f>IF(OR($A1156="",$B1156=""),"",SUMIFS($H$2:$H$2001,$A$2:$A$2001,$A1156,$B$2:$B$2001,$B1156))</f>
        <v/>
      </c>
      <c r="N1156" s="20">
        <f>IF($M1156="","",IF($M1156&lt;=0,"Sin stock: reponer ya",IF($M1156&lt;IFERROR(N(INDEX(Vinos!$N$2:$N$301,MATCH($B1156,Vinos!$A$2:$A$301,0))),0),"Bajo mínimo: reponer","OK")))</f>
        <v/>
      </c>
      <c r="O1156" s="14" t="n"/>
      <c r="P1156" s="14" t="n"/>
      <c r="Q1156" s="20">
        <f>IF($B1156="","",IFERROR(INDEX(Vinos!$C$2:$C$301,MATCH($B1156,Vinos!$A$2:$A$301,0)),""))</f>
        <v/>
      </c>
      <c r="R1156" s="20">
        <f>IF(OR($A1156="",$A1156&lt;&gt;'Resumen del inventario'!$C$3,$N1156="",$N1156="OK"),"",IF(COUNTIFS($A$2:$A1156,$A1156,$B$2:$B1156,$B1156)=1,1,""))</f>
        <v/>
      </c>
      <c r="S1156" s="20">
        <f>IF($R1156=1,COUNTIF($R$2:$R1156,1),"")</f>
        <v/>
      </c>
    </row>
    <row r="1157">
      <c r="A1157" s="19" t="n"/>
      <c r="B1157" s="14" t="n"/>
      <c r="C1157" s="20">
        <f>IF($B1157="","",IFERROR(INDEX(Vinos!$B$2:$B$301,MATCH($B1157,Vinos!$A$2:$A$301,0)),"Código no cargado"))</f>
        <v/>
      </c>
      <c r="D1157" s="14" t="n"/>
      <c r="E1157" s="14" t="n"/>
      <c r="F1157" s="18" t="n"/>
      <c r="G1157" s="18" t="n"/>
      <c r="H1157" s="21">
        <f>IF(AND($F1157="",$G1157=""),"",N($F1157)*IFERROR(N(INDEX(Vinos!$H$2:$H$301,MATCH($B1157,Vinos!$A$2:$A$301,0))),0)+N($G1157))</f>
        <v/>
      </c>
      <c r="I1157" s="18" t="n"/>
      <c r="J1157" s="21">
        <f>IF(OR($H1157="",$I1157=""),"",$H1157-$I1157)</f>
        <v/>
      </c>
      <c r="K1157" s="16">
        <f>IF($H1157="","",IFERROR(IF(INDEX(Vinos!$J$2:$J$301,MATCH($B1157,Vinos!$A$2:$A$301,0))="","",$H1157*INDEX(Vinos!$J$2:$J$301,MATCH($B1157,Vinos!$A$2:$A$301,0))),""))</f>
        <v/>
      </c>
      <c r="L1157" s="16">
        <f>IF($H1157="","",IFERROR(IF(INDEX(Vinos!$K$2:$K$301,MATCH($B1157,Vinos!$A$2:$A$301,0))="","",$H1157*INDEX(Vinos!$K$2:$K$301,MATCH($B1157,Vinos!$A$2:$A$301,0))),""))</f>
        <v/>
      </c>
      <c r="M1157" s="21">
        <f>IF(OR($A1157="",$B1157=""),"",SUMIFS($H$2:$H$2001,$A$2:$A$2001,$A1157,$B$2:$B$2001,$B1157))</f>
        <v/>
      </c>
      <c r="N1157" s="20">
        <f>IF($M1157="","",IF($M1157&lt;=0,"Sin stock: reponer ya",IF($M1157&lt;IFERROR(N(INDEX(Vinos!$N$2:$N$301,MATCH($B1157,Vinos!$A$2:$A$301,0))),0),"Bajo mínimo: reponer","OK")))</f>
        <v/>
      </c>
      <c r="O1157" s="14" t="n"/>
      <c r="P1157" s="14" t="n"/>
      <c r="Q1157" s="20">
        <f>IF($B1157="","",IFERROR(INDEX(Vinos!$C$2:$C$301,MATCH($B1157,Vinos!$A$2:$A$301,0)),""))</f>
        <v/>
      </c>
      <c r="R1157" s="20">
        <f>IF(OR($A1157="",$A1157&lt;&gt;'Resumen del inventario'!$C$3,$N1157="",$N1157="OK"),"",IF(COUNTIFS($A$2:$A1157,$A1157,$B$2:$B1157,$B1157)=1,1,""))</f>
        <v/>
      </c>
      <c r="S1157" s="20">
        <f>IF($R1157=1,COUNTIF($R$2:$R1157,1),"")</f>
        <v/>
      </c>
    </row>
    <row r="1158">
      <c r="A1158" s="19" t="n"/>
      <c r="B1158" s="14" t="n"/>
      <c r="C1158" s="20">
        <f>IF($B1158="","",IFERROR(INDEX(Vinos!$B$2:$B$301,MATCH($B1158,Vinos!$A$2:$A$301,0)),"Código no cargado"))</f>
        <v/>
      </c>
      <c r="D1158" s="14" t="n"/>
      <c r="E1158" s="14" t="n"/>
      <c r="F1158" s="18" t="n"/>
      <c r="G1158" s="18" t="n"/>
      <c r="H1158" s="21">
        <f>IF(AND($F1158="",$G1158=""),"",N($F1158)*IFERROR(N(INDEX(Vinos!$H$2:$H$301,MATCH($B1158,Vinos!$A$2:$A$301,0))),0)+N($G1158))</f>
        <v/>
      </c>
      <c r="I1158" s="18" t="n"/>
      <c r="J1158" s="21">
        <f>IF(OR($H1158="",$I1158=""),"",$H1158-$I1158)</f>
        <v/>
      </c>
      <c r="K1158" s="16">
        <f>IF($H1158="","",IFERROR(IF(INDEX(Vinos!$J$2:$J$301,MATCH($B1158,Vinos!$A$2:$A$301,0))="","",$H1158*INDEX(Vinos!$J$2:$J$301,MATCH($B1158,Vinos!$A$2:$A$301,0))),""))</f>
        <v/>
      </c>
      <c r="L1158" s="16">
        <f>IF($H1158="","",IFERROR(IF(INDEX(Vinos!$K$2:$K$301,MATCH($B1158,Vinos!$A$2:$A$301,0))="","",$H1158*INDEX(Vinos!$K$2:$K$301,MATCH($B1158,Vinos!$A$2:$A$301,0))),""))</f>
        <v/>
      </c>
      <c r="M1158" s="21">
        <f>IF(OR($A1158="",$B1158=""),"",SUMIFS($H$2:$H$2001,$A$2:$A$2001,$A1158,$B$2:$B$2001,$B1158))</f>
        <v/>
      </c>
      <c r="N1158" s="20">
        <f>IF($M1158="","",IF($M1158&lt;=0,"Sin stock: reponer ya",IF($M1158&lt;IFERROR(N(INDEX(Vinos!$N$2:$N$301,MATCH($B1158,Vinos!$A$2:$A$301,0))),0),"Bajo mínimo: reponer","OK")))</f>
        <v/>
      </c>
      <c r="O1158" s="14" t="n"/>
      <c r="P1158" s="14" t="n"/>
      <c r="Q1158" s="20">
        <f>IF($B1158="","",IFERROR(INDEX(Vinos!$C$2:$C$301,MATCH($B1158,Vinos!$A$2:$A$301,0)),""))</f>
        <v/>
      </c>
      <c r="R1158" s="20">
        <f>IF(OR($A1158="",$A1158&lt;&gt;'Resumen del inventario'!$C$3,$N1158="",$N1158="OK"),"",IF(COUNTIFS($A$2:$A1158,$A1158,$B$2:$B1158,$B1158)=1,1,""))</f>
        <v/>
      </c>
      <c r="S1158" s="20">
        <f>IF($R1158=1,COUNTIF($R$2:$R1158,1),"")</f>
        <v/>
      </c>
    </row>
    <row r="1159">
      <c r="A1159" s="19" t="n"/>
      <c r="B1159" s="14" t="n"/>
      <c r="C1159" s="20">
        <f>IF($B1159="","",IFERROR(INDEX(Vinos!$B$2:$B$301,MATCH($B1159,Vinos!$A$2:$A$301,0)),"Código no cargado"))</f>
        <v/>
      </c>
      <c r="D1159" s="14" t="n"/>
      <c r="E1159" s="14" t="n"/>
      <c r="F1159" s="18" t="n"/>
      <c r="G1159" s="18" t="n"/>
      <c r="H1159" s="21">
        <f>IF(AND($F1159="",$G1159=""),"",N($F1159)*IFERROR(N(INDEX(Vinos!$H$2:$H$301,MATCH($B1159,Vinos!$A$2:$A$301,0))),0)+N($G1159))</f>
        <v/>
      </c>
      <c r="I1159" s="18" t="n"/>
      <c r="J1159" s="21">
        <f>IF(OR($H1159="",$I1159=""),"",$H1159-$I1159)</f>
        <v/>
      </c>
      <c r="K1159" s="16">
        <f>IF($H1159="","",IFERROR(IF(INDEX(Vinos!$J$2:$J$301,MATCH($B1159,Vinos!$A$2:$A$301,0))="","",$H1159*INDEX(Vinos!$J$2:$J$301,MATCH($B1159,Vinos!$A$2:$A$301,0))),""))</f>
        <v/>
      </c>
      <c r="L1159" s="16">
        <f>IF($H1159="","",IFERROR(IF(INDEX(Vinos!$K$2:$K$301,MATCH($B1159,Vinos!$A$2:$A$301,0))="","",$H1159*INDEX(Vinos!$K$2:$K$301,MATCH($B1159,Vinos!$A$2:$A$301,0))),""))</f>
        <v/>
      </c>
      <c r="M1159" s="21">
        <f>IF(OR($A1159="",$B1159=""),"",SUMIFS($H$2:$H$2001,$A$2:$A$2001,$A1159,$B$2:$B$2001,$B1159))</f>
        <v/>
      </c>
      <c r="N1159" s="20">
        <f>IF($M1159="","",IF($M1159&lt;=0,"Sin stock: reponer ya",IF($M1159&lt;IFERROR(N(INDEX(Vinos!$N$2:$N$301,MATCH($B1159,Vinos!$A$2:$A$301,0))),0),"Bajo mínimo: reponer","OK")))</f>
        <v/>
      </c>
      <c r="O1159" s="14" t="n"/>
      <c r="P1159" s="14" t="n"/>
      <c r="Q1159" s="20">
        <f>IF($B1159="","",IFERROR(INDEX(Vinos!$C$2:$C$301,MATCH($B1159,Vinos!$A$2:$A$301,0)),""))</f>
        <v/>
      </c>
      <c r="R1159" s="20">
        <f>IF(OR($A1159="",$A1159&lt;&gt;'Resumen del inventario'!$C$3,$N1159="",$N1159="OK"),"",IF(COUNTIFS($A$2:$A1159,$A1159,$B$2:$B1159,$B1159)=1,1,""))</f>
        <v/>
      </c>
      <c r="S1159" s="20">
        <f>IF($R1159=1,COUNTIF($R$2:$R1159,1),"")</f>
        <v/>
      </c>
    </row>
    <row r="1160">
      <c r="A1160" s="19" t="n"/>
      <c r="B1160" s="14" t="n"/>
      <c r="C1160" s="20">
        <f>IF($B1160="","",IFERROR(INDEX(Vinos!$B$2:$B$301,MATCH($B1160,Vinos!$A$2:$A$301,0)),"Código no cargado"))</f>
        <v/>
      </c>
      <c r="D1160" s="14" t="n"/>
      <c r="E1160" s="14" t="n"/>
      <c r="F1160" s="18" t="n"/>
      <c r="G1160" s="18" t="n"/>
      <c r="H1160" s="21">
        <f>IF(AND($F1160="",$G1160=""),"",N($F1160)*IFERROR(N(INDEX(Vinos!$H$2:$H$301,MATCH($B1160,Vinos!$A$2:$A$301,0))),0)+N($G1160))</f>
        <v/>
      </c>
      <c r="I1160" s="18" t="n"/>
      <c r="J1160" s="21">
        <f>IF(OR($H1160="",$I1160=""),"",$H1160-$I1160)</f>
        <v/>
      </c>
      <c r="K1160" s="16">
        <f>IF($H1160="","",IFERROR(IF(INDEX(Vinos!$J$2:$J$301,MATCH($B1160,Vinos!$A$2:$A$301,0))="","",$H1160*INDEX(Vinos!$J$2:$J$301,MATCH($B1160,Vinos!$A$2:$A$301,0))),""))</f>
        <v/>
      </c>
      <c r="L1160" s="16">
        <f>IF($H1160="","",IFERROR(IF(INDEX(Vinos!$K$2:$K$301,MATCH($B1160,Vinos!$A$2:$A$301,0))="","",$H1160*INDEX(Vinos!$K$2:$K$301,MATCH($B1160,Vinos!$A$2:$A$301,0))),""))</f>
        <v/>
      </c>
      <c r="M1160" s="21">
        <f>IF(OR($A1160="",$B1160=""),"",SUMIFS($H$2:$H$2001,$A$2:$A$2001,$A1160,$B$2:$B$2001,$B1160))</f>
        <v/>
      </c>
      <c r="N1160" s="20">
        <f>IF($M1160="","",IF($M1160&lt;=0,"Sin stock: reponer ya",IF($M1160&lt;IFERROR(N(INDEX(Vinos!$N$2:$N$301,MATCH($B1160,Vinos!$A$2:$A$301,0))),0),"Bajo mínimo: reponer","OK")))</f>
        <v/>
      </c>
      <c r="O1160" s="14" t="n"/>
      <c r="P1160" s="14" t="n"/>
      <c r="Q1160" s="20">
        <f>IF($B1160="","",IFERROR(INDEX(Vinos!$C$2:$C$301,MATCH($B1160,Vinos!$A$2:$A$301,0)),""))</f>
        <v/>
      </c>
      <c r="R1160" s="20">
        <f>IF(OR($A1160="",$A1160&lt;&gt;'Resumen del inventario'!$C$3,$N1160="",$N1160="OK"),"",IF(COUNTIFS($A$2:$A1160,$A1160,$B$2:$B1160,$B1160)=1,1,""))</f>
        <v/>
      </c>
      <c r="S1160" s="20">
        <f>IF($R1160=1,COUNTIF($R$2:$R1160,1),"")</f>
        <v/>
      </c>
    </row>
    <row r="1161">
      <c r="A1161" s="19" t="n"/>
      <c r="B1161" s="14" t="n"/>
      <c r="C1161" s="20">
        <f>IF($B1161="","",IFERROR(INDEX(Vinos!$B$2:$B$301,MATCH($B1161,Vinos!$A$2:$A$301,0)),"Código no cargado"))</f>
        <v/>
      </c>
      <c r="D1161" s="14" t="n"/>
      <c r="E1161" s="14" t="n"/>
      <c r="F1161" s="18" t="n"/>
      <c r="G1161" s="18" t="n"/>
      <c r="H1161" s="21">
        <f>IF(AND($F1161="",$G1161=""),"",N($F1161)*IFERROR(N(INDEX(Vinos!$H$2:$H$301,MATCH($B1161,Vinos!$A$2:$A$301,0))),0)+N($G1161))</f>
        <v/>
      </c>
      <c r="I1161" s="18" t="n"/>
      <c r="J1161" s="21">
        <f>IF(OR($H1161="",$I1161=""),"",$H1161-$I1161)</f>
        <v/>
      </c>
      <c r="K1161" s="16">
        <f>IF($H1161="","",IFERROR(IF(INDEX(Vinos!$J$2:$J$301,MATCH($B1161,Vinos!$A$2:$A$301,0))="","",$H1161*INDEX(Vinos!$J$2:$J$301,MATCH($B1161,Vinos!$A$2:$A$301,0))),""))</f>
        <v/>
      </c>
      <c r="L1161" s="16">
        <f>IF($H1161="","",IFERROR(IF(INDEX(Vinos!$K$2:$K$301,MATCH($B1161,Vinos!$A$2:$A$301,0))="","",$H1161*INDEX(Vinos!$K$2:$K$301,MATCH($B1161,Vinos!$A$2:$A$301,0))),""))</f>
        <v/>
      </c>
      <c r="M1161" s="21">
        <f>IF(OR($A1161="",$B1161=""),"",SUMIFS($H$2:$H$2001,$A$2:$A$2001,$A1161,$B$2:$B$2001,$B1161))</f>
        <v/>
      </c>
      <c r="N1161" s="20">
        <f>IF($M1161="","",IF($M1161&lt;=0,"Sin stock: reponer ya",IF($M1161&lt;IFERROR(N(INDEX(Vinos!$N$2:$N$301,MATCH($B1161,Vinos!$A$2:$A$301,0))),0),"Bajo mínimo: reponer","OK")))</f>
        <v/>
      </c>
      <c r="O1161" s="14" t="n"/>
      <c r="P1161" s="14" t="n"/>
      <c r="Q1161" s="20">
        <f>IF($B1161="","",IFERROR(INDEX(Vinos!$C$2:$C$301,MATCH($B1161,Vinos!$A$2:$A$301,0)),""))</f>
        <v/>
      </c>
      <c r="R1161" s="20">
        <f>IF(OR($A1161="",$A1161&lt;&gt;'Resumen del inventario'!$C$3,$N1161="",$N1161="OK"),"",IF(COUNTIFS($A$2:$A1161,$A1161,$B$2:$B1161,$B1161)=1,1,""))</f>
        <v/>
      </c>
      <c r="S1161" s="20">
        <f>IF($R1161=1,COUNTIF($R$2:$R1161,1),"")</f>
        <v/>
      </c>
    </row>
    <row r="1162">
      <c r="A1162" s="19" t="n"/>
      <c r="B1162" s="14" t="n"/>
      <c r="C1162" s="20">
        <f>IF($B1162="","",IFERROR(INDEX(Vinos!$B$2:$B$301,MATCH($B1162,Vinos!$A$2:$A$301,0)),"Código no cargado"))</f>
        <v/>
      </c>
      <c r="D1162" s="14" t="n"/>
      <c r="E1162" s="14" t="n"/>
      <c r="F1162" s="18" t="n"/>
      <c r="G1162" s="18" t="n"/>
      <c r="H1162" s="21">
        <f>IF(AND($F1162="",$G1162=""),"",N($F1162)*IFERROR(N(INDEX(Vinos!$H$2:$H$301,MATCH($B1162,Vinos!$A$2:$A$301,0))),0)+N($G1162))</f>
        <v/>
      </c>
      <c r="I1162" s="18" t="n"/>
      <c r="J1162" s="21">
        <f>IF(OR($H1162="",$I1162=""),"",$H1162-$I1162)</f>
        <v/>
      </c>
      <c r="K1162" s="16">
        <f>IF($H1162="","",IFERROR(IF(INDEX(Vinos!$J$2:$J$301,MATCH($B1162,Vinos!$A$2:$A$301,0))="","",$H1162*INDEX(Vinos!$J$2:$J$301,MATCH($B1162,Vinos!$A$2:$A$301,0))),""))</f>
        <v/>
      </c>
      <c r="L1162" s="16">
        <f>IF($H1162="","",IFERROR(IF(INDEX(Vinos!$K$2:$K$301,MATCH($B1162,Vinos!$A$2:$A$301,0))="","",$H1162*INDEX(Vinos!$K$2:$K$301,MATCH($B1162,Vinos!$A$2:$A$301,0))),""))</f>
        <v/>
      </c>
      <c r="M1162" s="21">
        <f>IF(OR($A1162="",$B1162=""),"",SUMIFS($H$2:$H$2001,$A$2:$A$2001,$A1162,$B$2:$B$2001,$B1162))</f>
        <v/>
      </c>
      <c r="N1162" s="20">
        <f>IF($M1162="","",IF($M1162&lt;=0,"Sin stock: reponer ya",IF($M1162&lt;IFERROR(N(INDEX(Vinos!$N$2:$N$301,MATCH($B1162,Vinos!$A$2:$A$301,0))),0),"Bajo mínimo: reponer","OK")))</f>
        <v/>
      </c>
      <c r="O1162" s="14" t="n"/>
      <c r="P1162" s="14" t="n"/>
      <c r="Q1162" s="20">
        <f>IF($B1162="","",IFERROR(INDEX(Vinos!$C$2:$C$301,MATCH($B1162,Vinos!$A$2:$A$301,0)),""))</f>
        <v/>
      </c>
      <c r="R1162" s="20">
        <f>IF(OR($A1162="",$A1162&lt;&gt;'Resumen del inventario'!$C$3,$N1162="",$N1162="OK"),"",IF(COUNTIFS($A$2:$A1162,$A1162,$B$2:$B1162,$B1162)=1,1,""))</f>
        <v/>
      </c>
      <c r="S1162" s="20">
        <f>IF($R1162=1,COUNTIF($R$2:$R1162,1),"")</f>
        <v/>
      </c>
    </row>
    <row r="1163">
      <c r="A1163" s="19" t="n"/>
      <c r="B1163" s="14" t="n"/>
      <c r="C1163" s="20">
        <f>IF($B1163="","",IFERROR(INDEX(Vinos!$B$2:$B$301,MATCH($B1163,Vinos!$A$2:$A$301,0)),"Código no cargado"))</f>
        <v/>
      </c>
      <c r="D1163" s="14" t="n"/>
      <c r="E1163" s="14" t="n"/>
      <c r="F1163" s="18" t="n"/>
      <c r="G1163" s="18" t="n"/>
      <c r="H1163" s="21">
        <f>IF(AND($F1163="",$G1163=""),"",N($F1163)*IFERROR(N(INDEX(Vinos!$H$2:$H$301,MATCH($B1163,Vinos!$A$2:$A$301,0))),0)+N($G1163))</f>
        <v/>
      </c>
      <c r="I1163" s="18" t="n"/>
      <c r="J1163" s="21">
        <f>IF(OR($H1163="",$I1163=""),"",$H1163-$I1163)</f>
        <v/>
      </c>
      <c r="K1163" s="16">
        <f>IF($H1163="","",IFERROR(IF(INDEX(Vinos!$J$2:$J$301,MATCH($B1163,Vinos!$A$2:$A$301,0))="","",$H1163*INDEX(Vinos!$J$2:$J$301,MATCH($B1163,Vinos!$A$2:$A$301,0))),""))</f>
        <v/>
      </c>
      <c r="L1163" s="16">
        <f>IF($H1163="","",IFERROR(IF(INDEX(Vinos!$K$2:$K$301,MATCH($B1163,Vinos!$A$2:$A$301,0))="","",$H1163*INDEX(Vinos!$K$2:$K$301,MATCH($B1163,Vinos!$A$2:$A$301,0))),""))</f>
        <v/>
      </c>
      <c r="M1163" s="21">
        <f>IF(OR($A1163="",$B1163=""),"",SUMIFS($H$2:$H$2001,$A$2:$A$2001,$A1163,$B$2:$B$2001,$B1163))</f>
        <v/>
      </c>
      <c r="N1163" s="20">
        <f>IF($M1163="","",IF($M1163&lt;=0,"Sin stock: reponer ya",IF($M1163&lt;IFERROR(N(INDEX(Vinos!$N$2:$N$301,MATCH($B1163,Vinos!$A$2:$A$301,0))),0),"Bajo mínimo: reponer","OK")))</f>
        <v/>
      </c>
      <c r="O1163" s="14" t="n"/>
      <c r="P1163" s="14" t="n"/>
      <c r="Q1163" s="20">
        <f>IF($B1163="","",IFERROR(INDEX(Vinos!$C$2:$C$301,MATCH($B1163,Vinos!$A$2:$A$301,0)),""))</f>
        <v/>
      </c>
      <c r="R1163" s="20">
        <f>IF(OR($A1163="",$A1163&lt;&gt;'Resumen del inventario'!$C$3,$N1163="",$N1163="OK"),"",IF(COUNTIFS($A$2:$A1163,$A1163,$B$2:$B1163,$B1163)=1,1,""))</f>
        <v/>
      </c>
      <c r="S1163" s="20">
        <f>IF($R1163=1,COUNTIF($R$2:$R1163,1),"")</f>
        <v/>
      </c>
    </row>
    <row r="1164">
      <c r="A1164" s="19" t="n"/>
      <c r="B1164" s="14" t="n"/>
      <c r="C1164" s="20">
        <f>IF($B1164="","",IFERROR(INDEX(Vinos!$B$2:$B$301,MATCH($B1164,Vinos!$A$2:$A$301,0)),"Código no cargado"))</f>
        <v/>
      </c>
      <c r="D1164" s="14" t="n"/>
      <c r="E1164" s="14" t="n"/>
      <c r="F1164" s="18" t="n"/>
      <c r="G1164" s="18" t="n"/>
      <c r="H1164" s="21">
        <f>IF(AND($F1164="",$G1164=""),"",N($F1164)*IFERROR(N(INDEX(Vinos!$H$2:$H$301,MATCH($B1164,Vinos!$A$2:$A$301,0))),0)+N($G1164))</f>
        <v/>
      </c>
      <c r="I1164" s="18" t="n"/>
      <c r="J1164" s="21">
        <f>IF(OR($H1164="",$I1164=""),"",$H1164-$I1164)</f>
        <v/>
      </c>
      <c r="K1164" s="16">
        <f>IF($H1164="","",IFERROR(IF(INDEX(Vinos!$J$2:$J$301,MATCH($B1164,Vinos!$A$2:$A$301,0))="","",$H1164*INDEX(Vinos!$J$2:$J$301,MATCH($B1164,Vinos!$A$2:$A$301,0))),""))</f>
        <v/>
      </c>
      <c r="L1164" s="16">
        <f>IF($H1164="","",IFERROR(IF(INDEX(Vinos!$K$2:$K$301,MATCH($B1164,Vinos!$A$2:$A$301,0))="","",$H1164*INDEX(Vinos!$K$2:$K$301,MATCH($B1164,Vinos!$A$2:$A$301,0))),""))</f>
        <v/>
      </c>
      <c r="M1164" s="21">
        <f>IF(OR($A1164="",$B1164=""),"",SUMIFS($H$2:$H$2001,$A$2:$A$2001,$A1164,$B$2:$B$2001,$B1164))</f>
        <v/>
      </c>
      <c r="N1164" s="20">
        <f>IF($M1164="","",IF($M1164&lt;=0,"Sin stock: reponer ya",IF($M1164&lt;IFERROR(N(INDEX(Vinos!$N$2:$N$301,MATCH($B1164,Vinos!$A$2:$A$301,0))),0),"Bajo mínimo: reponer","OK")))</f>
        <v/>
      </c>
      <c r="O1164" s="14" t="n"/>
      <c r="P1164" s="14" t="n"/>
      <c r="Q1164" s="20">
        <f>IF($B1164="","",IFERROR(INDEX(Vinos!$C$2:$C$301,MATCH($B1164,Vinos!$A$2:$A$301,0)),""))</f>
        <v/>
      </c>
      <c r="R1164" s="20">
        <f>IF(OR($A1164="",$A1164&lt;&gt;'Resumen del inventario'!$C$3,$N1164="",$N1164="OK"),"",IF(COUNTIFS($A$2:$A1164,$A1164,$B$2:$B1164,$B1164)=1,1,""))</f>
        <v/>
      </c>
      <c r="S1164" s="20">
        <f>IF($R1164=1,COUNTIF($R$2:$R1164,1),"")</f>
        <v/>
      </c>
    </row>
    <row r="1165">
      <c r="A1165" s="19" t="n"/>
      <c r="B1165" s="14" t="n"/>
      <c r="C1165" s="20">
        <f>IF($B1165="","",IFERROR(INDEX(Vinos!$B$2:$B$301,MATCH($B1165,Vinos!$A$2:$A$301,0)),"Código no cargado"))</f>
        <v/>
      </c>
      <c r="D1165" s="14" t="n"/>
      <c r="E1165" s="14" t="n"/>
      <c r="F1165" s="18" t="n"/>
      <c r="G1165" s="18" t="n"/>
      <c r="H1165" s="21">
        <f>IF(AND($F1165="",$G1165=""),"",N($F1165)*IFERROR(N(INDEX(Vinos!$H$2:$H$301,MATCH($B1165,Vinos!$A$2:$A$301,0))),0)+N($G1165))</f>
        <v/>
      </c>
      <c r="I1165" s="18" t="n"/>
      <c r="J1165" s="21">
        <f>IF(OR($H1165="",$I1165=""),"",$H1165-$I1165)</f>
        <v/>
      </c>
      <c r="K1165" s="16">
        <f>IF($H1165="","",IFERROR(IF(INDEX(Vinos!$J$2:$J$301,MATCH($B1165,Vinos!$A$2:$A$301,0))="","",$H1165*INDEX(Vinos!$J$2:$J$301,MATCH($B1165,Vinos!$A$2:$A$301,0))),""))</f>
        <v/>
      </c>
      <c r="L1165" s="16">
        <f>IF($H1165="","",IFERROR(IF(INDEX(Vinos!$K$2:$K$301,MATCH($B1165,Vinos!$A$2:$A$301,0))="","",$H1165*INDEX(Vinos!$K$2:$K$301,MATCH($B1165,Vinos!$A$2:$A$301,0))),""))</f>
        <v/>
      </c>
      <c r="M1165" s="21">
        <f>IF(OR($A1165="",$B1165=""),"",SUMIFS($H$2:$H$2001,$A$2:$A$2001,$A1165,$B$2:$B$2001,$B1165))</f>
        <v/>
      </c>
      <c r="N1165" s="20">
        <f>IF($M1165="","",IF($M1165&lt;=0,"Sin stock: reponer ya",IF($M1165&lt;IFERROR(N(INDEX(Vinos!$N$2:$N$301,MATCH($B1165,Vinos!$A$2:$A$301,0))),0),"Bajo mínimo: reponer","OK")))</f>
        <v/>
      </c>
      <c r="O1165" s="14" t="n"/>
      <c r="P1165" s="14" t="n"/>
      <c r="Q1165" s="20">
        <f>IF($B1165="","",IFERROR(INDEX(Vinos!$C$2:$C$301,MATCH($B1165,Vinos!$A$2:$A$301,0)),""))</f>
        <v/>
      </c>
      <c r="R1165" s="20">
        <f>IF(OR($A1165="",$A1165&lt;&gt;'Resumen del inventario'!$C$3,$N1165="",$N1165="OK"),"",IF(COUNTIFS($A$2:$A1165,$A1165,$B$2:$B1165,$B1165)=1,1,""))</f>
        <v/>
      </c>
      <c r="S1165" s="20">
        <f>IF($R1165=1,COUNTIF($R$2:$R1165,1),"")</f>
        <v/>
      </c>
    </row>
    <row r="1166">
      <c r="A1166" s="19" t="n"/>
      <c r="B1166" s="14" t="n"/>
      <c r="C1166" s="20">
        <f>IF($B1166="","",IFERROR(INDEX(Vinos!$B$2:$B$301,MATCH($B1166,Vinos!$A$2:$A$301,0)),"Código no cargado"))</f>
        <v/>
      </c>
      <c r="D1166" s="14" t="n"/>
      <c r="E1166" s="14" t="n"/>
      <c r="F1166" s="18" t="n"/>
      <c r="G1166" s="18" t="n"/>
      <c r="H1166" s="21">
        <f>IF(AND($F1166="",$G1166=""),"",N($F1166)*IFERROR(N(INDEX(Vinos!$H$2:$H$301,MATCH($B1166,Vinos!$A$2:$A$301,0))),0)+N($G1166))</f>
        <v/>
      </c>
      <c r="I1166" s="18" t="n"/>
      <c r="J1166" s="21">
        <f>IF(OR($H1166="",$I1166=""),"",$H1166-$I1166)</f>
        <v/>
      </c>
      <c r="K1166" s="16">
        <f>IF($H1166="","",IFERROR(IF(INDEX(Vinos!$J$2:$J$301,MATCH($B1166,Vinos!$A$2:$A$301,0))="","",$H1166*INDEX(Vinos!$J$2:$J$301,MATCH($B1166,Vinos!$A$2:$A$301,0))),""))</f>
        <v/>
      </c>
      <c r="L1166" s="16">
        <f>IF($H1166="","",IFERROR(IF(INDEX(Vinos!$K$2:$K$301,MATCH($B1166,Vinos!$A$2:$A$301,0))="","",$H1166*INDEX(Vinos!$K$2:$K$301,MATCH($B1166,Vinos!$A$2:$A$301,0))),""))</f>
        <v/>
      </c>
      <c r="M1166" s="21">
        <f>IF(OR($A1166="",$B1166=""),"",SUMIFS($H$2:$H$2001,$A$2:$A$2001,$A1166,$B$2:$B$2001,$B1166))</f>
        <v/>
      </c>
      <c r="N1166" s="20">
        <f>IF($M1166="","",IF($M1166&lt;=0,"Sin stock: reponer ya",IF($M1166&lt;IFERROR(N(INDEX(Vinos!$N$2:$N$301,MATCH($B1166,Vinos!$A$2:$A$301,0))),0),"Bajo mínimo: reponer","OK")))</f>
        <v/>
      </c>
      <c r="O1166" s="14" t="n"/>
      <c r="P1166" s="14" t="n"/>
      <c r="Q1166" s="20">
        <f>IF($B1166="","",IFERROR(INDEX(Vinos!$C$2:$C$301,MATCH($B1166,Vinos!$A$2:$A$301,0)),""))</f>
        <v/>
      </c>
      <c r="R1166" s="20">
        <f>IF(OR($A1166="",$A1166&lt;&gt;'Resumen del inventario'!$C$3,$N1166="",$N1166="OK"),"",IF(COUNTIFS($A$2:$A1166,$A1166,$B$2:$B1166,$B1166)=1,1,""))</f>
        <v/>
      </c>
      <c r="S1166" s="20">
        <f>IF($R1166=1,COUNTIF($R$2:$R1166,1),"")</f>
        <v/>
      </c>
    </row>
    <row r="1167">
      <c r="A1167" s="19" t="n"/>
      <c r="B1167" s="14" t="n"/>
      <c r="C1167" s="20">
        <f>IF($B1167="","",IFERROR(INDEX(Vinos!$B$2:$B$301,MATCH($B1167,Vinos!$A$2:$A$301,0)),"Código no cargado"))</f>
        <v/>
      </c>
      <c r="D1167" s="14" t="n"/>
      <c r="E1167" s="14" t="n"/>
      <c r="F1167" s="18" t="n"/>
      <c r="G1167" s="18" t="n"/>
      <c r="H1167" s="21">
        <f>IF(AND($F1167="",$G1167=""),"",N($F1167)*IFERROR(N(INDEX(Vinos!$H$2:$H$301,MATCH($B1167,Vinos!$A$2:$A$301,0))),0)+N($G1167))</f>
        <v/>
      </c>
      <c r="I1167" s="18" t="n"/>
      <c r="J1167" s="21">
        <f>IF(OR($H1167="",$I1167=""),"",$H1167-$I1167)</f>
        <v/>
      </c>
      <c r="K1167" s="16">
        <f>IF($H1167="","",IFERROR(IF(INDEX(Vinos!$J$2:$J$301,MATCH($B1167,Vinos!$A$2:$A$301,0))="","",$H1167*INDEX(Vinos!$J$2:$J$301,MATCH($B1167,Vinos!$A$2:$A$301,0))),""))</f>
        <v/>
      </c>
      <c r="L1167" s="16">
        <f>IF($H1167="","",IFERROR(IF(INDEX(Vinos!$K$2:$K$301,MATCH($B1167,Vinos!$A$2:$A$301,0))="","",$H1167*INDEX(Vinos!$K$2:$K$301,MATCH($B1167,Vinos!$A$2:$A$301,0))),""))</f>
        <v/>
      </c>
      <c r="M1167" s="21">
        <f>IF(OR($A1167="",$B1167=""),"",SUMIFS($H$2:$H$2001,$A$2:$A$2001,$A1167,$B$2:$B$2001,$B1167))</f>
        <v/>
      </c>
      <c r="N1167" s="20">
        <f>IF($M1167="","",IF($M1167&lt;=0,"Sin stock: reponer ya",IF($M1167&lt;IFERROR(N(INDEX(Vinos!$N$2:$N$301,MATCH($B1167,Vinos!$A$2:$A$301,0))),0),"Bajo mínimo: reponer","OK")))</f>
        <v/>
      </c>
      <c r="O1167" s="14" t="n"/>
      <c r="P1167" s="14" t="n"/>
      <c r="Q1167" s="20">
        <f>IF($B1167="","",IFERROR(INDEX(Vinos!$C$2:$C$301,MATCH($B1167,Vinos!$A$2:$A$301,0)),""))</f>
        <v/>
      </c>
      <c r="R1167" s="20">
        <f>IF(OR($A1167="",$A1167&lt;&gt;'Resumen del inventario'!$C$3,$N1167="",$N1167="OK"),"",IF(COUNTIFS($A$2:$A1167,$A1167,$B$2:$B1167,$B1167)=1,1,""))</f>
        <v/>
      </c>
      <c r="S1167" s="20">
        <f>IF($R1167=1,COUNTIF($R$2:$R1167,1),"")</f>
        <v/>
      </c>
    </row>
    <row r="1168">
      <c r="A1168" s="19" t="n"/>
      <c r="B1168" s="14" t="n"/>
      <c r="C1168" s="20">
        <f>IF($B1168="","",IFERROR(INDEX(Vinos!$B$2:$B$301,MATCH($B1168,Vinos!$A$2:$A$301,0)),"Código no cargado"))</f>
        <v/>
      </c>
      <c r="D1168" s="14" t="n"/>
      <c r="E1168" s="14" t="n"/>
      <c r="F1168" s="18" t="n"/>
      <c r="G1168" s="18" t="n"/>
      <c r="H1168" s="21">
        <f>IF(AND($F1168="",$G1168=""),"",N($F1168)*IFERROR(N(INDEX(Vinos!$H$2:$H$301,MATCH($B1168,Vinos!$A$2:$A$301,0))),0)+N($G1168))</f>
        <v/>
      </c>
      <c r="I1168" s="18" t="n"/>
      <c r="J1168" s="21">
        <f>IF(OR($H1168="",$I1168=""),"",$H1168-$I1168)</f>
        <v/>
      </c>
      <c r="K1168" s="16">
        <f>IF($H1168="","",IFERROR(IF(INDEX(Vinos!$J$2:$J$301,MATCH($B1168,Vinos!$A$2:$A$301,0))="","",$H1168*INDEX(Vinos!$J$2:$J$301,MATCH($B1168,Vinos!$A$2:$A$301,0))),""))</f>
        <v/>
      </c>
      <c r="L1168" s="16">
        <f>IF($H1168="","",IFERROR(IF(INDEX(Vinos!$K$2:$K$301,MATCH($B1168,Vinos!$A$2:$A$301,0))="","",$H1168*INDEX(Vinos!$K$2:$K$301,MATCH($B1168,Vinos!$A$2:$A$301,0))),""))</f>
        <v/>
      </c>
      <c r="M1168" s="21">
        <f>IF(OR($A1168="",$B1168=""),"",SUMIFS($H$2:$H$2001,$A$2:$A$2001,$A1168,$B$2:$B$2001,$B1168))</f>
        <v/>
      </c>
      <c r="N1168" s="20">
        <f>IF($M1168="","",IF($M1168&lt;=0,"Sin stock: reponer ya",IF($M1168&lt;IFERROR(N(INDEX(Vinos!$N$2:$N$301,MATCH($B1168,Vinos!$A$2:$A$301,0))),0),"Bajo mínimo: reponer","OK")))</f>
        <v/>
      </c>
      <c r="O1168" s="14" t="n"/>
      <c r="P1168" s="14" t="n"/>
      <c r="Q1168" s="20">
        <f>IF($B1168="","",IFERROR(INDEX(Vinos!$C$2:$C$301,MATCH($B1168,Vinos!$A$2:$A$301,0)),""))</f>
        <v/>
      </c>
      <c r="R1168" s="20">
        <f>IF(OR($A1168="",$A1168&lt;&gt;'Resumen del inventario'!$C$3,$N1168="",$N1168="OK"),"",IF(COUNTIFS($A$2:$A1168,$A1168,$B$2:$B1168,$B1168)=1,1,""))</f>
        <v/>
      </c>
      <c r="S1168" s="20">
        <f>IF($R1168=1,COUNTIF($R$2:$R1168,1),"")</f>
        <v/>
      </c>
    </row>
    <row r="1169">
      <c r="A1169" s="19" t="n"/>
      <c r="B1169" s="14" t="n"/>
      <c r="C1169" s="20">
        <f>IF($B1169="","",IFERROR(INDEX(Vinos!$B$2:$B$301,MATCH($B1169,Vinos!$A$2:$A$301,0)),"Código no cargado"))</f>
        <v/>
      </c>
      <c r="D1169" s="14" t="n"/>
      <c r="E1169" s="14" t="n"/>
      <c r="F1169" s="18" t="n"/>
      <c r="G1169" s="18" t="n"/>
      <c r="H1169" s="21">
        <f>IF(AND($F1169="",$G1169=""),"",N($F1169)*IFERROR(N(INDEX(Vinos!$H$2:$H$301,MATCH($B1169,Vinos!$A$2:$A$301,0))),0)+N($G1169))</f>
        <v/>
      </c>
      <c r="I1169" s="18" t="n"/>
      <c r="J1169" s="21">
        <f>IF(OR($H1169="",$I1169=""),"",$H1169-$I1169)</f>
        <v/>
      </c>
      <c r="K1169" s="16">
        <f>IF($H1169="","",IFERROR(IF(INDEX(Vinos!$J$2:$J$301,MATCH($B1169,Vinos!$A$2:$A$301,0))="","",$H1169*INDEX(Vinos!$J$2:$J$301,MATCH($B1169,Vinos!$A$2:$A$301,0))),""))</f>
        <v/>
      </c>
      <c r="L1169" s="16">
        <f>IF($H1169="","",IFERROR(IF(INDEX(Vinos!$K$2:$K$301,MATCH($B1169,Vinos!$A$2:$A$301,0))="","",$H1169*INDEX(Vinos!$K$2:$K$301,MATCH($B1169,Vinos!$A$2:$A$301,0))),""))</f>
        <v/>
      </c>
      <c r="M1169" s="21">
        <f>IF(OR($A1169="",$B1169=""),"",SUMIFS($H$2:$H$2001,$A$2:$A$2001,$A1169,$B$2:$B$2001,$B1169))</f>
        <v/>
      </c>
      <c r="N1169" s="20">
        <f>IF($M1169="","",IF($M1169&lt;=0,"Sin stock: reponer ya",IF($M1169&lt;IFERROR(N(INDEX(Vinos!$N$2:$N$301,MATCH($B1169,Vinos!$A$2:$A$301,0))),0),"Bajo mínimo: reponer","OK")))</f>
        <v/>
      </c>
      <c r="O1169" s="14" t="n"/>
      <c r="P1169" s="14" t="n"/>
      <c r="Q1169" s="20">
        <f>IF($B1169="","",IFERROR(INDEX(Vinos!$C$2:$C$301,MATCH($B1169,Vinos!$A$2:$A$301,0)),""))</f>
        <v/>
      </c>
      <c r="R1169" s="20">
        <f>IF(OR($A1169="",$A1169&lt;&gt;'Resumen del inventario'!$C$3,$N1169="",$N1169="OK"),"",IF(COUNTIFS($A$2:$A1169,$A1169,$B$2:$B1169,$B1169)=1,1,""))</f>
        <v/>
      </c>
      <c r="S1169" s="20">
        <f>IF($R1169=1,COUNTIF($R$2:$R1169,1),"")</f>
        <v/>
      </c>
    </row>
    <row r="1170">
      <c r="A1170" s="19" t="n"/>
      <c r="B1170" s="14" t="n"/>
      <c r="C1170" s="20">
        <f>IF($B1170="","",IFERROR(INDEX(Vinos!$B$2:$B$301,MATCH($B1170,Vinos!$A$2:$A$301,0)),"Código no cargado"))</f>
        <v/>
      </c>
      <c r="D1170" s="14" t="n"/>
      <c r="E1170" s="14" t="n"/>
      <c r="F1170" s="18" t="n"/>
      <c r="G1170" s="18" t="n"/>
      <c r="H1170" s="21">
        <f>IF(AND($F1170="",$G1170=""),"",N($F1170)*IFERROR(N(INDEX(Vinos!$H$2:$H$301,MATCH($B1170,Vinos!$A$2:$A$301,0))),0)+N($G1170))</f>
        <v/>
      </c>
      <c r="I1170" s="18" t="n"/>
      <c r="J1170" s="21">
        <f>IF(OR($H1170="",$I1170=""),"",$H1170-$I1170)</f>
        <v/>
      </c>
      <c r="K1170" s="16">
        <f>IF($H1170="","",IFERROR(IF(INDEX(Vinos!$J$2:$J$301,MATCH($B1170,Vinos!$A$2:$A$301,0))="","",$H1170*INDEX(Vinos!$J$2:$J$301,MATCH($B1170,Vinos!$A$2:$A$301,0))),""))</f>
        <v/>
      </c>
      <c r="L1170" s="16">
        <f>IF($H1170="","",IFERROR(IF(INDEX(Vinos!$K$2:$K$301,MATCH($B1170,Vinos!$A$2:$A$301,0))="","",$H1170*INDEX(Vinos!$K$2:$K$301,MATCH($B1170,Vinos!$A$2:$A$301,0))),""))</f>
        <v/>
      </c>
      <c r="M1170" s="21">
        <f>IF(OR($A1170="",$B1170=""),"",SUMIFS($H$2:$H$2001,$A$2:$A$2001,$A1170,$B$2:$B$2001,$B1170))</f>
        <v/>
      </c>
      <c r="N1170" s="20">
        <f>IF($M1170="","",IF($M1170&lt;=0,"Sin stock: reponer ya",IF($M1170&lt;IFERROR(N(INDEX(Vinos!$N$2:$N$301,MATCH($B1170,Vinos!$A$2:$A$301,0))),0),"Bajo mínimo: reponer","OK")))</f>
        <v/>
      </c>
      <c r="O1170" s="14" t="n"/>
      <c r="P1170" s="14" t="n"/>
      <c r="Q1170" s="20">
        <f>IF($B1170="","",IFERROR(INDEX(Vinos!$C$2:$C$301,MATCH($B1170,Vinos!$A$2:$A$301,0)),""))</f>
        <v/>
      </c>
      <c r="R1170" s="20">
        <f>IF(OR($A1170="",$A1170&lt;&gt;'Resumen del inventario'!$C$3,$N1170="",$N1170="OK"),"",IF(COUNTIFS($A$2:$A1170,$A1170,$B$2:$B1170,$B1170)=1,1,""))</f>
        <v/>
      </c>
      <c r="S1170" s="20">
        <f>IF($R1170=1,COUNTIF($R$2:$R1170,1),"")</f>
        <v/>
      </c>
    </row>
    <row r="1171">
      <c r="A1171" s="19" t="n"/>
      <c r="B1171" s="14" t="n"/>
      <c r="C1171" s="20">
        <f>IF($B1171="","",IFERROR(INDEX(Vinos!$B$2:$B$301,MATCH($B1171,Vinos!$A$2:$A$301,0)),"Código no cargado"))</f>
        <v/>
      </c>
      <c r="D1171" s="14" t="n"/>
      <c r="E1171" s="14" t="n"/>
      <c r="F1171" s="18" t="n"/>
      <c r="G1171" s="18" t="n"/>
      <c r="H1171" s="21">
        <f>IF(AND($F1171="",$G1171=""),"",N($F1171)*IFERROR(N(INDEX(Vinos!$H$2:$H$301,MATCH($B1171,Vinos!$A$2:$A$301,0))),0)+N($G1171))</f>
        <v/>
      </c>
      <c r="I1171" s="18" t="n"/>
      <c r="J1171" s="21">
        <f>IF(OR($H1171="",$I1171=""),"",$H1171-$I1171)</f>
        <v/>
      </c>
      <c r="K1171" s="16">
        <f>IF($H1171="","",IFERROR(IF(INDEX(Vinos!$J$2:$J$301,MATCH($B1171,Vinos!$A$2:$A$301,0))="","",$H1171*INDEX(Vinos!$J$2:$J$301,MATCH($B1171,Vinos!$A$2:$A$301,0))),""))</f>
        <v/>
      </c>
      <c r="L1171" s="16">
        <f>IF($H1171="","",IFERROR(IF(INDEX(Vinos!$K$2:$K$301,MATCH($B1171,Vinos!$A$2:$A$301,0))="","",$H1171*INDEX(Vinos!$K$2:$K$301,MATCH($B1171,Vinos!$A$2:$A$301,0))),""))</f>
        <v/>
      </c>
      <c r="M1171" s="21">
        <f>IF(OR($A1171="",$B1171=""),"",SUMIFS($H$2:$H$2001,$A$2:$A$2001,$A1171,$B$2:$B$2001,$B1171))</f>
        <v/>
      </c>
      <c r="N1171" s="20">
        <f>IF($M1171="","",IF($M1171&lt;=0,"Sin stock: reponer ya",IF($M1171&lt;IFERROR(N(INDEX(Vinos!$N$2:$N$301,MATCH($B1171,Vinos!$A$2:$A$301,0))),0),"Bajo mínimo: reponer","OK")))</f>
        <v/>
      </c>
      <c r="O1171" s="14" t="n"/>
      <c r="P1171" s="14" t="n"/>
      <c r="Q1171" s="20">
        <f>IF($B1171="","",IFERROR(INDEX(Vinos!$C$2:$C$301,MATCH($B1171,Vinos!$A$2:$A$301,0)),""))</f>
        <v/>
      </c>
      <c r="R1171" s="20">
        <f>IF(OR($A1171="",$A1171&lt;&gt;'Resumen del inventario'!$C$3,$N1171="",$N1171="OK"),"",IF(COUNTIFS($A$2:$A1171,$A1171,$B$2:$B1171,$B1171)=1,1,""))</f>
        <v/>
      </c>
      <c r="S1171" s="20">
        <f>IF($R1171=1,COUNTIF($R$2:$R1171,1),"")</f>
        <v/>
      </c>
    </row>
    <row r="1172">
      <c r="A1172" s="19" t="n"/>
      <c r="B1172" s="14" t="n"/>
      <c r="C1172" s="20">
        <f>IF($B1172="","",IFERROR(INDEX(Vinos!$B$2:$B$301,MATCH($B1172,Vinos!$A$2:$A$301,0)),"Código no cargado"))</f>
        <v/>
      </c>
      <c r="D1172" s="14" t="n"/>
      <c r="E1172" s="14" t="n"/>
      <c r="F1172" s="18" t="n"/>
      <c r="G1172" s="18" t="n"/>
      <c r="H1172" s="21">
        <f>IF(AND($F1172="",$G1172=""),"",N($F1172)*IFERROR(N(INDEX(Vinos!$H$2:$H$301,MATCH($B1172,Vinos!$A$2:$A$301,0))),0)+N($G1172))</f>
        <v/>
      </c>
      <c r="I1172" s="18" t="n"/>
      <c r="J1172" s="21">
        <f>IF(OR($H1172="",$I1172=""),"",$H1172-$I1172)</f>
        <v/>
      </c>
      <c r="K1172" s="16">
        <f>IF($H1172="","",IFERROR(IF(INDEX(Vinos!$J$2:$J$301,MATCH($B1172,Vinos!$A$2:$A$301,0))="","",$H1172*INDEX(Vinos!$J$2:$J$301,MATCH($B1172,Vinos!$A$2:$A$301,0))),""))</f>
        <v/>
      </c>
      <c r="L1172" s="16">
        <f>IF($H1172="","",IFERROR(IF(INDEX(Vinos!$K$2:$K$301,MATCH($B1172,Vinos!$A$2:$A$301,0))="","",$H1172*INDEX(Vinos!$K$2:$K$301,MATCH($B1172,Vinos!$A$2:$A$301,0))),""))</f>
        <v/>
      </c>
      <c r="M1172" s="21">
        <f>IF(OR($A1172="",$B1172=""),"",SUMIFS($H$2:$H$2001,$A$2:$A$2001,$A1172,$B$2:$B$2001,$B1172))</f>
        <v/>
      </c>
      <c r="N1172" s="20">
        <f>IF($M1172="","",IF($M1172&lt;=0,"Sin stock: reponer ya",IF($M1172&lt;IFERROR(N(INDEX(Vinos!$N$2:$N$301,MATCH($B1172,Vinos!$A$2:$A$301,0))),0),"Bajo mínimo: reponer","OK")))</f>
        <v/>
      </c>
      <c r="O1172" s="14" t="n"/>
      <c r="P1172" s="14" t="n"/>
      <c r="Q1172" s="20">
        <f>IF($B1172="","",IFERROR(INDEX(Vinos!$C$2:$C$301,MATCH($B1172,Vinos!$A$2:$A$301,0)),""))</f>
        <v/>
      </c>
      <c r="R1172" s="20">
        <f>IF(OR($A1172="",$A1172&lt;&gt;'Resumen del inventario'!$C$3,$N1172="",$N1172="OK"),"",IF(COUNTIFS($A$2:$A1172,$A1172,$B$2:$B1172,$B1172)=1,1,""))</f>
        <v/>
      </c>
      <c r="S1172" s="20">
        <f>IF($R1172=1,COUNTIF($R$2:$R1172,1),"")</f>
        <v/>
      </c>
    </row>
    <row r="1173">
      <c r="A1173" s="19" t="n"/>
      <c r="B1173" s="14" t="n"/>
      <c r="C1173" s="20">
        <f>IF($B1173="","",IFERROR(INDEX(Vinos!$B$2:$B$301,MATCH($B1173,Vinos!$A$2:$A$301,0)),"Código no cargado"))</f>
        <v/>
      </c>
      <c r="D1173" s="14" t="n"/>
      <c r="E1173" s="14" t="n"/>
      <c r="F1173" s="18" t="n"/>
      <c r="G1173" s="18" t="n"/>
      <c r="H1173" s="21">
        <f>IF(AND($F1173="",$G1173=""),"",N($F1173)*IFERROR(N(INDEX(Vinos!$H$2:$H$301,MATCH($B1173,Vinos!$A$2:$A$301,0))),0)+N($G1173))</f>
        <v/>
      </c>
      <c r="I1173" s="18" t="n"/>
      <c r="J1173" s="21">
        <f>IF(OR($H1173="",$I1173=""),"",$H1173-$I1173)</f>
        <v/>
      </c>
      <c r="K1173" s="16">
        <f>IF($H1173="","",IFERROR(IF(INDEX(Vinos!$J$2:$J$301,MATCH($B1173,Vinos!$A$2:$A$301,0))="","",$H1173*INDEX(Vinos!$J$2:$J$301,MATCH($B1173,Vinos!$A$2:$A$301,0))),""))</f>
        <v/>
      </c>
      <c r="L1173" s="16">
        <f>IF($H1173="","",IFERROR(IF(INDEX(Vinos!$K$2:$K$301,MATCH($B1173,Vinos!$A$2:$A$301,0))="","",$H1173*INDEX(Vinos!$K$2:$K$301,MATCH($B1173,Vinos!$A$2:$A$301,0))),""))</f>
        <v/>
      </c>
      <c r="M1173" s="21">
        <f>IF(OR($A1173="",$B1173=""),"",SUMIFS($H$2:$H$2001,$A$2:$A$2001,$A1173,$B$2:$B$2001,$B1173))</f>
        <v/>
      </c>
      <c r="N1173" s="20">
        <f>IF($M1173="","",IF($M1173&lt;=0,"Sin stock: reponer ya",IF($M1173&lt;IFERROR(N(INDEX(Vinos!$N$2:$N$301,MATCH($B1173,Vinos!$A$2:$A$301,0))),0),"Bajo mínimo: reponer","OK")))</f>
        <v/>
      </c>
      <c r="O1173" s="14" t="n"/>
      <c r="P1173" s="14" t="n"/>
      <c r="Q1173" s="20">
        <f>IF($B1173="","",IFERROR(INDEX(Vinos!$C$2:$C$301,MATCH($B1173,Vinos!$A$2:$A$301,0)),""))</f>
        <v/>
      </c>
      <c r="R1173" s="20">
        <f>IF(OR($A1173="",$A1173&lt;&gt;'Resumen del inventario'!$C$3,$N1173="",$N1173="OK"),"",IF(COUNTIFS($A$2:$A1173,$A1173,$B$2:$B1173,$B1173)=1,1,""))</f>
        <v/>
      </c>
      <c r="S1173" s="20">
        <f>IF($R1173=1,COUNTIF($R$2:$R1173,1),"")</f>
        <v/>
      </c>
    </row>
    <row r="1174">
      <c r="A1174" s="19" t="n"/>
      <c r="B1174" s="14" t="n"/>
      <c r="C1174" s="20">
        <f>IF($B1174="","",IFERROR(INDEX(Vinos!$B$2:$B$301,MATCH($B1174,Vinos!$A$2:$A$301,0)),"Código no cargado"))</f>
        <v/>
      </c>
      <c r="D1174" s="14" t="n"/>
      <c r="E1174" s="14" t="n"/>
      <c r="F1174" s="18" t="n"/>
      <c r="G1174" s="18" t="n"/>
      <c r="H1174" s="21">
        <f>IF(AND($F1174="",$G1174=""),"",N($F1174)*IFERROR(N(INDEX(Vinos!$H$2:$H$301,MATCH($B1174,Vinos!$A$2:$A$301,0))),0)+N($G1174))</f>
        <v/>
      </c>
      <c r="I1174" s="18" t="n"/>
      <c r="J1174" s="21">
        <f>IF(OR($H1174="",$I1174=""),"",$H1174-$I1174)</f>
        <v/>
      </c>
      <c r="K1174" s="16">
        <f>IF($H1174="","",IFERROR(IF(INDEX(Vinos!$J$2:$J$301,MATCH($B1174,Vinos!$A$2:$A$301,0))="","",$H1174*INDEX(Vinos!$J$2:$J$301,MATCH($B1174,Vinos!$A$2:$A$301,0))),""))</f>
        <v/>
      </c>
      <c r="L1174" s="16">
        <f>IF($H1174="","",IFERROR(IF(INDEX(Vinos!$K$2:$K$301,MATCH($B1174,Vinos!$A$2:$A$301,0))="","",$H1174*INDEX(Vinos!$K$2:$K$301,MATCH($B1174,Vinos!$A$2:$A$301,0))),""))</f>
        <v/>
      </c>
      <c r="M1174" s="21">
        <f>IF(OR($A1174="",$B1174=""),"",SUMIFS($H$2:$H$2001,$A$2:$A$2001,$A1174,$B$2:$B$2001,$B1174))</f>
        <v/>
      </c>
      <c r="N1174" s="20">
        <f>IF($M1174="","",IF($M1174&lt;=0,"Sin stock: reponer ya",IF($M1174&lt;IFERROR(N(INDEX(Vinos!$N$2:$N$301,MATCH($B1174,Vinos!$A$2:$A$301,0))),0),"Bajo mínimo: reponer","OK")))</f>
        <v/>
      </c>
      <c r="O1174" s="14" t="n"/>
      <c r="P1174" s="14" t="n"/>
      <c r="Q1174" s="20">
        <f>IF($B1174="","",IFERROR(INDEX(Vinos!$C$2:$C$301,MATCH($B1174,Vinos!$A$2:$A$301,0)),""))</f>
        <v/>
      </c>
      <c r="R1174" s="20">
        <f>IF(OR($A1174="",$A1174&lt;&gt;'Resumen del inventario'!$C$3,$N1174="",$N1174="OK"),"",IF(COUNTIFS($A$2:$A1174,$A1174,$B$2:$B1174,$B1174)=1,1,""))</f>
        <v/>
      </c>
      <c r="S1174" s="20">
        <f>IF($R1174=1,COUNTIF($R$2:$R1174,1),"")</f>
        <v/>
      </c>
    </row>
    <row r="1175">
      <c r="A1175" s="19" t="n"/>
      <c r="B1175" s="14" t="n"/>
      <c r="C1175" s="20">
        <f>IF($B1175="","",IFERROR(INDEX(Vinos!$B$2:$B$301,MATCH($B1175,Vinos!$A$2:$A$301,0)),"Código no cargado"))</f>
        <v/>
      </c>
      <c r="D1175" s="14" t="n"/>
      <c r="E1175" s="14" t="n"/>
      <c r="F1175" s="18" t="n"/>
      <c r="G1175" s="18" t="n"/>
      <c r="H1175" s="21">
        <f>IF(AND($F1175="",$G1175=""),"",N($F1175)*IFERROR(N(INDEX(Vinos!$H$2:$H$301,MATCH($B1175,Vinos!$A$2:$A$301,0))),0)+N($G1175))</f>
        <v/>
      </c>
      <c r="I1175" s="18" t="n"/>
      <c r="J1175" s="21">
        <f>IF(OR($H1175="",$I1175=""),"",$H1175-$I1175)</f>
        <v/>
      </c>
      <c r="K1175" s="16">
        <f>IF($H1175="","",IFERROR(IF(INDEX(Vinos!$J$2:$J$301,MATCH($B1175,Vinos!$A$2:$A$301,0))="","",$H1175*INDEX(Vinos!$J$2:$J$301,MATCH($B1175,Vinos!$A$2:$A$301,0))),""))</f>
        <v/>
      </c>
      <c r="L1175" s="16">
        <f>IF($H1175="","",IFERROR(IF(INDEX(Vinos!$K$2:$K$301,MATCH($B1175,Vinos!$A$2:$A$301,0))="","",$H1175*INDEX(Vinos!$K$2:$K$301,MATCH($B1175,Vinos!$A$2:$A$301,0))),""))</f>
        <v/>
      </c>
      <c r="M1175" s="21">
        <f>IF(OR($A1175="",$B1175=""),"",SUMIFS($H$2:$H$2001,$A$2:$A$2001,$A1175,$B$2:$B$2001,$B1175))</f>
        <v/>
      </c>
      <c r="N1175" s="20">
        <f>IF($M1175="","",IF($M1175&lt;=0,"Sin stock: reponer ya",IF($M1175&lt;IFERROR(N(INDEX(Vinos!$N$2:$N$301,MATCH($B1175,Vinos!$A$2:$A$301,0))),0),"Bajo mínimo: reponer","OK")))</f>
        <v/>
      </c>
      <c r="O1175" s="14" t="n"/>
      <c r="P1175" s="14" t="n"/>
      <c r="Q1175" s="20">
        <f>IF($B1175="","",IFERROR(INDEX(Vinos!$C$2:$C$301,MATCH($B1175,Vinos!$A$2:$A$301,0)),""))</f>
        <v/>
      </c>
      <c r="R1175" s="20">
        <f>IF(OR($A1175="",$A1175&lt;&gt;'Resumen del inventario'!$C$3,$N1175="",$N1175="OK"),"",IF(COUNTIFS($A$2:$A1175,$A1175,$B$2:$B1175,$B1175)=1,1,""))</f>
        <v/>
      </c>
      <c r="S1175" s="20">
        <f>IF($R1175=1,COUNTIF($R$2:$R1175,1),"")</f>
        <v/>
      </c>
    </row>
    <row r="1176">
      <c r="A1176" s="19" t="n"/>
      <c r="B1176" s="14" t="n"/>
      <c r="C1176" s="20">
        <f>IF($B1176="","",IFERROR(INDEX(Vinos!$B$2:$B$301,MATCH($B1176,Vinos!$A$2:$A$301,0)),"Código no cargado"))</f>
        <v/>
      </c>
      <c r="D1176" s="14" t="n"/>
      <c r="E1176" s="14" t="n"/>
      <c r="F1176" s="18" t="n"/>
      <c r="G1176" s="18" t="n"/>
      <c r="H1176" s="21">
        <f>IF(AND($F1176="",$G1176=""),"",N($F1176)*IFERROR(N(INDEX(Vinos!$H$2:$H$301,MATCH($B1176,Vinos!$A$2:$A$301,0))),0)+N($G1176))</f>
        <v/>
      </c>
      <c r="I1176" s="18" t="n"/>
      <c r="J1176" s="21">
        <f>IF(OR($H1176="",$I1176=""),"",$H1176-$I1176)</f>
        <v/>
      </c>
      <c r="K1176" s="16">
        <f>IF($H1176="","",IFERROR(IF(INDEX(Vinos!$J$2:$J$301,MATCH($B1176,Vinos!$A$2:$A$301,0))="","",$H1176*INDEX(Vinos!$J$2:$J$301,MATCH($B1176,Vinos!$A$2:$A$301,0))),""))</f>
        <v/>
      </c>
      <c r="L1176" s="16">
        <f>IF($H1176="","",IFERROR(IF(INDEX(Vinos!$K$2:$K$301,MATCH($B1176,Vinos!$A$2:$A$301,0))="","",$H1176*INDEX(Vinos!$K$2:$K$301,MATCH($B1176,Vinos!$A$2:$A$301,0))),""))</f>
        <v/>
      </c>
      <c r="M1176" s="21">
        <f>IF(OR($A1176="",$B1176=""),"",SUMIFS($H$2:$H$2001,$A$2:$A$2001,$A1176,$B$2:$B$2001,$B1176))</f>
        <v/>
      </c>
      <c r="N1176" s="20">
        <f>IF($M1176="","",IF($M1176&lt;=0,"Sin stock: reponer ya",IF($M1176&lt;IFERROR(N(INDEX(Vinos!$N$2:$N$301,MATCH($B1176,Vinos!$A$2:$A$301,0))),0),"Bajo mínimo: reponer","OK")))</f>
        <v/>
      </c>
      <c r="O1176" s="14" t="n"/>
      <c r="P1176" s="14" t="n"/>
      <c r="Q1176" s="20">
        <f>IF($B1176="","",IFERROR(INDEX(Vinos!$C$2:$C$301,MATCH($B1176,Vinos!$A$2:$A$301,0)),""))</f>
        <v/>
      </c>
      <c r="R1176" s="20">
        <f>IF(OR($A1176="",$A1176&lt;&gt;'Resumen del inventario'!$C$3,$N1176="",$N1176="OK"),"",IF(COUNTIFS($A$2:$A1176,$A1176,$B$2:$B1176,$B1176)=1,1,""))</f>
        <v/>
      </c>
      <c r="S1176" s="20">
        <f>IF($R1176=1,COUNTIF($R$2:$R1176,1),"")</f>
        <v/>
      </c>
    </row>
    <row r="1177">
      <c r="A1177" s="19" t="n"/>
      <c r="B1177" s="14" t="n"/>
      <c r="C1177" s="20">
        <f>IF($B1177="","",IFERROR(INDEX(Vinos!$B$2:$B$301,MATCH($B1177,Vinos!$A$2:$A$301,0)),"Código no cargado"))</f>
        <v/>
      </c>
      <c r="D1177" s="14" t="n"/>
      <c r="E1177" s="14" t="n"/>
      <c r="F1177" s="18" t="n"/>
      <c r="G1177" s="18" t="n"/>
      <c r="H1177" s="21">
        <f>IF(AND($F1177="",$G1177=""),"",N($F1177)*IFERROR(N(INDEX(Vinos!$H$2:$H$301,MATCH($B1177,Vinos!$A$2:$A$301,0))),0)+N($G1177))</f>
        <v/>
      </c>
      <c r="I1177" s="18" t="n"/>
      <c r="J1177" s="21">
        <f>IF(OR($H1177="",$I1177=""),"",$H1177-$I1177)</f>
        <v/>
      </c>
      <c r="K1177" s="16">
        <f>IF($H1177="","",IFERROR(IF(INDEX(Vinos!$J$2:$J$301,MATCH($B1177,Vinos!$A$2:$A$301,0))="","",$H1177*INDEX(Vinos!$J$2:$J$301,MATCH($B1177,Vinos!$A$2:$A$301,0))),""))</f>
        <v/>
      </c>
      <c r="L1177" s="16">
        <f>IF($H1177="","",IFERROR(IF(INDEX(Vinos!$K$2:$K$301,MATCH($B1177,Vinos!$A$2:$A$301,0))="","",$H1177*INDEX(Vinos!$K$2:$K$301,MATCH($B1177,Vinos!$A$2:$A$301,0))),""))</f>
        <v/>
      </c>
      <c r="M1177" s="21">
        <f>IF(OR($A1177="",$B1177=""),"",SUMIFS($H$2:$H$2001,$A$2:$A$2001,$A1177,$B$2:$B$2001,$B1177))</f>
        <v/>
      </c>
      <c r="N1177" s="20">
        <f>IF($M1177="","",IF($M1177&lt;=0,"Sin stock: reponer ya",IF($M1177&lt;IFERROR(N(INDEX(Vinos!$N$2:$N$301,MATCH($B1177,Vinos!$A$2:$A$301,0))),0),"Bajo mínimo: reponer","OK")))</f>
        <v/>
      </c>
      <c r="O1177" s="14" t="n"/>
      <c r="P1177" s="14" t="n"/>
      <c r="Q1177" s="20">
        <f>IF($B1177="","",IFERROR(INDEX(Vinos!$C$2:$C$301,MATCH($B1177,Vinos!$A$2:$A$301,0)),""))</f>
        <v/>
      </c>
      <c r="R1177" s="20">
        <f>IF(OR($A1177="",$A1177&lt;&gt;'Resumen del inventario'!$C$3,$N1177="",$N1177="OK"),"",IF(COUNTIFS($A$2:$A1177,$A1177,$B$2:$B1177,$B1177)=1,1,""))</f>
        <v/>
      </c>
      <c r="S1177" s="20">
        <f>IF($R1177=1,COUNTIF($R$2:$R1177,1),"")</f>
        <v/>
      </c>
    </row>
    <row r="1178">
      <c r="A1178" s="19" t="n"/>
      <c r="B1178" s="14" t="n"/>
      <c r="C1178" s="20">
        <f>IF($B1178="","",IFERROR(INDEX(Vinos!$B$2:$B$301,MATCH($B1178,Vinos!$A$2:$A$301,0)),"Código no cargado"))</f>
        <v/>
      </c>
      <c r="D1178" s="14" t="n"/>
      <c r="E1178" s="14" t="n"/>
      <c r="F1178" s="18" t="n"/>
      <c r="G1178" s="18" t="n"/>
      <c r="H1178" s="21">
        <f>IF(AND($F1178="",$G1178=""),"",N($F1178)*IFERROR(N(INDEX(Vinos!$H$2:$H$301,MATCH($B1178,Vinos!$A$2:$A$301,0))),0)+N($G1178))</f>
        <v/>
      </c>
      <c r="I1178" s="18" t="n"/>
      <c r="J1178" s="21">
        <f>IF(OR($H1178="",$I1178=""),"",$H1178-$I1178)</f>
        <v/>
      </c>
      <c r="K1178" s="16">
        <f>IF($H1178="","",IFERROR(IF(INDEX(Vinos!$J$2:$J$301,MATCH($B1178,Vinos!$A$2:$A$301,0))="","",$H1178*INDEX(Vinos!$J$2:$J$301,MATCH($B1178,Vinos!$A$2:$A$301,0))),""))</f>
        <v/>
      </c>
      <c r="L1178" s="16">
        <f>IF($H1178="","",IFERROR(IF(INDEX(Vinos!$K$2:$K$301,MATCH($B1178,Vinos!$A$2:$A$301,0))="","",$H1178*INDEX(Vinos!$K$2:$K$301,MATCH($B1178,Vinos!$A$2:$A$301,0))),""))</f>
        <v/>
      </c>
      <c r="M1178" s="21">
        <f>IF(OR($A1178="",$B1178=""),"",SUMIFS($H$2:$H$2001,$A$2:$A$2001,$A1178,$B$2:$B$2001,$B1178))</f>
        <v/>
      </c>
      <c r="N1178" s="20">
        <f>IF($M1178="","",IF($M1178&lt;=0,"Sin stock: reponer ya",IF($M1178&lt;IFERROR(N(INDEX(Vinos!$N$2:$N$301,MATCH($B1178,Vinos!$A$2:$A$301,0))),0),"Bajo mínimo: reponer","OK")))</f>
        <v/>
      </c>
      <c r="O1178" s="14" t="n"/>
      <c r="P1178" s="14" t="n"/>
      <c r="Q1178" s="20">
        <f>IF($B1178="","",IFERROR(INDEX(Vinos!$C$2:$C$301,MATCH($B1178,Vinos!$A$2:$A$301,0)),""))</f>
        <v/>
      </c>
      <c r="R1178" s="20">
        <f>IF(OR($A1178="",$A1178&lt;&gt;'Resumen del inventario'!$C$3,$N1178="",$N1178="OK"),"",IF(COUNTIFS($A$2:$A1178,$A1178,$B$2:$B1178,$B1178)=1,1,""))</f>
        <v/>
      </c>
      <c r="S1178" s="20">
        <f>IF($R1178=1,COUNTIF($R$2:$R1178,1),"")</f>
        <v/>
      </c>
    </row>
    <row r="1179">
      <c r="A1179" s="19" t="n"/>
      <c r="B1179" s="14" t="n"/>
      <c r="C1179" s="20">
        <f>IF($B1179="","",IFERROR(INDEX(Vinos!$B$2:$B$301,MATCH($B1179,Vinos!$A$2:$A$301,0)),"Código no cargado"))</f>
        <v/>
      </c>
      <c r="D1179" s="14" t="n"/>
      <c r="E1179" s="14" t="n"/>
      <c r="F1179" s="18" t="n"/>
      <c r="G1179" s="18" t="n"/>
      <c r="H1179" s="21">
        <f>IF(AND($F1179="",$G1179=""),"",N($F1179)*IFERROR(N(INDEX(Vinos!$H$2:$H$301,MATCH($B1179,Vinos!$A$2:$A$301,0))),0)+N($G1179))</f>
        <v/>
      </c>
      <c r="I1179" s="18" t="n"/>
      <c r="J1179" s="21">
        <f>IF(OR($H1179="",$I1179=""),"",$H1179-$I1179)</f>
        <v/>
      </c>
      <c r="K1179" s="16">
        <f>IF($H1179="","",IFERROR(IF(INDEX(Vinos!$J$2:$J$301,MATCH($B1179,Vinos!$A$2:$A$301,0))="","",$H1179*INDEX(Vinos!$J$2:$J$301,MATCH($B1179,Vinos!$A$2:$A$301,0))),""))</f>
        <v/>
      </c>
      <c r="L1179" s="16">
        <f>IF($H1179="","",IFERROR(IF(INDEX(Vinos!$K$2:$K$301,MATCH($B1179,Vinos!$A$2:$A$301,0))="","",$H1179*INDEX(Vinos!$K$2:$K$301,MATCH($B1179,Vinos!$A$2:$A$301,0))),""))</f>
        <v/>
      </c>
      <c r="M1179" s="21">
        <f>IF(OR($A1179="",$B1179=""),"",SUMIFS($H$2:$H$2001,$A$2:$A$2001,$A1179,$B$2:$B$2001,$B1179))</f>
        <v/>
      </c>
      <c r="N1179" s="20">
        <f>IF($M1179="","",IF($M1179&lt;=0,"Sin stock: reponer ya",IF($M1179&lt;IFERROR(N(INDEX(Vinos!$N$2:$N$301,MATCH($B1179,Vinos!$A$2:$A$301,0))),0),"Bajo mínimo: reponer","OK")))</f>
        <v/>
      </c>
      <c r="O1179" s="14" t="n"/>
      <c r="P1179" s="14" t="n"/>
      <c r="Q1179" s="20">
        <f>IF($B1179="","",IFERROR(INDEX(Vinos!$C$2:$C$301,MATCH($B1179,Vinos!$A$2:$A$301,0)),""))</f>
        <v/>
      </c>
      <c r="R1179" s="20">
        <f>IF(OR($A1179="",$A1179&lt;&gt;'Resumen del inventario'!$C$3,$N1179="",$N1179="OK"),"",IF(COUNTIFS($A$2:$A1179,$A1179,$B$2:$B1179,$B1179)=1,1,""))</f>
        <v/>
      </c>
      <c r="S1179" s="20">
        <f>IF($R1179=1,COUNTIF($R$2:$R1179,1),"")</f>
        <v/>
      </c>
    </row>
    <row r="1180">
      <c r="A1180" s="19" t="n"/>
      <c r="B1180" s="14" t="n"/>
      <c r="C1180" s="20">
        <f>IF($B1180="","",IFERROR(INDEX(Vinos!$B$2:$B$301,MATCH($B1180,Vinos!$A$2:$A$301,0)),"Código no cargado"))</f>
        <v/>
      </c>
      <c r="D1180" s="14" t="n"/>
      <c r="E1180" s="14" t="n"/>
      <c r="F1180" s="18" t="n"/>
      <c r="G1180" s="18" t="n"/>
      <c r="H1180" s="21">
        <f>IF(AND($F1180="",$G1180=""),"",N($F1180)*IFERROR(N(INDEX(Vinos!$H$2:$H$301,MATCH($B1180,Vinos!$A$2:$A$301,0))),0)+N($G1180))</f>
        <v/>
      </c>
      <c r="I1180" s="18" t="n"/>
      <c r="J1180" s="21">
        <f>IF(OR($H1180="",$I1180=""),"",$H1180-$I1180)</f>
        <v/>
      </c>
      <c r="K1180" s="16">
        <f>IF($H1180="","",IFERROR(IF(INDEX(Vinos!$J$2:$J$301,MATCH($B1180,Vinos!$A$2:$A$301,0))="","",$H1180*INDEX(Vinos!$J$2:$J$301,MATCH($B1180,Vinos!$A$2:$A$301,0))),""))</f>
        <v/>
      </c>
      <c r="L1180" s="16">
        <f>IF($H1180="","",IFERROR(IF(INDEX(Vinos!$K$2:$K$301,MATCH($B1180,Vinos!$A$2:$A$301,0))="","",$H1180*INDEX(Vinos!$K$2:$K$301,MATCH($B1180,Vinos!$A$2:$A$301,0))),""))</f>
        <v/>
      </c>
      <c r="M1180" s="21">
        <f>IF(OR($A1180="",$B1180=""),"",SUMIFS($H$2:$H$2001,$A$2:$A$2001,$A1180,$B$2:$B$2001,$B1180))</f>
        <v/>
      </c>
      <c r="N1180" s="20">
        <f>IF($M1180="","",IF($M1180&lt;=0,"Sin stock: reponer ya",IF($M1180&lt;IFERROR(N(INDEX(Vinos!$N$2:$N$301,MATCH($B1180,Vinos!$A$2:$A$301,0))),0),"Bajo mínimo: reponer","OK")))</f>
        <v/>
      </c>
      <c r="O1180" s="14" t="n"/>
      <c r="P1180" s="14" t="n"/>
      <c r="Q1180" s="20">
        <f>IF($B1180="","",IFERROR(INDEX(Vinos!$C$2:$C$301,MATCH($B1180,Vinos!$A$2:$A$301,0)),""))</f>
        <v/>
      </c>
      <c r="R1180" s="20">
        <f>IF(OR($A1180="",$A1180&lt;&gt;'Resumen del inventario'!$C$3,$N1180="",$N1180="OK"),"",IF(COUNTIFS($A$2:$A1180,$A1180,$B$2:$B1180,$B1180)=1,1,""))</f>
        <v/>
      </c>
      <c r="S1180" s="20">
        <f>IF($R1180=1,COUNTIF($R$2:$R1180,1),"")</f>
        <v/>
      </c>
    </row>
    <row r="1181">
      <c r="A1181" s="19" t="n"/>
      <c r="B1181" s="14" t="n"/>
      <c r="C1181" s="20">
        <f>IF($B1181="","",IFERROR(INDEX(Vinos!$B$2:$B$301,MATCH($B1181,Vinos!$A$2:$A$301,0)),"Código no cargado"))</f>
        <v/>
      </c>
      <c r="D1181" s="14" t="n"/>
      <c r="E1181" s="14" t="n"/>
      <c r="F1181" s="18" t="n"/>
      <c r="G1181" s="18" t="n"/>
      <c r="H1181" s="21">
        <f>IF(AND($F1181="",$G1181=""),"",N($F1181)*IFERROR(N(INDEX(Vinos!$H$2:$H$301,MATCH($B1181,Vinos!$A$2:$A$301,0))),0)+N($G1181))</f>
        <v/>
      </c>
      <c r="I1181" s="18" t="n"/>
      <c r="J1181" s="21">
        <f>IF(OR($H1181="",$I1181=""),"",$H1181-$I1181)</f>
        <v/>
      </c>
      <c r="K1181" s="16">
        <f>IF($H1181="","",IFERROR(IF(INDEX(Vinos!$J$2:$J$301,MATCH($B1181,Vinos!$A$2:$A$301,0))="","",$H1181*INDEX(Vinos!$J$2:$J$301,MATCH($B1181,Vinos!$A$2:$A$301,0))),""))</f>
        <v/>
      </c>
      <c r="L1181" s="16">
        <f>IF($H1181="","",IFERROR(IF(INDEX(Vinos!$K$2:$K$301,MATCH($B1181,Vinos!$A$2:$A$301,0))="","",$H1181*INDEX(Vinos!$K$2:$K$301,MATCH($B1181,Vinos!$A$2:$A$301,0))),""))</f>
        <v/>
      </c>
      <c r="M1181" s="21">
        <f>IF(OR($A1181="",$B1181=""),"",SUMIFS($H$2:$H$2001,$A$2:$A$2001,$A1181,$B$2:$B$2001,$B1181))</f>
        <v/>
      </c>
      <c r="N1181" s="20">
        <f>IF($M1181="","",IF($M1181&lt;=0,"Sin stock: reponer ya",IF($M1181&lt;IFERROR(N(INDEX(Vinos!$N$2:$N$301,MATCH($B1181,Vinos!$A$2:$A$301,0))),0),"Bajo mínimo: reponer","OK")))</f>
        <v/>
      </c>
      <c r="O1181" s="14" t="n"/>
      <c r="P1181" s="14" t="n"/>
      <c r="Q1181" s="20">
        <f>IF($B1181="","",IFERROR(INDEX(Vinos!$C$2:$C$301,MATCH($B1181,Vinos!$A$2:$A$301,0)),""))</f>
        <v/>
      </c>
      <c r="R1181" s="20">
        <f>IF(OR($A1181="",$A1181&lt;&gt;'Resumen del inventario'!$C$3,$N1181="",$N1181="OK"),"",IF(COUNTIFS($A$2:$A1181,$A1181,$B$2:$B1181,$B1181)=1,1,""))</f>
        <v/>
      </c>
      <c r="S1181" s="20">
        <f>IF($R1181=1,COUNTIF($R$2:$R1181,1),"")</f>
        <v/>
      </c>
    </row>
    <row r="1182">
      <c r="A1182" s="19" t="n"/>
      <c r="B1182" s="14" t="n"/>
      <c r="C1182" s="20">
        <f>IF($B1182="","",IFERROR(INDEX(Vinos!$B$2:$B$301,MATCH($B1182,Vinos!$A$2:$A$301,0)),"Código no cargado"))</f>
        <v/>
      </c>
      <c r="D1182" s="14" t="n"/>
      <c r="E1182" s="14" t="n"/>
      <c r="F1182" s="18" t="n"/>
      <c r="G1182" s="18" t="n"/>
      <c r="H1182" s="21">
        <f>IF(AND($F1182="",$G1182=""),"",N($F1182)*IFERROR(N(INDEX(Vinos!$H$2:$H$301,MATCH($B1182,Vinos!$A$2:$A$301,0))),0)+N($G1182))</f>
        <v/>
      </c>
      <c r="I1182" s="18" t="n"/>
      <c r="J1182" s="21">
        <f>IF(OR($H1182="",$I1182=""),"",$H1182-$I1182)</f>
        <v/>
      </c>
      <c r="K1182" s="16">
        <f>IF($H1182="","",IFERROR(IF(INDEX(Vinos!$J$2:$J$301,MATCH($B1182,Vinos!$A$2:$A$301,0))="","",$H1182*INDEX(Vinos!$J$2:$J$301,MATCH($B1182,Vinos!$A$2:$A$301,0))),""))</f>
        <v/>
      </c>
      <c r="L1182" s="16">
        <f>IF($H1182="","",IFERROR(IF(INDEX(Vinos!$K$2:$K$301,MATCH($B1182,Vinos!$A$2:$A$301,0))="","",$H1182*INDEX(Vinos!$K$2:$K$301,MATCH($B1182,Vinos!$A$2:$A$301,0))),""))</f>
        <v/>
      </c>
      <c r="M1182" s="21">
        <f>IF(OR($A1182="",$B1182=""),"",SUMIFS($H$2:$H$2001,$A$2:$A$2001,$A1182,$B$2:$B$2001,$B1182))</f>
        <v/>
      </c>
      <c r="N1182" s="20">
        <f>IF($M1182="","",IF($M1182&lt;=0,"Sin stock: reponer ya",IF($M1182&lt;IFERROR(N(INDEX(Vinos!$N$2:$N$301,MATCH($B1182,Vinos!$A$2:$A$301,0))),0),"Bajo mínimo: reponer","OK")))</f>
        <v/>
      </c>
      <c r="O1182" s="14" t="n"/>
      <c r="P1182" s="14" t="n"/>
      <c r="Q1182" s="20">
        <f>IF($B1182="","",IFERROR(INDEX(Vinos!$C$2:$C$301,MATCH($B1182,Vinos!$A$2:$A$301,0)),""))</f>
        <v/>
      </c>
      <c r="R1182" s="20">
        <f>IF(OR($A1182="",$A1182&lt;&gt;'Resumen del inventario'!$C$3,$N1182="",$N1182="OK"),"",IF(COUNTIFS($A$2:$A1182,$A1182,$B$2:$B1182,$B1182)=1,1,""))</f>
        <v/>
      </c>
      <c r="S1182" s="20">
        <f>IF($R1182=1,COUNTIF($R$2:$R1182,1),"")</f>
        <v/>
      </c>
    </row>
    <row r="1183">
      <c r="A1183" s="19" t="n"/>
      <c r="B1183" s="14" t="n"/>
      <c r="C1183" s="20">
        <f>IF($B1183="","",IFERROR(INDEX(Vinos!$B$2:$B$301,MATCH($B1183,Vinos!$A$2:$A$301,0)),"Código no cargado"))</f>
        <v/>
      </c>
      <c r="D1183" s="14" t="n"/>
      <c r="E1183" s="14" t="n"/>
      <c r="F1183" s="18" t="n"/>
      <c r="G1183" s="18" t="n"/>
      <c r="H1183" s="21">
        <f>IF(AND($F1183="",$G1183=""),"",N($F1183)*IFERROR(N(INDEX(Vinos!$H$2:$H$301,MATCH($B1183,Vinos!$A$2:$A$301,0))),0)+N($G1183))</f>
        <v/>
      </c>
      <c r="I1183" s="18" t="n"/>
      <c r="J1183" s="21">
        <f>IF(OR($H1183="",$I1183=""),"",$H1183-$I1183)</f>
        <v/>
      </c>
      <c r="K1183" s="16">
        <f>IF($H1183="","",IFERROR(IF(INDEX(Vinos!$J$2:$J$301,MATCH($B1183,Vinos!$A$2:$A$301,0))="","",$H1183*INDEX(Vinos!$J$2:$J$301,MATCH($B1183,Vinos!$A$2:$A$301,0))),""))</f>
        <v/>
      </c>
      <c r="L1183" s="16">
        <f>IF($H1183="","",IFERROR(IF(INDEX(Vinos!$K$2:$K$301,MATCH($B1183,Vinos!$A$2:$A$301,0))="","",$H1183*INDEX(Vinos!$K$2:$K$301,MATCH($B1183,Vinos!$A$2:$A$301,0))),""))</f>
        <v/>
      </c>
      <c r="M1183" s="21">
        <f>IF(OR($A1183="",$B1183=""),"",SUMIFS($H$2:$H$2001,$A$2:$A$2001,$A1183,$B$2:$B$2001,$B1183))</f>
        <v/>
      </c>
      <c r="N1183" s="20">
        <f>IF($M1183="","",IF($M1183&lt;=0,"Sin stock: reponer ya",IF($M1183&lt;IFERROR(N(INDEX(Vinos!$N$2:$N$301,MATCH($B1183,Vinos!$A$2:$A$301,0))),0),"Bajo mínimo: reponer","OK")))</f>
        <v/>
      </c>
      <c r="O1183" s="14" t="n"/>
      <c r="P1183" s="14" t="n"/>
      <c r="Q1183" s="20">
        <f>IF($B1183="","",IFERROR(INDEX(Vinos!$C$2:$C$301,MATCH($B1183,Vinos!$A$2:$A$301,0)),""))</f>
        <v/>
      </c>
      <c r="R1183" s="20">
        <f>IF(OR($A1183="",$A1183&lt;&gt;'Resumen del inventario'!$C$3,$N1183="",$N1183="OK"),"",IF(COUNTIFS($A$2:$A1183,$A1183,$B$2:$B1183,$B1183)=1,1,""))</f>
        <v/>
      </c>
      <c r="S1183" s="20">
        <f>IF($R1183=1,COUNTIF($R$2:$R1183,1),"")</f>
        <v/>
      </c>
    </row>
    <row r="1184">
      <c r="A1184" s="19" t="n"/>
      <c r="B1184" s="14" t="n"/>
      <c r="C1184" s="20">
        <f>IF($B1184="","",IFERROR(INDEX(Vinos!$B$2:$B$301,MATCH($B1184,Vinos!$A$2:$A$301,0)),"Código no cargado"))</f>
        <v/>
      </c>
      <c r="D1184" s="14" t="n"/>
      <c r="E1184" s="14" t="n"/>
      <c r="F1184" s="18" t="n"/>
      <c r="G1184" s="18" t="n"/>
      <c r="H1184" s="21">
        <f>IF(AND($F1184="",$G1184=""),"",N($F1184)*IFERROR(N(INDEX(Vinos!$H$2:$H$301,MATCH($B1184,Vinos!$A$2:$A$301,0))),0)+N($G1184))</f>
        <v/>
      </c>
      <c r="I1184" s="18" t="n"/>
      <c r="J1184" s="21">
        <f>IF(OR($H1184="",$I1184=""),"",$H1184-$I1184)</f>
        <v/>
      </c>
      <c r="K1184" s="16">
        <f>IF($H1184="","",IFERROR(IF(INDEX(Vinos!$J$2:$J$301,MATCH($B1184,Vinos!$A$2:$A$301,0))="","",$H1184*INDEX(Vinos!$J$2:$J$301,MATCH($B1184,Vinos!$A$2:$A$301,0))),""))</f>
        <v/>
      </c>
      <c r="L1184" s="16">
        <f>IF($H1184="","",IFERROR(IF(INDEX(Vinos!$K$2:$K$301,MATCH($B1184,Vinos!$A$2:$A$301,0))="","",$H1184*INDEX(Vinos!$K$2:$K$301,MATCH($B1184,Vinos!$A$2:$A$301,0))),""))</f>
        <v/>
      </c>
      <c r="M1184" s="21">
        <f>IF(OR($A1184="",$B1184=""),"",SUMIFS($H$2:$H$2001,$A$2:$A$2001,$A1184,$B$2:$B$2001,$B1184))</f>
        <v/>
      </c>
      <c r="N1184" s="20">
        <f>IF($M1184="","",IF($M1184&lt;=0,"Sin stock: reponer ya",IF($M1184&lt;IFERROR(N(INDEX(Vinos!$N$2:$N$301,MATCH($B1184,Vinos!$A$2:$A$301,0))),0),"Bajo mínimo: reponer","OK")))</f>
        <v/>
      </c>
      <c r="O1184" s="14" t="n"/>
      <c r="P1184" s="14" t="n"/>
      <c r="Q1184" s="20">
        <f>IF($B1184="","",IFERROR(INDEX(Vinos!$C$2:$C$301,MATCH($B1184,Vinos!$A$2:$A$301,0)),""))</f>
        <v/>
      </c>
      <c r="R1184" s="20">
        <f>IF(OR($A1184="",$A1184&lt;&gt;'Resumen del inventario'!$C$3,$N1184="",$N1184="OK"),"",IF(COUNTIFS($A$2:$A1184,$A1184,$B$2:$B1184,$B1184)=1,1,""))</f>
        <v/>
      </c>
      <c r="S1184" s="20">
        <f>IF($R1184=1,COUNTIF($R$2:$R1184,1),"")</f>
        <v/>
      </c>
    </row>
    <row r="1185">
      <c r="A1185" s="19" t="n"/>
      <c r="B1185" s="14" t="n"/>
      <c r="C1185" s="20">
        <f>IF($B1185="","",IFERROR(INDEX(Vinos!$B$2:$B$301,MATCH($B1185,Vinos!$A$2:$A$301,0)),"Código no cargado"))</f>
        <v/>
      </c>
      <c r="D1185" s="14" t="n"/>
      <c r="E1185" s="14" t="n"/>
      <c r="F1185" s="18" t="n"/>
      <c r="G1185" s="18" t="n"/>
      <c r="H1185" s="21">
        <f>IF(AND($F1185="",$G1185=""),"",N($F1185)*IFERROR(N(INDEX(Vinos!$H$2:$H$301,MATCH($B1185,Vinos!$A$2:$A$301,0))),0)+N($G1185))</f>
        <v/>
      </c>
      <c r="I1185" s="18" t="n"/>
      <c r="J1185" s="21">
        <f>IF(OR($H1185="",$I1185=""),"",$H1185-$I1185)</f>
        <v/>
      </c>
      <c r="K1185" s="16">
        <f>IF($H1185="","",IFERROR(IF(INDEX(Vinos!$J$2:$J$301,MATCH($B1185,Vinos!$A$2:$A$301,0))="","",$H1185*INDEX(Vinos!$J$2:$J$301,MATCH($B1185,Vinos!$A$2:$A$301,0))),""))</f>
        <v/>
      </c>
      <c r="L1185" s="16">
        <f>IF($H1185="","",IFERROR(IF(INDEX(Vinos!$K$2:$K$301,MATCH($B1185,Vinos!$A$2:$A$301,0))="","",$H1185*INDEX(Vinos!$K$2:$K$301,MATCH($B1185,Vinos!$A$2:$A$301,0))),""))</f>
        <v/>
      </c>
      <c r="M1185" s="21">
        <f>IF(OR($A1185="",$B1185=""),"",SUMIFS($H$2:$H$2001,$A$2:$A$2001,$A1185,$B$2:$B$2001,$B1185))</f>
        <v/>
      </c>
      <c r="N1185" s="20">
        <f>IF($M1185="","",IF($M1185&lt;=0,"Sin stock: reponer ya",IF($M1185&lt;IFERROR(N(INDEX(Vinos!$N$2:$N$301,MATCH($B1185,Vinos!$A$2:$A$301,0))),0),"Bajo mínimo: reponer","OK")))</f>
        <v/>
      </c>
      <c r="O1185" s="14" t="n"/>
      <c r="P1185" s="14" t="n"/>
      <c r="Q1185" s="20">
        <f>IF($B1185="","",IFERROR(INDEX(Vinos!$C$2:$C$301,MATCH($B1185,Vinos!$A$2:$A$301,0)),""))</f>
        <v/>
      </c>
      <c r="R1185" s="20">
        <f>IF(OR($A1185="",$A1185&lt;&gt;'Resumen del inventario'!$C$3,$N1185="",$N1185="OK"),"",IF(COUNTIFS($A$2:$A1185,$A1185,$B$2:$B1185,$B1185)=1,1,""))</f>
        <v/>
      </c>
      <c r="S1185" s="20">
        <f>IF($R1185=1,COUNTIF($R$2:$R1185,1),"")</f>
        <v/>
      </c>
    </row>
    <row r="1186">
      <c r="A1186" s="19" t="n"/>
      <c r="B1186" s="14" t="n"/>
      <c r="C1186" s="20">
        <f>IF($B1186="","",IFERROR(INDEX(Vinos!$B$2:$B$301,MATCH($B1186,Vinos!$A$2:$A$301,0)),"Código no cargado"))</f>
        <v/>
      </c>
      <c r="D1186" s="14" t="n"/>
      <c r="E1186" s="14" t="n"/>
      <c r="F1186" s="18" t="n"/>
      <c r="G1186" s="18" t="n"/>
      <c r="H1186" s="21">
        <f>IF(AND($F1186="",$G1186=""),"",N($F1186)*IFERROR(N(INDEX(Vinos!$H$2:$H$301,MATCH($B1186,Vinos!$A$2:$A$301,0))),0)+N($G1186))</f>
        <v/>
      </c>
      <c r="I1186" s="18" t="n"/>
      <c r="J1186" s="21">
        <f>IF(OR($H1186="",$I1186=""),"",$H1186-$I1186)</f>
        <v/>
      </c>
      <c r="K1186" s="16">
        <f>IF($H1186="","",IFERROR(IF(INDEX(Vinos!$J$2:$J$301,MATCH($B1186,Vinos!$A$2:$A$301,0))="","",$H1186*INDEX(Vinos!$J$2:$J$301,MATCH($B1186,Vinos!$A$2:$A$301,0))),""))</f>
        <v/>
      </c>
      <c r="L1186" s="16">
        <f>IF($H1186="","",IFERROR(IF(INDEX(Vinos!$K$2:$K$301,MATCH($B1186,Vinos!$A$2:$A$301,0))="","",$H1186*INDEX(Vinos!$K$2:$K$301,MATCH($B1186,Vinos!$A$2:$A$301,0))),""))</f>
        <v/>
      </c>
      <c r="M1186" s="21">
        <f>IF(OR($A1186="",$B1186=""),"",SUMIFS($H$2:$H$2001,$A$2:$A$2001,$A1186,$B$2:$B$2001,$B1186))</f>
        <v/>
      </c>
      <c r="N1186" s="20">
        <f>IF($M1186="","",IF($M1186&lt;=0,"Sin stock: reponer ya",IF($M1186&lt;IFERROR(N(INDEX(Vinos!$N$2:$N$301,MATCH($B1186,Vinos!$A$2:$A$301,0))),0),"Bajo mínimo: reponer","OK")))</f>
        <v/>
      </c>
      <c r="O1186" s="14" t="n"/>
      <c r="P1186" s="14" t="n"/>
      <c r="Q1186" s="20">
        <f>IF($B1186="","",IFERROR(INDEX(Vinos!$C$2:$C$301,MATCH($B1186,Vinos!$A$2:$A$301,0)),""))</f>
        <v/>
      </c>
      <c r="R1186" s="20">
        <f>IF(OR($A1186="",$A1186&lt;&gt;'Resumen del inventario'!$C$3,$N1186="",$N1186="OK"),"",IF(COUNTIFS($A$2:$A1186,$A1186,$B$2:$B1186,$B1186)=1,1,""))</f>
        <v/>
      </c>
      <c r="S1186" s="20">
        <f>IF($R1186=1,COUNTIF($R$2:$R1186,1),"")</f>
        <v/>
      </c>
    </row>
    <row r="1187">
      <c r="A1187" s="19" t="n"/>
      <c r="B1187" s="14" t="n"/>
      <c r="C1187" s="20">
        <f>IF($B1187="","",IFERROR(INDEX(Vinos!$B$2:$B$301,MATCH($B1187,Vinos!$A$2:$A$301,0)),"Código no cargado"))</f>
        <v/>
      </c>
      <c r="D1187" s="14" t="n"/>
      <c r="E1187" s="14" t="n"/>
      <c r="F1187" s="18" t="n"/>
      <c r="G1187" s="18" t="n"/>
      <c r="H1187" s="21">
        <f>IF(AND($F1187="",$G1187=""),"",N($F1187)*IFERROR(N(INDEX(Vinos!$H$2:$H$301,MATCH($B1187,Vinos!$A$2:$A$301,0))),0)+N($G1187))</f>
        <v/>
      </c>
      <c r="I1187" s="18" t="n"/>
      <c r="J1187" s="21">
        <f>IF(OR($H1187="",$I1187=""),"",$H1187-$I1187)</f>
        <v/>
      </c>
      <c r="K1187" s="16">
        <f>IF($H1187="","",IFERROR(IF(INDEX(Vinos!$J$2:$J$301,MATCH($B1187,Vinos!$A$2:$A$301,0))="","",$H1187*INDEX(Vinos!$J$2:$J$301,MATCH($B1187,Vinos!$A$2:$A$301,0))),""))</f>
        <v/>
      </c>
      <c r="L1187" s="16">
        <f>IF($H1187="","",IFERROR(IF(INDEX(Vinos!$K$2:$K$301,MATCH($B1187,Vinos!$A$2:$A$301,0))="","",$H1187*INDEX(Vinos!$K$2:$K$301,MATCH($B1187,Vinos!$A$2:$A$301,0))),""))</f>
        <v/>
      </c>
      <c r="M1187" s="21">
        <f>IF(OR($A1187="",$B1187=""),"",SUMIFS($H$2:$H$2001,$A$2:$A$2001,$A1187,$B$2:$B$2001,$B1187))</f>
        <v/>
      </c>
      <c r="N1187" s="20">
        <f>IF($M1187="","",IF($M1187&lt;=0,"Sin stock: reponer ya",IF($M1187&lt;IFERROR(N(INDEX(Vinos!$N$2:$N$301,MATCH($B1187,Vinos!$A$2:$A$301,0))),0),"Bajo mínimo: reponer","OK")))</f>
        <v/>
      </c>
      <c r="O1187" s="14" t="n"/>
      <c r="P1187" s="14" t="n"/>
      <c r="Q1187" s="20">
        <f>IF($B1187="","",IFERROR(INDEX(Vinos!$C$2:$C$301,MATCH($B1187,Vinos!$A$2:$A$301,0)),""))</f>
        <v/>
      </c>
      <c r="R1187" s="20">
        <f>IF(OR($A1187="",$A1187&lt;&gt;'Resumen del inventario'!$C$3,$N1187="",$N1187="OK"),"",IF(COUNTIFS($A$2:$A1187,$A1187,$B$2:$B1187,$B1187)=1,1,""))</f>
        <v/>
      </c>
      <c r="S1187" s="20">
        <f>IF($R1187=1,COUNTIF($R$2:$R1187,1),"")</f>
        <v/>
      </c>
    </row>
    <row r="1188">
      <c r="A1188" s="19" t="n"/>
      <c r="B1188" s="14" t="n"/>
      <c r="C1188" s="20">
        <f>IF($B1188="","",IFERROR(INDEX(Vinos!$B$2:$B$301,MATCH($B1188,Vinos!$A$2:$A$301,0)),"Código no cargado"))</f>
        <v/>
      </c>
      <c r="D1188" s="14" t="n"/>
      <c r="E1188" s="14" t="n"/>
      <c r="F1188" s="18" t="n"/>
      <c r="G1188" s="18" t="n"/>
      <c r="H1188" s="21">
        <f>IF(AND($F1188="",$G1188=""),"",N($F1188)*IFERROR(N(INDEX(Vinos!$H$2:$H$301,MATCH($B1188,Vinos!$A$2:$A$301,0))),0)+N($G1188))</f>
        <v/>
      </c>
      <c r="I1188" s="18" t="n"/>
      <c r="J1188" s="21">
        <f>IF(OR($H1188="",$I1188=""),"",$H1188-$I1188)</f>
        <v/>
      </c>
      <c r="K1188" s="16">
        <f>IF($H1188="","",IFERROR(IF(INDEX(Vinos!$J$2:$J$301,MATCH($B1188,Vinos!$A$2:$A$301,0))="","",$H1188*INDEX(Vinos!$J$2:$J$301,MATCH($B1188,Vinos!$A$2:$A$301,0))),""))</f>
        <v/>
      </c>
      <c r="L1188" s="16">
        <f>IF($H1188="","",IFERROR(IF(INDEX(Vinos!$K$2:$K$301,MATCH($B1188,Vinos!$A$2:$A$301,0))="","",$H1188*INDEX(Vinos!$K$2:$K$301,MATCH($B1188,Vinos!$A$2:$A$301,0))),""))</f>
        <v/>
      </c>
      <c r="M1188" s="21">
        <f>IF(OR($A1188="",$B1188=""),"",SUMIFS($H$2:$H$2001,$A$2:$A$2001,$A1188,$B$2:$B$2001,$B1188))</f>
        <v/>
      </c>
      <c r="N1188" s="20">
        <f>IF($M1188="","",IF($M1188&lt;=0,"Sin stock: reponer ya",IF($M1188&lt;IFERROR(N(INDEX(Vinos!$N$2:$N$301,MATCH($B1188,Vinos!$A$2:$A$301,0))),0),"Bajo mínimo: reponer","OK")))</f>
        <v/>
      </c>
      <c r="O1188" s="14" t="n"/>
      <c r="P1188" s="14" t="n"/>
      <c r="Q1188" s="20">
        <f>IF($B1188="","",IFERROR(INDEX(Vinos!$C$2:$C$301,MATCH($B1188,Vinos!$A$2:$A$301,0)),""))</f>
        <v/>
      </c>
      <c r="R1188" s="20">
        <f>IF(OR($A1188="",$A1188&lt;&gt;'Resumen del inventario'!$C$3,$N1188="",$N1188="OK"),"",IF(COUNTIFS($A$2:$A1188,$A1188,$B$2:$B1188,$B1188)=1,1,""))</f>
        <v/>
      </c>
      <c r="S1188" s="20">
        <f>IF($R1188=1,COUNTIF($R$2:$R1188,1),"")</f>
        <v/>
      </c>
    </row>
    <row r="1189">
      <c r="A1189" s="19" t="n"/>
      <c r="B1189" s="14" t="n"/>
      <c r="C1189" s="20">
        <f>IF($B1189="","",IFERROR(INDEX(Vinos!$B$2:$B$301,MATCH($B1189,Vinos!$A$2:$A$301,0)),"Código no cargado"))</f>
        <v/>
      </c>
      <c r="D1189" s="14" t="n"/>
      <c r="E1189" s="14" t="n"/>
      <c r="F1189" s="18" t="n"/>
      <c r="G1189" s="18" t="n"/>
      <c r="H1189" s="21">
        <f>IF(AND($F1189="",$G1189=""),"",N($F1189)*IFERROR(N(INDEX(Vinos!$H$2:$H$301,MATCH($B1189,Vinos!$A$2:$A$301,0))),0)+N($G1189))</f>
        <v/>
      </c>
      <c r="I1189" s="18" t="n"/>
      <c r="J1189" s="21">
        <f>IF(OR($H1189="",$I1189=""),"",$H1189-$I1189)</f>
        <v/>
      </c>
      <c r="K1189" s="16">
        <f>IF($H1189="","",IFERROR(IF(INDEX(Vinos!$J$2:$J$301,MATCH($B1189,Vinos!$A$2:$A$301,0))="","",$H1189*INDEX(Vinos!$J$2:$J$301,MATCH($B1189,Vinos!$A$2:$A$301,0))),""))</f>
        <v/>
      </c>
      <c r="L1189" s="16">
        <f>IF($H1189="","",IFERROR(IF(INDEX(Vinos!$K$2:$K$301,MATCH($B1189,Vinos!$A$2:$A$301,0))="","",$H1189*INDEX(Vinos!$K$2:$K$301,MATCH($B1189,Vinos!$A$2:$A$301,0))),""))</f>
        <v/>
      </c>
      <c r="M1189" s="21">
        <f>IF(OR($A1189="",$B1189=""),"",SUMIFS($H$2:$H$2001,$A$2:$A$2001,$A1189,$B$2:$B$2001,$B1189))</f>
        <v/>
      </c>
      <c r="N1189" s="20">
        <f>IF($M1189="","",IF($M1189&lt;=0,"Sin stock: reponer ya",IF($M1189&lt;IFERROR(N(INDEX(Vinos!$N$2:$N$301,MATCH($B1189,Vinos!$A$2:$A$301,0))),0),"Bajo mínimo: reponer","OK")))</f>
        <v/>
      </c>
      <c r="O1189" s="14" t="n"/>
      <c r="P1189" s="14" t="n"/>
      <c r="Q1189" s="20">
        <f>IF($B1189="","",IFERROR(INDEX(Vinos!$C$2:$C$301,MATCH($B1189,Vinos!$A$2:$A$301,0)),""))</f>
        <v/>
      </c>
      <c r="R1189" s="20">
        <f>IF(OR($A1189="",$A1189&lt;&gt;'Resumen del inventario'!$C$3,$N1189="",$N1189="OK"),"",IF(COUNTIFS($A$2:$A1189,$A1189,$B$2:$B1189,$B1189)=1,1,""))</f>
        <v/>
      </c>
      <c r="S1189" s="20">
        <f>IF($R1189=1,COUNTIF($R$2:$R1189,1),"")</f>
        <v/>
      </c>
    </row>
    <row r="1190">
      <c r="A1190" s="19" t="n"/>
      <c r="B1190" s="14" t="n"/>
      <c r="C1190" s="20">
        <f>IF($B1190="","",IFERROR(INDEX(Vinos!$B$2:$B$301,MATCH($B1190,Vinos!$A$2:$A$301,0)),"Código no cargado"))</f>
        <v/>
      </c>
      <c r="D1190" s="14" t="n"/>
      <c r="E1190" s="14" t="n"/>
      <c r="F1190" s="18" t="n"/>
      <c r="G1190" s="18" t="n"/>
      <c r="H1190" s="21">
        <f>IF(AND($F1190="",$G1190=""),"",N($F1190)*IFERROR(N(INDEX(Vinos!$H$2:$H$301,MATCH($B1190,Vinos!$A$2:$A$301,0))),0)+N($G1190))</f>
        <v/>
      </c>
      <c r="I1190" s="18" t="n"/>
      <c r="J1190" s="21">
        <f>IF(OR($H1190="",$I1190=""),"",$H1190-$I1190)</f>
        <v/>
      </c>
      <c r="K1190" s="16">
        <f>IF($H1190="","",IFERROR(IF(INDEX(Vinos!$J$2:$J$301,MATCH($B1190,Vinos!$A$2:$A$301,0))="","",$H1190*INDEX(Vinos!$J$2:$J$301,MATCH($B1190,Vinos!$A$2:$A$301,0))),""))</f>
        <v/>
      </c>
      <c r="L1190" s="16">
        <f>IF($H1190="","",IFERROR(IF(INDEX(Vinos!$K$2:$K$301,MATCH($B1190,Vinos!$A$2:$A$301,0))="","",$H1190*INDEX(Vinos!$K$2:$K$301,MATCH($B1190,Vinos!$A$2:$A$301,0))),""))</f>
        <v/>
      </c>
      <c r="M1190" s="21">
        <f>IF(OR($A1190="",$B1190=""),"",SUMIFS($H$2:$H$2001,$A$2:$A$2001,$A1190,$B$2:$B$2001,$B1190))</f>
        <v/>
      </c>
      <c r="N1190" s="20">
        <f>IF($M1190="","",IF($M1190&lt;=0,"Sin stock: reponer ya",IF($M1190&lt;IFERROR(N(INDEX(Vinos!$N$2:$N$301,MATCH($B1190,Vinos!$A$2:$A$301,0))),0),"Bajo mínimo: reponer","OK")))</f>
        <v/>
      </c>
      <c r="O1190" s="14" t="n"/>
      <c r="P1190" s="14" t="n"/>
      <c r="Q1190" s="20">
        <f>IF($B1190="","",IFERROR(INDEX(Vinos!$C$2:$C$301,MATCH($B1190,Vinos!$A$2:$A$301,0)),""))</f>
        <v/>
      </c>
      <c r="R1190" s="20">
        <f>IF(OR($A1190="",$A1190&lt;&gt;'Resumen del inventario'!$C$3,$N1190="",$N1190="OK"),"",IF(COUNTIFS($A$2:$A1190,$A1190,$B$2:$B1190,$B1190)=1,1,""))</f>
        <v/>
      </c>
      <c r="S1190" s="20">
        <f>IF($R1190=1,COUNTIF($R$2:$R1190,1),"")</f>
        <v/>
      </c>
    </row>
    <row r="1191">
      <c r="A1191" s="19" t="n"/>
      <c r="B1191" s="14" t="n"/>
      <c r="C1191" s="20">
        <f>IF($B1191="","",IFERROR(INDEX(Vinos!$B$2:$B$301,MATCH($B1191,Vinos!$A$2:$A$301,0)),"Código no cargado"))</f>
        <v/>
      </c>
      <c r="D1191" s="14" t="n"/>
      <c r="E1191" s="14" t="n"/>
      <c r="F1191" s="18" t="n"/>
      <c r="G1191" s="18" t="n"/>
      <c r="H1191" s="21">
        <f>IF(AND($F1191="",$G1191=""),"",N($F1191)*IFERROR(N(INDEX(Vinos!$H$2:$H$301,MATCH($B1191,Vinos!$A$2:$A$301,0))),0)+N($G1191))</f>
        <v/>
      </c>
      <c r="I1191" s="18" t="n"/>
      <c r="J1191" s="21">
        <f>IF(OR($H1191="",$I1191=""),"",$H1191-$I1191)</f>
        <v/>
      </c>
      <c r="K1191" s="16">
        <f>IF($H1191="","",IFERROR(IF(INDEX(Vinos!$J$2:$J$301,MATCH($B1191,Vinos!$A$2:$A$301,0))="","",$H1191*INDEX(Vinos!$J$2:$J$301,MATCH($B1191,Vinos!$A$2:$A$301,0))),""))</f>
        <v/>
      </c>
      <c r="L1191" s="16">
        <f>IF($H1191="","",IFERROR(IF(INDEX(Vinos!$K$2:$K$301,MATCH($B1191,Vinos!$A$2:$A$301,0))="","",$H1191*INDEX(Vinos!$K$2:$K$301,MATCH($B1191,Vinos!$A$2:$A$301,0))),""))</f>
        <v/>
      </c>
      <c r="M1191" s="21">
        <f>IF(OR($A1191="",$B1191=""),"",SUMIFS($H$2:$H$2001,$A$2:$A$2001,$A1191,$B$2:$B$2001,$B1191))</f>
        <v/>
      </c>
      <c r="N1191" s="20">
        <f>IF($M1191="","",IF($M1191&lt;=0,"Sin stock: reponer ya",IF($M1191&lt;IFERROR(N(INDEX(Vinos!$N$2:$N$301,MATCH($B1191,Vinos!$A$2:$A$301,0))),0),"Bajo mínimo: reponer","OK")))</f>
        <v/>
      </c>
      <c r="O1191" s="14" t="n"/>
      <c r="P1191" s="14" t="n"/>
      <c r="Q1191" s="20">
        <f>IF($B1191="","",IFERROR(INDEX(Vinos!$C$2:$C$301,MATCH($B1191,Vinos!$A$2:$A$301,0)),""))</f>
        <v/>
      </c>
      <c r="R1191" s="20">
        <f>IF(OR($A1191="",$A1191&lt;&gt;'Resumen del inventario'!$C$3,$N1191="",$N1191="OK"),"",IF(COUNTIFS($A$2:$A1191,$A1191,$B$2:$B1191,$B1191)=1,1,""))</f>
        <v/>
      </c>
      <c r="S1191" s="20">
        <f>IF($R1191=1,COUNTIF($R$2:$R1191,1),"")</f>
        <v/>
      </c>
    </row>
    <row r="1192">
      <c r="A1192" s="19" t="n"/>
      <c r="B1192" s="14" t="n"/>
      <c r="C1192" s="20">
        <f>IF($B1192="","",IFERROR(INDEX(Vinos!$B$2:$B$301,MATCH($B1192,Vinos!$A$2:$A$301,0)),"Código no cargado"))</f>
        <v/>
      </c>
      <c r="D1192" s="14" t="n"/>
      <c r="E1192" s="14" t="n"/>
      <c r="F1192" s="18" t="n"/>
      <c r="G1192" s="18" t="n"/>
      <c r="H1192" s="21">
        <f>IF(AND($F1192="",$G1192=""),"",N($F1192)*IFERROR(N(INDEX(Vinos!$H$2:$H$301,MATCH($B1192,Vinos!$A$2:$A$301,0))),0)+N($G1192))</f>
        <v/>
      </c>
      <c r="I1192" s="18" t="n"/>
      <c r="J1192" s="21">
        <f>IF(OR($H1192="",$I1192=""),"",$H1192-$I1192)</f>
        <v/>
      </c>
      <c r="K1192" s="16">
        <f>IF($H1192="","",IFERROR(IF(INDEX(Vinos!$J$2:$J$301,MATCH($B1192,Vinos!$A$2:$A$301,0))="","",$H1192*INDEX(Vinos!$J$2:$J$301,MATCH($B1192,Vinos!$A$2:$A$301,0))),""))</f>
        <v/>
      </c>
      <c r="L1192" s="16">
        <f>IF($H1192="","",IFERROR(IF(INDEX(Vinos!$K$2:$K$301,MATCH($B1192,Vinos!$A$2:$A$301,0))="","",$H1192*INDEX(Vinos!$K$2:$K$301,MATCH($B1192,Vinos!$A$2:$A$301,0))),""))</f>
        <v/>
      </c>
      <c r="M1192" s="21">
        <f>IF(OR($A1192="",$B1192=""),"",SUMIFS($H$2:$H$2001,$A$2:$A$2001,$A1192,$B$2:$B$2001,$B1192))</f>
        <v/>
      </c>
      <c r="N1192" s="20">
        <f>IF($M1192="","",IF($M1192&lt;=0,"Sin stock: reponer ya",IF($M1192&lt;IFERROR(N(INDEX(Vinos!$N$2:$N$301,MATCH($B1192,Vinos!$A$2:$A$301,0))),0),"Bajo mínimo: reponer","OK")))</f>
        <v/>
      </c>
      <c r="O1192" s="14" t="n"/>
      <c r="P1192" s="14" t="n"/>
      <c r="Q1192" s="20">
        <f>IF($B1192="","",IFERROR(INDEX(Vinos!$C$2:$C$301,MATCH($B1192,Vinos!$A$2:$A$301,0)),""))</f>
        <v/>
      </c>
      <c r="R1192" s="20">
        <f>IF(OR($A1192="",$A1192&lt;&gt;'Resumen del inventario'!$C$3,$N1192="",$N1192="OK"),"",IF(COUNTIFS($A$2:$A1192,$A1192,$B$2:$B1192,$B1192)=1,1,""))</f>
        <v/>
      </c>
      <c r="S1192" s="20">
        <f>IF($R1192=1,COUNTIF($R$2:$R1192,1),"")</f>
        <v/>
      </c>
    </row>
    <row r="1193">
      <c r="A1193" s="19" t="n"/>
      <c r="B1193" s="14" t="n"/>
      <c r="C1193" s="20">
        <f>IF($B1193="","",IFERROR(INDEX(Vinos!$B$2:$B$301,MATCH($B1193,Vinos!$A$2:$A$301,0)),"Código no cargado"))</f>
        <v/>
      </c>
      <c r="D1193" s="14" t="n"/>
      <c r="E1193" s="14" t="n"/>
      <c r="F1193" s="18" t="n"/>
      <c r="G1193" s="18" t="n"/>
      <c r="H1193" s="21">
        <f>IF(AND($F1193="",$G1193=""),"",N($F1193)*IFERROR(N(INDEX(Vinos!$H$2:$H$301,MATCH($B1193,Vinos!$A$2:$A$301,0))),0)+N($G1193))</f>
        <v/>
      </c>
      <c r="I1193" s="18" t="n"/>
      <c r="J1193" s="21">
        <f>IF(OR($H1193="",$I1193=""),"",$H1193-$I1193)</f>
        <v/>
      </c>
      <c r="K1193" s="16">
        <f>IF($H1193="","",IFERROR(IF(INDEX(Vinos!$J$2:$J$301,MATCH($B1193,Vinos!$A$2:$A$301,0))="","",$H1193*INDEX(Vinos!$J$2:$J$301,MATCH($B1193,Vinos!$A$2:$A$301,0))),""))</f>
        <v/>
      </c>
      <c r="L1193" s="16">
        <f>IF($H1193="","",IFERROR(IF(INDEX(Vinos!$K$2:$K$301,MATCH($B1193,Vinos!$A$2:$A$301,0))="","",$H1193*INDEX(Vinos!$K$2:$K$301,MATCH($B1193,Vinos!$A$2:$A$301,0))),""))</f>
        <v/>
      </c>
      <c r="M1193" s="21">
        <f>IF(OR($A1193="",$B1193=""),"",SUMIFS($H$2:$H$2001,$A$2:$A$2001,$A1193,$B$2:$B$2001,$B1193))</f>
        <v/>
      </c>
      <c r="N1193" s="20">
        <f>IF($M1193="","",IF($M1193&lt;=0,"Sin stock: reponer ya",IF($M1193&lt;IFERROR(N(INDEX(Vinos!$N$2:$N$301,MATCH($B1193,Vinos!$A$2:$A$301,0))),0),"Bajo mínimo: reponer","OK")))</f>
        <v/>
      </c>
      <c r="O1193" s="14" t="n"/>
      <c r="P1193" s="14" t="n"/>
      <c r="Q1193" s="20">
        <f>IF($B1193="","",IFERROR(INDEX(Vinos!$C$2:$C$301,MATCH($B1193,Vinos!$A$2:$A$301,0)),""))</f>
        <v/>
      </c>
      <c r="R1193" s="20">
        <f>IF(OR($A1193="",$A1193&lt;&gt;'Resumen del inventario'!$C$3,$N1193="",$N1193="OK"),"",IF(COUNTIFS($A$2:$A1193,$A1193,$B$2:$B1193,$B1193)=1,1,""))</f>
        <v/>
      </c>
      <c r="S1193" s="20">
        <f>IF($R1193=1,COUNTIF($R$2:$R1193,1),"")</f>
        <v/>
      </c>
    </row>
    <row r="1194">
      <c r="A1194" s="19" t="n"/>
      <c r="B1194" s="14" t="n"/>
      <c r="C1194" s="20">
        <f>IF($B1194="","",IFERROR(INDEX(Vinos!$B$2:$B$301,MATCH($B1194,Vinos!$A$2:$A$301,0)),"Código no cargado"))</f>
        <v/>
      </c>
      <c r="D1194" s="14" t="n"/>
      <c r="E1194" s="14" t="n"/>
      <c r="F1194" s="18" t="n"/>
      <c r="G1194" s="18" t="n"/>
      <c r="H1194" s="21">
        <f>IF(AND($F1194="",$G1194=""),"",N($F1194)*IFERROR(N(INDEX(Vinos!$H$2:$H$301,MATCH($B1194,Vinos!$A$2:$A$301,0))),0)+N($G1194))</f>
        <v/>
      </c>
      <c r="I1194" s="18" t="n"/>
      <c r="J1194" s="21">
        <f>IF(OR($H1194="",$I1194=""),"",$H1194-$I1194)</f>
        <v/>
      </c>
      <c r="K1194" s="16">
        <f>IF($H1194="","",IFERROR(IF(INDEX(Vinos!$J$2:$J$301,MATCH($B1194,Vinos!$A$2:$A$301,0))="","",$H1194*INDEX(Vinos!$J$2:$J$301,MATCH($B1194,Vinos!$A$2:$A$301,0))),""))</f>
        <v/>
      </c>
      <c r="L1194" s="16">
        <f>IF($H1194="","",IFERROR(IF(INDEX(Vinos!$K$2:$K$301,MATCH($B1194,Vinos!$A$2:$A$301,0))="","",$H1194*INDEX(Vinos!$K$2:$K$301,MATCH($B1194,Vinos!$A$2:$A$301,0))),""))</f>
        <v/>
      </c>
      <c r="M1194" s="21">
        <f>IF(OR($A1194="",$B1194=""),"",SUMIFS($H$2:$H$2001,$A$2:$A$2001,$A1194,$B$2:$B$2001,$B1194))</f>
        <v/>
      </c>
      <c r="N1194" s="20">
        <f>IF($M1194="","",IF($M1194&lt;=0,"Sin stock: reponer ya",IF($M1194&lt;IFERROR(N(INDEX(Vinos!$N$2:$N$301,MATCH($B1194,Vinos!$A$2:$A$301,0))),0),"Bajo mínimo: reponer","OK")))</f>
        <v/>
      </c>
      <c r="O1194" s="14" t="n"/>
      <c r="P1194" s="14" t="n"/>
      <c r="Q1194" s="20">
        <f>IF($B1194="","",IFERROR(INDEX(Vinos!$C$2:$C$301,MATCH($B1194,Vinos!$A$2:$A$301,0)),""))</f>
        <v/>
      </c>
      <c r="R1194" s="20">
        <f>IF(OR($A1194="",$A1194&lt;&gt;'Resumen del inventario'!$C$3,$N1194="",$N1194="OK"),"",IF(COUNTIFS($A$2:$A1194,$A1194,$B$2:$B1194,$B1194)=1,1,""))</f>
        <v/>
      </c>
      <c r="S1194" s="20">
        <f>IF($R1194=1,COUNTIF($R$2:$R1194,1),"")</f>
        <v/>
      </c>
    </row>
    <row r="1195">
      <c r="A1195" s="19" t="n"/>
      <c r="B1195" s="14" t="n"/>
      <c r="C1195" s="20">
        <f>IF($B1195="","",IFERROR(INDEX(Vinos!$B$2:$B$301,MATCH($B1195,Vinos!$A$2:$A$301,0)),"Código no cargado"))</f>
        <v/>
      </c>
      <c r="D1195" s="14" t="n"/>
      <c r="E1195" s="14" t="n"/>
      <c r="F1195" s="18" t="n"/>
      <c r="G1195" s="18" t="n"/>
      <c r="H1195" s="21">
        <f>IF(AND($F1195="",$G1195=""),"",N($F1195)*IFERROR(N(INDEX(Vinos!$H$2:$H$301,MATCH($B1195,Vinos!$A$2:$A$301,0))),0)+N($G1195))</f>
        <v/>
      </c>
      <c r="I1195" s="18" t="n"/>
      <c r="J1195" s="21">
        <f>IF(OR($H1195="",$I1195=""),"",$H1195-$I1195)</f>
        <v/>
      </c>
      <c r="K1195" s="16">
        <f>IF($H1195="","",IFERROR(IF(INDEX(Vinos!$J$2:$J$301,MATCH($B1195,Vinos!$A$2:$A$301,0))="","",$H1195*INDEX(Vinos!$J$2:$J$301,MATCH($B1195,Vinos!$A$2:$A$301,0))),""))</f>
        <v/>
      </c>
      <c r="L1195" s="16">
        <f>IF($H1195="","",IFERROR(IF(INDEX(Vinos!$K$2:$K$301,MATCH($B1195,Vinos!$A$2:$A$301,0))="","",$H1195*INDEX(Vinos!$K$2:$K$301,MATCH($B1195,Vinos!$A$2:$A$301,0))),""))</f>
        <v/>
      </c>
      <c r="M1195" s="21">
        <f>IF(OR($A1195="",$B1195=""),"",SUMIFS($H$2:$H$2001,$A$2:$A$2001,$A1195,$B$2:$B$2001,$B1195))</f>
        <v/>
      </c>
      <c r="N1195" s="20">
        <f>IF($M1195="","",IF($M1195&lt;=0,"Sin stock: reponer ya",IF($M1195&lt;IFERROR(N(INDEX(Vinos!$N$2:$N$301,MATCH($B1195,Vinos!$A$2:$A$301,0))),0),"Bajo mínimo: reponer","OK")))</f>
        <v/>
      </c>
      <c r="O1195" s="14" t="n"/>
      <c r="P1195" s="14" t="n"/>
      <c r="Q1195" s="20">
        <f>IF($B1195="","",IFERROR(INDEX(Vinos!$C$2:$C$301,MATCH($B1195,Vinos!$A$2:$A$301,0)),""))</f>
        <v/>
      </c>
      <c r="R1195" s="20">
        <f>IF(OR($A1195="",$A1195&lt;&gt;'Resumen del inventario'!$C$3,$N1195="",$N1195="OK"),"",IF(COUNTIFS($A$2:$A1195,$A1195,$B$2:$B1195,$B1195)=1,1,""))</f>
        <v/>
      </c>
      <c r="S1195" s="20">
        <f>IF($R1195=1,COUNTIF($R$2:$R1195,1),"")</f>
        <v/>
      </c>
    </row>
    <row r="1196">
      <c r="A1196" s="19" t="n"/>
      <c r="B1196" s="14" t="n"/>
      <c r="C1196" s="20">
        <f>IF($B1196="","",IFERROR(INDEX(Vinos!$B$2:$B$301,MATCH($B1196,Vinos!$A$2:$A$301,0)),"Código no cargado"))</f>
        <v/>
      </c>
      <c r="D1196" s="14" t="n"/>
      <c r="E1196" s="14" t="n"/>
      <c r="F1196" s="18" t="n"/>
      <c r="G1196" s="18" t="n"/>
      <c r="H1196" s="21">
        <f>IF(AND($F1196="",$G1196=""),"",N($F1196)*IFERROR(N(INDEX(Vinos!$H$2:$H$301,MATCH($B1196,Vinos!$A$2:$A$301,0))),0)+N($G1196))</f>
        <v/>
      </c>
      <c r="I1196" s="18" t="n"/>
      <c r="J1196" s="21">
        <f>IF(OR($H1196="",$I1196=""),"",$H1196-$I1196)</f>
        <v/>
      </c>
      <c r="K1196" s="16">
        <f>IF($H1196="","",IFERROR(IF(INDEX(Vinos!$J$2:$J$301,MATCH($B1196,Vinos!$A$2:$A$301,0))="","",$H1196*INDEX(Vinos!$J$2:$J$301,MATCH($B1196,Vinos!$A$2:$A$301,0))),""))</f>
        <v/>
      </c>
      <c r="L1196" s="16">
        <f>IF($H1196="","",IFERROR(IF(INDEX(Vinos!$K$2:$K$301,MATCH($B1196,Vinos!$A$2:$A$301,0))="","",$H1196*INDEX(Vinos!$K$2:$K$301,MATCH($B1196,Vinos!$A$2:$A$301,0))),""))</f>
        <v/>
      </c>
      <c r="M1196" s="21">
        <f>IF(OR($A1196="",$B1196=""),"",SUMIFS($H$2:$H$2001,$A$2:$A$2001,$A1196,$B$2:$B$2001,$B1196))</f>
        <v/>
      </c>
      <c r="N1196" s="20">
        <f>IF($M1196="","",IF($M1196&lt;=0,"Sin stock: reponer ya",IF($M1196&lt;IFERROR(N(INDEX(Vinos!$N$2:$N$301,MATCH($B1196,Vinos!$A$2:$A$301,0))),0),"Bajo mínimo: reponer","OK")))</f>
        <v/>
      </c>
      <c r="O1196" s="14" t="n"/>
      <c r="P1196" s="14" t="n"/>
      <c r="Q1196" s="20">
        <f>IF($B1196="","",IFERROR(INDEX(Vinos!$C$2:$C$301,MATCH($B1196,Vinos!$A$2:$A$301,0)),""))</f>
        <v/>
      </c>
      <c r="R1196" s="20">
        <f>IF(OR($A1196="",$A1196&lt;&gt;'Resumen del inventario'!$C$3,$N1196="",$N1196="OK"),"",IF(COUNTIFS($A$2:$A1196,$A1196,$B$2:$B1196,$B1196)=1,1,""))</f>
        <v/>
      </c>
      <c r="S1196" s="20">
        <f>IF($R1196=1,COUNTIF($R$2:$R1196,1),"")</f>
        <v/>
      </c>
    </row>
    <row r="1197">
      <c r="A1197" s="19" t="n"/>
      <c r="B1197" s="14" t="n"/>
      <c r="C1197" s="20">
        <f>IF($B1197="","",IFERROR(INDEX(Vinos!$B$2:$B$301,MATCH($B1197,Vinos!$A$2:$A$301,0)),"Código no cargado"))</f>
        <v/>
      </c>
      <c r="D1197" s="14" t="n"/>
      <c r="E1197" s="14" t="n"/>
      <c r="F1197" s="18" t="n"/>
      <c r="G1197" s="18" t="n"/>
      <c r="H1197" s="21">
        <f>IF(AND($F1197="",$G1197=""),"",N($F1197)*IFERROR(N(INDEX(Vinos!$H$2:$H$301,MATCH($B1197,Vinos!$A$2:$A$301,0))),0)+N($G1197))</f>
        <v/>
      </c>
      <c r="I1197" s="18" t="n"/>
      <c r="J1197" s="21">
        <f>IF(OR($H1197="",$I1197=""),"",$H1197-$I1197)</f>
        <v/>
      </c>
      <c r="K1197" s="16">
        <f>IF($H1197="","",IFERROR(IF(INDEX(Vinos!$J$2:$J$301,MATCH($B1197,Vinos!$A$2:$A$301,0))="","",$H1197*INDEX(Vinos!$J$2:$J$301,MATCH($B1197,Vinos!$A$2:$A$301,0))),""))</f>
        <v/>
      </c>
      <c r="L1197" s="16">
        <f>IF($H1197="","",IFERROR(IF(INDEX(Vinos!$K$2:$K$301,MATCH($B1197,Vinos!$A$2:$A$301,0))="","",$H1197*INDEX(Vinos!$K$2:$K$301,MATCH($B1197,Vinos!$A$2:$A$301,0))),""))</f>
        <v/>
      </c>
      <c r="M1197" s="21">
        <f>IF(OR($A1197="",$B1197=""),"",SUMIFS($H$2:$H$2001,$A$2:$A$2001,$A1197,$B$2:$B$2001,$B1197))</f>
        <v/>
      </c>
      <c r="N1197" s="20">
        <f>IF($M1197="","",IF($M1197&lt;=0,"Sin stock: reponer ya",IF($M1197&lt;IFERROR(N(INDEX(Vinos!$N$2:$N$301,MATCH($B1197,Vinos!$A$2:$A$301,0))),0),"Bajo mínimo: reponer","OK")))</f>
        <v/>
      </c>
      <c r="O1197" s="14" t="n"/>
      <c r="P1197" s="14" t="n"/>
      <c r="Q1197" s="20">
        <f>IF($B1197="","",IFERROR(INDEX(Vinos!$C$2:$C$301,MATCH($B1197,Vinos!$A$2:$A$301,0)),""))</f>
        <v/>
      </c>
      <c r="R1197" s="20">
        <f>IF(OR($A1197="",$A1197&lt;&gt;'Resumen del inventario'!$C$3,$N1197="",$N1197="OK"),"",IF(COUNTIFS($A$2:$A1197,$A1197,$B$2:$B1197,$B1197)=1,1,""))</f>
        <v/>
      </c>
      <c r="S1197" s="20">
        <f>IF($R1197=1,COUNTIF($R$2:$R1197,1),"")</f>
        <v/>
      </c>
    </row>
    <row r="1198">
      <c r="A1198" s="19" t="n"/>
      <c r="B1198" s="14" t="n"/>
      <c r="C1198" s="20">
        <f>IF($B1198="","",IFERROR(INDEX(Vinos!$B$2:$B$301,MATCH($B1198,Vinos!$A$2:$A$301,0)),"Código no cargado"))</f>
        <v/>
      </c>
      <c r="D1198" s="14" t="n"/>
      <c r="E1198" s="14" t="n"/>
      <c r="F1198" s="18" t="n"/>
      <c r="G1198" s="18" t="n"/>
      <c r="H1198" s="21">
        <f>IF(AND($F1198="",$G1198=""),"",N($F1198)*IFERROR(N(INDEX(Vinos!$H$2:$H$301,MATCH($B1198,Vinos!$A$2:$A$301,0))),0)+N($G1198))</f>
        <v/>
      </c>
      <c r="I1198" s="18" t="n"/>
      <c r="J1198" s="21">
        <f>IF(OR($H1198="",$I1198=""),"",$H1198-$I1198)</f>
        <v/>
      </c>
      <c r="K1198" s="16">
        <f>IF($H1198="","",IFERROR(IF(INDEX(Vinos!$J$2:$J$301,MATCH($B1198,Vinos!$A$2:$A$301,0))="","",$H1198*INDEX(Vinos!$J$2:$J$301,MATCH($B1198,Vinos!$A$2:$A$301,0))),""))</f>
        <v/>
      </c>
      <c r="L1198" s="16">
        <f>IF($H1198="","",IFERROR(IF(INDEX(Vinos!$K$2:$K$301,MATCH($B1198,Vinos!$A$2:$A$301,0))="","",$H1198*INDEX(Vinos!$K$2:$K$301,MATCH($B1198,Vinos!$A$2:$A$301,0))),""))</f>
        <v/>
      </c>
      <c r="M1198" s="21">
        <f>IF(OR($A1198="",$B1198=""),"",SUMIFS($H$2:$H$2001,$A$2:$A$2001,$A1198,$B$2:$B$2001,$B1198))</f>
        <v/>
      </c>
      <c r="N1198" s="20">
        <f>IF($M1198="","",IF($M1198&lt;=0,"Sin stock: reponer ya",IF($M1198&lt;IFERROR(N(INDEX(Vinos!$N$2:$N$301,MATCH($B1198,Vinos!$A$2:$A$301,0))),0),"Bajo mínimo: reponer","OK")))</f>
        <v/>
      </c>
      <c r="O1198" s="14" t="n"/>
      <c r="P1198" s="14" t="n"/>
      <c r="Q1198" s="20">
        <f>IF($B1198="","",IFERROR(INDEX(Vinos!$C$2:$C$301,MATCH($B1198,Vinos!$A$2:$A$301,0)),""))</f>
        <v/>
      </c>
      <c r="R1198" s="20">
        <f>IF(OR($A1198="",$A1198&lt;&gt;'Resumen del inventario'!$C$3,$N1198="",$N1198="OK"),"",IF(COUNTIFS($A$2:$A1198,$A1198,$B$2:$B1198,$B1198)=1,1,""))</f>
        <v/>
      </c>
      <c r="S1198" s="20">
        <f>IF($R1198=1,COUNTIF($R$2:$R1198,1),"")</f>
        <v/>
      </c>
    </row>
    <row r="1199">
      <c r="A1199" s="19" t="n"/>
      <c r="B1199" s="14" t="n"/>
      <c r="C1199" s="20">
        <f>IF($B1199="","",IFERROR(INDEX(Vinos!$B$2:$B$301,MATCH($B1199,Vinos!$A$2:$A$301,0)),"Código no cargado"))</f>
        <v/>
      </c>
      <c r="D1199" s="14" t="n"/>
      <c r="E1199" s="14" t="n"/>
      <c r="F1199" s="18" t="n"/>
      <c r="G1199" s="18" t="n"/>
      <c r="H1199" s="21">
        <f>IF(AND($F1199="",$G1199=""),"",N($F1199)*IFERROR(N(INDEX(Vinos!$H$2:$H$301,MATCH($B1199,Vinos!$A$2:$A$301,0))),0)+N($G1199))</f>
        <v/>
      </c>
      <c r="I1199" s="18" t="n"/>
      <c r="J1199" s="21">
        <f>IF(OR($H1199="",$I1199=""),"",$H1199-$I1199)</f>
        <v/>
      </c>
      <c r="K1199" s="16">
        <f>IF($H1199="","",IFERROR(IF(INDEX(Vinos!$J$2:$J$301,MATCH($B1199,Vinos!$A$2:$A$301,0))="","",$H1199*INDEX(Vinos!$J$2:$J$301,MATCH($B1199,Vinos!$A$2:$A$301,0))),""))</f>
        <v/>
      </c>
      <c r="L1199" s="16">
        <f>IF($H1199="","",IFERROR(IF(INDEX(Vinos!$K$2:$K$301,MATCH($B1199,Vinos!$A$2:$A$301,0))="","",$H1199*INDEX(Vinos!$K$2:$K$301,MATCH($B1199,Vinos!$A$2:$A$301,0))),""))</f>
        <v/>
      </c>
      <c r="M1199" s="21">
        <f>IF(OR($A1199="",$B1199=""),"",SUMIFS($H$2:$H$2001,$A$2:$A$2001,$A1199,$B$2:$B$2001,$B1199))</f>
        <v/>
      </c>
      <c r="N1199" s="20">
        <f>IF($M1199="","",IF($M1199&lt;=0,"Sin stock: reponer ya",IF($M1199&lt;IFERROR(N(INDEX(Vinos!$N$2:$N$301,MATCH($B1199,Vinos!$A$2:$A$301,0))),0),"Bajo mínimo: reponer","OK")))</f>
        <v/>
      </c>
      <c r="O1199" s="14" t="n"/>
      <c r="P1199" s="14" t="n"/>
      <c r="Q1199" s="20">
        <f>IF($B1199="","",IFERROR(INDEX(Vinos!$C$2:$C$301,MATCH($B1199,Vinos!$A$2:$A$301,0)),""))</f>
        <v/>
      </c>
      <c r="R1199" s="20">
        <f>IF(OR($A1199="",$A1199&lt;&gt;'Resumen del inventario'!$C$3,$N1199="",$N1199="OK"),"",IF(COUNTIFS($A$2:$A1199,$A1199,$B$2:$B1199,$B1199)=1,1,""))</f>
        <v/>
      </c>
      <c r="S1199" s="20">
        <f>IF($R1199=1,COUNTIF($R$2:$R1199,1),"")</f>
        <v/>
      </c>
    </row>
    <row r="1200">
      <c r="A1200" s="19" t="n"/>
      <c r="B1200" s="14" t="n"/>
      <c r="C1200" s="20">
        <f>IF($B1200="","",IFERROR(INDEX(Vinos!$B$2:$B$301,MATCH($B1200,Vinos!$A$2:$A$301,0)),"Código no cargado"))</f>
        <v/>
      </c>
      <c r="D1200" s="14" t="n"/>
      <c r="E1200" s="14" t="n"/>
      <c r="F1200" s="18" t="n"/>
      <c r="G1200" s="18" t="n"/>
      <c r="H1200" s="21">
        <f>IF(AND($F1200="",$G1200=""),"",N($F1200)*IFERROR(N(INDEX(Vinos!$H$2:$H$301,MATCH($B1200,Vinos!$A$2:$A$301,0))),0)+N($G1200))</f>
        <v/>
      </c>
      <c r="I1200" s="18" t="n"/>
      <c r="J1200" s="21">
        <f>IF(OR($H1200="",$I1200=""),"",$H1200-$I1200)</f>
        <v/>
      </c>
      <c r="K1200" s="16">
        <f>IF($H1200="","",IFERROR(IF(INDEX(Vinos!$J$2:$J$301,MATCH($B1200,Vinos!$A$2:$A$301,0))="","",$H1200*INDEX(Vinos!$J$2:$J$301,MATCH($B1200,Vinos!$A$2:$A$301,0))),""))</f>
        <v/>
      </c>
      <c r="L1200" s="16">
        <f>IF($H1200="","",IFERROR(IF(INDEX(Vinos!$K$2:$K$301,MATCH($B1200,Vinos!$A$2:$A$301,0))="","",$H1200*INDEX(Vinos!$K$2:$K$301,MATCH($B1200,Vinos!$A$2:$A$301,0))),""))</f>
        <v/>
      </c>
      <c r="M1200" s="21">
        <f>IF(OR($A1200="",$B1200=""),"",SUMIFS($H$2:$H$2001,$A$2:$A$2001,$A1200,$B$2:$B$2001,$B1200))</f>
        <v/>
      </c>
      <c r="N1200" s="20">
        <f>IF($M1200="","",IF($M1200&lt;=0,"Sin stock: reponer ya",IF($M1200&lt;IFERROR(N(INDEX(Vinos!$N$2:$N$301,MATCH($B1200,Vinos!$A$2:$A$301,0))),0),"Bajo mínimo: reponer","OK")))</f>
        <v/>
      </c>
      <c r="O1200" s="14" t="n"/>
      <c r="P1200" s="14" t="n"/>
      <c r="Q1200" s="20">
        <f>IF($B1200="","",IFERROR(INDEX(Vinos!$C$2:$C$301,MATCH($B1200,Vinos!$A$2:$A$301,0)),""))</f>
        <v/>
      </c>
      <c r="R1200" s="20">
        <f>IF(OR($A1200="",$A1200&lt;&gt;'Resumen del inventario'!$C$3,$N1200="",$N1200="OK"),"",IF(COUNTIFS($A$2:$A1200,$A1200,$B$2:$B1200,$B1200)=1,1,""))</f>
        <v/>
      </c>
      <c r="S1200" s="20">
        <f>IF($R1200=1,COUNTIF($R$2:$R1200,1),"")</f>
        <v/>
      </c>
    </row>
    <row r="1201">
      <c r="A1201" s="19" t="n"/>
      <c r="B1201" s="14" t="n"/>
      <c r="C1201" s="20">
        <f>IF($B1201="","",IFERROR(INDEX(Vinos!$B$2:$B$301,MATCH($B1201,Vinos!$A$2:$A$301,0)),"Código no cargado"))</f>
        <v/>
      </c>
      <c r="D1201" s="14" t="n"/>
      <c r="E1201" s="14" t="n"/>
      <c r="F1201" s="18" t="n"/>
      <c r="G1201" s="18" t="n"/>
      <c r="H1201" s="21">
        <f>IF(AND($F1201="",$G1201=""),"",N($F1201)*IFERROR(N(INDEX(Vinos!$H$2:$H$301,MATCH($B1201,Vinos!$A$2:$A$301,0))),0)+N($G1201))</f>
        <v/>
      </c>
      <c r="I1201" s="18" t="n"/>
      <c r="J1201" s="21">
        <f>IF(OR($H1201="",$I1201=""),"",$H1201-$I1201)</f>
        <v/>
      </c>
      <c r="K1201" s="16">
        <f>IF($H1201="","",IFERROR(IF(INDEX(Vinos!$J$2:$J$301,MATCH($B1201,Vinos!$A$2:$A$301,0))="","",$H1201*INDEX(Vinos!$J$2:$J$301,MATCH($B1201,Vinos!$A$2:$A$301,0))),""))</f>
        <v/>
      </c>
      <c r="L1201" s="16">
        <f>IF($H1201="","",IFERROR(IF(INDEX(Vinos!$K$2:$K$301,MATCH($B1201,Vinos!$A$2:$A$301,0))="","",$H1201*INDEX(Vinos!$K$2:$K$301,MATCH($B1201,Vinos!$A$2:$A$301,0))),""))</f>
        <v/>
      </c>
      <c r="M1201" s="21">
        <f>IF(OR($A1201="",$B1201=""),"",SUMIFS($H$2:$H$2001,$A$2:$A$2001,$A1201,$B$2:$B$2001,$B1201))</f>
        <v/>
      </c>
      <c r="N1201" s="20">
        <f>IF($M1201="","",IF($M1201&lt;=0,"Sin stock: reponer ya",IF($M1201&lt;IFERROR(N(INDEX(Vinos!$N$2:$N$301,MATCH($B1201,Vinos!$A$2:$A$301,0))),0),"Bajo mínimo: reponer","OK")))</f>
        <v/>
      </c>
      <c r="O1201" s="14" t="n"/>
      <c r="P1201" s="14" t="n"/>
      <c r="Q1201" s="20">
        <f>IF($B1201="","",IFERROR(INDEX(Vinos!$C$2:$C$301,MATCH($B1201,Vinos!$A$2:$A$301,0)),""))</f>
        <v/>
      </c>
      <c r="R1201" s="20">
        <f>IF(OR($A1201="",$A1201&lt;&gt;'Resumen del inventario'!$C$3,$N1201="",$N1201="OK"),"",IF(COUNTIFS($A$2:$A1201,$A1201,$B$2:$B1201,$B1201)=1,1,""))</f>
        <v/>
      </c>
      <c r="S1201" s="20">
        <f>IF($R1201=1,COUNTIF($R$2:$R1201,1),"")</f>
        <v/>
      </c>
    </row>
    <row r="1202">
      <c r="A1202" s="19" t="n"/>
      <c r="B1202" s="14" t="n"/>
      <c r="C1202" s="20">
        <f>IF($B1202="","",IFERROR(INDEX(Vinos!$B$2:$B$301,MATCH($B1202,Vinos!$A$2:$A$301,0)),"Código no cargado"))</f>
        <v/>
      </c>
      <c r="D1202" s="14" t="n"/>
      <c r="E1202" s="14" t="n"/>
      <c r="F1202" s="18" t="n"/>
      <c r="G1202" s="18" t="n"/>
      <c r="H1202" s="21">
        <f>IF(AND($F1202="",$G1202=""),"",N($F1202)*IFERROR(N(INDEX(Vinos!$H$2:$H$301,MATCH($B1202,Vinos!$A$2:$A$301,0))),0)+N($G1202))</f>
        <v/>
      </c>
      <c r="I1202" s="18" t="n"/>
      <c r="J1202" s="21">
        <f>IF(OR($H1202="",$I1202=""),"",$H1202-$I1202)</f>
        <v/>
      </c>
      <c r="K1202" s="16">
        <f>IF($H1202="","",IFERROR(IF(INDEX(Vinos!$J$2:$J$301,MATCH($B1202,Vinos!$A$2:$A$301,0))="","",$H1202*INDEX(Vinos!$J$2:$J$301,MATCH($B1202,Vinos!$A$2:$A$301,0))),""))</f>
        <v/>
      </c>
      <c r="L1202" s="16">
        <f>IF($H1202="","",IFERROR(IF(INDEX(Vinos!$K$2:$K$301,MATCH($B1202,Vinos!$A$2:$A$301,0))="","",$H1202*INDEX(Vinos!$K$2:$K$301,MATCH($B1202,Vinos!$A$2:$A$301,0))),""))</f>
        <v/>
      </c>
      <c r="M1202" s="21">
        <f>IF(OR($A1202="",$B1202=""),"",SUMIFS($H$2:$H$2001,$A$2:$A$2001,$A1202,$B$2:$B$2001,$B1202))</f>
        <v/>
      </c>
      <c r="N1202" s="20">
        <f>IF($M1202="","",IF($M1202&lt;=0,"Sin stock: reponer ya",IF($M1202&lt;IFERROR(N(INDEX(Vinos!$N$2:$N$301,MATCH($B1202,Vinos!$A$2:$A$301,0))),0),"Bajo mínimo: reponer","OK")))</f>
        <v/>
      </c>
      <c r="O1202" s="14" t="n"/>
      <c r="P1202" s="14" t="n"/>
      <c r="Q1202" s="20">
        <f>IF($B1202="","",IFERROR(INDEX(Vinos!$C$2:$C$301,MATCH($B1202,Vinos!$A$2:$A$301,0)),""))</f>
        <v/>
      </c>
      <c r="R1202" s="20">
        <f>IF(OR($A1202="",$A1202&lt;&gt;'Resumen del inventario'!$C$3,$N1202="",$N1202="OK"),"",IF(COUNTIFS($A$2:$A1202,$A1202,$B$2:$B1202,$B1202)=1,1,""))</f>
        <v/>
      </c>
      <c r="S1202" s="20">
        <f>IF($R1202=1,COUNTIF($R$2:$R1202,1),"")</f>
        <v/>
      </c>
    </row>
    <row r="1203">
      <c r="A1203" s="19" t="n"/>
      <c r="B1203" s="14" t="n"/>
      <c r="C1203" s="20">
        <f>IF($B1203="","",IFERROR(INDEX(Vinos!$B$2:$B$301,MATCH($B1203,Vinos!$A$2:$A$301,0)),"Código no cargado"))</f>
        <v/>
      </c>
      <c r="D1203" s="14" t="n"/>
      <c r="E1203" s="14" t="n"/>
      <c r="F1203" s="18" t="n"/>
      <c r="G1203" s="18" t="n"/>
      <c r="H1203" s="21">
        <f>IF(AND($F1203="",$G1203=""),"",N($F1203)*IFERROR(N(INDEX(Vinos!$H$2:$H$301,MATCH($B1203,Vinos!$A$2:$A$301,0))),0)+N($G1203))</f>
        <v/>
      </c>
      <c r="I1203" s="18" t="n"/>
      <c r="J1203" s="21">
        <f>IF(OR($H1203="",$I1203=""),"",$H1203-$I1203)</f>
        <v/>
      </c>
      <c r="K1203" s="16">
        <f>IF($H1203="","",IFERROR(IF(INDEX(Vinos!$J$2:$J$301,MATCH($B1203,Vinos!$A$2:$A$301,0))="","",$H1203*INDEX(Vinos!$J$2:$J$301,MATCH($B1203,Vinos!$A$2:$A$301,0))),""))</f>
        <v/>
      </c>
      <c r="L1203" s="16">
        <f>IF($H1203="","",IFERROR(IF(INDEX(Vinos!$K$2:$K$301,MATCH($B1203,Vinos!$A$2:$A$301,0))="","",$H1203*INDEX(Vinos!$K$2:$K$301,MATCH($B1203,Vinos!$A$2:$A$301,0))),""))</f>
        <v/>
      </c>
      <c r="M1203" s="21">
        <f>IF(OR($A1203="",$B1203=""),"",SUMIFS($H$2:$H$2001,$A$2:$A$2001,$A1203,$B$2:$B$2001,$B1203))</f>
        <v/>
      </c>
      <c r="N1203" s="20">
        <f>IF($M1203="","",IF($M1203&lt;=0,"Sin stock: reponer ya",IF($M1203&lt;IFERROR(N(INDEX(Vinos!$N$2:$N$301,MATCH($B1203,Vinos!$A$2:$A$301,0))),0),"Bajo mínimo: reponer","OK")))</f>
        <v/>
      </c>
      <c r="O1203" s="14" t="n"/>
      <c r="P1203" s="14" t="n"/>
      <c r="Q1203" s="20">
        <f>IF($B1203="","",IFERROR(INDEX(Vinos!$C$2:$C$301,MATCH($B1203,Vinos!$A$2:$A$301,0)),""))</f>
        <v/>
      </c>
      <c r="R1203" s="20">
        <f>IF(OR($A1203="",$A1203&lt;&gt;'Resumen del inventario'!$C$3,$N1203="",$N1203="OK"),"",IF(COUNTIFS($A$2:$A1203,$A1203,$B$2:$B1203,$B1203)=1,1,""))</f>
        <v/>
      </c>
      <c r="S1203" s="20">
        <f>IF($R1203=1,COUNTIF($R$2:$R1203,1),"")</f>
        <v/>
      </c>
    </row>
    <row r="1204">
      <c r="A1204" s="19" t="n"/>
      <c r="B1204" s="14" t="n"/>
      <c r="C1204" s="20">
        <f>IF($B1204="","",IFERROR(INDEX(Vinos!$B$2:$B$301,MATCH($B1204,Vinos!$A$2:$A$301,0)),"Código no cargado"))</f>
        <v/>
      </c>
      <c r="D1204" s="14" t="n"/>
      <c r="E1204" s="14" t="n"/>
      <c r="F1204" s="18" t="n"/>
      <c r="G1204" s="18" t="n"/>
      <c r="H1204" s="21">
        <f>IF(AND($F1204="",$G1204=""),"",N($F1204)*IFERROR(N(INDEX(Vinos!$H$2:$H$301,MATCH($B1204,Vinos!$A$2:$A$301,0))),0)+N($G1204))</f>
        <v/>
      </c>
      <c r="I1204" s="18" t="n"/>
      <c r="J1204" s="21">
        <f>IF(OR($H1204="",$I1204=""),"",$H1204-$I1204)</f>
        <v/>
      </c>
      <c r="K1204" s="16">
        <f>IF($H1204="","",IFERROR(IF(INDEX(Vinos!$J$2:$J$301,MATCH($B1204,Vinos!$A$2:$A$301,0))="","",$H1204*INDEX(Vinos!$J$2:$J$301,MATCH($B1204,Vinos!$A$2:$A$301,0))),""))</f>
        <v/>
      </c>
      <c r="L1204" s="16">
        <f>IF($H1204="","",IFERROR(IF(INDEX(Vinos!$K$2:$K$301,MATCH($B1204,Vinos!$A$2:$A$301,0))="","",$H1204*INDEX(Vinos!$K$2:$K$301,MATCH($B1204,Vinos!$A$2:$A$301,0))),""))</f>
        <v/>
      </c>
      <c r="M1204" s="21">
        <f>IF(OR($A1204="",$B1204=""),"",SUMIFS($H$2:$H$2001,$A$2:$A$2001,$A1204,$B$2:$B$2001,$B1204))</f>
        <v/>
      </c>
      <c r="N1204" s="20">
        <f>IF($M1204="","",IF($M1204&lt;=0,"Sin stock: reponer ya",IF($M1204&lt;IFERROR(N(INDEX(Vinos!$N$2:$N$301,MATCH($B1204,Vinos!$A$2:$A$301,0))),0),"Bajo mínimo: reponer","OK")))</f>
        <v/>
      </c>
      <c r="O1204" s="14" t="n"/>
      <c r="P1204" s="14" t="n"/>
      <c r="Q1204" s="20">
        <f>IF($B1204="","",IFERROR(INDEX(Vinos!$C$2:$C$301,MATCH($B1204,Vinos!$A$2:$A$301,0)),""))</f>
        <v/>
      </c>
      <c r="R1204" s="20">
        <f>IF(OR($A1204="",$A1204&lt;&gt;'Resumen del inventario'!$C$3,$N1204="",$N1204="OK"),"",IF(COUNTIFS($A$2:$A1204,$A1204,$B$2:$B1204,$B1204)=1,1,""))</f>
        <v/>
      </c>
      <c r="S1204" s="20">
        <f>IF($R1204=1,COUNTIF($R$2:$R1204,1),"")</f>
        <v/>
      </c>
    </row>
    <row r="1205">
      <c r="A1205" s="19" t="n"/>
      <c r="B1205" s="14" t="n"/>
      <c r="C1205" s="20">
        <f>IF($B1205="","",IFERROR(INDEX(Vinos!$B$2:$B$301,MATCH($B1205,Vinos!$A$2:$A$301,0)),"Código no cargado"))</f>
        <v/>
      </c>
      <c r="D1205" s="14" t="n"/>
      <c r="E1205" s="14" t="n"/>
      <c r="F1205" s="18" t="n"/>
      <c r="G1205" s="18" t="n"/>
      <c r="H1205" s="21">
        <f>IF(AND($F1205="",$G1205=""),"",N($F1205)*IFERROR(N(INDEX(Vinos!$H$2:$H$301,MATCH($B1205,Vinos!$A$2:$A$301,0))),0)+N($G1205))</f>
        <v/>
      </c>
      <c r="I1205" s="18" t="n"/>
      <c r="J1205" s="21">
        <f>IF(OR($H1205="",$I1205=""),"",$H1205-$I1205)</f>
        <v/>
      </c>
      <c r="K1205" s="16">
        <f>IF($H1205="","",IFERROR(IF(INDEX(Vinos!$J$2:$J$301,MATCH($B1205,Vinos!$A$2:$A$301,0))="","",$H1205*INDEX(Vinos!$J$2:$J$301,MATCH($B1205,Vinos!$A$2:$A$301,0))),""))</f>
        <v/>
      </c>
      <c r="L1205" s="16">
        <f>IF($H1205="","",IFERROR(IF(INDEX(Vinos!$K$2:$K$301,MATCH($B1205,Vinos!$A$2:$A$301,0))="","",$H1205*INDEX(Vinos!$K$2:$K$301,MATCH($B1205,Vinos!$A$2:$A$301,0))),""))</f>
        <v/>
      </c>
      <c r="M1205" s="21">
        <f>IF(OR($A1205="",$B1205=""),"",SUMIFS($H$2:$H$2001,$A$2:$A$2001,$A1205,$B$2:$B$2001,$B1205))</f>
        <v/>
      </c>
      <c r="N1205" s="20">
        <f>IF($M1205="","",IF($M1205&lt;=0,"Sin stock: reponer ya",IF($M1205&lt;IFERROR(N(INDEX(Vinos!$N$2:$N$301,MATCH($B1205,Vinos!$A$2:$A$301,0))),0),"Bajo mínimo: reponer","OK")))</f>
        <v/>
      </c>
      <c r="O1205" s="14" t="n"/>
      <c r="P1205" s="14" t="n"/>
      <c r="Q1205" s="20">
        <f>IF($B1205="","",IFERROR(INDEX(Vinos!$C$2:$C$301,MATCH($B1205,Vinos!$A$2:$A$301,0)),""))</f>
        <v/>
      </c>
      <c r="R1205" s="20">
        <f>IF(OR($A1205="",$A1205&lt;&gt;'Resumen del inventario'!$C$3,$N1205="",$N1205="OK"),"",IF(COUNTIFS($A$2:$A1205,$A1205,$B$2:$B1205,$B1205)=1,1,""))</f>
        <v/>
      </c>
      <c r="S1205" s="20">
        <f>IF($R1205=1,COUNTIF($R$2:$R1205,1),"")</f>
        <v/>
      </c>
    </row>
    <row r="1206">
      <c r="A1206" s="19" t="n"/>
      <c r="B1206" s="14" t="n"/>
      <c r="C1206" s="20">
        <f>IF($B1206="","",IFERROR(INDEX(Vinos!$B$2:$B$301,MATCH($B1206,Vinos!$A$2:$A$301,0)),"Código no cargado"))</f>
        <v/>
      </c>
      <c r="D1206" s="14" t="n"/>
      <c r="E1206" s="14" t="n"/>
      <c r="F1206" s="18" t="n"/>
      <c r="G1206" s="18" t="n"/>
      <c r="H1206" s="21">
        <f>IF(AND($F1206="",$G1206=""),"",N($F1206)*IFERROR(N(INDEX(Vinos!$H$2:$H$301,MATCH($B1206,Vinos!$A$2:$A$301,0))),0)+N($G1206))</f>
        <v/>
      </c>
      <c r="I1206" s="18" t="n"/>
      <c r="J1206" s="21">
        <f>IF(OR($H1206="",$I1206=""),"",$H1206-$I1206)</f>
        <v/>
      </c>
      <c r="K1206" s="16">
        <f>IF($H1206="","",IFERROR(IF(INDEX(Vinos!$J$2:$J$301,MATCH($B1206,Vinos!$A$2:$A$301,0))="","",$H1206*INDEX(Vinos!$J$2:$J$301,MATCH($B1206,Vinos!$A$2:$A$301,0))),""))</f>
        <v/>
      </c>
      <c r="L1206" s="16">
        <f>IF($H1206="","",IFERROR(IF(INDEX(Vinos!$K$2:$K$301,MATCH($B1206,Vinos!$A$2:$A$301,0))="","",$H1206*INDEX(Vinos!$K$2:$K$301,MATCH($B1206,Vinos!$A$2:$A$301,0))),""))</f>
        <v/>
      </c>
      <c r="M1206" s="21">
        <f>IF(OR($A1206="",$B1206=""),"",SUMIFS($H$2:$H$2001,$A$2:$A$2001,$A1206,$B$2:$B$2001,$B1206))</f>
        <v/>
      </c>
      <c r="N1206" s="20">
        <f>IF($M1206="","",IF($M1206&lt;=0,"Sin stock: reponer ya",IF($M1206&lt;IFERROR(N(INDEX(Vinos!$N$2:$N$301,MATCH($B1206,Vinos!$A$2:$A$301,0))),0),"Bajo mínimo: reponer","OK")))</f>
        <v/>
      </c>
      <c r="O1206" s="14" t="n"/>
      <c r="P1206" s="14" t="n"/>
      <c r="Q1206" s="20">
        <f>IF($B1206="","",IFERROR(INDEX(Vinos!$C$2:$C$301,MATCH($B1206,Vinos!$A$2:$A$301,0)),""))</f>
        <v/>
      </c>
      <c r="R1206" s="20">
        <f>IF(OR($A1206="",$A1206&lt;&gt;'Resumen del inventario'!$C$3,$N1206="",$N1206="OK"),"",IF(COUNTIFS($A$2:$A1206,$A1206,$B$2:$B1206,$B1206)=1,1,""))</f>
        <v/>
      </c>
      <c r="S1206" s="20">
        <f>IF($R1206=1,COUNTIF($R$2:$R1206,1),"")</f>
        <v/>
      </c>
    </row>
    <row r="1207">
      <c r="A1207" s="19" t="n"/>
      <c r="B1207" s="14" t="n"/>
      <c r="C1207" s="20">
        <f>IF($B1207="","",IFERROR(INDEX(Vinos!$B$2:$B$301,MATCH($B1207,Vinos!$A$2:$A$301,0)),"Código no cargado"))</f>
        <v/>
      </c>
      <c r="D1207" s="14" t="n"/>
      <c r="E1207" s="14" t="n"/>
      <c r="F1207" s="18" t="n"/>
      <c r="G1207" s="18" t="n"/>
      <c r="H1207" s="21">
        <f>IF(AND($F1207="",$G1207=""),"",N($F1207)*IFERROR(N(INDEX(Vinos!$H$2:$H$301,MATCH($B1207,Vinos!$A$2:$A$301,0))),0)+N($G1207))</f>
        <v/>
      </c>
      <c r="I1207" s="18" t="n"/>
      <c r="J1207" s="21">
        <f>IF(OR($H1207="",$I1207=""),"",$H1207-$I1207)</f>
        <v/>
      </c>
      <c r="K1207" s="16">
        <f>IF($H1207="","",IFERROR(IF(INDEX(Vinos!$J$2:$J$301,MATCH($B1207,Vinos!$A$2:$A$301,0))="","",$H1207*INDEX(Vinos!$J$2:$J$301,MATCH($B1207,Vinos!$A$2:$A$301,0))),""))</f>
        <v/>
      </c>
      <c r="L1207" s="16">
        <f>IF($H1207="","",IFERROR(IF(INDEX(Vinos!$K$2:$K$301,MATCH($B1207,Vinos!$A$2:$A$301,0))="","",$H1207*INDEX(Vinos!$K$2:$K$301,MATCH($B1207,Vinos!$A$2:$A$301,0))),""))</f>
        <v/>
      </c>
      <c r="M1207" s="21">
        <f>IF(OR($A1207="",$B1207=""),"",SUMIFS($H$2:$H$2001,$A$2:$A$2001,$A1207,$B$2:$B$2001,$B1207))</f>
        <v/>
      </c>
      <c r="N1207" s="20">
        <f>IF($M1207="","",IF($M1207&lt;=0,"Sin stock: reponer ya",IF($M1207&lt;IFERROR(N(INDEX(Vinos!$N$2:$N$301,MATCH($B1207,Vinos!$A$2:$A$301,0))),0),"Bajo mínimo: reponer","OK")))</f>
        <v/>
      </c>
      <c r="O1207" s="14" t="n"/>
      <c r="P1207" s="14" t="n"/>
      <c r="Q1207" s="20">
        <f>IF($B1207="","",IFERROR(INDEX(Vinos!$C$2:$C$301,MATCH($B1207,Vinos!$A$2:$A$301,0)),""))</f>
        <v/>
      </c>
      <c r="R1207" s="20">
        <f>IF(OR($A1207="",$A1207&lt;&gt;'Resumen del inventario'!$C$3,$N1207="",$N1207="OK"),"",IF(COUNTIFS($A$2:$A1207,$A1207,$B$2:$B1207,$B1207)=1,1,""))</f>
        <v/>
      </c>
      <c r="S1207" s="20">
        <f>IF($R1207=1,COUNTIF($R$2:$R1207,1),"")</f>
        <v/>
      </c>
    </row>
    <row r="1208">
      <c r="A1208" s="19" t="n"/>
      <c r="B1208" s="14" t="n"/>
      <c r="C1208" s="20">
        <f>IF($B1208="","",IFERROR(INDEX(Vinos!$B$2:$B$301,MATCH($B1208,Vinos!$A$2:$A$301,0)),"Código no cargado"))</f>
        <v/>
      </c>
      <c r="D1208" s="14" t="n"/>
      <c r="E1208" s="14" t="n"/>
      <c r="F1208" s="18" t="n"/>
      <c r="G1208" s="18" t="n"/>
      <c r="H1208" s="21">
        <f>IF(AND($F1208="",$G1208=""),"",N($F1208)*IFERROR(N(INDEX(Vinos!$H$2:$H$301,MATCH($B1208,Vinos!$A$2:$A$301,0))),0)+N($G1208))</f>
        <v/>
      </c>
      <c r="I1208" s="18" t="n"/>
      <c r="J1208" s="21">
        <f>IF(OR($H1208="",$I1208=""),"",$H1208-$I1208)</f>
        <v/>
      </c>
      <c r="K1208" s="16">
        <f>IF($H1208="","",IFERROR(IF(INDEX(Vinos!$J$2:$J$301,MATCH($B1208,Vinos!$A$2:$A$301,0))="","",$H1208*INDEX(Vinos!$J$2:$J$301,MATCH($B1208,Vinos!$A$2:$A$301,0))),""))</f>
        <v/>
      </c>
      <c r="L1208" s="16">
        <f>IF($H1208="","",IFERROR(IF(INDEX(Vinos!$K$2:$K$301,MATCH($B1208,Vinos!$A$2:$A$301,0))="","",$H1208*INDEX(Vinos!$K$2:$K$301,MATCH($B1208,Vinos!$A$2:$A$301,0))),""))</f>
        <v/>
      </c>
      <c r="M1208" s="21">
        <f>IF(OR($A1208="",$B1208=""),"",SUMIFS($H$2:$H$2001,$A$2:$A$2001,$A1208,$B$2:$B$2001,$B1208))</f>
        <v/>
      </c>
      <c r="N1208" s="20">
        <f>IF($M1208="","",IF($M1208&lt;=0,"Sin stock: reponer ya",IF($M1208&lt;IFERROR(N(INDEX(Vinos!$N$2:$N$301,MATCH($B1208,Vinos!$A$2:$A$301,0))),0),"Bajo mínimo: reponer","OK")))</f>
        <v/>
      </c>
      <c r="O1208" s="14" t="n"/>
      <c r="P1208" s="14" t="n"/>
      <c r="Q1208" s="20">
        <f>IF($B1208="","",IFERROR(INDEX(Vinos!$C$2:$C$301,MATCH($B1208,Vinos!$A$2:$A$301,0)),""))</f>
        <v/>
      </c>
      <c r="R1208" s="20">
        <f>IF(OR($A1208="",$A1208&lt;&gt;'Resumen del inventario'!$C$3,$N1208="",$N1208="OK"),"",IF(COUNTIFS($A$2:$A1208,$A1208,$B$2:$B1208,$B1208)=1,1,""))</f>
        <v/>
      </c>
      <c r="S1208" s="20">
        <f>IF($R1208=1,COUNTIF($R$2:$R1208,1),"")</f>
        <v/>
      </c>
    </row>
    <row r="1209">
      <c r="A1209" s="19" t="n"/>
      <c r="B1209" s="14" t="n"/>
      <c r="C1209" s="20">
        <f>IF($B1209="","",IFERROR(INDEX(Vinos!$B$2:$B$301,MATCH($B1209,Vinos!$A$2:$A$301,0)),"Código no cargado"))</f>
        <v/>
      </c>
      <c r="D1209" s="14" t="n"/>
      <c r="E1209" s="14" t="n"/>
      <c r="F1209" s="18" t="n"/>
      <c r="G1209" s="18" t="n"/>
      <c r="H1209" s="21">
        <f>IF(AND($F1209="",$G1209=""),"",N($F1209)*IFERROR(N(INDEX(Vinos!$H$2:$H$301,MATCH($B1209,Vinos!$A$2:$A$301,0))),0)+N($G1209))</f>
        <v/>
      </c>
      <c r="I1209" s="18" t="n"/>
      <c r="J1209" s="21">
        <f>IF(OR($H1209="",$I1209=""),"",$H1209-$I1209)</f>
        <v/>
      </c>
      <c r="K1209" s="16">
        <f>IF($H1209="","",IFERROR(IF(INDEX(Vinos!$J$2:$J$301,MATCH($B1209,Vinos!$A$2:$A$301,0))="","",$H1209*INDEX(Vinos!$J$2:$J$301,MATCH($B1209,Vinos!$A$2:$A$301,0))),""))</f>
        <v/>
      </c>
      <c r="L1209" s="16">
        <f>IF($H1209="","",IFERROR(IF(INDEX(Vinos!$K$2:$K$301,MATCH($B1209,Vinos!$A$2:$A$301,0))="","",$H1209*INDEX(Vinos!$K$2:$K$301,MATCH($B1209,Vinos!$A$2:$A$301,0))),""))</f>
        <v/>
      </c>
      <c r="M1209" s="21">
        <f>IF(OR($A1209="",$B1209=""),"",SUMIFS($H$2:$H$2001,$A$2:$A$2001,$A1209,$B$2:$B$2001,$B1209))</f>
        <v/>
      </c>
      <c r="N1209" s="20">
        <f>IF($M1209="","",IF($M1209&lt;=0,"Sin stock: reponer ya",IF($M1209&lt;IFERROR(N(INDEX(Vinos!$N$2:$N$301,MATCH($B1209,Vinos!$A$2:$A$301,0))),0),"Bajo mínimo: reponer","OK")))</f>
        <v/>
      </c>
      <c r="O1209" s="14" t="n"/>
      <c r="P1209" s="14" t="n"/>
      <c r="Q1209" s="20">
        <f>IF($B1209="","",IFERROR(INDEX(Vinos!$C$2:$C$301,MATCH($B1209,Vinos!$A$2:$A$301,0)),""))</f>
        <v/>
      </c>
      <c r="R1209" s="20">
        <f>IF(OR($A1209="",$A1209&lt;&gt;'Resumen del inventario'!$C$3,$N1209="",$N1209="OK"),"",IF(COUNTIFS($A$2:$A1209,$A1209,$B$2:$B1209,$B1209)=1,1,""))</f>
        <v/>
      </c>
      <c r="S1209" s="20">
        <f>IF($R1209=1,COUNTIF($R$2:$R1209,1),"")</f>
        <v/>
      </c>
    </row>
    <row r="1210">
      <c r="A1210" s="19" t="n"/>
      <c r="B1210" s="14" t="n"/>
      <c r="C1210" s="20">
        <f>IF($B1210="","",IFERROR(INDEX(Vinos!$B$2:$B$301,MATCH($B1210,Vinos!$A$2:$A$301,0)),"Código no cargado"))</f>
        <v/>
      </c>
      <c r="D1210" s="14" t="n"/>
      <c r="E1210" s="14" t="n"/>
      <c r="F1210" s="18" t="n"/>
      <c r="G1210" s="18" t="n"/>
      <c r="H1210" s="21">
        <f>IF(AND($F1210="",$G1210=""),"",N($F1210)*IFERROR(N(INDEX(Vinos!$H$2:$H$301,MATCH($B1210,Vinos!$A$2:$A$301,0))),0)+N($G1210))</f>
        <v/>
      </c>
      <c r="I1210" s="18" t="n"/>
      <c r="J1210" s="21">
        <f>IF(OR($H1210="",$I1210=""),"",$H1210-$I1210)</f>
        <v/>
      </c>
      <c r="K1210" s="16">
        <f>IF($H1210="","",IFERROR(IF(INDEX(Vinos!$J$2:$J$301,MATCH($B1210,Vinos!$A$2:$A$301,0))="","",$H1210*INDEX(Vinos!$J$2:$J$301,MATCH($B1210,Vinos!$A$2:$A$301,0))),""))</f>
        <v/>
      </c>
      <c r="L1210" s="16">
        <f>IF($H1210="","",IFERROR(IF(INDEX(Vinos!$K$2:$K$301,MATCH($B1210,Vinos!$A$2:$A$301,0))="","",$H1210*INDEX(Vinos!$K$2:$K$301,MATCH($B1210,Vinos!$A$2:$A$301,0))),""))</f>
        <v/>
      </c>
      <c r="M1210" s="21">
        <f>IF(OR($A1210="",$B1210=""),"",SUMIFS($H$2:$H$2001,$A$2:$A$2001,$A1210,$B$2:$B$2001,$B1210))</f>
        <v/>
      </c>
      <c r="N1210" s="20">
        <f>IF($M1210="","",IF($M1210&lt;=0,"Sin stock: reponer ya",IF($M1210&lt;IFERROR(N(INDEX(Vinos!$N$2:$N$301,MATCH($B1210,Vinos!$A$2:$A$301,0))),0),"Bajo mínimo: reponer","OK")))</f>
        <v/>
      </c>
      <c r="O1210" s="14" t="n"/>
      <c r="P1210" s="14" t="n"/>
      <c r="Q1210" s="20">
        <f>IF($B1210="","",IFERROR(INDEX(Vinos!$C$2:$C$301,MATCH($B1210,Vinos!$A$2:$A$301,0)),""))</f>
        <v/>
      </c>
      <c r="R1210" s="20">
        <f>IF(OR($A1210="",$A1210&lt;&gt;'Resumen del inventario'!$C$3,$N1210="",$N1210="OK"),"",IF(COUNTIFS($A$2:$A1210,$A1210,$B$2:$B1210,$B1210)=1,1,""))</f>
        <v/>
      </c>
      <c r="S1210" s="20">
        <f>IF($R1210=1,COUNTIF($R$2:$R1210,1),"")</f>
        <v/>
      </c>
    </row>
    <row r="1211">
      <c r="A1211" s="19" t="n"/>
      <c r="B1211" s="14" t="n"/>
      <c r="C1211" s="20">
        <f>IF($B1211="","",IFERROR(INDEX(Vinos!$B$2:$B$301,MATCH($B1211,Vinos!$A$2:$A$301,0)),"Código no cargado"))</f>
        <v/>
      </c>
      <c r="D1211" s="14" t="n"/>
      <c r="E1211" s="14" t="n"/>
      <c r="F1211" s="18" t="n"/>
      <c r="G1211" s="18" t="n"/>
      <c r="H1211" s="21">
        <f>IF(AND($F1211="",$G1211=""),"",N($F1211)*IFERROR(N(INDEX(Vinos!$H$2:$H$301,MATCH($B1211,Vinos!$A$2:$A$301,0))),0)+N($G1211))</f>
        <v/>
      </c>
      <c r="I1211" s="18" t="n"/>
      <c r="J1211" s="21">
        <f>IF(OR($H1211="",$I1211=""),"",$H1211-$I1211)</f>
        <v/>
      </c>
      <c r="K1211" s="16">
        <f>IF($H1211="","",IFERROR(IF(INDEX(Vinos!$J$2:$J$301,MATCH($B1211,Vinos!$A$2:$A$301,0))="","",$H1211*INDEX(Vinos!$J$2:$J$301,MATCH($B1211,Vinos!$A$2:$A$301,0))),""))</f>
        <v/>
      </c>
      <c r="L1211" s="16">
        <f>IF($H1211="","",IFERROR(IF(INDEX(Vinos!$K$2:$K$301,MATCH($B1211,Vinos!$A$2:$A$301,0))="","",$H1211*INDEX(Vinos!$K$2:$K$301,MATCH($B1211,Vinos!$A$2:$A$301,0))),""))</f>
        <v/>
      </c>
      <c r="M1211" s="21">
        <f>IF(OR($A1211="",$B1211=""),"",SUMIFS($H$2:$H$2001,$A$2:$A$2001,$A1211,$B$2:$B$2001,$B1211))</f>
        <v/>
      </c>
      <c r="N1211" s="20">
        <f>IF($M1211="","",IF($M1211&lt;=0,"Sin stock: reponer ya",IF($M1211&lt;IFERROR(N(INDEX(Vinos!$N$2:$N$301,MATCH($B1211,Vinos!$A$2:$A$301,0))),0),"Bajo mínimo: reponer","OK")))</f>
        <v/>
      </c>
      <c r="O1211" s="14" t="n"/>
      <c r="P1211" s="14" t="n"/>
      <c r="Q1211" s="20">
        <f>IF($B1211="","",IFERROR(INDEX(Vinos!$C$2:$C$301,MATCH($B1211,Vinos!$A$2:$A$301,0)),""))</f>
        <v/>
      </c>
      <c r="R1211" s="20">
        <f>IF(OR($A1211="",$A1211&lt;&gt;'Resumen del inventario'!$C$3,$N1211="",$N1211="OK"),"",IF(COUNTIFS($A$2:$A1211,$A1211,$B$2:$B1211,$B1211)=1,1,""))</f>
        <v/>
      </c>
      <c r="S1211" s="20">
        <f>IF($R1211=1,COUNTIF($R$2:$R1211,1),"")</f>
        <v/>
      </c>
    </row>
    <row r="1212">
      <c r="A1212" s="19" t="n"/>
      <c r="B1212" s="14" t="n"/>
      <c r="C1212" s="20">
        <f>IF($B1212="","",IFERROR(INDEX(Vinos!$B$2:$B$301,MATCH($B1212,Vinos!$A$2:$A$301,0)),"Código no cargado"))</f>
        <v/>
      </c>
      <c r="D1212" s="14" t="n"/>
      <c r="E1212" s="14" t="n"/>
      <c r="F1212" s="18" t="n"/>
      <c r="G1212" s="18" t="n"/>
      <c r="H1212" s="21">
        <f>IF(AND($F1212="",$G1212=""),"",N($F1212)*IFERROR(N(INDEX(Vinos!$H$2:$H$301,MATCH($B1212,Vinos!$A$2:$A$301,0))),0)+N($G1212))</f>
        <v/>
      </c>
      <c r="I1212" s="18" t="n"/>
      <c r="J1212" s="21">
        <f>IF(OR($H1212="",$I1212=""),"",$H1212-$I1212)</f>
        <v/>
      </c>
      <c r="K1212" s="16">
        <f>IF($H1212="","",IFERROR(IF(INDEX(Vinos!$J$2:$J$301,MATCH($B1212,Vinos!$A$2:$A$301,0))="","",$H1212*INDEX(Vinos!$J$2:$J$301,MATCH($B1212,Vinos!$A$2:$A$301,0))),""))</f>
        <v/>
      </c>
      <c r="L1212" s="16">
        <f>IF($H1212="","",IFERROR(IF(INDEX(Vinos!$K$2:$K$301,MATCH($B1212,Vinos!$A$2:$A$301,0))="","",$H1212*INDEX(Vinos!$K$2:$K$301,MATCH($B1212,Vinos!$A$2:$A$301,0))),""))</f>
        <v/>
      </c>
      <c r="M1212" s="21">
        <f>IF(OR($A1212="",$B1212=""),"",SUMIFS($H$2:$H$2001,$A$2:$A$2001,$A1212,$B$2:$B$2001,$B1212))</f>
        <v/>
      </c>
      <c r="N1212" s="20">
        <f>IF($M1212="","",IF($M1212&lt;=0,"Sin stock: reponer ya",IF($M1212&lt;IFERROR(N(INDEX(Vinos!$N$2:$N$301,MATCH($B1212,Vinos!$A$2:$A$301,0))),0),"Bajo mínimo: reponer","OK")))</f>
        <v/>
      </c>
      <c r="O1212" s="14" t="n"/>
      <c r="P1212" s="14" t="n"/>
      <c r="Q1212" s="20">
        <f>IF($B1212="","",IFERROR(INDEX(Vinos!$C$2:$C$301,MATCH($B1212,Vinos!$A$2:$A$301,0)),""))</f>
        <v/>
      </c>
      <c r="R1212" s="20">
        <f>IF(OR($A1212="",$A1212&lt;&gt;'Resumen del inventario'!$C$3,$N1212="",$N1212="OK"),"",IF(COUNTIFS($A$2:$A1212,$A1212,$B$2:$B1212,$B1212)=1,1,""))</f>
        <v/>
      </c>
      <c r="S1212" s="20">
        <f>IF($R1212=1,COUNTIF($R$2:$R1212,1),"")</f>
        <v/>
      </c>
    </row>
    <row r="1213">
      <c r="A1213" s="19" t="n"/>
      <c r="B1213" s="14" t="n"/>
      <c r="C1213" s="20">
        <f>IF($B1213="","",IFERROR(INDEX(Vinos!$B$2:$B$301,MATCH($B1213,Vinos!$A$2:$A$301,0)),"Código no cargado"))</f>
        <v/>
      </c>
      <c r="D1213" s="14" t="n"/>
      <c r="E1213" s="14" t="n"/>
      <c r="F1213" s="18" t="n"/>
      <c r="G1213" s="18" t="n"/>
      <c r="H1213" s="21">
        <f>IF(AND($F1213="",$G1213=""),"",N($F1213)*IFERROR(N(INDEX(Vinos!$H$2:$H$301,MATCH($B1213,Vinos!$A$2:$A$301,0))),0)+N($G1213))</f>
        <v/>
      </c>
      <c r="I1213" s="18" t="n"/>
      <c r="J1213" s="21">
        <f>IF(OR($H1213="",$I1213=""),"",$H1213-$I1213)</f>
        <v/>
      </c>
      <c r="K1213" s="16">
        <f>IF($H1213="","",IFERROR(IF(INDEX(Vinos!$J$2:$J$301,MATCH($B1213,Vinos!$A$2:$A$301,0))="","",$H1213*INDEX(Vinos!$J$2:$J$301,MATCH($B1213,Vinos!$A$2:$A$301,0))),""))</f>
        <v/>
      </c>
      <c r="L1213" s="16">
        <f>IF($H1213="","",IFERROR(IF(INDEX(Vinos!$K$2:$K$301,MATCH($B1213,Vinos!$A$2:$A$301,0))="","",$H1213*INDEX(Vinos!$K$2:$K$301,MATCH($B1213,Vinos!$A$2:$A$301,0))),""))</f>
        <v/>
      </c>
      <c r="M1213" s="21">
        <f>IF(OR($A1213="",$B1213=""),"",SUMIFS($H$2:$H$2001,$A$2:$A$2001,$A1213,$B$2:$B$2001,$B1213))</f>
        <v/>
      </c>
      <c r="N1213" s="20">
        <f>IF($M1213="","",IF($M1213&lt;=0,"Sin stock: reponer ya",IF($M1213&lt;IFERROR(N(INDEX(Vinos!$N$2:$N$301,MATCH($B1213,Vinos!$A$2:$A$301,0))),0),"Bajo mínimo: reponer","OK")))</f>
        <v/>
      </c>
      <c r="O1213" s="14" t="n"/>
      <c r="P1213" s="14" t="n"/>
      <c r="Q1213" s="20">
        <f>IF($B1213="","",IFERROR(INDEX(Vinos!$C$2:$C$301,MATCH($B1213,Vinos!$A$2:$A$301,0)),""))</f>
        <v/>
      </c>
      <c r="R1213" s="20">
        <f>IF(OR($A1213="",$A1213&lt;&gt;'Resumen del inventario'!$C$3,$N1213="",$N1213="OK"),"",IF(COUNTIFS($A$2:$A1213,$A1213,$B$2:$B1213,$B1213)=1,1,""))</f>
        <v/>
      </c>
      <c r="S1213" s="20">
        <f>IF($R1213=1,COUNTIF($R$2:$R1213,1),"")</f>
        <v/>
      </c>
    </row>
    <row r="1214">
      <c r="A1214" s="19" t="n"/>
      <c r="B1214" s="14" t="n"/>
      <c r="C1214" s="20">
        <f>IF($B1214="","",IFERROR(INDEX(Vinos!$B$2:$B$301,MATCH($B1214,Vinos!$A$2:$A$301,0)),"Código no cargado"))</f>
        <v/>
      </c>
      <c r="D1214" s="14" t="n"/>
      <c r="E1214" s="14" t="n"/>
      <c r="F1214" s="18" t="n"/>
      <c r="G1214" s="18" t="n"/>
      <c r="H1214" s="21">
        <f>IF(AND($F1214="",$G1214=""),"",N($F1214)*IFERROR(N(INDEX(Vinos!$H$2:$H$301,MATCH($B1214,Vinos!$A$2:$A$301,0))),0)+N($G1214))</f>
        <v/>
      </c>
      <c r="I1214" s="18" t="n"/>
      <c r="J1214" s="21">
        <f>IF(OR($H1214="",$I1214=""),"",$H1214-$I1214)</f>
        <v/>
      </c>
      <c r="K1214" s="16">
        <f>IF($H1214="","",IFERROR(IF(INDEX(Vinos!$J$2:$J$301,MATCH($B1214,Vinos!$A$2:$A$301,0))="","",$H1214*INDEX(Vinos!$J$2:$J$301,MATCH($B1214,Vinos!$A$2:$A$301,0))),""))</f>
        <v/>
      </c>
      <c r="L1214" s="16">
        <f>IF($H1214="","",IFERROR(IF(INDEX(Vinos!$K$2:$K$301,MATCH($B1214,Vinos!$A$2:$A$301,0))="","",$H1214*INDEX(Vinos!$K$2:$K$301,MATCH($B1214,Vinos!$A$2:$A$301,0))),""))</f>
        <v/>
      </c>
      <c r="M1214" s="21">
        <f>IF(OR($A1214="",$B1214=""),"",SUMIFS($H$2:$H$2001,$A$2:$A$2001,$A1214,$B$2:$B$2001,$B1214))</f>
        <v/>
      </c>
      <c r="N1214" s="20">
        <f>IF($M1214="","",IF($M1214&lt;=0,"Sin stock: reponer ya",IF($M1214&lt;IFERROR(N(INDEX(Vinos!$N$2:$N$301,MATCH($B1214,Vinos!$A$2:$A$301,0))),0),"Bajo mínimo: reponer","OK")))</f>
        <v/>
      </c>
      <c r="O1214" s="14" t="n"/>
      <c r="P1214" s="14" t="n"/>
      <c r="Q1214" s="20">
        <f>IF($B1214="","",IFERROR(INDEX(Vinos!$C$2:$C$301,MATCH($B1214,Vinos!$A$2:$A$301,0)),""))</f>
        <v/>
      </c>
      <c r="R1214" s="20">
        <f>IF(OR($A1214="",$A1214&lt;&gt;'Resumen del inventario'!$C$3,$N1214="",$N1214="OK"),"",IF(COUNTIFS($A$2:$A1214,$A1214,$B$2:$B1214,$B1214)=1,1,""))</f>
        <v/>
      </c>
      <c r="S1214" s="20">
        <f>IF($R1214=1,COUNTIF($R$2:$R1214,1),"")</f>
        <v/>
      </c>
    </row>
    <row r="1215">
      <c r="A1215" s="19" t="n"/>
      <c r="B1215" s="14" t="n"/>
      <c r="C1215" s="20">
        <f>IF($B1215="","",IFERROR(INDEX(Vinos!$B$2:$B$301,MATCH($B1215,Vinos!$A$2:$A$301,0)),"Código no cargado"))</f>
        <v/>
      </c>
      <c r="D1215" s="14" t="n"/>
      <c r="E1215" s="14" t="n"/>
      <c r="F1215" s="18" t="n"/>
      <c r="G1215" s="18" t="n"/>
      <c r="H1215" s="21">
        <f>IF(AND($F1215="",$G1215=""),"",N($F1215)*IFERROR(N(INDEX(Vinos!$H$2:$H$301,MATCH($B1215,Vinos!$A$2:$A$301,0))),0)+N($G1215))</f>
        <v/>
      </c>
      <c r="I1215" s="18" t="n"/>
      <c r="J1215" s="21">
        <f>IF(OR($H1215="",$I1215=""),"",$H1215-$I1215)</f>
        <v/>
      </c>
      <c r="K1215" s="16">
        <f>IF($H1215="","",IFERROR(IF(INDEX(Vinos!$J$2:$J$301,MATCH($B1215,Vinos!$A$2:$A$301,0))="","",$H1215*INDEX(Vinos!$J$2:$J$301,MATCH($B1215,Vinos!$A$2:$A$301,0))),""))</f>
        <v/>
      </c>
      <c r="L1215" s="16">
        <f>IF($H1215="","",IFERROR(IF(INDEX(Vinos!$K$2:$K$301,MATCH($B1215,Vinos!$A$2:$A$301,0))="","",$H1215*INDEX(Vinos!$K$2:$K$301,MATCH($B1215,Vinos!$A$2:$A$301,0))),""))</f>
        <v/>
      </c>
      <c r="M1215" s="21">
        <f>IF(OR($A1215="",$B1215=""),"",SUMIFS($H$2:$H$2001,$A$2:$A$2001,$A1215,$B$2:$B$2001,$B1215))</f>
        <v/>
      </c>
      <c r="N1215" s="20">
        <f>IF($M1215="","",IF($M1215&lt;=0,"Sin stock: reponer ya",IF($M1215&lt;IFERROR(N(INDEX(Vinos!$N$2:$N$301,MATCH($B1215,Vinos!$A$2:$A$301,0))),0),"Bajo mínimo: reponer","OK")))</f>
        <v/>
      </c>
      <c r="O1215" s="14" t="n"/>
      <c r="P1215" s="14" t="n"/>
      <c r="Q1215" s="20">
        <f>IF($B1215="","",IFERROR(INDEX(Vinos!$C$2:$C$301,MATCH($B1215,Vinos!$A$2:$A$301,0)),""))</f>
        <v/>
      </c>
      <c r="R1215" s="20">
        <f>IF(OR($A1215="",$A1215&lt;&gt;'Resumen del inventario'!$C$3,$N1215="",$N1215="OK"),"",IF(COUNTIFS($A$2:$A1215,$A1215,$B$2:$B1215,$B1215)=1,1,""))</f>
        <v/>
      </c>
      <c r="S1215" s="20">
        <f>IF($R1215=1,COUNTIF($R$2:$R1215,1),"")</f>
        <v/>
      </c>
    </row>
    <row r="1216">
      <c r="A1216" s="19" t="n"/>
      <c r="B1216" s="14" t="n"/>
      <c r="C1216" s="20">
        <f>IF($B1216="","",IFERROR(INDEX(Vinos!$B$2:$B$301,MATCH($B1216,Vinos!$A$2:$A$301,0)),"Código no cargado"))</f>
        <v/>
      </c>
      <c r="D1216" s="14" t="n"/>
      <c r="E1216" s="14" t="n"/>
      <c r="F1216" s="18" t="n"/>
      <c r="G1216" s="18" t="n"/>
      <c r="H1216" s="21">
        <f>IF(AND($F1216="",$G1216=""),"",N($F1216)*IFERROR(N(INDEX(Vinos!$H$2:$H$301,MATCH($B1216,Vinos!$A$2:$A$301,0))),0)+N($G1216))</f>
        <v/>
      </c>
      <c r="I1216" s="18" t="n"/>
      <c r="J1216" s="21">
        <f>IF(OR($H1216="",$I1216=""),"",$H1216-$I1216)</f>
        <v/>
      </c>
      <c r="K1216" s="16">
        <f>IF($H1216="","",IFERROR(IF(INDEX(Vinos!$J$2:$J$301,MATCH($B1216,Vinos!$A$2:$A$301,0))="","",$H1216*INDEX(Vinos!$J$2:$J$301,MATCH($B1216,Vinos!$A$2:$A$301,0))),""))</f>
        <v/>
      </c>
      <c r="L1216" s="16">
        <f>IF($H1216="","",IFERROR(IF(INDEX(Vinos!$K$2:$K$301,MATCH($B1216,Vinos!$A$2:$A$301,0))="","",$H1216*INDEX(Vinos!$K$2:$K$301,MATCH($B1216,Vinos!$A$2:$A$301,0))),""))</f>
        <v/>
      </c>
      <c r="M1216" s="21">
        <f>IF(OR($A1216="",$B1216=""),"",SUMIFS($H$2:$H$2001,$A$2:$A$2001,$A1216,$B$2:$B$2001,$B1216))</f>
        <v/>
      </c>
      <c r="N1216" s="20">
        <f>IF($M1216="","",IF($M1216&lt;=0,"Sin stock: reponer ya",IF($M1216&lt;IFERROR(N(INDEX(Vinos!$N$2:$N$301,MATCH($B1216,Vinos!$A$2:$A$301,0))),0),"Bajo mínimo: reponer","OK")))</f>
        <v/>
      </c>
      <c r="O1216" s="14" t="n"/>
      <c r="P1216" s="14" t="n"/>
      <c r="Q1216" s="20">
        <f>IF($B1216="","",IFERROR(INDEX(Vinos!$C$2:$C$301,MATCH($B1216,Vinos!$A$2:$A$301,0)),""))</f>
        <v/>
      </c>
      <c r="R1216" s="20">
        <f>IF(OR($A1216="",$A1216&lt;&gt;'Resumen del inventario'!$C$3,$N1216="",$N1216="OK"),"",IF(COUNTIFS($A$2:$A1216,$A1216,$B$2:$B1216,$B1216)=1,1,""))</f>
        <v/>
      </c>
      <c r="S1216" s="20">
        <f>IF($R1216=1,COUNTIF($R$2:$R1216,1),"")</f>
        <v/>
      </c>
    </row>
    <row r="1217">
      <c r="A1217" s="19" t="n"/>
      <c r="B1217" s="14" t="n"/>
      <c r="C1217" s="20">
        <f>IF($B1217="","",IFERROR(INDEX(Vinos!$B$2:$B$301,MATCH($B1217,Vinos!$A$2:$A$301,0)),"Código no cargado"))</f>
        <v/>
      </c>
      <c r="D1217" s="14" t="n"/>
      <c r="E1217" s="14" t="n"/>
      <c r="F1217" s="18" t="n"/>
      <c r="G1217" s="18" t="n"/>
      <c r="H1217" s="21">
        <f>IF(AND($F1217="",$G1217=""),"",N($F1217)*IFERROR(N(INDEX(Vinos!$H$2:$H$301,MATCH($B1217,Vinos!$A$2:$A$301,0))),0)+N($G1217))</f>
        <v/>
      </c>
      <c r="I1217" s="18" t="n"/>
      <c r="J1217" s="21">
        <f>IF(OR($H1217="",$I1217=""),"",$H1217-$I1217)</f>
        <v/>
      </c>
      <c r="K1217" s="16">
        <f>IF($H1217="","",IFERROR(IF(INDEX(Vinos!$J$2:$J$301,MATCH($B1217,Vinos!$A$2:$A$301,0))="","",$H1217*INDEX(Vinos!$J$2:$J$301,MATCH($B1217,Vinos!$A$2:$A$301,0))),""))</f>
        <v/>
      </c>
      <c r="L1217" s="16">
        <f>IF($H1217="","",IFERROR(IF(INDEX(Vinos!$K$2:$K$301,MATCH($B1217,Vinos!$A$2:$A$301,0))="","",$H1217*INDEX(Vinos!$K$2:$K$301,MATCH($B1217,Vinos!$A$2:$A$301,0))),""))</f>
        <v/>
      </c>
      <c r="M1217" s="21">
        <f>IF(OR($A1217="",$B1217=""),"",SUMIFS($H$2:$H$2001,$A$2:$A$2001,$A1217,$B$2:$B$2001,$B1217))</f>
        <v/>
      </c>
      <c r="N1217" s="20">
        <f>IF($M1217="","",IF($M1217&lt;=0,"Sin stock: reponer ya",IF($M1217&lt;IFERROR(N(INDEX(Vinos!$N$2:$N$301,MATCH($B1217,Vinos!$A$2:$A$301,0))),0),"Bajo mínimo: reponer","OK")))</f>
        <v/>
      </c>
      <c r="O1217" s="14" t="n"/>
      <c r="P1217" s="14" t="n"/>
      <c r="Q1217" s="20">
        <f>IF($B1217="","",IFERROR(INDEX(Vinos!$C$2:$C$301,MATCH($B1217,Vinos!$A$2:$A$301,0)),""))</f>
        <v/>
      </c>
      <c r="R1217" s="20">
        <f>IF(OR($A1217="",$A1217&lt;&gt;'Resumen del inventario'!$C$3,$N1217="",$N1217="OK"),"",IF(COUNTIFS($A$2:$A1217,$A1217,$B$2:$B1217,$B1217)=1,1,""))</f>
        <v/>
      </c>
      <c r="S1217" s="20">
        <f>IF($R1217=1,COUNTIF($R$2:$R1217,1),"")</f>
        <v/>
      </c>
    </row>
    <row r="1218">
      <c r="A1218" s="19" t="n"/>
      <c r="B1218" s="14" t="n"/>
      <c r="C1218" s="20">
        <f>IF($B1218="","",IFERROR(INDEX(Vinos!$B$2:$B$301,MATCH($B1218,Vinos!$A$2:$A$301,0)),"Código no cargado"))</f>
        <v/>
      </c>
      <c r="D1218" s="14" t="n"/>
      <c r="E1218" s="14" t="n"/>
      <c r="F1218" s="18" t="n"/>
      <c r="G1218" s="18" t="n"/>
      <c r="H1218" s="21">
        <f>IF(AND($F1218="",$G1218=""),"",N($F1218)*IFERROR(N(INDEX(Vinos!$H$2:$H$301,MATCH($B1218,Vinos!$A$2:$A$301,0))),0)+N($G1218))</f>
        <v/>
      </c>
      <c r="I1218" s="18" t="n"/>
      <c r="J1218" s="21">
        <f>IF(OR($H1218="",$I1218=""),"",$H1218-$I1218)</f>
        <v/>
      </c>
      <c r="K1218" s="16">
        <f>IF($H1218="","",IFERROR(IF(INDEX(Vinos!$J$2:$J$301,MATCH($B1218,Vinos!$A$2:$A$301,0))="","",$H1218*INDEX(Vinos!$J$2:$J$301,MATCH($B1218,Vinos!$A$2:$A$301,0))),""))</f>
        <v/>
      </c>
      <c r="L1218" s="16">
        <f>IF($H1218="","",IFERROR(IF(INDEX(Vinos!$K$2:$K$301,MATCH($B1218,Vinos!$A$2:$A$301,0))="","",$H1218*INDEX(Vinos!$K$2:$K$301,MATCH($B1218,Vinos!$A$2:$A$301,0))),""))</f>
        <v/>
      </c>
      <c r="M1218" s="21">
        <f>IF(OR($A1218="",$B1218=""),"",SUMIFS($H$2:$H$2001,$A$2:$A$2001,$A1218,$B$2:$B$2001,$B1218))</f>
        <v/>
      </c>
      <c r="N1218" s="20">
        <f>IF($M1218="","",IF($M1218&lt;=0,"Sin stock: reponer ya",IF($M1218&lt;IFERROR(N(INDEX(Vinos!$N$2:$N$301,MATCH($B1218,Vinos!$A$2:$A$301,0))),0),"Bajo mínimo: reponer","OK")))</f>
        <v/>
      </c>
      <c r="O1218" s="14" t="n"/>
      <c r="P1218" s="14" t="n"/>
      <c r="Q1218" s="20">
        <f>IF($B1218="","",IFERROR(INDEX(Vinos!$C$2:$C$301,MATCH($B1218,Vinos!$A$2:$A$301,0)),""))</f>
        <v/>
      </c>
      <c r="R1218" s="20">
        <f>IF(OR($A1218="",$A1218&lt;&gt;'Resumen del inventario'!$C$3,$N1218="",$N1218="OK"),"",IF(COUNTIFS($A$2:$A1218,$A1218,$B$2:$B1218,$B1218)=1,1,""))</f>
        <v/>
      </c>
      <c r="S1218" s="20">
        <f>IF($R1218=1,COUNTIF($R$2:$R1218,1),"")</f>
        <v/>
      </c>
    </row>
    <row r="1219">
      <c r="A1219" s="19" t="n"/>
      <c r="B1219" s="14" t="n"/>
      <c r="C1219" s="20">
        <f>IF($B1219="","",IFERROR(INDEX(Vinos!$B$2:$B$301,MATCH($B1219,Vinos!$A$2:$A$301,0)),"Código no cargado"))</f>
        <v/>
      </c>
      <c r="D1219" s="14" t="n"/>
      <c r="E1219" s="14" t="n"/>
      <c r="F1219" s="18" t="n"/>
      <c r="G1219" s="18" t="n"/>
      <c r="H1219" s="21">
        <f>IF(AND($F1219="",$G1219=""),"",N($F1219)*IFERROR(N(INDEX(Vinos!$H$2:$H$301,MATCH($B1219,Vinos!$A$2:$A$301,0))),0)+N($G1219))</f>
        <v/>
      </c>
      <c r="I1219" s="18" t="n"/>
      <c r="J1219" s="21">
        <f>IF(OR($H1219="",$I1219=""),"",$H1219-$I1219)</f>
        <v/>
      </c>
      <c r="K1219" s="16">
        <f>IF($H1219="","",IFERROR(IF(INDEX(Vinos!$J$2:$J$301,MATCH($B1219,Vinos!$A$2:$A$301,0))="","",$H1219*INDEX(Vinos!$J$2:$J$301,MATCH($B1219,Vinos!$A$2:$A$301,0))),""))</f>
        <v/>
      </c>
      <c r="L1219" s="16">
        <f>IF($H1219="","",IFERROR(IF(INDEX(Vinos!$K$2:$K$301,MATCH($B1219,Vinos!$A$2:$A$301,0))="","",$H1219*INDEX(Vinos!$K$2:$K$301,MATCH($B1219,Vinos!$A$2:$A$301,0))),""))</f>
        <v/>
      </c>
      <c r="M1219" s="21">
        <f>IF(OR($A1219="",$B1219=""),"",SUMIFS($H$2:$H$2001,$A$2:$A$2001,$A1219,$B$2:$B$2001,$B1219))</f>
        <v/>
      </c>
      <c r="N1219" s="20">
        <f>IF($M1219="","",IF($M1219&lt;=0,"Sin stock: reponer ya",IF($M1219&lt;IFERROR(N(INDEX(Vinos!$N$2:$N$301,MATCH($B1219,Vinos!$A$2:$A$301,0))),0),"Bajo mínimo: reponer","OK")))</f>
        <v/>
      </c>
      <c r="O1219" s="14" t="n"/>
      <c r="P1219" s="14" t="n"/>
      <c r="Q1219" s="20">
        <f>IF($B1219="","",IFERROR(INDEX(Vinos!$C$2:$C$301,MATCH($B1219,Vinos!$A$2:$A$301,0)),""))</f>
        <v/>
      </c>
      <c r="R1219" s="20">
        <f>IF(OR($A1219="",$A1219&lt;&gt;'Resumen del inventario'!$C$3,$N1219="",$N1219="OK"),"",IF(COUNTIFS($A$2:$A1219,$A1219,$B$2:$B1219,$B1219)=1,1,""))</f>
        <v/>
      </c>
      <c r="S1219" s="20">
        <f>IF($R1219=1,COUNTIF($R$2:$R1219,1),"")</f>
        <v/>
      </c>
    </row>
    <row r="1220">
      <c r="A1220" s="19" t="n"/>
      <c r="B1220" s="14" t="n"/>
      <c r="C1220" s="20">
        <f>IF($B1220="","",IFERROR(INDEX(Vinos!$B$2:$B$301,MATCH($B1220,Vinos!$A$2:$A$301,0)),"Código no cargado"))</f>
        <v/>
      </c>
      <c r="D1220" s="14" t="n"/>
      <c r="E1220" s="14" t="n"/>
      <c r="F1220" s="18" t="n"/>
      <c r="G1220" s="18" t="n"/>
      <c r="H1220" s="21">
        <f>IF(AND($F1220="",$G1220=""),"",N($F1220)*IFERROR(N(INDEX(Vinos!$H$2:$H$301,MATCH($B1220,Vinos!$A$2:$A$301,0))),0)+N($G1220))</f>
        <v/>
      </c>
      <c r="I1220" s="18" t="n"/>
      <c r="J1220" s="21">
        <f>IF(OR($H1220="",$I1220=""),"",$H1220-$I1220)</f>
        <v/>
      </c>
      <c r="K1220" s="16">
        <f>IF($H1220="","",IFERROR(IF(INDEX(Vinos!$J$2:$J$301,MATCH($B1220,Vinos!$A$2:$A$301,0))="","",$H1220*INDEX(Vinos!$J$2:$J$301,MATCH($B1220,Vinos!$A$2:$A$301,0))),""))</f>
        <v/>
      </c>
      <c r="L1220" s="16">
        <f>IF($H1220="","",IFERROR(IF(INDEX(Vinos!$K$2:$K$301,MATCH($B1220,Vinos!$A$2:$A$301,0))="","",$H1220*INDEX(Vinos!$K$2:$K$301,MATCH($B1220,Vinos!$A$2:$A$301,0))),""))</f>
        <v/>
      </c>
      <c r="M1220" s="21">
        <f>IF(OR($A1220="",$B1220=""),"",SUMIFS($H$2:$H$2001,$A$2:$A$2001,$A1220,$B$2:$B$2001,$B1220))</f>
        <v/>
      </c>
      <c r="N1220" s="20">
        <f>IF($M1220="","",IF($M1220&lt;=0,"Sin stock: reponer ya",IF($M1220&lt;IFERROR(N(INDEX(Vinos!$N$2:$N$301,MATCH($B1220,Vinos!$A$2:$A$301,0))),0),"Bajo mínimo: reponer","OK")))</f>
        <v/>
      </c>
      <c r="O1220" s="14" t="n"/>
      <c r="P1220" s="14" t="n"/>
      <c r="Q1220" s="20">
        <f>IF($B1220="","",IFERROR(INDEX(Vinos!$C$2:$C$301,MATCH($B1220,Vinos!$A$2:$A$301,0)),""))</f>
        <v/>
      </c>
      <c r="R1220" s="20">
        <f>IF(OR($A1220="",$A1220&lt;&gt;'Resumen del inventario'!$C$3,$N1220="",$N1220="OK"),"",IF(COUNTIFS($A$2:$A1220,$A1220,$B$2:$B1220,$B1220)=1,1,""))</f>
        <v/>
      </c>
      <c r="S1220" s="20">
        <f>IF($R1220=1,COUNTIF($R$2:$R1220,1),"")</f>
        <v/>
      </c>
    </row>
    <row r="1221">
      <c r="A1221" s="19" t="n"/>
      <c r="B1221" s="14" t="n"/>
      <c r="C1221" s="20">
        <f>IF($B1221="","",IFERROR(INDEX(Vinos!$B$2:$B$301,MATCH($B1221,Vinos!$A$2:$A$301,0)),"Código no cargado"))</f>
        <v/>
      </c>
      <c r="D1221" s="14" t="n"/>
      <c r="E1221" s="14" t="n"/>
      <c r="F1221" s="18" t="n"/>
      <c r="G1221" s="18" t="n"/>
      <c r="H1221" s="21">
        <f>IF(AND($F1221="",$G1221=""),"",N($F1221)*IFERROR(N(INDEX(Vinos!$H$2:$H$301,MATCH($B1221,Vinos!$A$2:$A$301,0))),0)+N($G1221))</f>
        <v/>
      </c>
      <c r="I1221" s="18" t="n"/>
      <c r="J1221" s="21">
        <f>IF(OR($H1221="",$I1221=""),"",$H1221-$I1221)</f>
        <v/>
      </c>
      <c r="K1221" s="16">
        <f>IF($H1221="","",IFERROR(IF(INDEX(Vinos!$J$2:$J$301,MATCH($B1221,Vinos!$A$2:$A$301,0))="","",$H1221*INDEX(Vinos!$J$2:$J$301,MATCH($B1221,Vinos!$A$2:$A$301,0))),""))</f>
        <v/>
      </c>
      <c r="L1221" s="16">
        <f>IF($H1221="","",IFERROR(IF(INDEX(Vinos!$K$2:$K$301,MATCH($B1221,Vinos!$A$2:$A$301,0))="","",$H1221*INDEX(Vinos!$K$2:$K$301,MATCH($B1221,Vinos!$A$2:$A$301,0))),""))</f>
        <v/>
      </c>
      <c r="M1221" s="21">
        <f>IF(OR($A1221="",$B1221=""),"",SUMIFS($H$2:$H$2001,$A$2:$A$2001,$A1221,$B$2:$B$2001,$B1221))</f>
        <v/>
      </c>
      <c r="N1221" s="20">
        <f>IF($M1221="","",IF($M1221&lt;=0,"Sin stock: reponer ya",IF($M1221&lt;IFERROR(N(INDEX(Vinos!$N$2:$N$301,MATCH($B1221,Vinos!$A$2:$A$301,0))),0),"Bajo mínimo: reponer","OK")))</f>
        <v/>
      </c>
      <c r="O1221" s="14" t="n"/>
      <c r="P1221" s="14" t="n"/>
      <c r="Q1221" s="20">
        <f>IF($B1221="","",IFERROR(INDEX(Vinos!$C$2:$C$301,MATCH($B1221,Vinos!$A$2:$A$301,0)),""))</f>
        <v/>
      </c>
      <c r="R1221" s="20">
        <f>IF(OR($A1221="",$A1221&lt;&gt;'Resumen del inventario'!$C$3,$N1221="",$N1221="OK"),"",IF(COUNTIFS($A$2:$A1221,$A1221,$B$2:$B1221,$B1221)=1,1,""))</f>
        <v/>
      </c>
      <c r="S1221" s="20">
        <f>IF($R1221=1,COUNTIF($R$2:$R1221,1),"")</f>
        <v/>
      </c>
    </row>
    <row r="1222">
      <c r="A1222" s="19" t="n"/>
      <c r="B1222" s="14" t="n"/>
      <c r="C1222" s="20">
        <f>IF($B1222="","",IFERROR(INDEX(Vinos!$B$2:$B$301,MATCH($B1222,Vinos!$A$2:$A$301,0)),"Código no cargado"))</f>
        <v/>
      </c>
      <c r="D1222" s="14" t="n"/>
      <c r="E1222" s="14" t="n"/>
      <c r="F1222" s="18" t="n"/>
      <c r="G1222" s="18" t="n"/>
      <c r="H1222" s="21">
        <f>IF(AND($F1222="",$G1222=""),"",N($F1222)*IFERROR(N(INDEX(Vinos!$H$2:$H$301,MATCH($B1222,Vinos!$A$2:$A$301,0))),0)+N($G1222))</f>
        <v/>
      </c>
      <c r="I1222" s="18" t="n"/>
      <c r="J1222" s="21">
        <f>IF(OR($H1222="",$I1222=""),"",$H1222-$I1222)</f>
        <v/>
      </c>
      <c r="K1222" s="16">
        <f>IF($H1222="","",IFERROR(IF(INDEX(Vinos!$J$2:$J$301,MATCH($B1222,Vinos!$A$2:$A$301,0))="","",$H1222*INDEX(Vinos!$J$2:$J$301,MATCH($B1222,Vinos!$A$2:$A$301,0))),""))</f>
        <v/>
      </c>
      <c r="L1222" s="16">
        <f>IF($H1222="","",IFERROR(IF(INDEX(Vinos!$K$2:$K$301,MATCH($B1222,Vinos!$A$2:$A$301,0))="","",$H1222*INDEX(Vinos!$K$2:$K$301,MATCH($B1222,Vinos!$A$2:$A$301,0))),""))</f>
        <v/>
      </c>
      <c r="M1222" s="21">
        <f>IF(OR($A1222="",$B1222=""),"",SUMIFS($H$2:$H$2001,$A$2:$A$2001,$A1222,$B$2:$B$2001,$B1222))</f>
        <v/>
      </c>
      <c r="N1222" s="20">
        <f>IF($M1222="","",IF($M1222&lt;=0,"Sin stock: reponer ya",IF($M1222&lt;IFERROR(N(INDEX(Vinos!$N$2:$N$301,MATCH($B1222,Vinos!$A$2:$A$301,0))),0),"Bajo mínimo: reponer","OK")))</f>
        <v/>
      </c>
      <c r="O1222" s="14" t="n"/>
      <c r="P1222" s="14" t="n"/>
      <c r="Q1222" s="20">
        <f>IF($B1222="","",IFERROR(INDEX(Vinos!$C$2:$C$301,MATCH($B1222,Vinos!$A$2:$A$301,0)),""))</f>
        <v/>
      </c>
      <c r="R1222" s="20">
        <f>IF(OR($A1222="",$A1222&lt;&gt;'Resumen del inventario'!$C$3,$N1222="",$N1222="OK"),"",IF(COUNTIFS($A$2:$A1222,$A1222,$B$2:$B1222,$B1222)=1,1,""))</f>
        <v/>
      </c>
      <c r="S1222" s="20">
        <f>IF($R1222=1,COUNTIF($R$2:$R1222,1),"")</f>
        <v/>
      </c>
    </row>
    <row r="1223">
      <c r="A1223" s="19" t="n"/>
      <c r="B1223" s="14" t="n"/>
      <c r="C1223" s="20">
        <f>IF($B1223="","",IFERROR(INDEX(Vinos!$B$2:$B$301,MATCH($B1223,Vinos!$A$2:$A$301,0)),"Código no cargado"))</f>
        <v/>
      </c>
      <c r="D1223" s="14" t="n"/>
      <c r="E1223" s="14" t="n"/>
      <c r="F1223" s="18" t="n"/>
      <c r="G1223" s="18" t="n"/>
      <c r="H1223" s="21">
        <f>IF(AND($F1223="",$G1223=""),"",N($F1223)*IFERROR(N(INDEX(Vinos!$H$2:$H$301,MATCH($B1223,Vinos!$A$2:$A$301,0))),0)+N($G1223))</f>
        <v/>
      </c>
      <c r="I1223" s="18" t="n"/>
      <c r="J1223" s="21">
        <f>IF(OR($H1223="",$I1223=""),"",$H1223-$I1223)</f>
        <v/>
      </c>
      <c r="K1223" s="16">
        <f>IF($H1223="","",IFERROR(IF(INDEX(Vinos!$J$2:$J$301,MATCH($B1223,Vinos!$A$2:$A$301,0))="","",$H1223*INDEX(Vinos!$J$2:$J$301,MATCH($B1223,Vinos!$A$2:$A$301,0))),""))</f>
        <v/>
      </c>
      <c r="L1223" s="16">
        <f>IF($H1223="","",IFERROR(IF(INDEX(Vinos!$K$2:$K$301,MATCH($B1223,Vinos!$A$2:$A$301,0))="","",$H1223*INDEX(Vinos!$K$2:$K$301,MATCH($B1223,Vinos!$A$2:$A$301,0))),""))</f>
        <v/>
      </c>
      <c r="M1223" s="21">
        <f>IF(OR($A1223="",$B1223=""),"",SUMIFS($H$2:$H$2001,$A$2:$A$2001,$A1223,$B$2:$B$2001,$B1223))</f>
        <v/>
      </c>
      <c r="N1223" s="20">
        <f>IF($M1223="","",IF($M1223&lt;=0,"Sin stock: reponer ya",IF($M1223&lt;IFERROR(N(INDEX(Vinos!$N$2:$N$301,MATCH($B1223,Vinos!$A$2:$A$301,0))),0),"Bajo mínimo: reponer","OK")))</f>
        <v/>
      </c>
      <c r="O1223" s="14" t="n"/>
      <c r="P1223" s="14" t="n"/>
      <c r="Q1223" s="20">
        <f>IF($B1223="","",IFERROR(INDEX(Vinos!$C$2:$C$301,MATCH($B1223,Vinos!$A$2:$A$301,0)),""))</f>
        <v/>
      </c>
      <c r="R1223" s="20">
        <f>IF(OR($A1223="",$A1223&lt;&gt;'Resumen del inventario'!$C$3,$N1223="",$N1223="OK"),"",IF(COUNTIFS($A$2:$A1223,$A1223,$B$2:$B1223,$B1223)=1,1,""))</f>
        <v/>
      </c>
      <c r="S1223" s="20">
        <f>IF($R1223=1,COUNTIF($R$2:$R1223,1),"")</f>
        <v/>
      </c>
    </row>
    <row r="1224">
      <c r="A1224" s="19" t="n"/>
      <c r="B1224" s="14" t="n"/>
      <c r="C1224" s="20">
        <f>IF($B1224="","",IFERROR(INDEX(Vinos!$B$2:$B$301,MATCH($B1224,Vinos!$A$2:$A$301,0)),"Código no cargado"))</f>
        <v/>
      </c>
      <c r="D1224" s="14" t="n"/>
      <c r="E1224" s="14" t="n"/>
      <c r="F1224" s="18" t="n"/>
      <c r="G1224" s="18" t="n"/>
      <c r="H1224" s="21">
        <f>IF(AND($F1224="",$G1224=""),"",N($F1224)*IFERROR(N(INDEX(Vinos!$H$2:$H$301,MATCH($B1224,Vinos!$A$2:$A$301,0))),0)+N($G1224))</f>
        <v/>
      </c>
      <c r="I1224" s="18" t="n"/>
      <c r="J1224" s="21">
        <f>IF(OR($H1224="",$I1224=""),"",$H1224-$I1224)</f>
        <v/>
      </c>
      <c r="K1224" s="16">
        <f>IF($H1224="","",IFERROR(IF(INDEX(Vinos!$J$2:$J$301,MATCH($B1224,Vinos!$A$2:$A$301,0))="","",$H1224*INDEX(Vinos!$J$2:$J$301,MATCH($B1224,Vinos!$A$2:$A$301,0))),""))</f>
        <v/>
      </c>
      <c r="L1224" s="16">
        <f>IF($H1224="","",IFERROR(IF(INDEX(Vinos!$K$2:$K$301,MATCH($B1224,Vinos!$A$2:$A$301,0))="","",$H1224*INDEX(Vinos!$K$2:$K$301,MATCH($B1224,Vinos!$A$2:$A$301,0))),""))</f>
        <v/>
      </c>
      <c r="M1224" s="21">
        <f>IF(OR($A1224="",$B1224=""),"",SUMIFS($H$2:$H$2001,$A$2:$A$2001,$A1224,$B$2:$B$2001,$B1224))</f>
        <v/>
      </c>
      <c r="N1224" s="20">
        <f>IF($M1224="","",IF($M1224&lt;=0,"Sin stock: reponer ya",IF($M1224&lt;IFERROR(N(INDEX(Vinos!$N$2:$N$301,MATCH($B1224,Vinos!$A$2:$A$301,0))),0),"Bajo mínimo: reponer","OK")))</f>
        <v/>
      </c>
      <c r="O1224" s="14" t="n"/>
      <c r="P1224" s="14" t="n"/>
      <c r="Q1224" s="20">
        <f>IF($B1224="","",IFERROR(INDEX(Vinos!$C$2:$C$301,MATCH($B1224,Vinos!$A$2:$A$301,0)),""))</f>
        <v/>
      </c>
      <c r="R1224" s="20">
        <f>IF(OR($A1224="",$A1224&lt;&gt;'Resumen del inventario'!$C$3,$N1224="",$N1224="OK"),"",IF(COUNTIFS($A$2:$A1224,$A1224,$B$2:$B1224,$B1224)=1,1,""))</f>
        <v/>
      </c>
      <c r="S1224" s="20">
        <f>IF($R1224=1,COUNTIF($R$2:$R1224,1),"")</f>
        <v/>
      </c>
    </row>
    <row r="1225">
      <c r="A1225" s="19" t="n"/>
      <c r="B1225" s="14" t="n"/>
      <c r="C1225" s="20">
        <f>IF($B1225="","",IFERROR(INDEX(Vinos!$B$2:$B$301,MATCH($B1225,Vinos!$A$2:$A$301,0)),"Código no cargado"))</f>
        <v/>
      </c>
      <c r="D1225" s="14" t="n"/>
      <c r="E1225" s="14" t="n"/>
      <c r="F1225" s="18" t="n"/>
      <c r="G1225" s="18" t="n"/>
      <c r="H1225" s="21">
        <f>IF(AND($F1225="",$G1225=""),"",N($F1225)*IFERROR(N(INDEX(Vinos!$H$2:$H$301,MATCH($B1225,Vinos!$A$2:$A$301,0))),0)+N($G1225))</f>
        <v/>
      </c>
      <c r="I1225" s="18" t="n"/>
      <c r="J1225" s="21">
        <f>IF(OR($H1225="",$I1225=""),"",$H1225-$I1225)</f>
        <v/>
      </c>
      <c r="K1225" s="16">
        <f>IF($H1225="","",IFERROR(IF(INDEX(Vinos!$J$2:$J$301,MATCH($B1225,Vinos!$A$2:$A$301,0))="","",$H1225*INDEX(Vinos!$J$2:$J$301,MATCH($B1225,Vinos!$A$2:$A$301,0))),""))</f>
        <v/>
      </c>
      <c r="L1225" s="16">
        <f>IF($H1225="","",IFERROR(IF(INDEX(Vinos!$K$2:$K$301,MATCH($B1225,Vinos!$A$2:$A$301,0))="","",$H1225*INDEX(Vinos!$K$2:$K$301,MATCH($B1225,Vinos!$A$2:$A$301,0))),""))</f>
        <v/>
      </c>
      <c r="M1225" s="21">
        <f>IF(OR($A1225="",$B1225=""),"",SUMIFS($H$2:$H$2001,$A$2:$A$2001,$A1225,$B$2:$B$2001,$B1225))</f>
        <v/>
      </c>
      <c r="N1225" s="20">
        <f>IF($M1225="","",IF($M1225&lt;=0,"Sin stock: reponer ya",IF($M1225&lt;IFERROR(N(INDEX(Vinos!$N$2:$N$301,MATCH($B1225,Vinos!$A$2:$A$301,0))),0),"Bajo mínimo: reponer","OK")))</f>
        <v/>
      </c>
      <c r="O1225" s="14" t="n"/>
      <c r="P1225" s="14" t="n"/>
      <c r="Q1225" s="20">
        <f>IF($B1225="","",IFERROR(INDEX(Vinos!$C$2:$C$301,MATCH($B1225,Vinos!$A$2:$A$301,0)),""))</f>
        <v/>
      </c>
      <c r="R1225" s="20">
        <f>IF(OR($A1225="",$A1225&lt;&gt;'Resumen del inventario'!$C$3,$N1225="",$N1225="OK"),"",IF(COUNTIFS($A$2:$A1225,$A1225,$B$2:$B1225,$B1225)=1,1,""))</f>
        <v/>
      </c>
      <c r="S1225" s="20">
        <f>IF($R1225=1,COUNTIF($R$2:$R1225,1),"")</f>
        <v/>
      </c>
    </row>
    <row r="1226">
      <c r="A1226" s="19" t="n"/>
      <c r="B1226" s="14" t="n"/>
      <c r="C1226" s="20">
        <f>IF($B1226="","",IFERROR(INDEX(Vinos!$B$2:$B$301,MATCH($B1226,Vinos!$A$2:$A$301,0)),"Código no cargado"))</f>
        <v/>
      </c>
      <c r="D1226" s="14" t="n"/>
      <c r="E1226" s="14" t="n"/>
      <c r="F1226" s="18" t="n"/>
      <c r="G1226" s="18" t="n"/>
      <c r="H1226" s="21">
        <f>IF(AND($F1226="",$G1226=""),"",N($F1226)*IFERROR(N(INDEX(Vinos!$H$2:$H$301,MATCH($B1226,Vinos!$A$2:$A$301,0))),0)+N($G1226))</f>
        <v/>
      </c>
      <c r="I1226" s="18" t="n"/>
      <c r="J1226" s="21">
        <f>IF(OR($H1226="",$I1226=""),"",$H1226-$I1226)</f>
        <v/>
      </c>
      <c r="K1226" s="16">
        <f>IF($H1226="","",IFERROR(IF(INDEX(Vinos!$J$2:$J$301,MATCH($B1226,Vinos!$A$2:$A$301,0))="","",$H1226*INDEX(Vinos!$J$2:$J$301,MATCH($B1226,Vinos!$A$2:$A$301,0))),""))</f>
        <v/>
      </c>
      <c r="L1226" s="16">
        <f>IF($H1226="","",IFERROR(IF(INDEX(Vinos!$K$2:$K$301,MATCH($B1226,Vinos!$A$2:$A$301,0))="","",$H1226*INDEX(Vinos!$K$2:$K$301,MATCH($B1226,Vinos!$A$2:$A$301,0))),""))</f>
        <v/>
      </c>
      <c r="M1226" s="21">
        <f>IF(OR($A1226="",$B1226=""),"",SUMIFS($H$2:$H$2001,$A$2:$A$2001,$A1226,$B$2:$B$2001,$B1226))</f>
        <v/>
      </c>
      <c r="N1226" s="20">
        <f>IF($M1226="","",IF($M1226&lt;=0,"Sin stock: reponer ya",IF($M1226&lt;IFERROR(N(INDEX(Vinos!$N$2:$N$301,MATCH($B1226,Vinos!$A$2:$A$301,0))),0),"Bajo mínimo: reponer","OK")))</f>
        <v/>
      </c>
      <c r="O1226" s="14" t="n"/>
      <c r="P1226" s="14" t="n"/>
      <c r="Q1226" s="20">
        <f>IF($B1226="","",IFERROR(INDEX(Vinos!$C$2:$C$301,MATCH($B1226,Vinos!$A$2:$A$301,0)),""))</f>
        <v/>
      </c>
      <c r="R1226" s="20">
        <f>IF(OR($A1226="",$A1226&lt;&gt;'Resumen del inventario'!$C$3,$N1226="",$N1226="OK"),"",IF(COUNTIFS($A$2:$A1226,$A1226,$B$2:$B1226,$B1226)=1,1,""))</f>
        <v/>
      </c>
      <c r="S1226" s="20">
        <f>IF($R1226=1,COUNTIF($R$2:$R1226,1),"")</f>
        <v/>
      </c>
    </row>
    <row r="1227">
      <c r="A1227" s="19" t="n"/>
      <c r="B1227" s="14" t="n"/>
      <c r="C1227" s="20">
        <f>IF($B1227="","",IFERROR(INDEX(Vinos!$B$2:$B$301,MATCH($B1227,Vinos!$A$2:$A$301,0)),"Código no cargado"))</f>
        <v/>
      </c>
      <c r="D1227" s="14" t="n"/>
      <c r="E1227" s="14" t="n"/>
      <c r="F1227" s="18" t="n"/>
      <c r="G1227" s="18" t="n"/>
      <c r="H1227" s="21">
        <f>IF(AND($F1227="",$G1227=""),"",N($F1227)*IFERROR(N(INDEX(Vinos!$H$2:$H$301,MATCH($B1227,Vinos!$A$2:$A$301,0))),0)+N($G1227))</f>
        <v/>
      </c>
      <c r="I1227" s="18" t="n"/>
      <c r="J1227" s="21">
        <f>IF(OR($H1227="",$I1227=""),"",$H1227-$I1227)</f>
        <v/>
      </c>
      <c r="K1227" s="16">
        <f>IF($H1227="","",IFERROR(IF(INDEX(Vinos!$J$2:$J$301,MATCH($B1227,Vinos!$A$2:$A$301,0))="","",$H1227*INDEX(Vinos!$J$2:$J$301,MATCH($B1227,Vinos!$A$2:$A$301,0))),""))</f>
        <v/>
      </c>
      <c r="L1227" s="16">
        <f>IF($H1227="","",IFERROR(IF(INDEX(Vinos!$K$2:$K$301,MATCH($B1227,Vinos!$A$2:$A$301,0))="","",$H1227*INDEX(Vinos!$K$2:$K$301,MATCH($B1227,Vinos!$A$2:$A$301,0))),""))</f>
        <v/>
      </c>
      <c r="M1227" s="21">
        <f>IF(OR($A1227="",$B1227=""),"",SUMIFS($H$2:$H$2001,$A$2:$A$2001,$A1227,$B$2:$B$2001,$B1227))</f>
        <v/>
      </c>
      <c r="N1227" s="20">
        <f>IF($M1227="","",IF($M1227&lt;=0,"Sin stock: reponer ya",IF($M1227&lt;IFERROR(N(INDEX(Vinos!$N$2:$N$301,MATCH($B1227,Vinos!$A$2:$A$301,0))),0),"Bajo mínimo: reponer","OK")))</f>
        <v/>
      </c>
      <c r="O1227" s="14" t="n"/>
      <c r="P1227" s="14" t="n"/>
      <c r="Q1227" s="20">
        <f>IF($B1227="","",IFERROR(INDEX(Vinos!$C$2:$C$301,MATCH($B1227,Vinos!$A$2:$A$301,0)),""))</f>
        <v/>
      </c>
      <c r="R1227" s="20">
        <f>IF(OR($A1227="",$A1227&lt;&gt;'Resumen del inventario'!$C$3,$N1227="",$N1227="OK"),"",IF(COUNTIFS($A$2:$A1227,$A1227,$B$2:$B1227,$B1227)=1,1,""))</f>
        <v/>
      </c>
      <c r="S1227" s="20">
        <f>IF($R1227=1,COUNTIF($R$2:$R1227,1),"")</f>
        <v/>
      </c>
    </row>
    <row r="1228">
      <c r="A1228" s="19" t="n"/>
      <c r="B1228" s="14" t="n"/>
      <c r="C1228" s="20">
        <f>IF($B1228="","",IFERROR(INDEX(Vinos!$B$2:$B$301,MATCH($B1228,Vinos!$A$2:$A$301,0)),"Código no cargado"))</f>
        <v/>
      </c>
      <c r="D1228" s="14" t="n"/>
      <c r="E1228" s="14" t="n"/>
      <c r="F1228" s="18" t="n"/>
      <c r="G1228" s="18" t="n"/>
      <c r="H1228" s="21">
        <f>IF(AND($F1228="",$G1228=""),"",N($F1228)*IFERROR(N(INDEX(Vinos!$H$2:$H$301,MATCH($B1228,Vinos!$A$2:$A$301,0))),0)+N($G1228))</f>
        <v/>
      </c>
      <c r="I1228" s="18" t="n"/>
      <c r="J1228" s="21">
        <f>IF(OR($H1228="",$I1228=""),"",$H1228-$I1228)</f>
        <v/>
      </c>
      <c r="K1228" s="16">
        <f>IF($H1228="","",IFERROR(IF(INDEX(Vinos!$J$2:$J$301,MATCH($B1228,Vinos!$A$2:$A$301,0))="","",$H1228*INDEX(Vinos!$J$2:$J$301,MATCH($B1228,Vinos!$A$2:$A$301,0))),""))</f>
        <v/>
      </c>
      <c r="L1228" s="16">
        <f>IF($H1228="","",IFERROR(IF(INDEX(Vinos!$K$2:$K$301,MATCH($B1228,Vinos!$A$2:$A$301,0))="","",$H1228*INDEX(Vinos!$K$2:$K$301,MATCH($B1228,Vinos!$A$2:$A$301,0))),""))</f>
        <v/>
      </c>
      <c r="M1228" s="21">
        <f>IF(OR($A1228="",$B1228=""),"",SUMIFS($H$2:$H$2001,$A$2:$A$2001,$A1228,$B$2:$B$2001,$B1228))</f>
        <v/>
      </c>
      <c r="N1228" s="20">
        <f>IF($M1228="","",IF($M1228&lt;=0,"Sin stock: reponer ya",IF($M1228&lt;IFERROR(N(INDEX(Vinos!$N$2:$N$301,MATCH($B1228,Vinos!$A$2:$A$301,0))),0),"Bajo mínimo: reponer","OK")))</f>
        <v/>
      </c>
      <c r="O1228" s="14" t="n"/>
      <c r="P1228" s="14" t="n"/>
      <c r="Q1228" s="20">
        <f>IF($B1228="","",IFERROR(INDEX(Vinos!$C$2:$C$301,MATCH($B1228,Vinos!$A$2:$A$301,0)),""))</f>
        <v/>
      </c>
      <c r="R1228" s="20">
        <f>IF(OR($A1228="",$A1228&lt;&gt;'Resumen del inventario'!$C$3,$N1228="",$N1228="OK"),"",IF(COUNTIFS($A$2:$A1228,$A1228,$B$2:$B1228,$B1228)=1,1,""))</f>
        <v/>
      </c>
      <c r="S1228" s="20">
        <f>IF($R1228=1,COUNTIF($R$2:$R1228,1),"")</f>
        <v/>
      </c>
    </row>
    <row r="1229">
      <c r="A1229" s="19" t="n"/>
      <c r="B1229" s="14" t="n"/>
      <c r="C1229" s="20">
        <f>IF($B1229="","",IFERROR(INDEX(Vinos!$B$2:$B$301,MATCH($B1229,Vinos!$A$2:$A$301,0)),"Código no cargado"))</f>
        <v/>
      </c>
      <c r="D1229" s="14" t="n"/>
      <c r="E1229" s="14" t="n"/>
      <c r="F1229" s="18" t="n"/>
      <c r="G1229" s="18" t="n"/>
      <c r="H1229" s="21">
        <f>IF(AND($F1229="",$G1229=""),"",N($F1229)*IFERROR(N(INDEX(Vinos!$H$2:$H$301,MATCH($B1229,Vinos!$A$2:$A$301,0))),0)+N($G1229))</f>
        <v/>
      </c>
      <c r="I1229" s="18" t="n"/>
      <c r="J1229" s="21">
        <f>IF(OR($H1229="",$I1229=""),"",$H1229-$I1229)</f>
        <v/>
      </c>
      <c r="K1229" s="16">
        <f>IF($H1229="","",IFERROR(IF(INDEX(Vinos!$J$2:$J$301,MATCH($B1229,Vinos!$A$2:$A$301,0))="","",$H1229*INDEX(Vinos!$J$2:$J$301,MATCH($B1229,Vinos!$A$2:$A$301,0))),""))</f>
        <v/>
      </c>
      <c r="L1229" s="16">
        <f>IF($H1229="","",IFERROR(IF(INDEX(Vinos!$K$2:$K$301,MATCH($B1229,Vinos!$A$2:$A$301,0))="","",$H1229*INDEX(Vinos!$K$2:$K$301,MATCH($B1229,Vinos!$A$2:$A$301,0))),""))</f>
        <v/>
      </c>
      <c r="M1229" s="21">
        <f>IF(OR($A1229="",$B1229=""),"",SUMIFS($H$2:$H$2001,$A$2:$A$2001,$A1229,$B$2:$B$2001,$B1229))</f>
        <v/>
      </c>
      <c r="N1229" s="20">
        <f>IF($M1229="","",IF($M1229&lt;=0,"Sin stock: reponer ya",IF($M1229&lt;IFERROR(N(INDEX(Vinos!$N$2:$N$301,MATCH($B1229,Vinos!$A$2:$A$301,0))),0),"Bajo mínimo: reponer","OK")))</f>
        <v/>
      </c>
      <c r="O1229" s="14" t="n"/>
      <c r="P1229" s="14" t="n"/>
      <c r="Q1229" s="20">
        <f>IF($B1229="","",IFERROR(INDEX(Vinos!$C$2:$C$301,MATCH($B1229,Vinos!$A$2:$A$301,0)),""))</f>
        <v/>
      </c>
      <c r="R1229" s="20">
        <f>IF(OR($A1229="",$A1229&lt;&gt;'Resumen del inventario'!$C$3,$N1229="",$N1229="OK"),"",IF(COUNTIFS($A$2:$A1229,$A1229,$B$2:$B1229,$B1229)=1,1,""))</f>
        <v/>
      </c>
      <c r="S1229" s="20">
        <f>IF($R1229=1,COUNTIF($R$2:$R1229,1),"")</f>
        <v/>
      </c>
    </row>
    <row r="1230">
      <c r="A1230" s="19" t="n"/>
      <c r="B1230" s="14" t="n"/>
      <c r="C1230" s="20">
        <f>IF($B1230="","",IFERROR(INDEX(Vinos!$B$2:$B$301,MATCH($B1230,Vinos!$A$2:$A$301,0)),"Código no cargado"))</f>
        <v/>
      </c>
      <c r="D1230" s="14" t="n"/>
      <c r="E1230" s="14" t="n"/>
      <c r="F1230" s="18" t="n"/>
      <c r="G1230" s="18" t="n"/>
      <c r="H1230" s="21">
        <f>IF(AND($F1230="",$G1230=""),"",N($F1230)*IFERROR(N(INDEX(Vinos!$H$2:$H$301,MATCH($B1230,Vinos!$A$2:$A$301,0))),0)+N($G1230))</f>
        <v/>
      </c>
      <c r="I1230" s="18" t="n"/>
      <c r="J1230" s="21">
        <f>IF(OR($H1230="",$I1230=""),"",$H1230-$I1230)</f>
        <v/>
      </c>
      <c r="K1230" s="16">
        <f>IF($H1230="","",IFERROR(IF(INDEX(Vinos!$J$2:$J$301,MATCH($B1230,Vinos!$A$2:$A$301,0))="","",$H1230*INDEX(Vinos!$J$2:$J$301,MATCH($B1230,Vinos!$A$2:$A$301,0))),""))</f>
        <v/>
      </c>
      <c r="L1230" s="16">
        <f>IF($H1230="","",IFERROR(IF(INDEX(Vinos!$K$2:$K$301,MATCH($B1230,Vinos!$A$2:$A$301,0))="","",$H1230*INDEX(Vinos!$K$2:$K$301,MATCH($B1230,Vinos!$A$2:$A$301,0))),""))</f>
        <v/>
      </c>
      <c r="M1230" s="21">
        <f>IF(OR($A1230="",$B1230=""),"",SUMIFS($H$2:$H$2001,$A$2:$A$2001,$A1230,$B$2:$B$2001,$B1230))</f>
        <v/>
      </c>
      <c r="N1230" s="20">
        <f>IF($M1230="","",IF($M1230&lt;=0,"Sin stock: reponer ya",IF($M1230&lt;IFERROR(N(INDEX(Vinos!$N$2:$N$301,MATCH($B1230,Vinos!$A$2:$A$301,0))),0),"Bajo mínimo: reponer","OK")))</f>
        <v/>
      </c>
      <c r="O1230" s="14" t="n"/>
      <c r="P1230" s="14" t="n"/>
      <c r="Q1230" s="20">
        <f>IF($B1230="","",IFERROR(INDEX(Vinos!$C$2:$C$301,MATCH($B1230,Vinos!$A$2:$A$301,0)),""))</f>
        <v/>
      </c>
      <c r="R1230" s="20">
        <f>IF(OR($A1230="",$A1230&lt;&gt;'Resumen del inventario'!$C$3,$N1230="",$N1230="OK"),"",IF(COUNTIFS($A$2:$A1230,$A1230,$B$2:$B1230,$B1230)=1,1,""))</f>
        <v/>
      </c>
      <c r="S1230" s="20">
        <f>IF($R1230=1,COUNTIF($R$2:$R1230,1),"")</f>
        <v/>
      </c>
    </row>
    <row r="1231">
      <c r="A1231" s="19" t="n"/>
      <c r="B1231" s="14" t="n"/>
      <c r="C1231" s="20">
        <f>IF($B1231="","",IFERROR(INDEX(Vinos!$B$2:$B$301,MATCH($B1231,Vinos!$A$2:$A$301,0)),"Código no cargado"))</f>
        <v/>
      </c>
      <c r="D1231" s="14" t="n"/>
      <c r="E1231" s="14" t="n"/>
      <c r="F1231" s="18" t="n"/>
      <c r="G1231" s="18" t="n"/>
      <c r="H1231" s="21">
        <f>IF(AND($F1231="",$G1231=""),"",N($F1231)*IFERROR(N(INDEX(Vinos!$H$2:$H$301,MATCH($B1231,Vinos!$A$2:$A$301,0))),0)+N($G1231))</f>
        <v/>
      </c>
      <c r="I1231" s="18" t="n"/>
      <c r="J1231" s="21">
        <f>IF(OR($H1231="",$I1231=""),"",$H1231-$I1231)</f>
        <v/>
      </c>
      <c r="K1231" s="16">
        <f>IF($H1231="","",IFERROR(IF(INDEX(Vinos!$J$2:$J$301,MATCH($B1231,Vinos!$A$2:$A$301,0))="","",$H1231*INDEX(Vinos!$J$2:$J$301,MATCH($B1231,Vinos!$A$2:$A$301,0))),""))</f>
        <v/>
      </c>
      <c r="L1231" s="16">
        <f>IF($H1231="","",IFERROR(IF(INDEX(Vinos!$K$2:$K$301,MATCH($B1231,Vinos!$A$2:$A$301,0))="","",$H1231*INDEX(Vinos!$K$2:$K$301,MATCH($B1231,Vinos!$A$2:$A$301,0))),""))</f>
        <v/>
      </c>
      <c r="M1231" s="21">
        <f>IF(OR($A1231="",$B1231=""),"",SUMIFS($H$2:$H$2001,$A$2:$A$2001,$A1231,$B$2:$B$2001,$B1231))</f>
        <v/>
      </c>
      <c r="N1231" s="20">
        <f>IF($M1231="","",IF($M1231&lt;=0,"Sin stock: reponer ya",IF($M1231&lt;IFERROR(N(INDEX(Vinos!$N$2:$N$301,MATCH($B1231,Vinos!$A$2:$A$301,0))),0),"Bajo mínimo: reponer","OK")))</f>
        <v/>
      </c>
      <c r="O1231" s="14" t="n"/>
      <c r="P1231" s="14" t="n"/>
      <c r="Q1231" s="20">
        <f>IF($B1231="","",IFERROR(INDEX(Vinos!$C$2:$C$301,MATCH($B1231,Vinos!$A$2:$A$301,0)),""))</f>
        <v/>
      </c>
      <c r="R1231" s="20">
        <f>IF(OR($A1231="",$A1231&lt;&gt;'Resumen del inventario'!$C$3,$N1231="",$N1231="OK"),"",IF(COUNTIFS($A$2:$A1231,$A1231,$B$2:$B1231,$B1231)=1,1,""))</f>
        <v/>
      </c>
      <c r="S1231" s="20">
        <f>IF($R1231=1,COUNTIF($R$2:$R1231,1),"")</f>
        <v/>
      </c>
    </row>
    <row r="1232">
      <c r="A1232" s="19" t="n"/>
      <c r="B1232" s="14" t="n"/>
      <c r="C1232" s="20">
        <f>IF($B1232="","",IFERROR(INDEX(Vinos!$B$2:$B$301,MATCH($B1232,Vinos!$A$2:$A$301,0)),"Código no cargado"))</f>
        <v/>
      </c>
      <c r="D1232" s="14" t="n"/>
      <c r="E1232" s="14" t="n"/>
      <c r="F1232" s="18" t="n"/>
      <c r="G1232" s="18" t="n"/>
      <c r="H1232" s="21">
        <f>IF(AND($F1232="",$G1232=""),"",N($F1232)*IFERROR(N(INDEX(Vinos!$H$2:$H$301,MATCH($B1232,Vinos!$A$2:$A$301,0))),0)+N($G1232))</f>
        <v/>
      </c>
      <c r="I1232" s="18" t="n"/>
      <c r="J1232" s="21">
        <f>IF(OR($H1232="",$I1232=""),"",$H1232-$I1232)</f>
        <v/>
      </c>
      <c r="K1232" s="16">
        <f>IF($H1232="","",IFERROR(IF(INDEX(Vinos!$J$2:$J$301,MATCH($B1232,Vinos!$A$2:$A$301,0))="","",$H1232*INDEX(Vinos!$J$2:$J$301,MATCH($B1232,Vinos!$A$2:$A$301,0))),""))</f>
        <v/>
      </c>
      <c r="L1232" s="16">
        <f>IF($H1232="","",IFERROR(IF(INDEX(Vinos!$K$2:$K$301,MATCH($B1232,Vinos!$A$2:$A$301,0))="","",$H1232*INDEX(Vinos!$K$2:$K$301,MATCH($B1232,Vinos!$A$2:$A$301,0))),""))</f>
        <v/>
      </c>
      <c r="M1232" s="21">
        <f>IF(OR($A1232="",$B1232=""),"",SUMIFS($H$2:$H$2001,$A$2:$A$2001,$A1232,$B$2:$B$2001,$B1232))</f>
        <v/>
      </c>
      <c r="N1232" s="20">
        <f>IF($M1232="","",IF($M1232&lt;=0,"Sin stock: reponer ya",IF($M1232&lt;IFERROR(N(INDEX(Vinos!$N$2:$N$301,MATCH($B1232,Vinos!$A$2:$A$301,0))),0),"Bajo mínimo: reponer","OK")))</f>
        <v/>
      </c>
      <c r="O1232" s="14" t="n"/>
      <c r="P1232" s="14" t="n"/>
      <c r="Q1232" s="20">
        <f>IF($B1232="","",IFERROR(INDEX(Vinos!$C$2:$C$301,MATCH($B1232,Vinos!$A$2:$A$301,0)),""))</f>
        <v/>
      </c>
      <c r="R1232" s="20">
        <f>IF(OR($A1232="",$A1232&lt;&gt;'Resumen del inventario'!$C$3,$N1232="",$N1232="OK"),"",IF(COUNTIFS($A$2:$A1232,$A1232,$B$2:$B1232,$B1232)=1,1,""))</f>
        <v/>
      </c>
      <c r="S1232" s="20">
        <f>IF($R1232=1,COUNTIF($R$2:$R1232,1),"")</f>
        <v/>
      </c>
    </row>
    <row r="1233">
      <c r="A1233" s="19" t="n"/>
      <c r="B1233" s="14" t="n"/>
      <c r="C1233" s="20">
        <f>IF($B1233="","",IFERROR(INDEX(Vinos!$B$2:$B$301,MATCH($B1233,Vinos!$A$2:$A$301,0)),"Código no cargado"))</f>
        <v/>
      </c>
      <c r="D1233" s="14" t="n"/>
      <c r="E1233" s="14" t="n"/>
      <c r="F1233" s="18" t="n"/>
      <c r="G1233" s="18" t="n"/>
      <c r="H1233" s="21">
        <f>IF(AND($F1233="",$G1233=""),"",N($F1233)*IFERROR(N(INDEX(Vinos!$H$2:$H$301,MATCH($B1233,Vinos!$A$2:$A$301,0))),0)+N($G1233))</f>
        <v/>
      </c>
      <c r="I1233" s="18" t="n"/>
      <c r="J1233" s="21">
        <f>IF(OR($H1233="",$I1233=""),"",$H1233-$I1233)</f>
        <v/>
      </c>
      <c r="K1233" s="16">
        <f>IF($H1233="","",IFERROR(IF(INDEX(Vinos!$J$2:$J$301,MATCH($B1233,Vinos!$A$2:$A$301,0))="","",$H1233*INDEX(Vinos!$J$2:$J$301,MATCH($B1233,Vinos!$A$2:$A$301,0))),""))</f>
        <v/>
      </c>
      <c r="L1233" s="16">
        <f>IF($H1233="","",IFERROR(IF(INDEX(Vinos!$K$2:$K$301,MATCH($B1233,Vinos!$A$2:$A$301,0))="","",$H1233*INDEX(Vinos!$K$2:$K$301,MATCH($B1233,Vinos!$A$2:$A$301,0))),""))</f>
        <v/>
      </c>
      <c r="M1233" s="21">
        <f>IF(OR($A1233="",$B1233=""),"",SUMIFS($H$2:$H$2001,$A$2:$A$2001,$A1233,$B$2:$B$2001,$B1233))</f>
        <v/>
      </c>
      <c r="N1233" s="20">
        <f>IF($M1233="","",IF($M1233&lt;=0,"Sin stock: reponer ya",IF($M1233&lt;IFERROR(N(INDEX(Vinos!$N$2:$N$301,MATCH($B1233,Vinos!$A$2:$A$301,0))),0),"Bajo mínimo: reponer","OK")))</f>
        <v/>
      </c>
      <c r="O1233" s="14" t="n"/>
      <c r="P1233" s="14" t="n"/>
      <c r="Q1233" s="20">
        <f>IF($B1233="","",IFERROR(INDEX(Vinos!$C$2:$C$301,MATCH($B1233,Vinos!$A$2:$A$301,0)),""))</f>
        <v/>
      </c>
      <c r="R1233" s="20">
        <f>IF(OR($A1233="",$A1233&lt;&gt;'Resumen del inventario'!$C$3,$N1233="",$N1233="OK"),"",IF(COUNTIFS($A$2:$A1233,$A1233,$B$2:$B1233,$B1233)=1,1,""))</f>
        <v/>
      </c>
      <c r="S1233" s="20">
        <f>IF($R1233=1,COUNTIF($R$2:$R1233,1),"")</f>
        <v/>
      </c>
    </row>
    <row r="1234">
      <c r="A1234" s="19" t="n"/>
      <c r="B1234" s="14" t="n"/>
      <c r="C1234" s="20">
        <f>IF($B1234="","",IFERROR(INDEX(Vinos!$B$2:$B$301,MATCH($B1234,Vinos!$A$2:$A$301,0)),"Código no cargado"))</f>
        <v/>
      </c>
      <c r="D1234" s="14" t="n"/>
      <c r="E1234" s="14" t="n"/>
      <c r="F1234" s="18" t="n"/>
      <c r="G1234" s="18" t="n"/>
      <c r="H1234" s="21">
        <f>IF(AND($F1234="",$G1234=""),"",N($F1234)*IFERROR(N(INDEX(Vinos!$H$2:$H$301,MATCH($B1234,Vinos!$A$2:$A$301,0))),0)+N($G1234))</f>
        <v/>
      </c>
      <c r="I1234" s="18" t="n"/>
      <c r="J1234" s="21">
        <f>IF(OR($H1234="",$I1234=""),"",$H1234-$I1234)</f>
        <v/>
      </c>
      <c r="K1234" s="16">
        <f>IF($H1234="","",IFERROR(IF(INDEX(Vinos!$J$2:$J$301,MATCH($B1234,Vinos!$A$2:$A$301,0))="","",$H1234*INDEX(Vinos!$J$2:$J$301,MATCH($B1234,Vinos!$A$2:$A$301,0))),""))</f>
        <v/>
      </c>
      <c r="L1234" s="16">
        <f>IF($H1234="","",IFERROR(IF(INDEX(Vinos!$K$2:$K$301,MATCH($B1234,Vinos!$A$2:$A$301,0))="","",$H1234*INDEX(Vinos!$K$2:$K$301,MATCH($B1234,Vinos!$A$2:$A$301,0))),""))</f>
        <v/>
      </c>
      <c r="M1234" s="21">
        <f>IF(OR($A1234="",$B1234=""),"",SUMIFS($H$2:$H$2001,$A$2:$A$2001,$A1234,$B$2:$B$2001,$B1234))</f>
        <v/>
      </c>
      <c r="N1234" s="20">
        <f>IF($M1234="","",IF($M1234&lt;=0,"Sin stock: reponer ya",IF($M1234&lt;IFERROR(N(INDEX(Vinos!$N$2:$N$301,MATCH($B1234,Vinos!$A$2:$A$301,0))),0),"Bajo mínimo: reponer","OK")))</f>
        <v/>
      </c>
      <c r="O1234" s="14" t="n"/>
      <c r="P1234" s="14" t="n"/>
      <c r="Q1234" s="20">
        <f>IF($B1234="","",IFERROR(INDEX(Vinos!$C$2:$C$301,MATCH($B1234,Vinos!$A$2:$A$301,0)),""))</f>
        <v/>
      </c>
      <c r="R1234" s="20">
        <f>IF(OR($A1234="",$A1234&lt;&gt;'Resumen del inventario'!$C$3,$N1234="",$N1234="OK"),"",IF(COUNTIFS($A$2:$A1234,$A1234,$B$2:$B1234,$B1234)=1,1,""))</f>
        <v/>
      </c>
      <c r="S1234" s="20">
        <f>IF($R1234=1,COUNTIF($R$2:$R1234,1),"")</f>
        <v/>
      </c>
    </row>
    <row r="1235">
      <c r="A1235" s="19" t="n"/>
      <c r="B1235" s="14" t="n"/>
      <c r="C1235" s="20">
        <f>IF($B1235="","",IFERROR(INDEX(Vinos!$B$2:$B$301,MATCH($B1235,Vinos!$A$2:$A$301,0)),"Código no cargado"))</f>
        <v/>
      </c>
      <c r="D1235" s="14" t="n"/>
      <c r="E1235" s="14" t="n"/>
      <c r="F1235" s="18" t="n"/>
      <c r="G1235" s="18" t="n"/>
      <c r="H1235" s="21">
        <f>IF(AND($F1235="",$G1235=""),"",N($F1235)*IFERROR(N(INDEX(Vinos!$H$2:$H$301,MATCH($B1235,Vinos!$A$2:$A$301,0))),0)+N($G1235))</f>
        <v/>
      </c>
      <c r="I1235" s="18" t="n"/>
      <c r="J1235" s="21">
        <f>IF(OR($H1235="",$I1235=""),"",$H1235-$I1235)</f>
        <v/>
      </c>
      <c r="K1235" s="16">
        <f>IF($H1235="","",IFERROR(IF(INDEX(Vinos!$J$2:$J$301,MATCH($B1235,Vinos!$A$2:$A$301,0))="","",$H1235*INDEX(Vinos!$J$2:$J$301,MATCH($B1235,Vinos!$A$2:$A$301,0))),""))</f>
        <v/>
      </c>
      <c r="L1235" s="16">
        <f>IF($H1235="","",IFERROR(IF(INDEX(Vinos!$K$2:$K$301,MATCH($B1235,Vinos!$A$2:$A$301,0))="","",$H1235*INDEX(Vinos!$K$2:$K$301,MATCH($B1235,Vinos!$A$2:$A$301,0))),""))</f>
        <v/>
      </c>
      <c r="M1235" s="21">
        <f>IF(OR($A1235="",$B1235=""),"",SUMIFS($H$2:$H$2001,$A$2:$A$2001,$A1235,$B$2:$B$2001,$B1235))</f>
        <v/>
      </c>
      <c r="N1235" s="20">
        <f>IF($M1235="","",IF($M1235&lt;=0,"Sin stock: reponer ya",IF($M1235&lt;IFERROR(N(INDEX(Vinos!$N$2:$N$301,MATCH($B1235,Vinos!$A$2:$A$301,0))),0),"Bajo mínimo: reponer","OK")))</f>
        <v/>
      </c>
      <c r="O1235" s="14" t="n"/>
      <c r="P1235" s="14" t="n"/>
      <c r="Q1235" s="20">
        <f>IF($B1235="","",IFERROR(INDEX(Vinos!$C$2:$C$301,MATCH($B1235,Vinos!$A$2:$A$301,0)),""))</f>
        <v/>
      </c>
      <c r="R1235" s="20">
        <f>IF(OR($A1235="",$A1235&lt;&gt;'Resumen del inventario'!$C$3,$N1235="",$N1235="OK"),"",IF(COUNTIFS($A$2:$A1235,$A1235,$B$2:$B1235,$B1235)=1,1,""))</f>
        <v/>
      </c>
      <c r="S1235" s="20">
        <f>IF($R1235=1,COUNTIF($R$2:$R1235,1),"")</f>
        <v/>
      </c>
    </row>
    <row r="1236">
      <c r="A1236" s="19" t="n"/>
      <c r="B1236" s="14" t="n"/>
      <c r="C1236" s="20">
        <f>IF($B1236="","",IFERROR(INDEX(Vinos!$B$2:$B$301,MATCH($B1236,Vinos!$A$2:$A$301,0)),"Código no cargado"))</f>
        <v/>
      </c>
      <c r="D1236" s="14" t="n"/>
      <c r="E1236" s="14" t="n"/>
      <c r="F1236" s="18" t="n"/>
      <c r="G1236" s="18" t="n"/>
      <c r="H1236" s="21">
        <f>IF(AND($F1236="",$G1236=""),"",N($F1236)*IFERROR(N(INDEX(Vinos!$H$2:$H$301,MATCH($B1236,Vinos!$A$2:$A$301,0))),0)+N($G1236))</f>
        <v/>
      </c>
      <c r="I1236" s="18" t="n"/>
      <c r="J1236" s="21">
        <f>IF(OR($H1236="",$I1236=""),"",$H1236-$I1236)</f>
        <v/>
      </c>
      <c r="K1236" s="16">
        <f>IF($H1236="","",IFERROR(IF(INDEX(Vinos!$J$2:$J$301,MATCH($B1236,Vinos!$A$2:$A$301,0))="","",$H1236*INDEX(Vinos!$J$2:$J$301,MATCH($B1236,Vinos!$A$2:$A$301,0))),""))</f>
        <v/>
      </c>
      <c r="L1236" s="16">
        <f>IF($H1236="","",IFERROR(IF(INDEX(Vinos!$K$2:$K$301,MATCH($B1236,Vinos!$A$2:$A$301,0))="","",$H1236*INDEX(Vinos!$K$2:$K$301,MATCH($B1236,Vinos!$A$2:$A$301,0))),""))</f>
        <v/>
      </c>
      <c r="M1236" s="21">
        <f>IF(OR($A1236="",$B1236=""),"",SUMIFS($H$2:$H$2001,$A$2:$A$2001,$A1236,$B$2:$B$2001,$B1236))</f>
        <v/>
      </c>
      <c r="N1236" s="20">
        <f>IF($M1236="","",IF($M1236&lt;=0,"Sin stock: reponer ya",IF($M1236&lt;IFERROR(N(INDEX(Vinos!$N$2:$N$301,MATCH($B1236,Vinos!$A$2:$A$301,0))),0),"Bajo mínimo: reponer","OK")))</f>
        <v/>
      </c>
      <c r="O1236" s="14" t="n"/>
      <c r="P1236" s="14" t="n"/>
      <c r="Q1236" s="20">
        <f>IF($B1236="","",IFERROR(INDEX(Vinos!$C$2:$C$301,MATCH($B1236,Vinos!$A$2:$A$301,0)),""))</f>
        <v/>
      </c>
      <c r="R1236" s="20">
        <f>IF(OR($A1236="",$A1236&lt;&gt;'Resumen del inventario'!$C$3,$N1236="",$N1236="OK"),"",IF(COUNTIFS($A$2:$A1236,$A1236,$B$2:$B1236,$B1236)=1,1,""))</f>
        <v/>
      </c>
      <c r="S1236" s="20">
        <f>IF($R1236=1,COUNTIF($R$2:$R1236,1),"")</f>
        <v/>
      </c>
    </row>
    <row r="1237">
      <c r="A1237" s="19" t="n"/>
      <c r="B1237" s="14" t="n"/>
      <c r="C1237" s="20">
        <f>IF($B1237="","",IFERROR(INDEX(Vinos!$B$2:$B$301,MATCH($B1237,Vinos!$A$2:$A$301,0)),"Código no cargado"))</f>
        <v/>
      </c>
      <c r="D1237" s="14" t="n"/>
      <c r="E1237" s="14" t="n"/>
      <c r="F1237" s="18" t="n"/>
      <c r="G1237" s="18" t="n"/>
      <c r="H1237" s="21">
        <f>IF(AND($F1237="",$G1237=""),"",N($F1237)*IFERROR(N(INDEX(Vinos!$H$2:$H$301,MATCH($B1237,Vinos!$A$2:$A$301,0))),0)+N($G1237))</f>
        <v/>
      </c>
      <c r="I1237" s="18" t="n"/>
      <c r="J1237" s="21">
        <f>IF(OR($H1237="",$I1237=""),"",$H1237-$I1237)</f>
        <v/>
      </c>
      <c r="K1237" s="16">
        <f>IF($H1237="","",IFERROR(IF(INDEX(Vinos!$J$2:$J$301,MATCH($B1237,Vinos!$A$2:$A$301,0))="","",$H1237*INDEX(Vinos!$J$2:$J$301,MATCH($B1237,Vinos!$A$2:$A$301,0))),""))</f>
        <v/>
      </c>
      <c r="L1237" s="16">
        <f>IF($H1237="","",IFERROR(IF(INDEX(Vinos!$K$2:$K$301,MATCH($B1237,Vinos!$A$2:$A$301,0))="","",$H1237*INDEX(Vinos!$K$2:$K$301,MATCH($B1237,Vinos!$A$2:$A$301,0))),""))</f>
        <v/>
      </c>
      <c r="M1237" s="21">
        <f>IF(OR($A1237="",$B1237=""),"",SUMIFS($H$2:$H$2001,$A$2:$A$2001,$A1237,$B$2:$B$2001,$B1237))</f>
        <v/>
      </c>
      <c r="N1237" s="20">
        <f>IF($M1237="","",IF($M1237&lt;=0,"Sin stock: reponer ya",IF($M1237&lt;IFERROR(N(INDEX(Vinos!$N$2:$N$301,MATCH($B1237,Vinos!$A$2:$A$301,0))),0),"Bajo mínimo: reponer","OK")))</f>
        <v/>
      </c>
      <c r="O1237" s="14" t="n"/>
      <c r="P1237" s="14" t="n"/>
      <c r="Q1237" s="20">
        <f>IF($B1237="","",IFERROR(INDEX(Vinos!$C$2:$C$301,MATCH($B1237,Vinos!$A$2:$A$301,0)),""))</f>
        <v/>
      </c>
      <c r="R1237" s="20">
        <f>IF(OR($A1237="",$A1237&lt;&gt;'Resumen del inventario'!$C$3,$N1237="",$N1237="OK"),"",IF(COUNTIFS($A$2:$A1237,$A1237,$B$2:$B1237,$B1237)=1,1,""))</f>
        <v/>
      </c>
      <c r="S1237" s="20">
        <f>IF($R1237=1,COUNTIF($R$2:$R1237,1),"")</f>
        <v/>
      </c>
    </row>
    <row r="1238">
      <c r="A1238" s="19" t="n"/>
      <c r="B1238" s="14" t="n"/>
      <c r="C1238" s="20">
        <f>IF($B1238="","",IFERROR(INDEX(Vinos!$B$2:$B$301,MATCH($B1238,Vinos!$A$2:$A$301,0)),"Código no cargado"))</f>
        <v/>
      </c>
      <c r="D1238" s="14" t="n"/>
      <c r="E1238" s="14" t="n"/>
      <c r="F1238" s="18" t="n"/>
      <c r="G1238" s="18" t="n"/>
      <c r="H1238" s="21">
        <f>IF(AND($F1238="",$G1238=""),"",N($F1238)*IFERROR(N(INDEX(Vinos!$H$2:$H$301,MATCH($B1238,Vinos!$A$2:$A$301,0))),0)+N($G1238))</f>
        <v/>
      </c>
      <c r="I1238" s="18" t="n"/>
      <c r="J1238" s="21">
        <f>IF(OR($H1238="",$I1238=""),"",$H1238-$I1238)</f>
        <v/>
      </c>
      <c r="K1238" s="16">
        <f>IF($H1238="","",IFERROR(IF(INDEX(Vinos!$J$2:$J$301,MATCH($B1238,Vinos!$A$2:$A$301,0))="","",$H1238*INDEX(Vinos!$J$2:$J$301,MATCH($B1238,Vinos!$A$2:$A$301,0))),""))</f>
        <v/>
      </c>
      <c r="L1238" s="16">
        <f>IF($H1238="","",IFERROR(IF(INDEX(Vinos!$K$2:$K$301,MATCH($B1238,Vinos!$A$2:$A$301,0))="","",$H1238*INDEX(Vinos!$K$2:$K$301,MATCH($B1238,Vinos!$A$2:$A$301,0))),""))</f>
        <v/>
      </c>
      <c r="M1238" s="21">
        <f>IF(OR($A1238="",$B1238=""),"",SUMIFS($H$2:$H$2001,$A$2:$A$2001,$A1238,$B$2:$B$2001,$B1238))</f>
        <v/>
      </c>
      <c r="N1238" s="20">
        <f>IF($M1238="","",IF($M1238&lt;=0,"Sin stock: reponer ya",IF($M1238&lt;IFERROR(N(INDEX(Vinos!$N$2:$N$301,MATCH($B1238,Vinos!$A$2:$A$301,0))),0),"Bajo mínimo: reponer","OK")))</f>
        <v/>
      </c>
      <c r="O1238" s="14" t="n"/>
      <c r="P1238" s="14" t="n"/>
      <c r="Q1238" s="20">
        <f>IF($B1238="","",IFERROR(INDEX(Vinos!$C$2:$C$301,MATCH($B1238,Vinos!$A$2:$A$301,0)),""))</f>
        <v/>
      </c>
      <c r="R1238" s="20">
        <f>IF(OR($A1238="",$A1238&lt;&gt;'Resumen del inventario'!$C$3,$N1238="",$N1238="OK"),"",IF(COUNTIFS($A$2:$A1238,$A1238,$B$2:$B1238,$B1238)=1,1,""))</f>
        <v/>
      </c>
      <c r="S1238" s="20">
        <f>IF($R1238=1,COUNTIF($R$2:$R1238,1),"")</f>
        <v/>
      </c>
    </row>
    <row r="1239">
      <c r="A1239" s="19" t="n"/>
      <c r="B1239" s="14" t="n"/>
      <c r="C1239" s="20">
        <f>IF($B1239="","",IFERROR(INDEX(Vinos!$B$2:$B$301,MATCH($B1239,Vinos!$A$2:$A$301,0)),"Código no cargado"))</f>
        <v/>
      </c>
      <c r="D1239" s="14" t="n"/>
      <c r="E1239" s="14" t="n"/>
      <c r="F1239" s="18" t="n"/>
      <c r="G1239" s="18" t="n"/>
      <c r="H1239" s="21">
        <f>IF(AND($F1239="",$G1239=""),"",N($F1239)*IFERROR(N(INDEX(Vinos!$H$2:$H$301,MATCH($B1239,Vinos!$A$2:$A$301,0))),0)+N($G1239))</f>
        <v/>
      </c>
      <c r="I1239" s="18" t="n"/>
      <c r="J1239" s="21">
        <f>IF(OR($H1239="",$I1239=""),"",$H1239-$I1239)</f>
        <v/>
      </c>
      <c r="K1239" s="16">
        <f>IF($H1239="","",IFERROR(IF(INDEX(Vinos!$J$2:$J$301,MATCH($B1239,Vinos!$A$2:$A$301,0))="","",$H1239*INDEX(Vinos!$J$2:$J$301,MATCH($B1239,Vinos!$A$2:$A$301,0))),""))</f>
        <v/>
      </c>
      <c r="L1239" s="16">
        <f>IF($H1239="","",IFERROR(IF(INDEX(Vinos!$K$2:$K$301,MATCH($B1239,Vinos!$A$2:$A$301,0))="","",$H1239*INDEX(Vinos!$K$2:$K$301,MATCH($B1239,Vinos!$A$2:$A$301,0))),""))</f>
        <v/>
      </c>
      <c r="M1239" s="21">
        <f>IF(OR($A1239="",$B1239=""),"",SUMIFS($H$2:$H$2001,$A$2:$A$2001,$A1239,$B$2:$B$2001,$B1239))</f>
        <v/>
      </c>
      <c r="N1239" s="20">
        <f>IF($M1239="","",IF($M1239&lt;=0,"Sin stock: reponer ya",IF($M1239&lt;IFERROR(N(INDEX(Vinos!$N$2:$N$301,MATCH($B1239,Vinos!$A$2:$A$301,0))),0),"Bajo mínimo: reponer","OK")))</f>
        <v/>
      </c>
      <c r="O1239" s="14" t="n"/>
      <c r="P1239" s="14" t="n"/>
      <c r="Q1239" s="20">
        <f>IF($B1239="","",IFERROR(INDEX(Vinos!$C$2:$C$301,MATCH($B1239,Vinos!$A$2:$A$301,0)),""))</f>
        <v/>
      </c>
      <c r="R1239" s="20">
        <f>IF(OR($A1239="",$A1239&lt;&gt;'Resumen del inventario'!$C$3,$N1239="",$N1239="OK"),"",IF(COUNTIFS($A$2:$A1239,$A1239,$B$2:$B1239,$B1239)=1,1,""))</f>
        <v/>
      </c>
      <c r="S1239" s="20">
        <f>IF($R1239=1,COUNTIF($R$2:$R1239,1),"")</f>
        <v/>
      </c>
    </row>
    <row r="1240">
      <c r="A1240" s="19" t="n"/>
      <c r="B1240" s="14" t="n"/>
      <c r="C1240" s="20">
        <f>IF($B1240="","",IFERROR(INDEX(Vinos!$B$2:$B$301,MATCH($B1240,Vinos!$A$2:$A$301,0)),"Código no cargado"))</f>
        <v/>
      </c>
      <c r="D1240" s="14" t="n"/>
      <c r="E1240" s="14" t="n"/>
      <c r="F1240" s="18" t="n"/>
      <c r="G1240" s="18" t="n"/>
      <c r="H1240" s="21">
        <f>IF(AND($F1240="",$G1240=""),"",N($F1240)*IFERROR(N(INDEX(Vinos!$H$2:$H$301,MATCH($B1240,Vinos!$A$2:$A$301,0))),0)+N($G1240))</f>
        <v/>
      </c>
      <c r="I1240" s="18" t="n"/>
      <c r="J1240" s="21">
        <f>IF(OR($H1240="",$I1240=""),"",$H1240-$I1240)</f>
        <v/>
      </c>
      <c r="K1240" s="16">
        <f>IF($H1240="","",IFERROR(IF(INDEX(Vinos!$J$2:$J$301,MATCH($B1240,Vinos!$A$2:$A$301,0))="","",$H1240*INDEX(Vinos!$J$2:$J$301,MATCH($B1240,Vinos!$A$2:$A$301,0))),""))</f>
        <v/>
      </c>
      <c r="L1240" s="16">
        <f>IF($H1240="","",IFERROR(IF(INDEX(Vinos!$K$2:$K$301,MATCH($B1240,Vinos!$A$2:$A$301,0))="","",$H1240*INDEX(Vinos!$K$2:$K$301,MATCH($B1240,Vinos!$A$2:$A$301,0))),""))</f>
        <v/>
      </c>
      <c r="M1240" s="21">
        <f>IF(OR($A1240="",$B1240=""),"",SUMIFS($H$2:$H$2001,$A$2:$A$2001,$A1240,$B$2:$B$2001,$B1240))</f>
        <v/>
      </c>
      <c r="N1240" s="20">
        <f>IF($M1240="","",IF($M1240&lt;=0,"Sin stock: reponer ya",IF($M1240&lt;IFERROR(N(INDEX(Vinos!$N$2:$N$301,MATCH($B1240,Vinos!$A$2:$A$301,0))),0),"Bajo mínimo: reponer","OK")))</f>
        <v/>
      </c>
      <c r="O1240" s="14" t="n"/>
      <c r="P1240" s="14" t="n"/>
      <c r="Q1240" s="20">
        <f>IF($B1240="","",IFERROR(INDEX(Vinos!$C$2:$C$301,MATCH($B1240,Vinos!$A$2:$A$301,0)),""))</f>
        <v/>
      </c>
      <c r="R1240" s="20">
        <f>IF(OR($A1240="",$A1240&lt;&gt;'Resumen del inventario'!$C$3,$N1240="",$N1240="OK"),"",IF(COUNTIFS($A$2:$A1240,$A1240,$B$2:$B1240,$B1240)=1,1,""))</f>
        <v/>
      </c>
      <c r="S1240" s="20">
        <f>IF($R1240=1,COUNTIF($R$2:$R1240,1),"")</f>
        <v/>
      </c>
    </row>
    <row r="1241">
      <c r="A1241" s="19" t="n"/>
      <c r="B1241" s="14" t="n"/>
      <c r="C1241" s="20">
        <f>IF($B1241="","",IFERROR(INDEX(Vinos!$B$2:$B$301,MATCH($B1241,Vinos!$A$2:$A$301,0)),"Código no cargado"))</f>
        <v/>
      </c>
      <c r="D1241" s="14" t="n"/>
      <c r="E1241" s="14" t="n"/>
      <c r="F1241" s="18" t="n"/>
      <c r="G1241" s="18" t="n"/>
      <c r="H1241" s="21">
        <f>IF(AND($F1241="",$G1241=""),"",N($F1241)*IFERROR(N(INDEX(Vinos!$H$2:$H$301,MATCH($B1241,Vinos!$A$2:$A$301,0))),0)+N($G1241))</f>
        <v/>
      </c>
      <c r="I1241" s="18" t="n"/>
      <c r="J1241" s="21">
        <f>IF(OR($H1241="",$I1241=""),"",$H1241-$I1241)</f>
        <v/>
      </c>
      <c r="K1241" s="16">
        <f>IF($H1241="","",IFERROR(IF(INDEX(Vinos!$J$2:$J$301,MATCH($B1241,Vinos!$A$2:$A$301,0))="","",$H1241*INDEX(Vinos!$J$2:$J$301,MATCH($B1241,Vinos!$A$2:$A$301,0))),""))</f>
        <v/>
      </c>
      <c r="L1241" s="16">
        <f>IF($H1241="","",IFERROR(IF(INDEX(Vinos!$K$2:$K$301,MATCH($B1241,Vinos!$A$2:$A$301,0))="","",$H1241*INDEX(Vinos!$K$2:$K$301,MATCH($B1241,Vinos!$A$2:$A$301,0))),""))</f>
        <v/>
      </c>
      <c r="M1241" s="21">
        <f>IF(OR($A1241="",$B1241=""),"",SUMIFS($H$2:$H$2001,$A$2:$A$2001,$A1241,$B$2:$B$2001,$B1241))</f>
        <v/>
      </c>
      <c r="N1241" s="20">
        <f>IF($M1241="","",IF($M1241&lt;=0,"Sin stock: reponer ya",IF($M1241&lt;IFERROR(N(INDEX(Vinos!$N$2:$N$301,MATCH($B1241,Vinos!$A$2:$A$301,0))),0),"Bajo mínimo: reponer","OK")))</f>
        <v/>
      </c>
      <c r="O1241" s="14" t="n"/>
      <c r="P1241" s="14" t="n"/>
      <c r="Q1241" s="20">
        <f>IF($B1241="","",IFERROR(INDEX(Vinos!$C$2:$C$301,MATCH($B1241,Vinos!$A$2:$A$301,0)),""))</f>
        <v/>
      </c>
      <c r="R1241" s="20">
        <f>IF(OR($A1241="",$A1241&lt;&gt;'Resumen del inventario'!$C$3,$N1241="",$N1241="OK"),"",IF(COUNTIFS($A$2:$A1241,$A1241,$B$2:$B1241,$B1241)=1,1,""))</f>
        <v/>
      </c>
      <c r="S1241" s="20">
        <f>IF($R1241=1,COUNTIF($R$2:$R1241,1),"")</f>
        <v/>
      </c>
    </row>
    <row r="1242">
      <c r="A1242" s="19" t="n"/>
      <c r="B1242" s="14" t="n"/>
      <c r="C1242" s="20">
        <f>IF($B1242="","",IFERROR(INDEX(Vinos!$B$2:$B$301,MATCH($B1242,Vinos!$A$2:$A$301,0)),"Código no cargado"))</f>
        <v/>
      </c>
      <c r="D1242" s="14" t="n"/>
      <c r="E1242" s="14" t="n"/>
      <c r="F1242" s="18" t="n"/>
      <c r="G1242" s="18" t="n"/>
      <c r="H1242" s="21">
        <f>IF(AND($F1242="",$G1242=""),"",N($F1242)*IFERROR(N(INDEX(Vinos!$H$2:$H$301,MATCH($B1242,Vinos!$A$2:$A$301,0))),0)+N($G1242))</f>
        <v/>
      </c>
      <c r="I1242" s="18" t="n"/>
      <c r="J1242" s="21">
        <f>IF(OR($H1242="",$I1242=""),"",$H1242-$I1242)</f>
        <v/>
      </c>
      <c r="K1242" s="16">
        <f>IF($H1242="","",IFERROR(IF(INDEX(Vinos!$J$2:$J$301,MATCH($B1242,Vinos!$A$2:$A$301,0))="","",$H1242*INDEX(Vinos!$J$2:$J$301,MATCH($B1242,Vinos!$A$2:$A$301,0))),""))</f>
        <v/>
      </c>
      <c r="L1242" s="16">
        <f>IF($H1242="","",IFERROR(IF(INDEX(Vinos!$K$2:$K$301,MATCH($B1242,Vinos!$A$2:$A$301,0))="","",$H1242*INDEX(Vinos!$K$2:$K$301,MATCH($B1242,Vinos!$A$2:$A$301,0))),""))</f>
        <v/>
      </c>
      <c r="M1242" s="21">
        <f>IF(OR($A1242="",$B1242=""),"",SUMIFS($H$2:$H$2001,$A$2:$A$2001,$A1242,$B$2:$B$2001,$B1242))</f>
        <v/>
      </c>
      <c r="N1242" s="20">
        <f>IF($M1242="","",IF($M1242&lt;=0,"Sin stock: reponer ya",IF($M1242&lt;IFERROR(N(INDEX(Vinos!$N$2:$N$301,MATCH($B1242,Vinos!$A$2:$A$301,0))),0),"Bajo mínimo: reponer","OK")))</f>
        <v/>
      </c>
      <c r="O1242" s="14" t="n"/>
      <c r="P1242" s="14" t="n"/>
      <c r="Q1242" s="20">
        <f>IF($B1242="","",IFERROR(INDEX(Vinos!$C$2:$C$301,MATCH($B1242,Vinos!$A$2:$A$301,0)),""))</f>
        <v/>
      </c>
      <c r="R1242" s="20">
        <f>IF(OR($A1242="",$A1242&lt;&gt;'Resumen del inventario'!$C$3,$N1242="",$N1242="OK"),"",IF(COUNTIFS($A$2:$A1242,$A1242,$B$2:$B1242,$B1242)=1,1,""))</f>
        <v/>
      </c>
      <c r="S1242" s="20">
        <f>IF($R1242=1,COUNTIF($R$2:$R1242,1),"")</f>
        <v/>
      </c>
    </row>
    <row r="1243">
      <c r="A1243" s="19" t="n"/>
      <c r="B1243" s="14" t="n"/>
      <c r="C1243" s="20">
        <f>IF($B1243="","",IFERROR(INDEX(Vinos!$B$2:$B$301,MATCH($B1243,Vinos!$A$2:$A$301,0)),"Código no cargado"))</f>
        <v/>
      </c>
      <c r="D1243" s="14" t="n"/>
      <c r="E1243" s="14" t="n"/>
      <c r="F1243" s="18" t="n"/>
      <c r="G1243" s="18" t="n"/>
      <c r="H1243" s="21">
        <f>IF(AND($F1243="",$G1243=""),"",N($F1243)*IFERROR(N(INDEX(Vinos!$H$2:$H$301,MATCH($B1243,Vinos!$A$2:$A$301,0))),0)+N($G1243))</f>
        <v/>
      </c>
      <c r="I1243" s="18" t="n"/>
      <c r="J1243" s="21">
        <f>IF(OR($H1243="",$I1243=""),"",$H1243-$I1243)</f>
        <v/>
      </c>
      <c r="K1243" s="16">
        <f>IF($H1243="","",IFERROR(IF(INDEX(Vinos!$J$2:$J$301,MATCH($B1243,Vinos!$A$2:$A$301,0))="","",$H1243*INDEX(Vinos!$J$2:$J$301,MATCH($B1243,Vinos!$A$2:$A$301,0))),""))</f>
        <v/>
      </c>
      <c r="L1243" s="16">
        <f>IF($H1243="","",IFERROR(IF(INDEX(Vinos!$K$2:$K$301,MATCH($B1243,Vinos!$A$2:$A$301,0))="","",$H1243*INDEX(Vinos!$K$2:$K$301,MATCH($B1243,Vinos!$A$2:$A$301,0))),""))</f>
        <v/>
      </c>
      <c r="M1243" s="21">
        <f>IF(OR($A1243="",$B1243=""),"",SUMIFS($H$2:$H$2001,$A$2:$A$2001,$A1243,$B$2:$B$2001,$B1243))</f>
        <v/>
      </c>
      <c r="N1243" s="20">
        <f>IF($M1243="","",IF($M1243&lt;=0,"Sin stock: reponer ya",IF($M1243&lt;IFERROR(N(INDEX(Vinos!$N$2:$N$301,MATCH($B1243,Vinos!$A$2:$A$301,0))),0),"Bajo mínimo: reponer","OK")))</f>
        <v/>
      </c>
      <c r="O1243" s="14" t="n"/>
      <c r="P1243" s="14" t="n"/>
      <c r="Q1243" s="20">
        <f>IF($B1243="","",IFERROR(INDEX(Vinos!$C$2:$C$301,MATCH($B1243,Vinos!$A$2:$A$301,0)),""))</f>
        <v/>
      </c>
      <c r="R1243" s="20">
        <f>IF(OR($A1243="",$A1243&lt;&gt;'Resumen del inventario'!$C$3,$N1243="",$N1243="OK"),"",IF(COUNTIFS($A$2:$A1243,$A1243,$B$2:$B1243,$B1243)=1,1,""))</f>
        <v/>
      </c>
      <c r="S1243" s="20">
        <f>IF($R1243=1,COUNTIF($R$2:$R1243,1),"")</f>
        <v/>
      </c>
    </row>
    <row r="1244">
      <c r="A1244" s="19" t="n"/>
      <c r="B1244" s="14" t="n"/>
      <c r="C1244" s="20">
        <f>IF($B1244="","",IFERROR(INDEX(Vinos!$B$2:$B$301,MATCH($B1244,Vinos!$A$2:$A$301,0)),"Código no cargado"))</f>
        <v/>
      </c>
      <c r="D1244" s="14" t="n"/>
      <c r="E1244" s="14" t="n"/>
      <c r="F1244" s="18" t="n"/>
      <c r="G1244" s="18" t="n"/>
      <c r="H1244" s="21">
        <f>IF(AND($F1244="",$G1244=""),"",N($F1244)*IFERROR(N(INDEX(Vinos!$H$2:$H$301,MATCH($B1244,Vinos!$A$2:$A$301,0))),0)+N($G1244))</f>
        <v/>
      </c>
      <c r="I1244" s="18" t="n"/>
      <c r="J1244" s="21">
        <f>IF(OR($H1244="",$I1244=""),"",$H1244-$I1244)</f>
        <v/>
      </c>
      <c r="K1244" s="16">
        <f>IF($H1244="","",IFERROR(IF(INDEX(Vinos!$J$2:$J$301,MATCH($B1244,Vinos!$A$2:$A$301,0))="","",$H1244*INDEX(Vinos!$J$2:$J$301,MATCH($B1244,Vinos!$A$2:$A$301,0))),""))</f>
        <v/>
      </c>
      <c r="L1244" s="16">
        <f>IF($H1244="","",IFERROR(IF(INDEX(Vinos!$K$2:$K$301,MATCH($B1244,Vinos!$A$2:$A$301,0))="","",$H1244*INDEX(Vinos!$K$2:$K$301,MATCH($B1244,Vinos!$A$2:$A$301,0))),""))</f>
        <v/>
      </c>
      <c r="M1244" s="21">
        <f>IF(OR($A1244="",$B1244=""),"",SUMIFS($H$2:$H$2001,$A$2:$A$2001,$A1244,$B$2:$B$2001,$B1244))</f>
        <v/>
      </c>
      <c r="N1244" s="20">
        <f>IF($M1244="","",IF($M1244&lt;=0,"Sin stock: reponer ya",IF($M1244&lt;IFERROR(N(INDEX(Vinos!$N$2:$N$301,MATCH($B1244,Vinos!$A$2:$A$301,0))),0),"Bajo mínimo: reponer","OK")))</f>
        <v/>
      </c>
      <c r="O1244" s="14" t="n"/>
      <c r="P1244" s="14" t="n"/>
      <c r="Q1244" s="20">
        <f>IF($B1244="","",IFERROR(INDEX(Vinos!$C$2:$C$301,MATCH($B1244,Vinos!$A$2:$A$301,0)),""))</f>
        <v/>
      </c>
      <c r="R1244" s="20">
        <f>IF(OR($A1244="",$A1244&lt;&gt;'Resumen del inventario'!$C$3,$N1244="",$N1244="OK"),"",IF(COUNTIFS($A$2:$A1244,$A1244,$B$2:$B1244,$B1244)=1,1,""))</f>
        <v/>
      </c>
      <c r="S1244" s="20">
        <f>IF($R1244=1,COUNTIF($R$2:$R1244,1),"")</f>
        <v/>
      </c>
    </row>
    <row r="1245">
      <c r="A1245" s="19" t="n"/>
      <c r="B1245" s="14" t="n"/>
      <c r="C1245" s="20">
        <f>IF($B1245="","",IFERROR(INDEX(Vinos!$B$2:$B$301,MATCH($B1245,Vinos!$A$2:$A$301,0)),"Código no cargado"))</f>
        <v/>
      </c>
      <c r="D1245" s="14" t="n"/>
      <c r="E1245" s="14" t="n"/>
      <c r="F1245" s="18" t="n"/>
      <c r="G1245" s="18" t="n"/>
      <c r="H1245" s="21">
        <f>IF(AND($F1245="",$G1245=""),"",N($F1245)*IFERROR(N(INDEX(Vinos!$H$2:$H$301,MATCH($B1245,Vinos!$A$2:$A$301,0))),0)+N($G1245))</f>
        <v/>
      </c>
      <c r="I1245" s="18" t="n"/>
      <c r="J1245" s="21">
        <f>IF(OR($H1245="",$I1245=""),"",$H1245-$I1245)</f>
        <v/>
      </c>
      <c r="K1245" s="16">
        <f>IF($H1245="","",IFERROR(IF(INDEX(Vinos!$J$2:$J$301,MATCH($B1245,Vinos!$A$2:$A$301,0))="","",$H1245*INDEX(Vinos!$J$2:$J$301,MATCH($B1245,Vinos!$A$2:$A$301,0))),""))</f>
        <v/>
      </c>
      <c r="L1245" s="16">
        <f>IF($H1245="","",IFERROR(IF(INDEX(Vinos!$K$2:$K$301,MATCH($B1245,Vinos!$A$2:$A$301,0))="","",$H1245*INDEX(Vinos!$K$2:$K$301,MATCH($B1245,Vinos!$A$2:$A$301,0))),""))</f>
        <v/>
      </c>
      <c r="M1245" s="21">
        <f>IF(OR($A1245="",$B1245=""),"",SUMIFS($H$2:$H$2001,$A$2:$A$2001,$A1245,$B$2:$B$2001,$B1245))</f>
        <v/>
      </c>
      <c r="N1245" s="20">
        <f>IF($M1245="","",IF($M1245&lt;=0,"Sin stock: reponer ya",IF($M1245&lt;IFERROR(N(INDEX(Vinos!$N$2:$N$301,MATCH($B1245,Vinos!$A$2:$A$301,0))),0),"Bajo mínimo: reponer","OK")))</f>
        <v/>
      </c>
      <c r="O1245" s="14" t="n"/>
      <c r="P1245" s="14" t="n"/>
      <c r="Q1245" s="20">
        <f>IF($B1245="","",IFERROR(INDEX(Vinos!$C$2:$C$301,MATCH($B1245,Vinos!$A$2:$A$301,0)),""))</f>
        <v/>
      </c>
      <c r="R1245" s="20">
        <f>IF(OR($A1245="",$A1245&lt;&gt;'Resumen del inventario'!$C$3,$N1245="",$N1245="OK"),"",IF(COUNTIFS($A$2:$A1245,$A1245,$B$2:$B1245,$B1245)=1,1,""))</f>
        <v/>
      </c>
      <c r="S1245" s="20">
        <f>IF($R1245=1,COUNTIF($R$2:$R1245,1),"")</f>
        <v/>
      </c>
    </row>
    <row r="1246">
      <c r="A1246" s="19" t="n"/>
      <c r="B1246" s="14" t="n"/>
      <c r="C1246" s="20">
        <f>IF($B1246="","",IFERROR(INDEX(Vinos!$B$2:$B$301,MATCH($B1246,Vinos!$A$2:$A$301,0)),"Código no cargado"))</f>
        <v/>
      </c>
      <c r="D1246" s="14" t="n"/>
      <c r="E1246" s="14" t="n"/>
      <c r="F1246" s="18" t="n"/>
      <c r="G1246" s="18" t="n"/>
      <c r="H1246" s="21">
        <f>IF(AND($F1246="",$G1246=""),"",N($F1246)*IFERROR(N(INDEX(Vinos!$H$2:$H$301,MATCH($B1246,Vinos!$A$2:$A$301,0))),0)+N($G1246))</f>
        <v/>
      </c>
      <c r="I1246" s="18" t="n"/>
      <c r="J1246" s="21">
        <f>IF(OR($H1246="",$I1246=""),"",$H1246-$I1246)</f>
        <v/>
      </c>
      <c r="K1246" s="16">
        <f>IF($H1246="","",IFERROR(IF(INDEX(Vinos!$J$2:$J$301,MATCH($B1246,Vinos!$A$2:$A$301,0))="","",$H1246*INDEX(Vinos!$J$2:$J$301,MATCH($B1246,Vinos!$A$2:$A$301,0))),""))</f>
        <v/>
      </c>
      <c r="L1246" s="16">
        <f>IF($H1246="","",IFERROR(IF(INDEX(Vinos!$K$2:$K$301,MATCH($B1246,Vinos!$A$2:$A$301,0))="","",$H1246*INDEX(Vinos!$K$2:$K$301,MATCH($B1246,Vinos!$A$2:$A$301,0))),""))</f>
        <v/>
      </c>
      <c r="M1246" s="21">
        <f>IF(OR($A1246="",$B1246=""),"",SUMIFS($H$2:$H$2001,$A$2:$A$2001,$A1246,$B$2:$B$2001,$B1246))</f>
        <v/>
      </c>
      <c r="N1246" s="20">
        <f>IF($M1246="","",IF($M1246&lt;=0,"Sin stock: reponer ya",IF($M1246&lt;IFERROR(N(INDEX(Vinos!$N$2:$N$301,MATCH($B1246,Vinos!$A$2:$A$301,0))),0),"Bajo mínimo: reponer","OK")))</f>
        <v/>
      </c>
      <c r="O1246" s="14" t="n"/>
      <c r="P1246" s="14" t="n"/>
      <c r="Q1246" s="20">
        <f>IF($B1246="","",IFERROR(INDEX(Vinos!$C$2:$C$301,MATCH($B1246,Vinos!$A$2:$A$301,0)),""))</f>
        <v/>
      </c>
      <c r="R1246" s="20">
        <f>IF(OR($A1246="",$A1246&lt;&gt;'Resumen del inventario'!$C$3,$N1246="",$N1246="OK"),"",IF(COUNTIFS($A$2:$A1246,$A1246,$B$2:$B1246,$B1246)=1,1,""))</f>
        <v/>
      </c>
      <c r="S1246" s="20">
        <f>IF($R1246=1,COUNTIF($R$2:$R1246,1),"")</f>
        <v/>
      </c>
    </row>
    <row r="1247">
      <c r="A1247" s="19" t="n"/>
      <c r="B1247" s="14" t="n"/>
      <c r="C1247" s="20">
        <f>IF($B1247="","",IFERROR(INDEX(Vinos!$B$2:$B$301,MATCH($B1247,Vinos!$A$2:$A$301,0)),"Código no cargado"))</f>
        <v/>
      </c>
      <c r="D1247" s="14" t="n"/>
      <c r="E1247" s="14" t="n"/>
      <c r="F1247" s="18" t="n"/>
      <c r="G1247" s="18" t="n"/>
      <c r="H1247" s="21">
        <f>IF(AND($F1247="",$G1247=""),"",N($F1247)*IFERROR(N(INDEX(Vinos!$H$2:$H$301,MATCH($B1247,Vinos!$A$2:$A$301,0))),0)+N($G1247))</f>
        <v/>
      </c>
      <c r="I1247" s="18" t="n"/>
      <c r="J1247" s="21">
        <f>IF(OR($H1247="",$I1247=""),"",$H1247-$I1247)</f>
        <v/>
      </c>
      <c r="K1247" s="16">
        <f>IF($H1247="","",IFERROR(IF(INDEX(Vinos!$J$2:$J$301,MATCH($B1247,Vinos!$A$2:$A$301,0))="","",$H1247*INDEX(Vinos!$J$2:$J$301,MATCH($B1247,Vinos!$A$2:$A$301,0))),""))</f>
        <v/>
      </c>
      <c r="L1247" s="16">
        <f>IF($H1247="","",IFERROR(IF(INDEX(Vinos!$K$2:$K$301,MATCH($B1247,Vinos!$A$2:$A$301,0))="","",$H1247*INDEX(Vinos!$K$2:$K$301,MATCH($B1247,Vinos!$A$2:$A$301,0))),""))</f>
        <v/>
      </c>
      <c r="M1247" s="21">
        <f>IF(OR($A1247="",$B1247=""),"",SUMIFS($H$2:$H$2001,$A$2:$A$2001,$A1247,$B$2:$B$2001,$B1247))</f>
        <v/>
      </c>
      <c r="N1247" s="20">
        <f>IF($M1247="","",IF($M1247&lt;=0,"Sin stock: reponer ya",IF($M1247&lt;IFERROR(N(INDEX(Vinos!$N$2:$N$301,MATCH($B1247,Vinos!$A$2:$A$301,0))),0),"Bajo mínimo: reponer","OK")))</f>
        <v/>
      </c>
      <c r="O1247" s="14" t="n"/>
      <c r="P1247" s="14" t="n"/>
      <c r="Q1247" s="20">
        <f>IF($B1247="","",IFERROR(INDEX(Vinos!$C$2:$C$301,MATCH($B1247,Vinos!$A$2:$A$301,0)),""))</f>
        <v/>
      </c>
      <c r="R1247" s="20">
        <f>IF(OR($A1247="",$A1247&lt;&gt;'Resumen del inventario'!$C$3,$N1247="",$N1247="OK"),"",IF(COUNTIFS($A$2:$A1247,$A1247,$B$2:$B1247,$B1247)=1,1,""))</f>
        <v/>
      </c>
      <c r="S1247" s="20">
        <f>IF($R1247=1,COUNTIF($R$2:$R1247,1),"")</f>
        <v/>
      </c>
    </row>
    <row r="1248">
      <c r="A1248" s="19" t="n"/>
      <c r="B1248" s="14" t="n"/>
      <c r="C1248" s="20">
        <f>IF($B1248="","",IFERROR(INDEX(Vinos!$B$2:$B$301,MATCH($B1248,Vinos!$A$2:$A$301,0)),"Código no cargado"))</f>
        <v/>
      </c>
      <c r="D1248" s="14" t="n"/>
      <c r="E1248" s="14" t="n"/>
      <c r="F1248" s="18" t="n"/>
      <c r="G1248" s="18" t="n"/>
      <c r="H1248" s="21">
        <f>IF(AND($F1248="",$G1248=""),"",N($F1248)*IFERROR(N(INDEX(Vinos!$H$2:$H$301,MATCH($B1248,Vinos!$A$2:$A$301,0))),0)+N($G1248))</f>
        <v/>
      </c>
      <c r="I1248" s="18" t="n"/>
      <c r="J1248" s="21">
        <f>IF(OR($H1248="",$I1248=""),"",$H1248-$I1248)</f>
        <v/>
      </c>
      <c r="K1248" s="16">
        <f>IF($H1248="","",IFERROR(IF(INDEX(Vinos!$J$2:$J$301,MATCH($B1248,Vinos!$A$2:$A$301,0))="","",$H1248*INDEX(Vinos!$J$2:$J$301,MATCH($B1248,Vinos!$A$2:$A$301,0))),""))</f>
        <v/>
      </c>
      <c r="L1248" s="16">
        <f>IF($H1248="","",IFERROR(IF(INDEX(Vinos!$K$2:$K$301,MATCH($B1248,Vinos!$A$2:$A$301,0))="","",$H1248*INDEX(Vinos!$K$2:$K$301,MATCH($B1248,Vinos!$A$2:$A$301,0))),""))</f>
        <v/>
      </c>
      <c r="M1248" s="21">
        <f>IF(OR($A1248="",$B1248=""),"",SUMIFS($H$2:$H$2001,$A$2:$A$2001,$A1248,$B$2:$B$2001,$B1248))</f>
        <v/>
      </c>
      <c r="N1248" s="20">
        <f>IF($M1248="","",IF($M1248&lt;=0,"Sin stock: reponer ya",IF($M1248&lt;IFERROR(N(INDEX(Vinos!$N$2:$N$301,MATCH($B1248,Vinos!$A$2:$A$301,0))),0),"Bajo mínimo: reponer","OK")))</f>
        <v/>
      </c>
      <c r="O1248" s="14" t="n"/>
      <c r="P1248" s="14" t="n"/>
      <c r="Q1248" s="20">
        <f>IF($B1248="","",IFERROR(INDEX(Vinos!$C$2:$C$301,MATCH($B1248,Vinos!$A$2:$A$301,0)),""))</f>
        <v/>
      </c>
      <c r="R1248" s="20">
        <f>IF(OR($A1248="",$A1248&lt;&gt;'Resumen del inventario'!$C$3,$N1248="",$N1248="OK"),"",IF(COUNTIFS($A$2:$A1248,$A1248,$B$2:$B1248,$B1248)=1,1,""))</f>
        <v/>
      </c>
      <c r="S1248" s="20">
        <f>IF($R1248=1,COUNTIF($R$2:$R1248,1),"")</f>
        <v/>
      </c>
    </row>
    <row r="1249">
      <c r="A1249" s="19" t="n"/>
      <c r="B1249" s="14" t="n"/>
      <c r="C1249" s="20">
        <f>IF($B1249="","",IFERROR(INDEX(Vinos!$B$2:$B$301,MATCH($B1249,Vinos!$A$2:$A$301,0)),"Código no cargado"))</f>
        <v/>
      </c>
      <c r="D1249" s="14" t="n"/>
      <c r="E1249" s="14" t="n"/>
      <c r="F1249" s="18" t="n"/>
      <c r="G1249" s="18" t="n"/>
      <c r="H1249" s="21">
        <f>IF(AND($F1249="",$G1249=""),"",N($F1249)*IFERROR(N(INDEX(Vinos!$H$2:$H$301,MATCH($B1249,Vinos!$A$2:$A$301,0))),0)+N($G1249))</f>
        <v/>
      </c>
      <c r="I1249" s="18" t="n"/>
      <c r="J1249" s="21">
        <f>IF(OR($H1249="",$I1249=""),"",$H1249-$I1249)</f>
        <v/>
      </c>
      <c r="K1249" s="16">
        <f>IF($H1249="","",IFERROR(IF(INDEX(Vinos!$J$2:$J$301,MATCH($B1249,Vinos!$A$2:$A$301,0))="","",$H1249*INDEX(Vinos!$J$2:$J$301,MATCH($B1249,Vinos!$A$2:$A$301,0))),""))</f>
        <v/>
      </c>
      <c r="L1249" s="16">
        <f>IF($H1249="","",IFERROR(IF(INDEX(Vinos!$K$2:$K$301,MATCH($B1249,Vinos!$A$2:$A$301,0))="","",$H1249*INDEX(Vinos!$K$2:$K$301,MATCH($B1249,Vinos!$A$2:$A$301,0))),""))</f>
        <v/>
      </c>
      <c r="M1249" s="21">
        <f>IF(OR($A1249="",$B1249=""),"",SUMIFS($H$2:$H$2001,$A$2:$A$2001,$A1249,$B$2:$B$2001,$B1249))</f>
        <v/>
      </c>
      <c r="N1249" s="20">
        <f>IF($M1249="","",IF($M1249&lt;=0,"Sin stock: reponer ya",IF($M1249&lt;IFERROR(N(INDEX(Vinos!$N$2:$N$301,MATCH($B1249,Vinos!$A$2:$A$301,0))),0),"Bajo mínimo: reponer","OK")))</f>
        <v/>
      </c>
      <c r="O1249" s="14" t="n"/>
      <c r="P1249" s="14" t="n"/>
      <c r="Q1249" s="20">
        <f>IF($B1249="","",IFERROR(INDEX(Vinos!$C$2:$C$301,MATCH($B1249,Vinos!$A$2:$A$301,0)),""))</f>
        <v/>
      </c>
      <c r="R1249" s="20">
        <f>IF(OR($A1249="",$A1249&lt;&gt;'Resumen del inventario'!$C$3,$N1249="",$N1249="OK"),"",IF(COUNTIFS($A$2:$A1249,$A1249,$B$2:$B1249,$B1249)=1,1,""))</f>
        <v/>
      </c>
      <c r="S1249" s="20">
        <f>IF($R1249=1,COUNTIF($R$2:$R1249,1),"")</f>
        <v/>
      </c>
    </row>
    <row r="1250">
      <c r="A1250" s="19" t="n"/>
      <c r="B1250" s="14" t="n"/>
      <c r="C1250" s="20">
        <f>IF($B1250="","",IFERROR(INDEX(Vinos!$B$2:$B$301,MATCH($B1250,Vinos!$A$2:$A$301,0)),"Código no cargado"))</f>
        <v/>
      </c>
      <c r="D1250" s="14" t="n"/>
      <c r="E1250" s="14" t="n"/>
      <c r="F1250" s="18" t="n"/>
      <c r="G1250" s="18" t="n"/>
      <c r="H1250" s="21">
        <f>IF(AND($F1250="",$G1250=""),"",N($F1250)*IFERROR(N(INDEX(Vinos!$H$2:$H$301,MATCH($B1250,Vinos!$A$2:$A$301,0))),0)+N($G1250))</f>
        <v/>
      </c>
      <c r="I1250" s="18" t="n"/>
      <c r="J1250" s="21">
        <f>IF(OR($H1250="",$I1250=""),"",$H1250-$I1250)</f>
        <v/>
      </c>
      <c r="K1250" s="16">
        <f>IF($H1250="","",IFERROR(IF(INDEX(Vinos!$J$2:$J$301,MATCH($B1250,Vinos!$A$2:$A$301,0))="","",$H1250*INDEX(Vinos!$J$2:$J$301,MATCH($B1250,Vinos!$A$2:$A$301,0))),""))</f>
        <v/>
      </c>
      <c r="L1250" s="16">
        <f>IF($H1250="","",IFERROR(IF(INDEX(Vinos!$K$2:$K$301,MATCH($B1250,Vinos!$A$2:$A$301,0))="","",$H1250*INDEX(Vinos!$K$2:$K$301,MATCH($B1250,Vinos!$A$2:$A$301,0))),""))</f>
        <v/>
      </c>
      <c r="M1250" s="21">
        <f>IF(OR($A1250="",$B1250=""),"",SUMIFS($H$2:$H$2001,$A$2:$A$2001,$A1250,$B$2:$B$2001,$B1250))</f>
        <v/>
      </c>
      <c r="N1250" s="20">
        <f>IF($M1250="","",IF($M1250&lt;=0,"Sin stock: reponer ya",IF($M1250&lt;IFERROR(N(INDEX(Vinos!$N$2:$N$301,MATCH($B1250,Vinos!$A$2:$A$301,0))),0),"Bajo mínimo: reponer","OK")))</f>
        <v/>
      </c>
      <c r="O1250" s="14" t="n"/>
      <c r="P1250" s="14" t="n"/>
      <c r="Q1250" s="20">
        <f>IF($B1250="","",IFERROR(INDEX(Vinos!$C$2:$C$301,MATCH($B1250,Vinos!$A$2:$A$301,0)),""))</f>
        <v/>
      </c>
      <c r="R1250" s="20">
        <f>IF(OR($A1250="",$A1250&lt;&gt;'Resumen del inventario'!$C$3,$N1250="",$N1250="OK"),"",IF(COUNTIFS($A$2:$A1250,$A1250,$B$2:$B1250,$B1250)=1,1,""))</f>
        <v/>
      </c>
      <c r="S1250" s="20">
        <f>IF($R1250=1,COUNTIF($R$2:$R1250,1),"")</f>
        <v/>
      </c>
    </row>
    <row r="1251">
      <c r="A1251" s="19" t="n"/>
      <c r="B1251" s="14" t="n"/>
      <c r="C1251" s="20">
        <f>IF($B1251="","",IFERROR(INDEX(Vinos!$B$2:$B$301,MATCH($B1251,Vinos!$A$2:$A$301,0)),"Código no cargado"))</f>
        <v/>
      </c>
      <c r="D1251" s="14" t="n"/>
      <c r="E1251" s="14" t="n"/>
      <c r="F1251" s="18" t="n"/>
      <c r="G1251" s="18" t="n"/>
      <c r="H1251" s="21">
        <f>IF(AND($F1251="",$G1251=""),"",N($F1251)*IFERROR(N(INDEX(Vinos!$H$2:$H$301,MATCH($B1251,Vinos!$A$2:$A$301,0))),0)+N($G1251))</f>
        <v/>
      </c>
      <c r="I1251" s="18" t="n"/>
      <c r="J1251" s="21">
        <f>IF(OR($H1251="",$I1251=""),"",$H1251-$I1251)</f>
        <v/>
      </c>
      <c r="K1251" s="16">
        <f>IF($H1251="","",IFERROR(IF(INDEX(Vinos!$J$2:$J$301,MATCH($B1251,Vinos!$A$2:$A$301,0))="","",$H1251*INDEX(Vinos!$J$2:$J$301,MATCH($B1251,Vinos!$A$2:$A$301,0))),""))</f>
        <v/>
      </c>
      <c r="L1251" s="16">
        <f>IF($H1251="","",IFERROR(IF(INDEX(Vinos!$K$2:$K$301,MATCH($B1251,Vinos!$A$2:$A$301,0))="","",$H1251*INDEX(Vinos!$K$2:$K$301,MATCH($B1251,Vinos!$A$2:$A$301,0))),""))</f>
        <v/>
      </c>
      <c r="M1251" s="21">
        <f>IF(OR($A1251="",$B1251=""),"",SUMIFS($H$2:$H$2001,$A$2:$A$2001,$A1251,$B$2:$B$2001,$B1251))</f>
        <v/>
      </c>
      <c r="N1251" s="20">
        <f>IF($M1251="","",IF($M1251&lt;=0,"Sin stock: reponer ya",IF($M1251&lt;IFERROR(N(INDEX(Vinos!$N$2:$N$301,MATCH($B1251,Vinos!$A$2:$A$301,0))),0),"Bajo mínimo: reponer","OK")))</f>
        <v/>
      </c>
      <c r="O1251" s="14" t="n"/>
      <c r="P1251" s="14" t="n"/>
      <c r="Q1251" s="20">
        <f>IF($B1251="","",IFERROR(INDEX(Vinos!$C$2:$C$301,MATCH($B1251,Vinos!$A$2:$A$301,0)),""))</f>
        <v/>
      </c>
      <c r="R1251" s="20">
        <f>IF(OR($A1251="",$A1251&lt;&gt;'Resumen del inventario'!$C$3,$N1251="",$N1251="OK"),"",IF(COUNTIFS($A$2:$A1251,$A1251,$B$2:$B1251,$B1251)=1,1,""))</f>
        <v/>
      </c>
      <c r="S1251" s="20">
        <f>IF($R1251=1,COUNTIF($R$2:$R1251,1),"")</f>
        <v/>
      </c>
    </row>
    <row r="1252">
      <c r="A1252" s="19" t="n"/>
      <c r="B1252" s="14" t="n"/>
      <c r="C1252" s="20">
        <f>IF($B1252="","",IFERROR(INDEX(Vinos!$B$2:$B$301,MATCH($B1252,Vinos!$A$2:$A$301,0)),"Código no cargado"))</f>
        <v/>
      </c>
      <c r="D1252" s="14" t="n"/>
      <c r="E1252" s="14" t="n"/>
      <c r="F1252" s="18" t="n"/>
      <c r="G1252" s="18" t="n"/>
      <c r="H1252" s="21">
        <f>IF(AND($F1252="",$G1252=""),"",N($F1252)*IFERROR(N(INDEX(Vinos!$H$2:$H$301,MATCH($B1252,Vinos!$A$2:$A$301,0))),0)+N($G1252))</f>
        <v/>
      </c>
      <c r="I1252" s="18" t="n"/>
      <c r="J1252" s="21">
        <f>IF(OR($H1252="",$I1252=""),"",$H1252-$I1252)</f>
        <v/>
      </c>
      <c r="K1252" s="16">
        <f>IF($H1252="","",IFERROR(IF(INDEX(Vinos!$J$2:$J$301,MATCH($B1252,Vinos!$A$2:$A$301,0))="","",$H1252*INDEX(Vinos!$J$2:$J$301,MATCH($B1252,Vinos!$A$2:$A$301,0))),""))</f>
        <v/>
      </c>
      <c r="L1252" s="16">
        <f>IF($H1252="","",IFERROR(IF(INDEX(Vinos!$K$2:$K$301,MATCH($B1252,Vinos!$A$2:$A$301,0))="","",$H1252*INDEX(Vinos!$K$2:$K$301,MATCH($B1252,Vinos!$A$2:$A$301,0))),""))</f>
        <v/>
      </c>
      <c r="M1252" s="21">
        <f>IF(OR($A1252="",$B1252=""),"",SUMIFS($H$2:$H$2001,$A$2:$A$2001,$A1252,$B$2:$B$2001,$B1252))</f>
        <v/>
      </c>
      <c r="N1252" s="20">
        <f>IF($M1252="","",IF($M1252&lt;=0,"Sin stock: reponer ya",IF($M1252&lt;IFERROR(N(INDEX(Vinos!$N$2:$N$301,MATCH($B1252,Vinos!$A$2:$A$301,0))),0),"Bajo mínimo: reponer","OK")))</f>
        <v/>
      </c>
      <c r="O1252" s="14" t="n"/>
      <c r="P1252" s="14" t="n"/>
      <c r="Q1252" s="20">
        <f>IF($B1252="","",IFERROR(INDEX(Vinos!$C$2:$C$301,MATCH($B1252,Vinos!$A$2:$A$301,0)),""))</f>
        <v/>
      </c>
      <c r="R1252" s="20">
        <f>IF(OR($A1252="",$A1252&lt;&gt;'Resumen del inventario'!$C$3,$N1252="",$N1252="OK"),"",IF(COUNTIFS($A$2:$A1252,$A1252,$B$2:$B1252,$B1252)=1,1,""))</f>
        <v/>
      </c>
      <c r="S1252" s="20">
        <f>IF($R1252=1,COUNTIF($R$2:$R1252,1),"")</f>
        <v/>
      </c>
    </row>
    <row r="1253">
      <c r="A1253" s="19" t="n"/>
      <c r="B1253" s="14" t="n"/>
      <c r="C1253" s="20">
        <f>IF($B1253="","",IFERROR(INDEX(Vinos!$B$2:$B$301,MATCH($B1253,Vinos!$A$2:$A$301,0)),"Código no cargado"))</f>
        <v/>
      </c>
      <c r="D1253" s="14" t="n"/>
      <c r="E1253" s="14" t="n"/>
      <c r="F1253" s="18" t="n"/>
      <c r="G1253" s="18" t="n"/>
      <c r="H1253" s="21">
        <f>IF(AND($F1253="",$G1253=""),"",N($F1253)*IFERROR(N(INDEX(Vinos!$H$2:$H$301,MATCH($B1253,Vinos!$A$2:$A$301,0))),0)+N($G1253))</f>
        <v/>
      </c>
      <c r="I1253" s="18" t="n"/>
      <c r="J1253" s="21">
        <f>IF(OR($H1253="",$I1253=""),"",$H1253-$I1253)</f>
        <v/>
      </c>
      <c r="K1253" s="16">
        <f>IF($H1253="","",IFERROR(IF(INDEX(Vinos!$J$2:$J$301,MATCH($B1253,Vinos!$A$2:$A$301,0))="","",$H1253*INDEX(Vinos!$J$2:$J$301,MATCH($B1253,Vinos!$A$2:$A$301,0))),""))</f>
        <v/>
      </c>
      <c r="L1253" s="16">
        <f>IF($H1253="","",IFERROR(IF(INDEX(Vinos!$K$2:$K$301,MATCH($B1253,Vinos!$A$2:$A$301,0))="","",$H1253*INDEX(Vinos!$K$2:$K$301,MATCH($B1253,Vinos!$A$2:$A$301,0))),""))</f>
        <v/>
      </c>
      <c r="M1253" s="21">
        <f>IF(OR($A1253="",$B1253=""),"",SUMIFS($H$2:$H$2001,$A$2:$A$2001,$A1253,$B$2:$B$2001,$B1253))</f>
        <v/>
      </c>
      <c r="N1253" s="20">
        <f>IF($M1253="","",IF($M1253&lt;=0,"Sin stock: reponer ya",IF($M1253&lt;IFERROR(N(INDEX(Vinos!$N$2:$N$301,MATCH($B1253,Vinos!$A$2:$A$301,0))),0),"Bajo mínimo: reponer","OK")))</f>
        <v/>
      </c>
      <c r="O1253" s="14" t="n"/>
      <c r="P1253" s="14" t="n"/>
      <c r="Q1253" s="20">
        <f>IF($B1253="","",IFERROR(INDEX(Vinos!$C$2:$C$301,MATCH($B1253,Vinos!$A$2:$A$301,0)),""))</f>
        <v/>
      </c>
      <c r="R1253" s="20">
        <f>IF(OR($A1253="",$A1253&lt;&gt;'Resumen del inventario'!$C$3,$N1253="",$N1253="OK"),"",IF(COUNTIFS($A$2:$A1253,$A1253,$B$2:$B1253,$B1253)=1,1,""))</f>
        <v/>
      </c>
      <c r="S1253" s="20">
        <f>IF($R1253=1,COUNTIF($R$2:$R1253,1),"")</f>
        <v/>
      </c>
    </row>
    <row r="1254">
      <c r="A1254" s="19" t="n"/>
      <c r="B1254" s="14" t="n"/>
      <c r="C1254" s="20">
        <f>IF($B1254="","",IFERROR(INDEX(Vinos!$B$2:$B$301,MATCH($B1254,Vinos!$A$2:$A$301,0)),"Código no cargado"))</f>
        <v/>
      </c>
      <c r="D1254" s="14" t="n"/>
      <c r="E1254" s="14" t="n"/>
      <c r="F1254" s="18" t="n"/>
      <c r="G1254" s="18" t="n"/>
      <c r="H1254" s="21">
        <f>IF(AND($F1254="",$G1254=""),"",N($F1254)*IFERROR(N(INDEX(Vinos!$H$2:$H$301,MATCH($B1254,Vinos!$A$2:$A$301,0))),0)+N($G1254))</f>
        <v/>
      </c>
      <c r="I1254" s="18" t="n"/>
      <c r="J1254" s="21">
        <f>IF(OR($H1254="",$I1254=""),"",$H1254-$I1254)</f>
        <v/>
      </c>
      <c r="K1254" s="16">
        <f>IF($H1254="","",IFERROR(IF(INDEX(Vinos!$J$2:$J$301,MATCH($B1254,Vinos!$A$2:$A$301,0))="","",$H1254*INDEX(Vinos!$J$2:$J$301,MATCH($B1254,Vinos!$A$2:$A$301,0))),""))</f>
        <v/>
      </c>
      <c r="L1254" s="16">
        <f>IF($H1254="","",IFERROR(IF(INDEX(Vinos!$K$2:$K$301,MATCH($B1254,Vinos!$A$2:$A$301,0))="","",$H1254*INDEX(Vinos!$K$2:$K$301,MATCH($B1254,Vinos!$A$2:$A$301,0))),""))</f>
        <v/>
      </c>
      <c r="M1254" s="21">
        <f>IF(OR($A1254="",$B1254=""),"",SUMIFS($H$2:$H$2001,$A$2:$A$2001,$A1254,$B$2:$B$2001,$B1254))</f>
        <v/>
      </c>
      <c r="N1254" s="20">
        <f>IF($M1254="","",IF($M1254&lt;=0,"Sin stock: reponer ya",IF($M1254&lt;IFERROR(N(INDEX(Vinos!$N$2:$N$301,MATCH($B1254,Vinos!$A$2:$A$301,0))),0),"Bajo mínimo: reponer","OK")))</f>
        <v/>
      </c>
      <c r="O1254" s="14" t="n"/>
      <c r="P1254" s="14" t="n"/>
      <c r="Q1254" s="20">
        <f>IF($B1254="","",IFERROR(INDEX(Vinos!$C$2:$C$301,MATCH($B1254,Vinos!$A$2:$A$301,0)),""))</f>
        <v/>
      </c>
      <c r="R1254" s="20">
        <f>IF(OR($A1254="",$A1254&lt;&gt;'Resumen del inventario'!$C$3,$N1254="",$N1254="OK"),"",IF(COUNTIFS($A$2:$A1254,$A1254,$B$2:$B1254,$B1254)=1,1,""))</f>
        <v/>
      </c>
      <c r="S1254" s="20">
        <f>IF($R1254=1,COUNTIF($R$2:$R1254,1),"")</f>
        <v/>
      </c>
    </row>
    <row r="1255">
      <c r="A1255" s="19" t="n"/>
      <c r="B1255" s="14" t="n"/>
      <c r="C1255" s="20">
        <f>IF($B1255="","",IFERROR(INDEX(Vinos!$B$2:$B$301,MATCH($B1255,Vinos!$A$2:$A$301,0)),"Código no cargado"))</f>
        <v/>
      </c>
      <c r="D1255" s="14" t="n"/>
      <c r="E1255" s="14" t="n"/>
      <c r="F1255" s="18" t="n"/>
      <c r="G1255" s="18" t="n"/>
      <c r="H1255" s="21">
        <f>IF(AND($F1255="",$G1255=""),"",N($F1255)*IFERROR(N(INDEX(Vinos!$H$2:$H$301,MATCH($B1255,Vinos!$A$2:$A$301,0))),0)+N($G1255))</f>
        <v/>
      </c>
      <c r="I1255" s="18" t="n"/>
      <c r="J1255" s="21">
        <f>IF(OR($H1255="",$I1255=""),"",$H1255-$I1255)</f>
        <v/>
      </c>
      <c r="K1255" s="16">
        <f>IF($H1255="","",IFERROR(IF(INDEX(Vinos!$J$2:$J$301,MATCH($B1255,Vinos!$A$2:$A$301,0))="","",$H1255*INDEX(Vinos!$J$2:$J$301,MATCH($B1255,Vinos!$A$2:$A$301,0))),""))</f>
        <v/>
      </c>
      <c r="L1255" s="16">
        <f>IF($H1255="","",IFERROR(IF(INDEX(Vinos!$K$2:$K$301,MATCH($B1255,Vinos!$A$2:$A$301,0))="","",$H1255*INDEX(Vinos!$K$2:$K$301,MATCH($B1255,Vinos!$A$2:$A$301,0))),""))</f>
        <v/>
      </c>
      <c r="M1255" s="21">
        <f>IF(OR($A1255="",$B1255=""),"",SUMIFS($H$2:$H$2001,$A$2:$A$2001,$A1255,$B$2:$B$2001,$B1255))</f>
        <v/>
      </c>
      <c r="N1255" s="20">
        <f>IF($M1255="","",IF($M1255&lt;=0,"Sin stock: reponer ya",IF($M1255&lt;IFERROR(N(INDEX(Vinos!$N$2:$N$301,MATCH($B1255,Vinos!$A$2:$A$301,0))),0),"Bajo mínimo: reponer","OK")))</f>
        <v/>
      </c>
      <c r="O1255" s="14" t="n"/>
      <c r="P1255" s="14" t="n"/>
      <c r="Q1255" s="20">
        <f>IF($B1255="","",IFERROR(INDEX(Vinos!$C$2:$C$301,MATCH($B1255,Vinos!$A$2:$A$301,0)),""))</f>
        <v/>
      </c>
      <c r="R1255" s="20">
        <f>IF(OR($A1255="",$A1255&lt;&gt;'Resumen del inventario'!$C$3,$N1255="",$N1255="OK"),"",IF(COUNTIFS($A$2:$A1255,$A1255,$B$2:$B1255,$B1255)=1,1,""))</f>
        <v/>
      </c>
      <c r="S1255" s="20">
        <f>IF($R1255=1,COUNTIF($R$2:$R1255,1),"")</f>
        <v/>
      </c>
    </row>
    <row r="1256">
      <c r="A1256" s="19" t="n"/>
      <c r="B1256" s="14" t="n"/>
      <c r="C1256" s="20">
        <f>IF($B1256="","",IFERROR(INDEX(Vinos!$B$2:$B$301,MATCH($B1256,Vinos!$A$2:$A$301,0)),"Código no cargado"))</f>
        <v/>
      </c>
      <c r="D1256" s="14" t="n"/>
      <c r="E1256" s="14" t="n"/>
      <c r="F1256" s="18" t="n"/>
      <c r="G1256" s="18" t="n"/>
      <c r="H1256" s="21">
        <f>IF(AND($F1256="",$G1256=""),"",N($F1256)*IFERROR(N(INDEX(Vinos!$H$2:$H$301,MATCH($B1256,Vinos!$A$2:$A$301,0))),0)+N($G1256))</f>
        <v/>
      </c>
      <c r="I1256" s="18" t="n"/>
      <c r="J1256" s="21">
        <f>IF(OR($H1256="",$I1256=""),"",$H1256-$I1256)</f>
        <v/>
      </c>
      <c r="K1256" s="16">
        <f>IF($H1256="","",IFERROR(IF(INDEX(Vinos!$J$2:$J$301,MATCH($B1256,Vinos!$A$2:$A$301,0))="","",$H1256*INDEX(Vinos!$J$2:$J$301,MATCH($B1256,Vinos!$A$2:$A$301,0))),""))</f>
        <v/>
      </c>
      <c r="L1256" s="16">
        <f>IF($H1256="","",IFERROR(IF(INDEX(Vinos!$K$2:$K$301,MATCH($B1256,Vinos!$A$2:$A$301,0))="","",$H1256*INDEX(Vinos!$K$2:$K$301,MATCH($B1256,Vinos!$A$2:$A$301,0))),""))</f>
        <v/>
      </c>
      <c r="M1256" s="21">
        <f>IF(OR($A1256="",$B1256=""),"",SUMIFS($H$2:$H$2001,$A$2:$A$2001,$A1256,$B$2:$B$2001,$B1256))</f>
        <v/>
      </c>
      <c r="N1256" s="20">
        <f>IF($M1256="","",IF($M1256&lt;=0,"Sin stock: reponer ya",IF($M1256&lt;IFERROR(N(INDEX(Vinos!$N$2:$N$301,MATCH($B1256,Vinos!$A$2:$A$301,0))),0),"Bajo mínimo: reponer","OK")))</f>
        <v/>
      </c>
      <c r="O1256" s="14" t="n"/>
      <c r="P1256" s="14" t="n"/>
      <c r="Q1256" s="20">
        <f>IF($B1256="","",IFERROR(INDEX(Vinos!$C$2:$C$301,MATCH($B1256,Vinos!$A$2:$A$301,0)),""))</f>
        <v/>
      </c>
      <c r="R1256" s="20">
        <f>IF(OR($A1256="",$A1256&lt;&gt;'Resumen del inventario'!$C$3,$N1256="",$N1256="OK"),"",IF(COUNTIFS($A$2:$A1256,$A1256,$B$2:$B1256,$B1256)=1,1,""))</f>
        <v/>
      </c>
      <c r="S1256" s="20">
        <f>IF($R1256=1,COUNTIF($R$2:$R1256,1),"")</f>
        <v/>
      </c>
    </row>
    <row r="1257">
      <c r="A1257" s="19" t="n"/>
      <c r="B1257" s="14" t="n"/>
      <c r="C1257" s="20">
        <f>IF($B1257="","",IFERROR(INDEX(Vinos!$B$2:$B$301,MATCH($B1257,Vinos!$A$2:$A$301,0)),"Código no cargado"))</f>
        <v/>
      </c>
      <c r="D1257" s="14" t="n"/>
      <c r="E1257" s="14" t="n"/>
      <c r="F1257" s="18" t="n"/>
      <c r="G1257" s="18" t="n"/>
      <c r="H1257" s="21">
        <f>IF(AND($F1257="",$G1257=""),"",N($F1257)*IFERROR(N(INDEX(Vinos!$H$2:$H$301,MATCH($B1257,Vinos!$A$2:$A$301,0))),0)+N($G1257))</f>
        <v/>
      </c>
      <c r="I1257" s="18" t="n"/>
      <c r="J1257" s="21">
        <f>IF(OR($H1257="",$I1257=""),"",$H1257-$I1257)</f>
        <v/>
      </c>
      <c r="K1257" s="16">
        <f>IF($H1257="","",IFERROR(IF(INDEX(Vinos!$J$2:$J$301,MATCH($B1257,Vinos!$A$2:$A$301,0))="","",$H1257*INDEX(Vinos!$J$2:$J$301,MATCH($B1257,Vinos!$A$2:$A$301,0))),""))</f>
        <v/>
      </c>
      <c r="L1257" s="16">
        <f>IF($H1257="","",IFERROR(IF(INDEX(Vinos!$K$2:$K$301,MATCH($B1257,Vinos!$A$2:$A$301,0))="","",$H1257*INDEX(Vinos!$K$2:$K$301,MATCH($B1257,Vinos!$A$2:$A$301,0))),""))</f>
        <v/>
      </c>
      <c r="M1257" s="21">
        <f>IF(OR($A1257="",$B1257=""),"",SUMIFS($H$2:$H$2001,$A$2:$A$2001,$A1257,$B$2:$B$2001,$B1257))</f>
        <v/>
      </c>
      <c r="N1257" s="20">
        <f>IF($M1257="","",IF($M1257&lt;=0,"Sin stock: reponer ya",IF($M1257&lt;IFERROR(N(INDEX(Vinos!$N$2:$N$301,MATCH($B1257,Vinos!$A$2:$A$301,0))),0),"Bajo mínimo: reponer","OK")))</f>
        <v/>
      </c>
      <c r="O1257" s="14" t="n"/>
      <c r="P1257" s="14" t="n"/>
      <c r="Q1257" s="20">
        <f>IF($B1257="","",IFERROR(INDEX(Vinos!$C$2:$C$301,MATCH($B1257,Vinos!$A$2:$A$301,0)),""))</f>
        <v/>
      </c>
      <c r="R1257" s="20">
        <f>IF(OR($A1257="",$A1257&lt;&gt;'Resumen del inventario'!$C$3,$N1257="",$N1257="OK"),"",IF(COUNTIFS($A$2:$A1257,$A1257,$B$2:$B1257,$B1257)=1,1,""))</f>
        <v/>
      </c>
      <c r="S1257" s="20">
        <f>IF($R1257=1,COUNTIF($R$2:$R1257,1),"")</f>
        <v/>
      </c>
    </row>
    <row r="1258">
      <c r="A1258" s="19" t="n"/>
      <c r="B1258" s="14" t="n"/>
      <c r="C1258" s="20">
        <f>IF($B1258="","",IFERROR(INDEX(Vinos!$B$2:$B$301,MATCH($B1258,Vinos!$A$2:$A$301,0)),"Código no cargado"))</f>
        <v/>
      </c>
      <c r="D1258" s="14" t="n"/>
      <c r="E1258" s="14" t="n"/>
      <c r="F1258" s="18" t="n"/>
      <c r="G1258" s="18" t="n"/>
      <c r="H1258" s="21">
        <f>IF(AND($F1258="",$G1258=""),"",N($F1258)*IFERROR(N(INDEX(Vinos!$H$2:$H$301,MATCH($B1258,Vinos!$A$2:$A$301,0))),0)+N($G1258))</f>
        <v/>
      </c>
      <c r="I1258" s="18" t="n"/>
      <c r="J1258" s="21">
        <f>IF(OR($H1258="",$I1258=""),"",$H1258-$I1258)</f>
        <v/>
      </c>
      <c r="K1258" s="16">
        <f>IF($H1258="","",IFERROR(IF(INDEX(Vinos!$J$2:$J$301,MATCH($B1258,Vinos!$A$2:$A$301,0))="","",$H1258*INDEX(Vinos!$J$2:$J$301,MATCH($B1258,Vinos!$A$2:$A$301,0))),""))</f>
        <v/>
      </c>
      <c r="L1258" s="16">
        <f>IF($H1258="","",IFERROR(IF(INDEX(Vinos!$K$2:$K$301,MATCH($B1258,Vinos!$A$2:$A$301,0))="","",$H1258*INDEX(Vinos!$K$2:$K$301,MATCH($B1258,Vinos!$A$2:$A$301,0))),""))</f>
        <v/>
      </c>
      <c r="M1258" s="21">
        <f>IF(OR($A1258="",$B1258=""),"",SUMIFS($H$2:$H$2001,$A$2:$A$2001,$A1258,$B$2:$B$2001,$B1258))</f>
        <v/>
      </c>
      <c r="N1258" s="20">
        <f>IF($M1258="","",IF($M1258&lt;=0,"Sin stock: reponer ya",IF($M1258&lt;IFERROR(N(INDEX(Vinos!$N$2:$N$301,MATCH($B1258,Vinos!$A$2:$A$301,0))),0),"Bajo mínimo: reponer","OK")))</f>
        <v/>
      </c>
      <c r="O1258" s="14" t="n"/>
      <c r="P1258" s="14" t="n"/>
      <c r="Q1258" s="20">
        <f>IF($B1258="","",IFERROR(INDEX(Vinos!$C$2:$C$301,MATCH($B1258,Vinos!$A$2:$A$301,0)),""))</f>
        <v/>
      </c>
      <c r="R1258" s="20">
        <f>IF(OR($A1258="",$A1258&lt;&gt;'Resumen del inventario'!$C$3,$N1258="",$N1258="OK"),"",IF(COUNTIFS($A$2:$A1258,$A1258,$B$2:$B1258,$B1258)=1,1,""))</f>
        <v/>
      </c>
      <c r="S1258" s="20">
        <f>IF($R1258=1,COUNTIF($R$2:$R1258,1),"")</f>
        <v/>
      </c>
    </row>
    <row r="1259">
      <c r="A1259" s="19" t="n"/>
      <c r="B1259" s="14" t="n"/>
      <c r="C1259" s="20">
        <f>IF($B1259="","",IFERROR(INDEX(Vinos!$B$2:$B$301,MATCH($B1259,Vinos!$A$2:$A$301,0)),"Código no cargado"))</f>
        <v/>
      </c>
      <c r="D1259" s="14" t="n"/>
      <c r="E1259" s="14" t="n"/>
      <c r="F1259" s="18" t="n"/>
      <c r="G1259" s="18" t="n"/>
      <c r="H1259" s="21">
        <f>IF(AND($F1259="",$G1259=""),"",N($F1259)*IFERROR(N(INDEX(Vinos!$H$2:$H$301,MATCH($B1259,Vinos!$A$2:$A$301,0))),0)+N($G1259))</f>
        <v/>
      </c>
      <c r="I1259" s="18" t="n"/>
      <c r="J1259" s="21">
        <f>IF(OR($H1259="",$I1259=""),"",$H1259-$I1259)</f>
        <v/>
      </c>
      <c r="K1259" s="16">
        <f>IF($H1259="","",IFERROR(IF(INDEX(Vinos!$J$2:$J$301,MATCH($B1259,Vinos!$A$2:$A$301,0))="","",$H1259*INDEX(Vinos!$J$2:$J$301,MATCH($B1259,Vinos!$A$2:$A$301,0))),""))</f>
        <v/>
      </c>
      <c r="L1259" s="16">
        <f>IF($H1259="","",IFERROR(IF(INDEX(Vinos!$K$2:$K$301,MATCH($B1259,Vinos!$A$2:$A$301,0))="","",$H1259*INDEX(Vinos!$K$2:$K$301,MATCH($B1259,Vinos!$A$2:$A$301,0))),""))</f>
        <v/>
      </c>
      <c r="M1259" s="21">
        <f>IF(OR($A1259="",$B1259=""),"",SUMIFS($H$2:$H$2001,$A$2:$A$2001,$A1259,$B$2:$B$2001,$B1259))</f>
        <v/>
      </c>
      <c r="N1259" s="20">
        <f>IF($M1259="","",IF($M1259&lt;=0,"Sin stock: reponer ya",IF($M1259&lt;IFERROR(N(INDEX(Vinos!$N$2:$N$301,MATCH($B1259,Vinos!$A$2:$A$301,0))),0),"Bajo mínimo: reponer","OK")))</f>
        <v/>
      </c>
      <c r="O1259" s="14" t="n"/>
      <c r="P1259" s="14" t="n"/>
      <c r="Q1259" s="20">
        <f>IF($B1259="","",IFERROR(INDEX(Vinos!$C$2:$C$301,MATCH($B1259,Vinos!$A$2:$A$301,0)),""))</f>
        <v/>
      </c>
      <c r="R1259" s="20">
        <f>IF(OR($A1259="",$A1259&lt;&gt;'Resumen del inventario'!$C$3,$N1259="",$N1259="OK"),"",IF(COUNTIFS($A$2:$A1259,$A1259,$B$2:$B1259,$B1259)=1,1,""))</f>
        <v/>
      </c>
      <c r="S1259" s="20">
        <f>IF($R1259=1,COUNTIF($R$2:$R1259,1),"")</f>
        <v/>
      </c>
    </row>
    <row r="1260">
      <c r="A1260" s="19" t="n"/>
      <c r="B1260" s="14" t="n"/>
      <c r="C1260" s="20">
        <f>IF($B1260="","",IFERROR(INDEX(Vinos!$B$2:$B$301,MATCH($B1260,Vinos!$A$2:$A$301,0)),"Código no cargado"))</f>
        <v/>
      </c>
      <c r="D1260" s="14" t="n"/>
      <c r="E1260" s="14" t="n"/>
      <c r="F1260" s="18" t="n"/>
      <c r="G1260" s="18" t="n"/>
      <c r="H1260" s="21">
        <f>IF(AND($F1260="",$G1260=""),"",N($F1260)*IFERROR(N(INDEX(Vinos!$H$2:$H$301,MATCH($B1260,Vinos!$A$2:$A$301,0))),0)+N($G1260))</f>
        <v/>
      </c>
      <c r="I1260" s="18" t="n"/>
      <c r="J1260" s="21">
        <f>IF(OR($H1260="",$I1260=""),"",$H1260-$I1260)</f>
        <v/>
      </c>
      <c r="K1260" s="16">
        <f>IF($H1260="","",IFERROR(IF(INDEX(Vinos!$J$2:$J$301,MATCH($B1260,Vinos!$A$2:$A$301,0))="","",$H1260*INDEX(Vinos!$J$2:$J$301,MATCH($B1260,Vinos!$A$2:$A$301,0))),""))</f>
        <v/>
      </c>
      <c r="L1260" s="16">
        <f>IF($H1260="","",IFERROR(IF(INDEX(Vinos!$K$2:$K$301,MATCH($B1260,Vinos!$A$2:$A$301,0))="","",$H1260*INDEX(Vinos!$K$2:$K$301,MATCH($B1260,Vinos!$A$2:$A$301,0))),""))</f>
        <v/>
      </c>
      <c r="M1260" s="21">
        <f>IF(OR($A1260="",$B1260=""),"",SUMIFS($H$2:$H$2001,$A$2:$A$2001,$A1260,$B$2:$B$2001,$B1260))</f>
        <v/>
      </c>
      <c r="N1260" s="20">
        <f>IF($M1260="","",IF($M1260&lt;=0,"Sin stock: reponer ya",IF($M1260&lt;IFERROR(N(INDEX(Vinos!$N$2:$N$301,MATCH($B1260,Vinos!$A$2:$A$301,0))),0),"Bajo mínimo: reponer","OK")))</f>
        <v/>
      </c>
      <c r="O1260" s="14" t="n"/>
      <c r="P1260" s="14" t="n"/>
      <c r="Q1260" s="20">
        <f>IF($B1260="","",IFERROR(INDEX(Vinos!$C$2:$C$301,MATCH($B1260,Vinos!$A$2:$A$301,0)),""))</f>
        <v/>
      </c>
      <c r="R1260" s="20">
        <f>IF(OR($A1260="",$A1260&lt;&gt;'Resumen del inventario'!$C$3,$N1260="",$N1260="OK"),"",IF(COUNTIFS($A$2:$A1260,$A1260,$B$2:$B1260,$B1260)=1,1,""))</f>
        <v/>
      </c>
      <c r="S1260" s="20">
        <f>IF($R1260=1,COUNTIF($R$2:$R1260,1),"")</f>
        <v/>
      </c>
    </row>
    <row r="1261">
      <c r="A1261" s="19" t="n"/>
      <c r="B1261" s="14" t="n"/>
      <c r="C1261" s="20">
        <f>IF($B1261="","",IFERROR(INDEX(Vinos!$B$2:$B$301,MATCH($B1261,Vinos!$A$2:$A$301,0)),"Código no cargado"))</f>
        <v/>
      </c>
      <c r="D1261" s="14" t="n"/>
      <c r="E1261" s="14" t="n"/>
      <c r="F1261" s="18" t="n"/>
      <c r="G1261" s="18" t="n"/>
      <c r="H1261" s="21">
        <f>IF(AND($F1261="",$G1261=""),"",N($F1261)*IFERROR(N(INDEX(Vinos!$H$2:$H$301,MATCH($B1261,Vinos!$A$2:$A$301,0))),0)+N($G1261))</f>
        <v/>
      </c>
      <c r="I1261" s="18" t="n"/>
      <c r="J1261" s="21">
        <f>IF(OR($H1261="",$I1261=""),"",$H1261-$I1261)</f>
        <v/>
      </c>
      <c r="K1261" s="16">
        <f>IF($H1261="","",IFERROR(IF(INDEX(Vinos!$J$2:$J$301,MATCH($B1261,Vinos!$A$2:$A$301,0))="","",$H1261*INDEX(Vinos!$J$2:$J$301,MATCH($B1261,Vinos!$A$2:$A$301,0))),""))</f>
        <v/>
      </c>
      <c r="L1261" s="16">
        <f>IF($H1261="","",IFERROR(IF(INDEX(Vinos!$K$2:$K$301,MATCH($B1261,Vinos!$A$2:$A$301,0))="","",$H1261*INDEX(Vinos!$K$2:$K$301,MATCH($B1261,Vinos!$A$2:$A$301,0))),""))</f>
        <v/>
      </c>
      <c r="M1261" s="21">
        <f>IF(OR($A1261="",$B1261=""),"",SUMIFS($H$2:$H$2001,$A$2:$A$2001,$A1261,$B$2:$B$2001,$B1261))</f>
        <v/>
      </c>
      <c r="N1261" s="20">
        <f>IF($M1261="","",IF($M1261&lt;=0,"Sin stock: reponer ya",IF($M1261&lt;IFERROR(N(INDEX(Vinos!$N$2:$N$301,MATCH($B1261,Vinos!$A$2:$A$301,0))),0),"Bajo mínimo: reponer","OK")))</f>
        <v/>
      </c>
      <c r="O1261" s="14" t="n"/>
      <c r="P1261" s="14" t="n"/>
      <c r="Q1261" s="20">
        <f>IF($B1261="","",IFERROR(INDEX(Vinos!$C$2:$C$301,MATCH($B1261,Vinos!$A$2:$A$301,0)),""))</f>
        <v/>
      </c>
      <c r="R1261" s="20">
        <f>IF(OR($A1261="",$A1261&lt;&gt;'Resumen del inventario'!$C$3,$N1261="",$N1261="OK"),"",IF(COUNTIFS($A$2:$A1261,$A1261,$B$2:$B1261,$B1261)=1,1,""))</f>
        <v/>
      </c>
      <c r="S1261" s="20">
        <f>IF($R1261=1,COUNTIF($R$2:$R1261,1),"")</f>
        <v/>
      </c>
    </row>
    <row r="1262">
      <c r="A1262" s="19" t="n"/>
      <c r="B1262" s="14" t="n"/>
      <c r="C1262" s="20">
        <f>IF($B1262="","",IFERROR(INDEX(Vinos!$B$2:$B$301,MATCH($B1262,Vinos!$A$2:$A$301,0)),"Código no cargado"))</f>
        <v/>
      </c>
      <c r="D1262" s="14" t="n"/>
      <c r="E1262" s="14" t="n"/>
      <c r="F1262" s="18" t="n"/>
      <c r="G1262" s="18" t="n"/>
      <c r="H1262" s="21">
        <f>IF(AND($F1262="",$G1262=""),"",N($F1262)*IFERROR(N(INDEX(Vinos!$H$2:$H$301,MATCH($B1262,Vinos!$A$2:$A$301,0))),0)+N($G1262))</f>
        <v/>
      </c>
      <c r="I1262" s="18" t="n"/>
      <c r="J1262" s="21">
        <f>IF(OR($H1262="",$I1262=""),"",$H1262-$I1262)</f>
        <v/>
      </c>
      <c r="K1262" s="16">
        <f>IF($H1262="","",IFERROR(IF(INDEX(Vinos!$J$2:$J$301,MATCH($B1262,Vinos!$A$2:$A$301,0))="","",$H1262*INDEX(Vinos!$J$2:$J$301,MATCH($B1262,Vinos!$A$2:$A$301,0))),""))</f>
        <v/>
      </c>
      <c r="L1262" s="16">
        <f>IF($H1262="","",IFERROR(IF(INDEX(Vinos!$K$2:$K$301,MATCH($B1262,Vinos!$A$2:$A$301,0))="","",$H1262*INDEX(Vinos!$K$2:$K$301,MATCH($B1262,Vinos!$A$2:$A$301,0))),""))</f>
        <v/>
      </c>
      <c r="M1262" s="21">
        <f>IF(OR($A1262="",$B1262=""),"",SUMIFS($H$2:$H$2001,$A$2:$A$2001,$A1262,$B$2:$B$2001,$B1262))</f>
        <v/>
      </c>
      <c r="N1262" s="20">
        <f>IF($M1262="","",IF($M1262&lt;=0,"Sin stock: reponer ya",IF($M1262&lt;IFERROR(N(INDEX(Vinos!$N$2:$N$301,MATCH($B1262,Vinos!$A$2:$A$301,0))),0),"Bajo mínimo: reponer","OK")))</f>
        <v/>
      </c>
      <c r="O1262" s="14" t="n"/>
      <c r="P1262" s="14" t="n"/>
      <c r="Q1262" s="20">
        <f>IF($B1262="","",IFERROR(INDEX(Vinos!$C$2:$C$301,MATCH($B1262,Vinos!$A$2:$A$301,0)),""))</f>
        <v/>
      </c>
      <c r="R1262" s="20">
        <f>IF(OR($A1262="",$A1262&lt;&gt;'Resumen del inventario'!$C$3,$N1262="",$N1262="OK"),"",IF(COUNTIFS($A$2:$A1262,$A1262,$B$2:$B1262,$B1262)=1,1,""))</f>
        <v/>
      </c>
      <c r="S1262" s="20">
        <f>IF($R1262=1,COUNTIF($R$2:$R1262,1),"")</f>
        <v/>
      </c>
    </row>
    <row r="1263">
      <c r="A1263" s="19" t="n"/>
      <c r="B1263" s="14" t="n"/>
      <c r="C1263" s="20">
        <f>IF($B1263="","",IFERROR(INDEX(Vinos!$B$2:$B$301,MATCH($B1263,Vinos!$A$2:$A$301,0)),"Código no cargado"))</f>
        <v/>
      </c>
      <c r="D1263" s="14" t="n"/>
      <c r="E1263" s="14" t="n"/>
      <c r="F1263" s="18" t="n"/>
      <c r="G1263" s="18" t="n"/>
      <c r="H1263" s="21">
        <f>IF(AND($F1263="",$G1263=""),"",N($F1263)*IFERROR(N(INDEX(Vinos!$H$2:$H$301,MATCH($B1263,Vinos!$A$2:$A$301,0))),0)+N($G1263))</f>
        <v/>
      </c>
      <c r="I1263" s="18" t="n"/>
      <c r="J1263" s="21">
        <f>IF(OR($H1263="",$I1263=""),"",$H1263-$I1263)</f>
        <v/>
      </c>
      <c r="K1263" s="16">
        <f>IF($H1263="","",IFERROR(IF(INDEX(Vinos!$J$2:$J$301,MATCH($B1263,Vinos!$A$2:$A$301,0))="","",$H1263*INDEX(Vinos!$J$2:$J$301,MATCH($B1263,Vinos!$A$2:$A$301,0))),""))</f>
        <v/>
      </c>
      <c r="L1263" s="16">
        <f>IF($H1263="","",IFERROR(IF(INDEX(Vinos!$K$2:$K$301,MATCH($B1263,Vinos!$A$2:$A$301,0))="","",$H1263*INDEX(Vinos!$K$2:$K$301,MATCH($B1263,Vinos!$A$2:$A$301,0))),""))</f>
        <v/>
      </c>
      <c r="M1263" s="21">
        <f>IF(OR($A1263="",$B1263=""),"",SUMIFS($H$2:$H$2001,$A$2:$A$2001,$A1263,$B$2:$B$2001,$B1263))</f>
        <v/>
      </c>
      <c r="N1263" s="20">
        <f>IF($M1263="","",IF($M1263&lt;=0,"Sin stock: reponer ya",IF($M1263&lt;IFERROR(N(INDEX(Vinos!$N$2:$N$301,MATCH($B1263,Vinos!$A$2:$A$301,0))),0),"Bajo mínimo: reponer","OK")))</f>
        <v/>
      </c>
      <c r="O1263" s="14" t="n"/>
      <c r="P1263" s="14" t="n"/>
      <c r="Q1263" s="20">
        <f>IF($B1263="","",IFERROR(INDEX(Vinos!$C$2:$C$301,MATCH($B1263,Vinos!$A$2:$A$301,0)),""))</f>
        <v/>
      </c>
      <c r="R1263" s="20">
        <f>IF(OR($A1263="",$A1263&lt;&gt;'Resumen del inventario'!$C$3,$N1263="",$N1263="OK"),"",IF(COUNTIFS($A$2:$A1263,$A1263,$B$2:$B1263,$B1263)=1,1,""))</f>
        <v/>
      </c>
      <c r="S1263" s="20">
        <f>IF($R1263=1,COUNTIF($R$2:$R1263,1),"")</f>
        <v/>
      </c>
    </row>
    <row r="1264">
      <c r="A1264" s="19" t="n"/>
      <c r="B1264" s="14" t="n"/>
      <c r="C1264" s="20">
        <f>IF($B1264="","",IFERROR(INDEX(Vinos!$B$2:$B$301,MATCH($B1264,Vinos!$A$2:$A$301,0)),"Código no cargado"))</f>
        <v/>
      </c>
      <c r="D1264" s="14" t="n"/>
      <c r="E1264" s="14" t="n"/>
      <c r="F1264" s="18" t="n"/>
      <c r="G1264" s="18" t="n"/>
      <c r="H1264" s="21">
        <f>IF(AND($F1264="",$G1264=""),"",N($F1264)*IFERROR(N(INDEX(Vinos!$H$2:$H$301,MATCH($B1264,Vinos!$A$2:$A$301,0))),0)+N($G1264))</f>
        <v/>
      </c>
      <c r="I1264" s="18" t="n"/>
      <c r="J1264" s="21">
        <f>IF(OR($H1264="",$I1264=""),"",$H1264-$I1264)</f>
        <v/>
      </c>
      <c r="K1264" s="16">
        <f>IF($H1264="","",IFERROR(IF(INDEX(Vinos!$J$2:$J$301,MATCH($B1264,Vinos!$A$2:$A$301,0))="","",$H1264*INDEX(Vinos!$J$2:$J$301,MATCH($B1264,Vinos!$A$2:$A$301,0))),""))</f>
        <v/>
      </c>
      <c r="L1264" s="16">
        <f>IF($H1264="","",IFERROR(IF(INDEX(Vinos!$K$2:$K$301,MATCH($B1264,Vinos!$A$2:$A$301,0))="","",$H1264*INDEX(Vinos!$K$2:$K$301,MATCH($B1264,Vinos!$A$2:$A$301,0))),""))</f>
        <v/>
      </c>
      <c r="M1264" s="21">
        <f>IF(OR($A1264="",$B1264=""),"",SUMIFS($H$2:$H$2001,$A$2:$A$2001,$A1264,$B$2:$B$2001,$B1264))</f>
        <v/>
      </c>
      <c r="N1264" s="20">
        <f>IF($M1264="","",IF($M1264&lt;=0,"Sin stock: reponer ya",IF($M1264&lt;IFERROR(N(INDEX(Vinos!$N$2:$N$301,MATCH($B1264,Vinos!$A$2:$A$301,0))),0),"Bajo mínimo: reponer","OK")))</f>
        <v/>
      </c>
      <c r="O1264" s="14" t="n"/>
      <c r="P1264" s="14" t="n"/>
      <c r="Q1264" s="20">
        <f>IF($B1264="","",IFERROR(INDEX(Vinos!$C$2:$C$301,MATCH($B1264,Vinos!$A$2:$A$301,0)),""))</f>
        <v/>
      </c>
      <c r="R1264" s="20">
        <f>IF(OR($A1264="",$A1264&lt;&gt;'Resumen del inventario'!$C$3,$N1264="",$N1264="OK"),"",IF(COUNTIFS($A$2:$A1264,$A1264,$B$2:$B1264,$B1264)=1,1,""))</f>
        <v/>
      </c>
      <c r="S1264" s="20">
        <f>IF($R1264=1,COUNTIF($R$2:$R1264,1),"")</f>
        <v/>
      </c>
    </row>
    <row r="1265">
      <c r="A1265" s="19" t="n"/>
      <c r="B1265" s="14" t="n"/>
      <c r="C1265" s="20">
        <f>IF($B1265="","",IFERROR(INDEX(Vinos!$B$2:$B$301,MATCH($B1265,Vinos!$A$2:$A$301,0)),"Código no cargado"))</f>
        <v/>
      </c>
      <c r="D1265" s="14" t="n"/>
      <c r="E1265" s="14" t="n"/>
      <c r="F1265" s="18" t="n"/>
      <c r="G1265" s="18" t="n"/>
      <c r="H1265" s="21">
        <f>IF(AND($F1265="",$G1265=""),"",N($F1265)*IFERROR(N(INDEX(Vinos!$H$2:$H$301,MATCH($B1265,Vinos!$A$2:$A$301,0))),0)+N($G1265))</f>
        <v/>
      </c>
      <c r="I1265" s="18" t="n"/>
      <c r="J1265" s="21">
        <f>IF(OR($H1265="",$I1265=""),"",$H1265-$I1265)</f>
        <v/>
      </c>
      <c r="K1265" s="16">
        <f>IF($H1265="","",IFERROR(IF(INDEX(Vinos!$J$2:$J$301,MATCH($B1265,Vinos!$A$2:$A$301,0))="","",$H1265*INDEX(Vinos!$J$2:$J$301,MATCH($B1265,Vinos!$A$2:$A$301,0))),""))</f>
        <v/>
      </c>
      <c r="L1265" s="16">
        <f>IF($H1265="","",IFERROR(IF(INDEX(Vinos!$K$2:$K$301,MATCH($B1265,Vinos!$A$2:$A$301,0))="","",$H1265*INDEX(Vinos!$K$2:$K$301,MATCH($B1265,Vinos!$A$2:$A$301,0))),""))</f>
        <v/>
      </c>
      <c r="M1265" s="21">
        <f>IF(OR($A1265="",$B1265=""),"",SUMIFS($H$2:$H$2001,$A$2:$A$2001,$A1265,$B$2:$B$2001,$B1265))</f>
        <v/>
      </c>
      <c r="N1265" s="20">
        <f>IF($M1265="","",IF($M1265&lt;=0,"Sin stock: reponer ya",IF($M1265&lt;IFERROR(N(INDEX(Vinos!$N$2:$N$301,MATCH($B1265,Vinos!$A$2:$A$301,0))),0),"Bajo mínimo: reponer","OK")))</f>
        <v/>
      </c>
      <c r="O1265" s="14" t="n"/>
      <c r="P1265" s="14" t="n"/>
      <c r="Q1265" s="20">
        <f>IF($B1265="","",IFERROR(INDEX(Vinos!$C$2:$C$301,MATCH($B1265,Vinos!$A$2:$A$301,0)),""))</f>
        <v/>
      </c>
      <c r="R1265" s="20">
        <f>IF(OR($A1265="",$A1265&lt;&gt;'Resumen del inventario'!$C$3,$N1265="",$N1265="OK"),"",IF(COUNTIFS($A$2:$A1265,$A1265,$B$2:$B1265,$B1265)=1,1,""))</f>
        <v/>
      </c>
      <c r="S1265" s="20">
        <f>IF($R1265=1,COUNTIF($R$2:$R1265,1),"")</f>
        <v/>
      </c>
    </row>
    <row r="1266">
      <c r="A1266" s="19" t="n"/>
      <c r="B1266" s="14" t="n"/>
      <c r="C1266" s="20">
        <f>IF($B1266="","",IFERROR(INDEX(Vinos!$B$2:$B$301,MATCH($B1266,Vinos!$A$2:$A$301,0)),"Código no cargado"))</f>
        <v/>
      </c>
      <c r="D1266" s="14" t="n"/>
      <c r="E1266" s="14" t="n"/>
      <c r="F1266" s="18" t="n"/>
      <c r="G1266" s="18" t="n"/>
      <c r="H1266" s="21">
        <f>IF(AND($F1266="",$G1266=""),"",N($F1266)*IFERROR(N(INDEX(Vinos!$H$2:$H$301,MATCH($B1266,Vinos!$A$2:$A$301,0))),0)+N($G1266))</f>
        <v/>
      </c>
      <c r="I1266" s="18" t="n"/>
      <c r="J1266" s="21">
        <f>IF(OR($H1266="",$I1266=""),"",$H1266-$I1266)</f>
        <v/>
      </c>
      <c r="K1266" s="16">
        <f>IF($H1266="","",IFERROR(IF(INDEX(Vinos!$J$2:$J$301,MATCH($B1266,Vinos!$A$2:$A$301,0))="","",$H1266*INDEX(Vinos!$J$2:$J$301,MATCH($B1266,Vinos!$A$2:$A$301,0))),""))</f>
        <v/>
      </c>
      <c r="L1266" s="16">
        <f>IF($H1266="","",IFERROR(IF(INDEX(Vinos!$K$2:$K$301,MATCH($B1266,Vinos!$A$2:$A$301,0))="","",$H1266*INDEX(Vinos!$K$2:$K$301,MATCH($B1266,Vinos!$A$2:$A$301,0))),""))</f>
        <v/>
      </c>
      <c r="M1266" s="21">
        <f>IF(OR($A1266="",$B1266=""),"",SUMIFS($H$2:$H$2001,$A$2:$A$2001,$A1266,$B$2:$B$2001,$B1266))</f>
        <v/>
      </c>
      <c r="N1266" s="20">
        <f>IF($M1266="","",IF($M1266&lt;=0,"Sin stock: reponer ya",IF($M1266&lt;IFERROR(N(INDEX(Vinos!$N$2:$N$301,MATCH($B1266,Vinos!$A$2:$A$301,0))),0),"Bajo mínimo: reponer","OK")))</f>
        <v/>
      </c>
      <c r="O1266" s="14" t="n"/>
      <c r="P1266" s="14" t="n"/>
      <c r="Q1266" s="20">
        <f>IF($B1266="","",IFERROR(INDEX(Vinos!$C$2:$C$301,MATCH($B1266,Vinos!$A$2:$A$301,0)),""))</f>
        <v/>
      </c>
      <c r="R1266" s="20">
        <f>IF(OR($A1266="",$A1266&lt;&gt;'Resumen del inventario'!$C$3,$N1266="",$N1266="OK"),"",IF(COUNTIFS($A$2:$A1266,$A1266,$B$2:$B1266,$B1266)=1,1,""))</f>
        <v/>
      </c>
      <c r="S1266" s="20">
        <f>IF($R1266=1,COUNTIF($R$2:$R1266,1),"")</f>
        <v/>
      </c>
    </row>
    <row r="1267">
      <c r="A1267" s="19" t="n"/>
      <c r="B1267" s="14" t="n"/>
      <c r="C1267" s="20">
        <f>IF($B1267="","",IFERROR(INDEX(Vinos!$B$2:$B$301,MATCH($B1267,Vinos!$A$2:$A$301,0)),"Código no cargado"))</f>
        <v/>
      </c>
      <c r="D1267" s="14" t="n"/>
      <c r="E1267" s="14" t="n"/>
      <c r="F1267" s="18" t="n"/>
      <c r="G1267" s="18" t="n"/>
      <c r="H1267" s="21">
        <f>IF(AND($F1267="",$G1267=""),"",N($F1267)*IFERROR(N(INDEX(Vinos!$H$2:$H$301,MATCH($B1267,Vinos!$A$2:$A$301,0))),0)+N($G1267))</f>
        <v/>
      </c>
      <c r="I1267" s="18" t="n"/>
      <c r="J1267" s="21">
        <f>IF(OR($H1267="",$I1267=""),"",$H1267-$I1267)</f>
        <v/>
      </c>
      <c r="K1267" s="16">
        <f>IF($H1267="","",IFERROR(IF(INDEX(Vinos!$J$2:$J$301,MATCH($B1267,Vinos!$A$2:$A$301,0))="","",$H1267*INDEX(Vinos!$J$2:$J$301,MATCH($B1267,Vinos!$A$2:$A$301,0))),""))</f>
        <v/>
      </c>
      <c r="L1267" s="16">
        <f>IF($H1267="","",IFERROR(IF(INDEX(Vinos!$K$2:$K$301,MATCH($B1267,Vinos!$A$2:$A$301,0))="","",$H1267*INDEX(Vinos!$K$2:$K$301,MATCH($B1267,Vinos!$A$2:$A$301,0))),""))</f>
        <v/>
      </c>
      <c r="M1267" s="21">
        <f>IF(OR($A1267="",$B1267=""),"",SUMIFS($H$2:$H$2001,$A$2:$A$2001,$A1267,$B$2:$B$2001,$B1267))</f>
        <v/>
      </c>
      <c r="N1267" s="20">
        <f>IF($M1267="","",IF($M1267&lt;=0,"Sin stock: reponer ya",IF($M1267&lt;IFERROR(N(INDEX(Vinos!$N$2:$N$301,MATCH($B1267,Vinos!$A$2:$A$301,0))),0),"Bajo mínimo: reponer","OK")))</f>
        <v/>
      </c>
      <c r="O1267" s="14" t="n"/>
      <c r="P1267" s="14" t="n"/>
      <c r="Q1267" s="20">
        <f>IF($B1267="","",IFERROR(INDEX(Vinos!$C$2:$C$301,MATCH($B1267,Vinos!$A$2:$A$301,0)),""))</f>
        <v/>
      </c>
      <c r="R1267" s="20">
        <f>IF(OR($A1267="",$A1267&lt;&gt;'Resumen del inventario'!$C$3,$N1267="",$N1267="OK"),"",IF(COUNTIFS($A$2:$A1267,$A1267,$B$2:$B1267,$B1267)=1,1,""))</f>
        <v/>
      </c>
      <c r="S1267" s="20">
        <f>IF($R1267=1,COUNTIF($R$2:$R1267,1),"")</f>
        <v/>
      </c>
    </row>
    <row r="1268">
      <c r="A1268" s="19" t="n"/>
      <c r="B1268" s="14" t="n"/>
      <c r="C1268" s="20">
        <f>IF($B1268="","",IFERROR(INDEX(Vinos!$B$2:$B$301,MATCH($B1268,Vinos!$A$2:$A$301,0)),"Código no cargado"))</f>
        <v/>
      </c>
      <c r="D1268" s="14" t="n"/>
      <c r="E1268" s="14" t="n"/>
      <c r="F1268" s="18" t="n"/>
      <c r="G1268" s="18" t="n"/>
      <c r="H1268" s="21">
        <f>IF(AND($F1268="",$G1268=""),"",N($F1268)*IFERROR(N(INDEX(Vinos!$H$2:$H$301,MATCH($B1268,Vinos!$A$2:$A$301,0))),0)+N($G1268))</f>
        <v/>
      </c>
      <c r="I1268" s="18" t="n"/>
      <c r="J1268" s="21">
        <f>IF(OR($H1268="",$I1268=""),"",$H1268-$I1268)</f>
        <v/>
      </c>
      <c r="K1268" s="16">
        <f>IF($H1268="","",IFERROR(IF(INDEX(Vinos!$J$2:$J$301,MATCH($B1268,Vinos!$A$2:$A$301,0))="","",$H1268*INDEX(Vinos!$J$2:$J$301,MATCH($B1268,Vinos!$A$2:$A$301,0))),""))</f>
        <v/>
      </c>
      <c r="L1268" s="16">
        <f>IF($H1268="","",IFERROR(IF(INDEX(Vinos!$K$2:$K$301,MATCH($B1268,Vinos!$A$2:$A$301,0))="","",$H1268*INDEX(Vinos!$K$2:$K$301,MATCH($B1268,Vinos!$A$2:$A$301,0))),""))</f>
        <v/>
      </c>
      <c r="M1268" s="21">
        <f>IF(OR($A1268="",$B1268=""),"",SUMIFS($H$2:$H$2001,$A$2:$A$2001,$A1268,$B$2:$B$2001,$B1268))</f>
        <v/>
      </c>
      <c r="N1268" s="20">
        <f>IF($M1268="","",IF($M1268&lt;=0,"Sin stock: reponer ya",IF($M1268&lt;IFERROR(N(INDEX(Vinos!$N$2:$N$301,MATCH($B1268,Vinos!$A$2:$A$301,0))),0),"Bajo mínimo: reponer","OK")))</f>
        <v/>
      </c>
      <c r="O1268" s="14" t="n"/>
      <c r="P1268" s="14" t="n"/>
      <c r="Q1268" s="20">
        <f>IF($B1268="","",IFERROR(INDEX(Vinos!$C$2:$C$301,MATCH($B1268,Vinos!$A$2:$A$301,0)),""))</f>
        <v/>
      </c>
      <c r="R1268" s="20">
        <f>IF(OR($A1268="",$A1268&lt;&gt;'Resumen del inventario'!$C$3,$N1268="",$N1268="OK"),"",IF(COUNTIFS($A$2:$A1268,$A1268,$B$2:$B1268,$B1268)=1,1,""))</f>
        <v/>
      </c>
      <c r="S1268" s="20">
        <f>IF($R1268=1,COUNTIF($R$2:$R1268,1),"")</f>
        <v/>
      </c>
    </row>
    <row r="1269">
      <c r="A1269" s="19" t="n"/>
      <c r="B1269" s="14" t="n"/>
      <c r="C1269" s="20">
        <f>IF($B1269="","",IFERROR(INDEX(Vinos!$B$2:$B$301,MATCH($B1269,Vinos!$A$2:$A$301,0)),"Código no cargado"))</f>
        <v/>
      </c>
      <c r="D1269" s="14" t="n"/>
      <c r="E1269" s="14" t="n"/>
      <c r="F1269" s="18" t="n"/>
      <c r="G1269" s="18" t="n"/>
      <c r="H1269" s="21">
        <f>IF(AND($F1269="",$G1269=""),"",N($F1269)*IFERROR(N(INDEX(Vinos!$H$2:$H$301,MATCH($B1269,Vinos!$A$2:$A$301,0))),0)+N($G1269))</f>
        <v/>
      </c>
      <c r="I1269" s="18" t="n"/>
      <c r="J1269" s="21">
        <f>IF(OR($H1269="",$I1269=""),"",$H1269-$I1269)</f>
        <v/>
      </c>
      <c r="K1269" s="16">
        <f>IF($H1269="","",IFERROR(IF(INDEX(Vinos!$J$2:$J$301,MATCH($B1269,Vinos!$A$2:$A$301,0))="","",$H1269*INDEX(Vinos!$J$2:$J$301,MATCH($B1269,Vinos!$A$2:$A$301,0))),""))</f>
        <v/>
      </c>
      <c r="L1269" s="16">
        <f>IF($H1269="","",IFERROR(IF(INDEX(Vinos!$K$2:$K$301,MATCH($B1269,Vinos!$A$2:$A$301,0))="","",$H1269*INDEX(Vinos!$K$2:$K$301,MATCH($B1269,Vinos!$A$2:$A$301,0))),""))</f>
        <v/>
      </c>
      <c r="M1269" s="21">
        <f>IF(OR($A1269="",$B1269=""),"",SUMIFS($H$2:$H$2001,$A$2:$A$2001,$A1269,$B$2:$B$2001,$B1269))</f>
        <v/>
      </c>
      <c r="N1269" s="20">
        <f>IF($M1269="","",IF($M1269&lt;=0,"Sin stock: reponer ya",IF($M1269&lt;IFERROR(N(INDEX(Vinos!$N$2:$N$301,MATCH($B1269,Vinos!$A$2:$A$301,0))),0),"Bajo mínimo: reponer","OK")))</f>
        <v/>
      </c>
      <c r="O1269" s="14" t="n"/>
      <c r="P1269" s="14" t="n"/>
      <c r="Q1269" s="20">
        <f>IF($B1269="","",IFERROR(INDEX(Vinos!$C$2:$C$301,MATCH($B1269,Vinos!$A$2:$A$301,0)),""))</f>
        <v/>
      </c>
      <c r="R1269" s="20">
        <f>IF(OR($A1269="",$A1269&lt;&gt;'Resumen del inventario'!$C$3,$N1269="",$N1269="OK"),"",IF(COUNTIFS($A$2:$A1269,$A1269,$B$2:$B1269,$B1269)=1,1,""))</f>
        <v/>
      </c>
      <c r="S1269" s="20">
        <f>IF($R1269=1,COUNTIF($R$2:$R1269,1),"")</f>
        <v/>
      </c>
    </row>
    <row r="1270">
      <c r="A1270" s="19" t="n"/>
      <c r="B1270" s="14" t="n"/>
      <c r="C1270" s="20">
        <f>IF($B1270="","",IFERROR(INDEX(Vinos!$B$2:$B$301,MATCH($B1270,Vinos!$A$2:$A$301,0)),"Código no cargado"))</f>
        <v/>
      </c>
      <c r="D1270" s="14" t="n"/>
      <c r="E1270" s="14" t="n"/>
      <c r="F1270" s="18" t="n"/>
      <c r="G1270" s="18" t="n"/>
      <c r="H1270" s="21">
        <f>IF(AND($F1270="",$G1270=""),"",N($F1270)*IFERROR(N(INDEX(Vinos!$H$2:$H$301,MATCH($B1270,Vinos!$A$2:$A$301,0))),0)+N($G1270))</f>
        <v/>
      </c>
      <c r="I1270" s="18" t="n"/>
      <c r="J1270" s="21">
        <f>IF(OR($H1270="",$I1270=""),"",$H1270-$I1270)</f>
        <v/>
      </c>
      <c r="K1270" s="16">
        <f>IF($H1270="","",IFERROR(IF(INDEX(Vinos!$J$2:$J$301,MATCH($B1270,Vinos!$A$2:$A$301,0))="","",$H1270*INDEX(Vinos!$J$2:$J$301,MATCH($B1270,Vinos!$A$2:$A$301,0))),""))</f>
        <v/>
      </c>
      <c r="L1270" s="16">
        <f>IF($H1270="","",IFERROR(IF(INDEX(Vinos!$K$2:$K$301,MATCH($B1270,Vinos!$A$2:$A$301,0))="","",$H1270*INDEX(Vinos!$K$2:$K$301,MATCH($B1270,Vinos!$A$2:$A$301,0))),""))</f>
        <v/>
      </c>
      <c r="M1270" s="21">
        <f>IF(OR($A1270="",$B1270=""),"",SUMIFS($H$2:$H$2001,$A$2:$A$2001,$A1270,$B$2:$B$2001,$B1270))</f>
        <v/>
      </c>
      <c r="N1270" s="20">
        <f>IF($M1270="","",IF($M1270&lt;=0,"Sin stock: reponer ya",IF($M1270&lt;IFERROR(N(INDEX(Vinos!$N$2:$N$301,MATCH($B1270,Vinos!$A$2:$A$301,0))),0),"Bajo mínimo: reponer","OK")))</f>
        <v/>
      </c>
      <c r="O1270" s="14" t="n"/>
      <c r="P1270" s="14" t="n"/>
      <c r="Q1270" s="20">
        <f>IF($B1270="","",IFERROR(INDEX(Vinos!$C$2:$C$301,MATCH($B1270,Vinos!$A$2:$A$301,0)),""))</f>
        <v/>
      </c>
      <c r="R1270" s="20">
        <f>IF(OR($A1270="",$A1270&lt;&gt;'Resumen del inventario'!$C$3,$N1270="",$N1270="OK"),"",IF(COUNTIFS($A$2:$A1270,$A1270,$B$2:$B1270,$B1270)=1,1,""))</f>
        <v/>
      </c>
      <c r="S1270" s="20">
        <f>IF($R1270=1,COUNTIF($R$2:$R1270,1),"")</f>
        <v/>
      </c>
    </row>
    <row r="1271">
      <c r="A1271" s="19" t="n"/>
      <c r="B1271" s="14" t="n"/>
      <c r="C1271" s="20">
        <f>IF($B1271="","",IFERROR(INDEX(Vinos!$B$2:$B$301,MATCH($B1271,Vinos!$A$2:$A$301,0)),"Código no cargado"))</f>
        <v/>
      </c>
      <c r="D1271" s="14" t="n"/>
      <c r="E1271" s="14" t="n"/>
      <c r="F1271" s="18" t="n"/>
      <c r="G1271" s="18" t="n"/>
      <c r="H1271" s="21">
        <f>IF(AND($F1271="",$G1271=""),"",N($F1271)*IFERROR(N(INDEX(Vinos!$H$2:$H$301,MATCH($B1271,Vinos!$A$2:$A$301,0))),0)+N($G1271))</f>
        <v/>
      </c>
      <c r="I1271" s="18" t="n"/>
      <c r="J1271" s="21">
        <f>IF(OR($H1271="",$I1271=""),"",$H1271-$I1271)</f>
        <v/>
      </c>
      <c r="K1271" s="16">
        <f>IF($H1271="","",IFERROR(IF(INDEX(Vinos!$J$2:$J$301,MATCH($B1271,Vinos!$A$2:$A$301,0))="","",$H1271*INDEX(Vinos!$J$2:$J$301,MATCH($B1271,Vinos!$A$2:$A$301,0))),""))</f>
        <v/>
      </c>
      <c r="L1271" s="16">
        <f>IF($H1271="","",IFERROR(IF(INDEX(Vinos!$K$2:$K$301,MATCH($B1271,Vinos!$A$2:$A$301,0))="","",$H1271*INDEX(Vinos!$K$2:$K$301,MATCH($B1271,Vinos!$A$2:$A$301,0))),""))</f>
        <v/>
      </c>
      <c r="M1271" s="21">
        <f>IF(OR($A1271="",$B1271=""),"",SUMIFS($H$2:$H$2001,$A$2:$A$2001,$A1271,$B$2:$B$2001,$B1271))</f>
        <v/>
      </c>
      <c r="N1271" s="20">
        <f>IF($M1271="","",IF($M1271&lt;=0,"Sin stock: reponer ya",IF($M1271&lt;IFERROR(N(INDEX(Vinos!$N$2:$N$301,MATCH($B1271,Vinos!$A$2:$A$301,0))),0),"Bajo mínimo: reponer","OK")))</f>
        <v/>
      </c>
      <c r="O1271" s="14" t="n"/>
      <c r="P1271" s="14" t="n"/>
      <c r="Q1271" s="20">
        <f>IF($B1271="","",IFERROR(INDEX(Vinos!$C$2:$C$301,MATCH($B1271,Vinos!$A$2:$A$301,0)),""))</f>
        <v/>
      </c>
      <c r="R1271" s="20">
        <f>IF(OR($A1271="",$A1271&lt;&gt;'Resumen del inventario'!$C$3,$N1271="",$N1271="OK"),"",IF(COUNTIFS($A$2:$A1271,$A1271,$B$2:$B1271,$B1271)=1,1,""))</f>
        <v/>
      </c>
      <c r="S1271" s="20">
        <f>IF($R1271=1,COUNTIF($R$2:$R1271,1),"")</f>
        <v/>
      </c>
    </row>
    <row r="1272">
      <c r="A1272" s="19" t="n"/>
      <c r="B1272" s="14" t="n"/>
      <c r="C1272" s="20">
        <f>IF($B1272="","",IFERROR(INDEX(Vinos!$B$2:$B$301,MATCH($B1272,Vinos!$A$2:$A$301,0)),"Código no cargado"))</f>
        <v/>
      </c>
      <c r="D1272" s="14" t="n"/>
      <c r="E1272" s="14" t="n"/>
      <c r="F1272" s="18" t="n"/>
      <c r="G1272" s="18" t="n"/>
      <c r="H1272" s="21">
        <f>IF(AND($F1272="",$G1272=""),"",N($F1272)*IFERROR(N(INDEX(Vinos!$H$2:$H$301,MATCH($B1272,Vinos!$A$2:$A$301,0))),0)+N($G1272))</f>
        <v/>
      </c>
      <c r="I1272" s="18" t="n"/>
      <c r="J1272" s="21">
        <f>IF(OR($H1272="",$I1272=""),"",$H1272-$I1272)</f>
        <v/>
      </c>
      <c r="K1272" s="16">
        <f>IF($H1272="","",IFERROR(IF(INDEX(Vinos!$J$2:$J$301,MATCH($B1272,Vinos!$A$2:$A$301,0))="","",$H1272*INDEX(Vinos!$J$2:$J$301,MATCH($B1272,Vinos!$A$2:$A$301,0))),""))</f>
        <v/>
      </c>
      <c r="L1272" s="16">
        <f>IF($H1272="","",IFERROR(IF(INDEX(Vinos!$K$2:$K$301,MATCH($B1272,Vinos!$A$2:$A$301,0))="","",$H1272*INDEX(Vinos!$K$2:$K$301,MATCH($B1272,Vinos!$A$2:$A$301,0))),""))</f>
        <v/>
      </c>
      <c r="M1272" s="21">
        <f>IF(OR($A1272="",$B1272=""),"",SUMIFS($H$2:$H$2001,$A$2:$A$2001,$A1272,$B$2:$B$2001,$B1272))</f>
        <v/>
      </c>
      <c r="N1272" s="20">
        <f>IF($M1272="","",IF($M1272&lt;=0,"Sin stock: reponer ya",IF($M1272&lt;IFERROR(N(INDEX(Vinos!$N$2:$N$301,MATCH($B1272,Vinos!$A$2:$A$301,0))),0),"Bajo mínimo: reponer","OK")))</f>
        <v/>
      </c>
      <c r="O1272" s="14" t="n"/>
      <c r="P1272" s="14" t="n"/>
      <c r="Q1272" s="20">
        <f>IF($B1272="","",IFERROR(INDEX(Vinos!$C$2:$C$301,MATCH($B1272,Vinos!$A$2:$A$301,0)),""))</f>
        <v/>
      </c>
      <c r="R1272" s="20">
        <f>IF(OR($A1272="",$A1272&lt;&gt;'Resumen del inventario'!$C$3,$N1272="",$N1272="OK"),"",IF(COUNTIFS($A$2:$A1272,$A1272,$B$2:$B1272,$B1272)=1,1,""))</f>
        <v/>
      </c>
      <c r="S1272" s="20">
        <f>IF($R1272=1,COUNTIF($R$2:$R1272,1),"")</f>
        <v/>
      </c>
    </row>
    <row r="1273">
      <c r="A1273" s="19" t="n"/>
      <c r="B1273" s="14" t="n"/>
      <c r="C1273" s="20">
        <f>IF($B1273="","",IFERROR(INDEX(Vinos!$B$2:$B$301,MATCH($B1273,Vinos!$A$2:$A$301,0)),"Código no cargado"))</f>
        <v/>
      </c>
      <c r="D1273" s="14" t="n"/>
      <c r="E1273" s="14" t="n"/>
      <c r="F1273" s="18" t="n"/>
      <c r="G1273" s="18" t="n"/>
      <c r="H1273" s="21">
        <f>IF(AND($F1273="",$G1273=""),"",N($F1273)*IFERROR(N(INDEX(Vinos!$H$2:$H$301,MATCH($B1273,Vinos!$A$2:$A$301,0))),0)+N($G1273))</f>
        <v/>
      </c>
      <c r="I1273" s="18" t="n"/>
      <c r="J1273" s="21">
        <f>IF(OR($H1273="",$I1273=""),"",$H1273-$I1273)</f>
        <v/>
      </c>
      <c r="K1273" s="16">
        <f>IF($H1273="","",IFERROR(IF(INDEX(Vinos!$J$2:$J$301,MATCH($B1273,Vinos!$A$2:$A$301,0))="","",$H1273*INDEX(Vinos!$J$2:$J$301,MATCH($B1273,Vinos!$A$2:$A$301,0))),""))</f>
        <v/>
      </c>
      <c r="L1273" s="16">
        <f>IF($H1273="","",IFERROR(IF(INDEX(Vinos!$K$2:$K$301,MATCH($B1273,Vinos!$A$2:$A$301,0))="","",$H1273*INDEX(Vinos!$K$2:$K$301,MATCH($B1273,Vinos!$A$2:$A$301,0))),""))</f>
        <v/>
      </c>
      <c r="M1273" s="21">
        <f>IF(OR($A1273="",$B1273=""),"",SUMIFS($H$2:$H$2001,$A$2:$A$2001,$A1273,$B$2:$B$2001,$B1273))</f>
        <v/>
      </c>
      <c r="N1273" s="20">
        <f>IF($M1273="","",IF($M1273&lt;=0,"Sin stock: reponer ya",IF($M1273&lt;IFERROR(N(INDEX(Vinos!$N$2:$N$301,MATCH($B1273,Vinos!$A$2:$A$301,0))),0),"Bajo mínimo: reponer","OK")))</f>
        <v/>
      </c>
      <c r="O1273" s="14" t="n"/>
      <c r="P1273" s="14" t="n"/>
      <c r="Q1273" s="20">
        <f>IF($B1273="","",IFERROR(INDEX(Vinos!$C$2:$C$301,MATCH($B1273,Vinos!$A$2:$A$301,0)),""))</f>
        <v/>
      </c>
      <c r="R1273" s="20">
        <f>IF(OR($A1273="",$A1273&lt;&gt;'Resumen del inventario'!$C$3,$N1273="",$N1273="OK"),"",IF(COUNTIFS($A$2:$A1273,$A1273,$B$2:$B1273,$B1273)=1,1,""))</f>
        <v/>
      </c>
      <c r="S1273" s="20">
        <f>IF($R1273=1,COUNTIF($R$2:$R1273,1),"")</f>
        <v/>
      </c>
    </row>
    <row r="1274">
      <c r="A1274" s="19" t="n"/>
      <c r="B1274" s="14" t="n"/>
      <c r="C1274" s="20">
        <f>IF($B1274="","",IFERROR(INDEX(Vinos!$B$2:$B$301,MATCH($B1274,Vinos!$A$2:$A$301,0)),"Código no cargado"))</f>
        <v/>
      </c>
      <c r="D1274" s="14" t="n"/>
      <c r="E1274" s="14" t="n"/>
      <c r="F1274" s="18" t="n"/>
      <c r="G1274" s="18" t="n"/>
      <c r="H1274" s="21">
        <f>IF(AND($F1274="",$G1274=""),"",N($F1274)*IFERROR(N(INDEX(Vinos!$H$2:$H$301,MATCH($B1274,Vinos!$A$2:$A$301,0))),0)+N($G1274))</f>
        <v/>
      </c>
      <c r="I1274" s="18" t="n"/>
      <c r="J1274" s="21">
        <f>IF(OR($H1274="",$I1274=""),"",$H1274-$I1274)</f>
        <v/>
      </c>
      <c r="K1274" s="16">
        <f>IF($H1274="","",IFERROR(IF(INDEX(Vinos!$J$2:$J$301,MATCH($B1274,Vinos!$A$2:$A$301,0))="","",$H1274*INDEX(Vinos!$J$2:$J$301,MATCH($B1274,Vinos!$A$2:$A$301,0))),""))</f>
        <v/>
      </c>
      <c r="L1274" s="16">
        <f>IF($H1274="","",IFERROR(IF(INDEX(Vinos!$K$2:$K$301,MATCH($B1274,Vinos!$A$2:$A$301,0))="","",$H1274*INDEX(Vinos!$K$2:$K$301,MATCH($B1274,Vinos!$A$2:$A$301,0))),""))</f>
        <v/>
      </c>
      <c r="M1274" s="21">
        <f>IF(OR($A1274="",$B1274=""),"",SUMIFS($H$2:$H$2001,$A$2:$A$2001,$A1274,$B$2:$B$2001,$B1274))</f>
        <v/>
      </c>
      <c r="N1274" s="20">
        <f>IF($M1274="","",IF($M1274&lt;=0,"Sin stock: reponer ya",IF($M1274&lt;IFERROR(N(INDEX(Vinos!$N$2:$N$301,MATCH($B1274,Vinos!$A$2:$A$301,0))),0),"Bajo mínimo: reponer","OK")))</f>
        <v/>
      </c>
      <c r="O1274" s="14" t="n"/>
      <c r="P1274" s="14" t="n"/>
      <c r="Q1274" s="20">
        <f>IF($B1274="","",IFERROR(INDEX(Vinos!$C$2:$C$301,MATCH($B1274,Vinos!$A$2:$A$301,0)),""))</f>
        <v/>
      </c>
      <c r="R1274" s="20">
        <f>IF(OR($A1274="",$A1274&lt;&gt;'Resumen del inventario'!$C$3,$N1274="",$N1274="OK"),"",IF(COUNTIFS($A$2:$A1274,$A1274,$B$2:$B1274,$B1274)=1,1,""))</f>
        <v/>
      </c>
      <c r="S1274" s="20">
        <f>IF($R1274=1,COUNTIF($R$2:$R1274,1),"")</f>
        <v/>
      </c>
    </row>
    <row r="1275">
      <c r="A1275" s="19" t="n"/>
      <c r="B1275" s="14" t="n"/>
      <c r="C1275" s="20">
        <f>IF($B1275="","",IFERROR(INDEX(Vinos!$B$2:$B$301,MATCH($B1275,Vinos!$A$2:$A$301,0)),"Código no cargado"))</f>
        <v/>
      </c>
      <c r="D1275" s="14" t="n"/>
      <c r="E1275" s="14" t="n"/>
      <c r="F1275" s="18" t="n"/>
      <c r="G1275" s="18" t="n"/>
      <c r="H1275" s="21">
        <f>IF(AND($F1275="",$G1275=""),"",N($F1275)*IFERROR(N(INDEX(Vinos!$H$2:$H$301,MATCH($B1275,Vinos!$A$2:$A$301,0))),0)+N($G1275))</f>
        <v/>
      </c>
      <c r="I1275" s="18" t="n"/>
      <c r="J1275" s="21">
        <f>IF(OR($H1275="",$I1275=""),"",$H1275-$I1275)</f>
        <v/>
      </c>
      <c r="K1275" s="16">
        <f>IF($H1275="","",IFERROR(IF(INDEX(Vinos!$J$2:$J$301,MATCH($B1275,Vinos!$A$2:$A$301,0))="","",$H1275*INDEX(Vinos!$J$2:$J$301,MATCH($B1275,Vinos!$A$2:$A$301,0))),""))</f>
        <v/>
      </c>
      <c r="L1275" s="16">
        <f>IF($H1275="","",IFERROR(IF(INDEX(Vinos!$K$2:$K$301,MATCH($B1275,Vinos!$A$2:$A$301,0))="","",$H1275*INDEX(Vinos!$K$2:$K$301,MATCH($B1275,Vinos!$A$2:$A$301,0))),""))</f>
        <v/>
      </c>
      <c r="M1275" s="21">
        <f>IF(OR($A1275="",$B1275=""),"",SUMIFS($H$2:$H$2001,$A$2:$A$2001,$A1275,$B$2:$B$2001,$B1275))</f>
        <v/>
      </c>
      <c r="N1275" s="20">
        <f>IF($M1275="","",IF($M1275&lt;=0,"Sin stock: reponer ya",IF($M1275&lt;IFERROR(N(INDEX(Vinos!$N$2:$N$301,MATCH($B1275,Vinos!$A$2:$A$301,0))),0),"Bajo mínimo: reponer","OK")))</f>
        <v/>
      </c>
      <c r="O1275" s="14" t="n"/>
      <c r="P1275" s="14" t="n"/>
      <c r="Q1275" s="20">
        <f>IF($B1275="","",IFERROR(INDEX(Vinos!$C$2:$C$301,MATCH($B1275,Vinos!$A$2:$A$301,0)),""))</f>
        <v/>
      </c>
      <c r="R1275" s="20">
        <f>IF(OR($A1275="",$A1275&lt;&gt;'Resumen del inventario'!$C$3,$N1275="",$N1275="OK"),"",IF(COUNTIFS($A$2:$A1275,$A1275,$B$2:$B1275,$B1275)=1,1,""))</f>
        <v/>
      </c>
      <c r="S1275" s="20">
        <f>IF($R1275=1,COUNTIF($R$2:$R1275,1),"")</f>
        <v/>
      </c>
    </row>
    <row r="1276">
      <c r="A1276" s="19" t="n"/>
      <c r="B1276" s="14" t="n"/>
      <c r="C1276" s="20">
        <f>IF($B1276="","",IFERROR(INDEX(Vinos!$B$2:$B$301,MATCH($B1276,Vinos!$A$2:$A$301,0)),"Código no cargado"))</f>
        <v/>
      </c>
      <c r="D1276" s="14" t="n"/>
      <c r="E1276" s="14" t="n"/>
      <c r="F1276" s="18" t="n"/>
      <c r="G1276" s="18" t="n"/>
      <c r="H1276" s="21">
        <f>IF(AND($F1276="",$G1276=""),"",N($F1276)*IFERROR(N(INDEX(Vinos!$H$2:$H$301,MATCH($B1276,Vinos!$A$2:$A$301,0))),0)+N($G1276))</f>
        <v/>
      </c>
      <c r="I1276" s="18" t="n"/>
      <c r="J1276" s="21">
        <f>IF(OR($H1276="",$I1276=""),"",$H1276-$I1276)</f>
        <v/>
      </c>
      <c r="K1276" s="16">
        <f>IF($H1276="","",IFERROR(IF(INDEX(Vinos!$J$2:$J$301,MATCH($B1276,Vinos!$A$2:$A$301,0))="","",$H1276*INDEX(Vinos!$J$2:$J$301,MATCH($B1276,Vinos!$A$2:$A$301,0))),""))</f>
        <v/>
      </c>
      <c r="L1276" s="16">
        <f>IF($H1276="","",IFERROR(IF(INDEX(Vinos!$K$2:$K$301,MATCH($B1276,Vinos!$A$2:$A$301,0))="","",$H1276*INDEX(Vinos!$K$2:$K$301,MATCH($B1276,Vinos!$A$2:$A$301,0))),""))</f>
        <v/>
      </c>
      <c r="M1276" s="21">
        <f>IF(OR($A1276="",$B1276=""),"",SUMIFS($H$2:$H$2001,$A$2:$A$2001,$A1276,$B$2:$B$2001,$B1276))</f>
        <v/>
      </c>
      <c r="N1276" s="20">
        <f>IF($M1276="","",IF($M1276&lt;=0,"Sin stock: reponer ya",IF($M1276&lt;IFERROR(N(INDEX(Vinos!$N$2:$N$301,MATCH($B1276,Vinos!$A$2:$A$301,0))),0),"Bajo mínimo: reponer","OK")))</f>
        <v/>
      </c>
      <c r="O1276" s="14" t="n"/>
      <c r="P1276" s="14" t="n"/>
      <c r="Q1276" s="20">
        <f>IF($B1276="","",IFERROR(INDEX(Vinos!$C$2:$C$301,MATCH($B1276,Vinos!$A$2:$A$301,0)),""))</f>
        <v/>
      </c>
      <c r="R1276" s="20">
        <f>IF(OR($A1276="",$A1276&lt;&gt;'Resumen del inventario'!$C$3,$N1276="",$N1276="OK"),"",IF(COUNTIFS($A$2:$A1276,$A1276,$B$2:$B1276,$B1276)=1,1,""))</f>
        <v/>
      </c>
      <c r="S1276" s="20">
        <f>IF($R1276=1,COUNTIF($R$2:$R1276,1),"")</f>
        <v/>
      </c>
    </row>
    <row r="1277">
      <c r="A1277" s="19" t="n"/>
      <c r="B1277" s="14" t="n"/>
      <c r="C1277" s="20">
        <f>IF($B1277="","",IFERROR(INDEX(Vinos!$B$2:$B$301,MATCH($B1277,Vinos!$A$2:$A$301,0)),"Código no cargado"))</f>
        <v/>
      </c>
      <c r="D1277" s="14" t="n"/>
      <c r="E1277" s="14" t="n"/>
      <c r="F1277" s="18" t="n"/>
      <c r="G1277" s="18" t="n"/>
      <c r="H1277" s="21">
        <f>IF(AND($F1277="",$G1277=""),"",N($F1277)*IFERROR(N(INDEX(Vinos!$H$2:$H$301,MATCH($B1277,Vinos!$A$2:$A$301,0))),0)+N($G1277))</f>
        <v/>
      </c>
      <c r="I1277" s="18" t="n"/>
      <c r="J1277" s="21">
        <f>IF(OR($H1277="",$I1277=""),"",$H1277-$I1277)</f>
        <v/>
      </c>
      <c r="K1277" s="16">
        <f>IF($H1277="","",IFERROR(IF(INDEX(Vinos!$J$2:$J$301,MATCH($B1277,Vinos!$A$2:$A$301,0))="","",$H1277*INDEX(Vinos!$J$2:$J$301,MATCH($B1277,Vinos!$A$2:$A$301,0))),""))</f>
        <v/>
      </c>
      <c r="L1277" s="16">
        <f>IF($H1277="","",IFERROR(IF(INDEX(Vinos!$K$2:$K$301,MATCH($B1277,Vinos!$A$2:$A$301,0))="","",$H1277*INDEX(Vinos!$K$2:$K$301,MATCH($B1277,Vinos!$A$2:$A$301,0))),""))</f>
        <v/>
      </c>
      <c r="M1277" s="21">
        <f>IF(OR($A1277="",$B1277=""),"",SUMIFS($H$2:$H$2001,$A$2:$A$2001,$A1277,$B$2:$B$2001,$B1277))</f>
        <v/>
      </c>
      <c r="N1277" s="20">
        <f>IF($M1277="","",IF($M1277&lt;=0,"Sin stock: reponer ya",IF($M1277&lt;IFERROR(N(INDEX(Vinos!$N$2:$N$301,MATCH($B1277,Vinos!$A$2:$A$301,0))),0),"Bajo mínimo: reponer","OK")))</f>
        <v/>
      </c>
      <c r="O1277" s="14" t="n"/>
      <c r="P1277" s="14" t="n"/>
      <c r="Q1277" s="20">
        <f>IF($B1277="","",IFERROR(INDEX(Vinos!$C$2:$C$301,MATCH($B1277,Vinos!$A$2:$A$301,0)),""))</f>
        <v/>
      </c>
      <c r="R1277" s="20">
        <f>IF(OR($A1277="",$A1277&lt;&gt;'Resumen del inventario'!$C$3,$N1277="",$N1277="OK"),"",IF(COUNTIFS($A$2:$A1277,$A1277,$B$2:$B1277,$B1277)=1,1,""))</f>
        <v/>
      </c>
      <c r="S1277" s="20">
        <f>IF($R1277=1,COUNTIF($R$2:$R1277,1),"")</f>
        <v/>
      </c>
    </row>
    <row r="1278">
      <c r="A1278" s="19" t="n"/>
      <c r="B1278" s="14" t="n"/>
      <c r="C1278" s="20">
        <f>IF($B1278="","",IFERROR(INDEX(Vinos!$B$2:$B$301,MATCH($B1278,Vinos!$A$2:$A$301,0)),"Código no cargado"))</f>
        <v/>
      </c>
      <c r="D1278" s="14" t="n"/>
      <c r="E1278" s="14" t="n"/>
      <c r="F1278" s="18" t="n"/>
      <c r="G1278" s="18" t="n"/>
      <c r="H1278" s="21">
        <f>IF(AND($F1278="",$G1278=""),"",N($F1278)*IFERROR(N(INDEX(Vinos!$H$2:$H$301,MATCH($B1278,Vinos!$A$2:$A$301,0))),0)+N($G1278))</f>
        <v/>
      </c>
      <c r="I1278" s="18" t="n"/>
      <c r="J1278" s="21">
        <f>IF(OR($H1278="",$I1278=""),"",$H1278-$I1278)</f>
        <v/>
      </c>
      <c r="K1278" s="16">
        <f>IF($H1278="","",IFERROR(IF(INDEX(Vinos!$J$2:$J$301,MATCH($B1278,Vinos!$A$2:$A$301,0))="","",$H1278*INDEX(Vinos!$J$2:$J$301,MATCH($B1278,Vinos!$A$2:$A$301,0))),""))</f>
        <v/>
      </c>
      <c r="L1278" s="16">
        <f>IF($H1278="","",IFERROR(IF(INDEX(Vinos!$K$2:$K$301,MATCH($B1278,Vinos!$A$2:$A$301,0))="","",$H1278*INDEX(Vinos!$K$2:$K$301,MATCH($B1278,Vinos!$A$2:$A$301,0))),""))</f>
        <v/>
      </c>
      <c r="M1278" s="21">
        <f>IF(OR($A1278="",$B1278=""),"",SUMIFS($H$2:$H$2001,$A$2:$A$2001,$A1278,$B$2:$B$2001,$B1278))</f>
        <v/>
      </c>
      <c r="N1278" s="20">
        <f>IF($M1278="","",IF($M1278&lt;=0,"Sin stock: reponer ya",IF($M1278&lt;IFERROR(N(INDEX(Vinos!$N$2:$N$301,MATCH($B1278,Vinos!$A$2:$A$301,0))),0),"Bajo mínimo: reponer","OK")))</f>
        <v/>
      </c>
      <c r="O1278" s="14" t="n"/>
      <c r="P1278" s="14" t="n"/>
      <c r="Q1278" s="20">
        <f>IF($B1278="","",IFERROR(INDEX(Vinos!$C$2:$C$301,MATCH($B1278,Vinos!$A$2:$A$301,0)),""))</f>
        <v/>
      </c>
      <c r="R1278" s="20">
        <f>IF(OR($A1278="",$A1278&lt;&gt;'Resumen del inventario'!$C$3,$N1278="",$N1278="OK"),"",IF(COUNTIFS($A$2:$A1278,$A1278,$B$2:$B1278,$B1278)=1,1,""))</f>
        <v/>
      </c>
      <c r="S1278" s="20">
        <f>IF($R1278=1,COUNTIF($R$2:$R1278,1),"")</f>
        <v/>
      </c>
    </row>
    <row r="1279">
      <c r="A1279" s="19" t="n"/>
      <c r="B1279" s="14" t="n"/>
      <c r="C1279" s="20">
        <f>IF($B1279="","",IFERROR(INDEX(Vinos!$B$2:$B$301,MATCH($B1279,Vinos!$A$2:$A$301,0)),"Código no cargado"))</f>
        <v/>
      </c>
      <c r="D1279" s="14" t="n"/>
      <c r="E1279" s="14" t="n"/>
      <c r="F1279" s="18" t="n"/>
      <c r="G1279" s="18" t="n"/>
      <c r="H1279" s="21">
        <f>IF(AND($F1279="",$G1279=""),"",N($F1279)*IFERROR(N(INDEX(Vinos!$H$2:$H$301,MATCH($B1279,Vinos!$A$2:$A$301,0))),0)+N($G1279))</f>
        <v/>
      </c>
      <c r="I1279" s="18" t="n"/>
      <c r="J1279" s="21">
        <f>IF(OR($H1279="",$I1279=""),"",$H1279-$I1279)</f>
        <v/>
      </c>
      <c r="K1279" s="16">
        <f>IF($H1279="","",IFERROR(IF(INDEX(Vinos!$J$2:$J$301,MATCH($B1279,Vinos!$A$2:$A$301,0))="","",$H1279*INDEX(Vinos!$J$2:$J$301,MATCH($B1279,Vinos!$A$2:$A$301,0))),""))</f>
        <v/>
      </c>
      <c r="L1279" s="16">
        <f>IF($H1279="","",IFERROR(IF(INDEX(Vinos!$K$2:$K$301,MATCH($B1279,Vinos!$A$2:$A$301,0))="","",$H1279*INDEX(Vinos!$K$2:$K$301,MATCH($B1279,Vinos!$A$2:$A$301,0))),""))</f>
        <v/>
      </c>
      <c r="M1279" s="21">
        <f>IF(OR($A1279="",$B1279=""),"",SUMIFS($H$2:$H$2001,$A$2:$A$2001,$A1279,$B$2:$B$2001,$B1279))</f>
        <v/>
      </c>
      <c r="N1279" s="20">
        <f>IF($M1279="","",IF($M1279&lt;=0,"Sin stock: reponer ya",IF($M1279&lt;IFERROR(N(INDEX(Vinos!$N$2:$N$301,MATCH($B1279,Vinos!$A$2:$A$301,0))),0),"Bajo mínimo: reponer","OK")))</f>
        <v/>
      </c>
      <c r="O1279" s="14" t="n"/>
      <c r="P1279" s="14" t="n"/>
      <c r="Q1279" s="20">
        <f>IF($B1279="","",IFERROR(INDEX(Vinos!$C$2:$C$301,MATCH($B1279,Vinos!$A$2:$A$301,0)),""))</f>
        <v/>
      </c>
      <c r="R1279" s="20">
        <f>IF(OR($A1279="",$A1279&lt;&gt;'Resumen del inventario'!$C$3,$N1279="",$N1279="OK"),"",IF(COUNTIFS($A$2:$A1279,$A1279,$B$2:$B1279,$B1279)=1,1,""))</f>
        <v/>
      </c>
      <c r="S1279" s="20">
        <f>IF($R1279=1,COUNTIF($R$2:$R1279,1),"")</f>
        <v/>
      </c>
    </row>
    <row r="1280">
      <c r="A1280" s="19" t="n"/>
      <c r="B1280" s="14" t="n"/>
      <c r="C1280" s="20">
        <f>IF($B1280="","",IFERROR(INDEX(Vinos!$B$2:$B$301,MATCH($B1280,Vinos!$A$2:$A$301,0)),"Código no cargado"))</f>
        <v/>
      </c>
      <c r="D1280" s="14" t="n"/>
      <c r="E1280" s="14" t="n"/>
      <c r="F1280" s="18" t="n"/>
      <c r="G1280" s="18" t="n"/>
      <c r="H1280" s="21">
        <f>IF(AND($F1280="",$G1280=""),"",N($F1280)*IFERROR(N(INDEX(Vinos!$H$2:$H$301,MATCH($B1280,Vinos!$A$2:$A$301,0))),0)+N($G1280))</f>
        <v/>
      </c>
      <c r="I1280" s="18" t="n"/>
      <c r="J1280" s="21">
        <f>IF(OR($H1280="",$I1280=""),"",$H1280-$I1280)</f>
        <v/>
      </c>
      <c r="K1280" s="16">
        <f>IF($H1280="","",IFERROR(IF(INDEX(Vinos!$J$2:$J$301,MATCH($B1280,Vinos!$A$2:$A$301,0))="","",$H1280*INDEX(Vinos!$J$2:$J$301,MATCH($B1280,Vinos!$A$2:$A$301,0))),""))</f>
        <v/>
      </c>
      <c r="L1280" s="16">
        <f>IF($H1280="","",IFERROR(IF(INDEX(Vinos!$K$2:$K$301,MATCH($B1280,Vinos!$A$2:$A$301,0))="","",$H1280*INDEX(Vinos!$K$2:$K$301,MATCH($B1280,Vinos!$A$2:$A$301,0))),""))</f>
        <v/>
      </c>
      <c r="M1280" s="21">
        <f>IF(OR($A1280="",$B1280=""),"",SUMIFS($H$2:$H$2001,$A$2:$A$2001,$A1280,$B$2:$B$2001,$B1280))</f>
        <v/>
      </c>
      <c r="N1280" s="20">
        <f>IF($M1280="","",IF($M1280&lt;=0,"Sin stock: reponer ya",IF($M1280&lt;IFERROR(N(INDEX(Vinos!$N$2:$N$301,MATCH($B1280,Vinos!$A$2:$A$301,0))),0),"Bajo mínimo: reponer","OK")))</f>
        <v/>
      </c>
      <c r="O1280" s="14" t="n"/>
      <c r="P1280" s="14" t="n"/>
      <c r="Q1280" s="20">
        <f>IF($B1280="","",IFERROR(INDEX(Vinos!$C$2:$C$301,MATCH($B1280,Vinos!$A$2:$A$301,0)),""))</f>
        <v/>
      </c>
      <c r="R1280" s="20">
        <f>IF(OR($A1280="",$A1280&lt;&gt;'Resumen del inventario'!$C$3,$N1280="",$N1280="OK"),"",IF(COUNTIFS($A$2:$A1280,$A1280,$B$2:$B1280,$B1280)=1,1,""))</f>
        <v/>
      </c>
      <c r="S1280" s="20">
        <f>IF($R1280=1,COUNTIF($R$2:$R1280,1),"")</f>
        <v/>
      </c>
    </row>
    <row r="1281">
      <c r="A1281" s="19" t="n"/>
      <c r="B1281" s="14" t="n"/>
      <c r="C1281" s="20">
        <f>IF($B1281="","",IFERROR(INDEX(Vinos!$B$2:$B$301,MATCH($B1281,Vinos!$A$2:$A$301,0)),"Código no cargado"))</f>
        <v/>
      </c>
      <c r="D1281" s="14" t="n"/>
      <c r="E1281" s="14" t="n"/>
      <c r="F1281" s="18" t="n"/>
      <c r="G1281" s="18" t="n"/>
      <c r="H1281" s="21">
        <f>IF(AND($F1281="",$G1281=""),"",N($F1281)*IFERROR(N(INDEX(Vinos!$H$2:$H$301,MATCH($B1281,Vinos!$A$2:$A$301,0))),0)+N($G1281))</f>
        <v/>
      </c>
      <c r="I1281" s="18" t="n"/>
      <c r="J1281" s="21">
        <f>IF(OR($H1281="",$I1281=""),"",$H1281-$I1281)</f>
        <v/>
      </c>
      <c r="K1281" s="16">
        <f>IF($H1281="","",IFERROR(IF(INDEX(Vinos!$J$2:$J$301,MATCH($B1281,Vinos!$A$2:$A$301,0))="","",$H1281*INDEX(Vinos!$J$2:$J$301,MATCH($B1281,Vinos!$A$2:$A$301,0))),""))</f>
        <v/>
      </c>
      <c r="L1281" s="16">
        <f>IF($H1281="","",IFERROR(IF(INDEX(Vinos!$K$2:$K$301,MATCH($B1281,Vinos!$A$2:$A$301,0))="","",$H1281*INDEX(Vinos!$K$2:$K$301,MATCH($B1281,Vinos!$A$2:$A$301,0))),""))</f>
        <v/>
      </c>
      <c r="M1281" s="21">
        <f>IF(OR($A1281="",$B1281=""),"",SUMIFS($H$2:$H$2001,$A$2:$A$2001,$A1281,$B$2:$B$2001,$B1281))</f>
        <v/>
      </c>
      <c r="N1281" s="20">
        <f>IF($M1281="","",IF($M1281&lt;=0,"Sin stock: reponer ya",IF($M1281&lt;IFERROR(N(INDEX(Vinos!$N$2:$N$301,MATCH($B1281,Vinos!$A$2:$A$301,0))),0),"Bajo mínimo: reponer","OK")))</f>
        <v/>
      </c>
      <c r="O1281" s="14" t="n"/>
      <c r="P1281" s="14" t="n"/>
      <c r="Q1281" s="20">
        <f>IF($B1281="","",IFERROR(INDEX(Vinos!$C$2:$C$301,MATCH($B1281,Vinos!$A$2:$A$301,0)),""))</f>
        <v/>
      </c>
      <c r="R1281" s="20">
        <f>IF(OR($A1281="",$A1281&lt;&gt;'Resumen del inventario'!$C$3,$N1281="",$N1281="OK"),"",IF(COUNTIFS($A$2:$A1281,$A1281,$B$2:$B1281,$B1281)=1,1,""))</f>
        <v/>
      </c>
      <c r="S1281" s="20">
        <f>IF($R1281=1,COUNTIF($R$2:$R1281,1),"")</f>
        <v/>
      </c>
    </row>
    <row r="1282">
      <c r="A1282" s="19" t="n"/>
      <c r="B1282" s="14" t="n"/>
      <c r="C1282" s="20">
        <f>IF($B1282="","",IFERROR(INDEX(Vinos!$B$2:$B$301,MATCH($B1282,Vinos!$A$2:$A$301,0)),"Código no cargado"))</f>
        <v/>
      </c>
      <c r="D1282" s="14" t="n"/>
      <c r="E1282" s="14" t="n"/>
      <c r="F1282" s="18" t="n"/>
      <c r="G1282" s="18" t="n"/>
      <c r="H1282" s="21">
        <f>IF(AND($F1282="",$G1282=""),"",N($F1282)*IFERROR(N(INDEX(Vinos!$H$2:$H$301,MATCH($B1282,Vinos!$A$2:$A$301,0))),0)+N($G1282))</f>
        <v/>
      </c>
      <c r="I1282" s="18" t="n"/>
      <c r="J1282" s="21">
        <f>IF(OR($H1282="",$I1282=""),"",$H1282-$I1282)</f>
        <v/>
      </c>
      <c r="K1282" s="16">
        <f>IF($H1282="","",IFERROR(IF(INDEX(Vinos!$J$2:$J$301,MATCH($B1282,Vinos!$A$2:$A$301,0))="","",$H1282*INDEX(Vinos!$J$2:$J$301,MATCH($B1282,Vinos!$A$2:$A$301,0))),""))</f>
        <v/>
      </c>
      <c r="L1282" s="16">
        <f>IF($H1282="","",IFERROR(IF(INDEX(Vinos!$K$2:$K$301,MATCH($B1282,Vinos!$A$2:$A$301,0))="","",$H1282*INDEX(Vinos!$K$2:$K$301,MATCH($B1282,Vinos!$A$2:$A$301,0))),""))</f>
        <v/>
      </c>
      <c r="M1282" s="21">
        <f>IF(OR($A1282="",$B1282=""),"",SUMIFS($H$2:$H$2001,$A$2:$A$2001,$A1282,$B$2:$B$2001,$B1282))</f>
        <v/>
      </c>
      <c r="N1282" s="20">
        <f>IF($M1282="","",IF($M1282&lt;=0,"Sin stock: reponer ya",IF($M1282&lt;IFERROR(N(INDEX(Vinos!$N$2:$N$301,MATCH($B1282,Vinos!$A$2:$A$301,0))),0),"Bajo mínimo: reponer","OK")))</f>
        <v/>
      </c>
      <c r="O1282" s="14" t="n"/>
      <c r="P1282" s="14" t="n"/>
      <c r="Q1282" s="20">
        <f>IF($B1282="","",IFERROR(INDEX(Vinos!$C$2:$C$301,MATCH($B1282,Vinos!$A$2:$A$301,0)),""))</f>
        <v/>
      </c>
      <c r="R1282" s="20">
        <f>IF(OR($A1282="",$A1282&lt;&gt;'Resumen del inventario'!$C$3,$N1282="",$N1282="OK"),"",IF(COUNTIFS($A$2:$A1282,$A1282,$B$2:$B1282,$B1282)=1,1,""))</f>
        <v/>
      </c>
      <c r="S1282" s="20">
        <f>IF($R1282=1,COUNTIF($R$2:$R1282,1),"")</f>
        <v/>
      </c>
    </row>
    <row r="1283">
      <c r="A1283" s="19" t="n"/>
      <c r="B1283" s="14" t="n"/>
      <c r="C1283" s="20">
        <f>IF($B1283="","",IFERROR(INDEX(Vinos!$B$2:$B$301,MATCH($B1283,Vinos!$A$2:$A$301,0)),"Código no cargado"))</f>
        <v/>
      </c>
      <c r="D1283" s="14" t="n"/>
      <c r="E1283" s="14" t="n"/>
      <c r="F1283" s="18" t="n"/>
      <c r="G1283" s="18" t="n"/>
      <c r="H1283" s="21">
        <f>IF(AND($F1283="",$G1283=""),"",N($F1283)*IFERROR(N(INDEX(Vinos!$H$2:$H$301,MATCH($B1283,Vinos!$A$2:$A$301,0))),0)+N($G1283))</f>
        <v/>
      </c>
      <c r="I1283" s="18" t="n"/>
      <c r="J1283" s="21">
        <f>IF(OR($H1283="",$I1283=""),"",$H1283-$I1283)</f>
        <v/>
      </c>
      <c r="K1283" s="16">
        <f>IF($H1283="","",IFERROR(IF(INDEX(Vinos!$J$2:$J$301,MATCH($B1283,Vinos!$A$2:$A$301,0))="","",$H1283*INDEX(Vinos!$J$2:$J$301,MATCH($B1283,Vinos!$A$2:$A$301,0))),""))</f>
        <v/>
      </c>
      <c r="L1283" s="16">
        <f>IF($H1283="","",IFERROR(IF(INDEX(Vinos!$K$2:$K$301,MATCH($B1283,Vinos!$A$2:$A$301,0))="","",$H1283*INDEX(Vinos!$K$2:$K$301,MATCH($B1283,Vinos!$A$2:$A$301,0))),""))</f>
        <v/>
      </c>
      <c r="M1283" s="21">
        <f>IF(OR($A1283="",$B1283=""),"",SUMIFS($H$2:$H$2001,$A$2:$A$2001,$A1283,$B$2:$B$2001,$B1283))</f>
        <v/>
      </c>
      <c r="N1283" s="20">
        <f>IF($M1283="","",IF($M1283&lt;=0,"Sin stock: reponer ya",IF($M1283&lt;IFERROR(N(INDEX(Vinos!$N$2:$N$301,MATCH($B1283,Vinos!$A$2:$A$301,0))),0),"Bajo mínimo: reponer","OK")))</f>
        <v/>
      </c>
      <c r="O1283" s="14" t="n"/>
      <c r="P1283" s="14" t="n"/>
      <c r="Q1283" s="20">
        <f>IF($B1283="","",IFERROR(INDEX(Vinos!$C$2:$C$301,MATCH($B1283,Vinos!$A$2:$A$301,0)),""))</f>
        <v/>
      </c>
      <c r="R1283" s="20">
        <f>IF(OR($A1283="",$A1283&lt;&gt;'Resumen del inventario'!$C$3,$N1283="",$N1283="OK"),"",IF(COUNTIFS($A$2:$A1283,$A1283,$B$2:$B1283,$B1283)=1,1,""))</f>
        <v/>
      </c>
      <c r="S1283" s="20">
        <f>IF($R1283=1,COUNTIF($R$2:$R1283,1),"")</f>
        <v/>
      </c>
    </row>
    <row r="1284">
      <c r="A1284" s="19" t="n"/>
      <c r="B1284" s="14" t="n"/>
      <c r="C1284" s="20">
        <f>IF($B1284="","",IFERROR(INDEX(Vinos!$B$2:$B$301,MATCH($B1284,Vinos!$A$2:$A$301,0)),"Código no cargado"))</f>
        <v/>
      </c>
      <c r="D1284" s="14" t="n"/>
      <c r="E1284" s="14" t="n"/>
      <c r="F1284" s="18" t="n"/>
      <c r="G1284" s="18" t="n"/>
      <c r="H1284" s="21">
        <f>IF(AND($F1284="",$G1284=""),"",N($F1284)*IFERROR(N(INDEX(Vinos!$H$2:$H$301,MATCH($B1284,Vinos!$A$2:$A$301,0))),0)+N($G1284))</f>
        <v/>
      </c>
      <c r="I1284" s="18" t="n"/>
      <c r="J1284" s="21">
        <f>IF(OR($H1284="",$I1284=""),"",$H1284-$I1284)</f>
        <v/>
      </c>
      <c r="K1284" s="16">
        <f>IF($H1284="","",IFERROR(IF(INDEX(Vinos!$J$2:$J$301,MATCH($B1284,Vinos!$A$2:$A$301,0))="","",$H1284*INDEX(Vinos!$J$2:$J$301,MATCH($B1284,Vinos!$A$2:$A$301,0))),""))</f>
        <v/>
      </c>
      <c r="L1284" s="16">
        <f>IF($H1284="","",IFERROR(IF(INDEX(Vinos!$K$2:$K$301,MATCH($B1284,Vinos!$A$2:$A$301,0))="","",$H1284*INDEX(Vinos!$K$2:$K$301,MATCH($B1284,Vinos!$A$2:$A$301,0))),""))</f>
        <v/>
      </c>
      <c r="M1284" s="21">
        <f>IF(OR($A1284="",$B1284=""),"",SUMIFS($H$2:$H$2001,$A$2:$A$2001,$A1284,$B$2:$B$2001,$B1284))</f>
        <v/>
      </c>
      <c r="N1284" s="20">
        <f>IF($M1284="","",IF($M1284&lt;=0,"Sin stock: reponer ya",IF($M1284&lt;IFERROR(N(INDEX(Vinos!$N$2:$N$301,MATCH($B1284,Vinos!$A$2:$A$301,0))),0),"Bajo mínimo: reponer","OK")))</f>
        <v/>
      </c>
      <c r="O1284" s="14" t="n"/>
      <c r="P1284" s="14" t="n"/>
      <c r="Q1284" s="20">
        <f>IF($B1284="","",IFERROR(INDEX(Vinos!$C$2:$C$301,MATCH($B1284,Vinos!$A$2:$A$301,0)),""))</f>
        <v/>
      </c>
      <c r="R1284" s="20">
        <f>IF(OR($A1284="",$A1284&lt;&gt;'Resumen del inventario'!$C$3,$N1284="",$N1284="OK"),"",IF(COUNTIFS($A$2:$A1284,$A1284,$B$2:$B1284,$B1284)=1,1,""))</f>
        <v/>
      </c>
      <c r="S1284" s="20">
        <f>IF($R1284=1,COUNTIF($R$2:$R1284,1),"")</f>
        <v/>
      </c>
    </row>
    <row r="1285">
      <c r="A1285" s="19" t="n"/>
      <c r="B1285" s="14" t="n"/>
      <c r="C1285" s="20">
        <f>IF($B1285="","",IFERROR(INDEX(Vinos!$B$2:$B$301,MATCH($B1285,Vinos!$A$2:$A$301,0)),"Código no cargado"))</f>
        <v/>
      </c>
      <c r="D1285" s="14" t="n"/>
      <c r="E1285" s="14" t="n"/>
      <c r="F1285" s="18" t="n"/>
      <c r="G1285" s="18" t="n"/>
      <c r="H1285" s="21">
        <f>IF(AND($F1285="",$G1285=""),"",N($F1285)*IFERROR(N(INDEX(Vinos!$H$2:$H$301,MATCH($B1285,Vinos!$A$2:$A$301,0))),0)+N($G1285))</f>
        <v/>
      </c>
      <c r="I1285" s="18" t="n"/>
      <c r="J1285" s="21">
        <f>IF(OR($H1285="",$I1285=""),"",$H1285-$I1285)</f>
        <v/>
      </c>
      <c r="K1285" s="16">
        <f>IF($H1285="","",IFERROR(IF(INDEX(Vinos!$J$2:$J$301,MATCH($B1285,Vinos!$A$2:$A$301,0))="","",$H1285*INDEX(Vinos!$J$2:$J$301,MATCH($B1285,Vinos!$A$2:$A$301,0))),""))</f>
        <v/>
      </c>
      <c r="L1285" s="16">
        <f>IF($H1285="","",IFERROR(IF(INDEX(Vinos!$K$2:$K$301,MATCH($B1285,Vinos!$A$2:$A$301,0))="","",$H1285*INDEX(Vinos!$K$2:$K$301,MATCH($B1285,Vinos!$A$2:$A$301,0))),""))</f>
        <v/>
      </c>
      <c r="M1285" s="21">
        <f>IF(OR($A1285="",$B1285=""),"",SUMIFS($H$2:$H$2001,$A$2:$A$2001,$A1285,$B$2:$B$2001,$B1285))</f>
        <v/>
      </c>
      <c r="N1285" s="20">
        <f>IF($M1285="","",IF($M1285&lt;=0,"Sin stock: reponer ya",IF($M1285&lt;IFERROR(N(INDEX(Vinos!$N$2:$N$301,MATCH($B1285,Vinos!$A$2:$A$301,0))),0),"Bajo mínimo: reponer","OK")))</f>
        <v/>
      </c>
      <c r="O1285" s="14" t="n"/>
      <c r="P1285" s="14" t="n"/>
      <c r="Q1285" s="20">
        <f>IF($B1285="","",IFERROR(INDEX(Vinos!$C$2:$C$301,MATCH($B1285,Vinos!$A$2:$A$301,0)),""))</f>
        <v/>
      </c>
      <c r="R1285" s="20">
        <f>IF(OR($A1285="",$A1285&lt;&gt;'Resumen del inventario'!$C$3,$N1285="",$N1285="OK"),"",IF(COUNTIFS($A$2:$A1285,$A1285,$B$2:$B1285,$B1285)=1,1,""))</f>
        <v/>
      </c>
      <c r="S1285" s="20">
        <f>IF($R1285=1,COUNTIF($R$2:$R1285,1),"")</f>
        <v/>
      </c>
    </row>
    <row r="1286">
      <c r="A1286" s="19" t="n"/>
      <c r="B1286" s="14" t="n"/>
      <c r="C1286" s="20">
        <f>IF($B1286="","",IFERROR(INDEX(Vinos!$B$2:$B$301,MATCH($B1286,Vinos!$A$2:$A$301,0)),"Código no cargado"))</f>
        <v/>
      </c>
      <c r="D1286" s="14" t="n"/>
      <c r="E1286" s="14" t="n"/>
      <c r="F1286" s="18" t="n"/>
      <c r="G1286" s="18" t="n"/>
      <c r="H1286" s="21">
        <f>IF(AND($F1286="",$G1286=""),"",N($F1286)*IFERROR(N(INDEX(Vinos!$H$2:$H$301,MATCH($B1286,Vinos!$A$2:$A$301,0))),0)+N($G1286))</f>
        <v/>
      </c>
      <c r="I1286" s="18" t="n"/>
      <c r="J1286" s="21">
        <f>IF(OR($H1286="",$I1286=""),"",$H1286-$I1286)</f>
        <v/>
      </c>
      <c r="K1286" s="16">
        <f>IF($H1286="","",IFERROR(IF(INDEX(Vinos!$J$2:$J$301,MATCH($B1286,Vinos!$A$2:$A$301,0))="","",$H1286*INDEX(Vinos!$J$2:$J$301,MATCH($B1286,Vinos!$A$2:$A$301,0))),""))</f>
        <v/>
      </c>
      <c r="L1286" s="16">
        <f>IF($H1286="","",IFERROR(IF(INDEX(Vinos!$K$2:$K$301,MATCH($B1286,Vinos!$A$2:$A$301,0))="","",$H1286*INDEX(Vinos!$K$2:$K$301,MATCH($B1286,Vinos!$A$2:$A$301,0))),""))</f>
        <v/>
      </c>
      <c r="M1286" s="21">
        <f>IF(OR($A1286="",$B1286=""),"",SUMIFS($H$2:$H$2001,$A$2:$A$2001,$A1286,$B$2:$B$2001,$B1286))</f>
        <v/>
      </c>
      <c r="N1286" s="20">
        <f>IF($M1286="","",IF($M1286&lt;=0,"Sin stock: reponer ya",IF($M1286&lt;IFERROR(N(INDEX(Vinos!$N$2:$N$301,MATCH($B1286,Vinos!$A$2:$A$301,0))),0),"Bajo mínimo: reponer","OK")))</f>
        <v/>
      </c>
      <c r="O1286" s="14" t="n"/>
      <c r="P1286" s="14" t="n"/>
      <c r="Q1286" s="20">
        <f>IF($B1286="","",IFERROR(INDEX(Vinos!$C$2:$C$301,MATCH($B1286,Vinos!$A$2:$A$301,0)),""))</f>
        <v/>
      </c>
      <c r="R1286" s="20">
        <f>IF(OR($A1286="",$A1286&lt;&gt;'Resumen del inventario'!$C$3,$N1286="",$N1286="OK"),"",IF(COUNTIFS($A$2:$A1286,$A1286,$B$2:$B1286,$B1286)=1,1,""))</f>
        <v/>
      </c>
      <c r="S1286" s="20">
        <f>IF($R1286=1,COUNTIF($R$2:$R1286,1),"")</f>
        <v/>
      </c>
    </row>
    <row r="1287">
      <c r="A1287" s="19" t="n"/>
      <c r="B1287" s="14" t="n"/>
      <c r="C1287" s="20">
        <f>IF($B1287="","",IFERROR(INDEX(Vinos!$B$2:$B$301,MATCH($B1287,Vinos!$A$2:$A$301,0)),"Código no cargado"))</f>
        <v/>
      </c>
      <c r="D1287" s="14" t="n"/>
      <c r="E1287" s="14" t="n"/>
      <c r="F1287" s="18" t="n"/>
      <c r="G1287" s="18" t="n"/>
      <c r="H1287" s="21">
        <f>IF(AND($F1287="",$G1287=""),"",N($F1287)*IFERROR(N(INDEX(Vinos!$H$2:$H$301,MATCH($B1287,Vinos!$A$2:$A$301,0))),0)+N($G1287))</f>
        <v/>
      </c>
      <c r="I1287" s="18" t="n"/>
      <c r="J1287" s="21">
        <f>IF(OR($H1287="",$I1287=""),"",$H1287-$I1287)</f>
        <v/>
      </c>
      <c r="K1287" s="16">
        <f>IF($H1287="","",IFERROR(IF(INDEX(Vinos!$J$2:$J$301,MATCH($B1287,Vinos!$A$2:$A$301,0))="","",$H1287*INDEX(Vinos!$J$2:$J$301,MATCH($B1287,Vinos!$A$2:$A$301,0))),""))</f>
        <v/>
      </c>
      <c r="L1287" s="16">
        <f>IF($H1287="","",IFERROR(IF(INDEX(Vinos!$K$2:$K$301,MATCH($B1287,Vinos!$A$2:$A$301,0))="","",$H1287*INDEX(Vinos!$K$2:$K$301,MATCH($B1287,Vinos!$A$2:$A$301,0))),""))</f>
        <v/>
      </c>
      <c r="M1287" s="21">
        <f>IF(OR($A1287="",$B1287=""),"",SUMIFS($H$2:$H$2001,$A$2:$A$2001,$A1287,$B$2:$B$2001,$B1287))</f>
        <v/>
      </c>
      <c r="N1287" s="20">
        <f>IF($M1287="","",IF($M1287&lt;=0,"Sin stock: reponer ya",IF($M1287&lt;IFERROR(N(INDEX(Vinos!$N$2:$N$301,MATCH($B1287,Vinos!$A$2:$A$301,0))),0),"Bajo mínimo: reponer","OK")))</f>
        <v/>
      </c>
      <c r="O1287" s="14" t="n"/>
      <c r="P1287" s="14" t="n"/>
      <c r="Q1287" s="20">
        <f>IF($B1287="","",IFERROR(INDEX(Vinos!$C$2:$C$301,MATCH($B1287,Vinos!$A$2:$A$301,0)),""))</f>
        <v/>
      </c>
      <c r="R1287" s="20">
        <f>IF(OR($A1287="",$A1287&lt;&gt;'Resumen del inventario'!$C$3,$N1287="",$N1287="OK"),"",IF(COUNTIFS($A$2:$A1287,$A1287,$B$2:$B1287,$B1287)=1,1,""))</f>
        <v/>
      </c>
      <c r="S1287" s="20">
        <f>IF($R1287=1,COUNTIF($R$2:$R1287,1),"")</f>
        <v/>
      </c>
    </row>
    <row r="1288">
      <c r="A1288" s="19" t="n"/>
      <c r="B1288" s="14" t="n"/>
      <c r="C1288" s="20">
        <f>IF($B1288="","",IFERROR(INDEX(Vinos!$B$2:$B$301,MATCH($B1288,Vinos!$A$2:$A$301,0)),"Código no cargado"))</f>
        <v/>
      </c>
      <c r="D1288" s="14" t="n"/>
      <c r="E1288" s="14" t="n"/>
      <c r="F1288" s="18" t="n"/>
      <c r="G1288" s="18" t="n"/>
      <c r="H1288" s="21">
        <f>IF(AND($F1288="",$G1288=""),"",N($F1288)*IFERROR(N(INDEX(Vinos!$H$2:$H$301,MATCH($B1288,Vinos!$A$2:$A$301,0))),0)+N($G1288))</f>
        <v/>
      </c>
      <c r="I1288" s="18" t="n"/>
      <c r="J1288" s="21">
        <f>IF(OR($H1288="",$I1288=""),"",$H1288-$I1288)</f>
        <v/>
      </c>
      <c r="K1288" s="16">
        <f>IF($H1288="","",IFERROR(IF(INDEX(Vinos!$J$2:$J$301,MATCH($B1288,Vinos!$A$2:$A$301,0))="","",$H1288*INDEX(Vinos!$J$2:$J$301,MATCH($B1288,Vinos!$A$2:$A$301,0))),""))</f>
        <v/>
      </c>
      <c r="L1288" s="16">
        <f>IF($H1288="","",IFERROR(IF(INDEX(Vinos!$K$2:$K$301,MATCH($B1288,Vinos!$A$2:$A$301,0))="","",$H1288*INDEX(Vinos!$K$2:$K$301,MATCH($B1288,Vinos!$A$2:$A$301,0))),""))</f>
        <v/>
      </c>
      <c r="M1288" s="21">
        <f>IF(OR($A1288="",$B1288=""),"",SUMIFS($H$2:$H$2001,$A$2:$A$2001,$A1288,$B$2:$B$2001,$B1288))</f>
        <v/>
      </c>
      <c r="N1288" s="20">
        <f>IF($M1288="","",IF($M1288&lt;=0,"Sin stock: reponer ya",IF($M1288&lt;IFERROR(N(INDEX(Vinos!$N$2:$N$301,MATCH($B1288,Vinos!$A$2:$A$301,0))),0),"Bajo mínimo: reponer","OK")))</f>
        <v/>
      </c>
      <c r="O1288" s="14" t="n"/>
      <c r="P1288" s="14" t="n"/>
      <c r="Q1288" s="20">
        <f>IF($B1288="","",IFERROR(INDEX(Vinos!$C$2:$C$301,MATCH($B1288,Vinos!$A$2:$A$301,0)),""))</f>
        <v/>
      </c>
      <c r="R1288" s="20">
        <f>IF(OR($A1288="",$A1288&lt;&gt;'Resumen del inventario'!$C$3,$N1288="",$N1288="OK"),"",IF(COUNTIFS($A$2:$A1288,$A1288,$B$2:$B1288,$B1288)=1,1,""))</f>
        <v/>
      </c>
      <c r="S1288" s="20">
        <f>IF($R1288=1,COUNTIF($R$2:$R1288,1),"")</f>
        <v/>
      </c>
    </row>
    <row r="1289">
      <c r="A1289" s="19" t="n"/>
      <c r="B1289" s="14" t="n"/>
      <c r="C1289" s="20">
        <f>IF($B1289="","",IFERROR(INDEX(Vinos!$B$2:$B$301,MATCH($B1289,Vinos!$A$2:$A$301,0)),"Código no cargado"))</f>
        <v/>
      </c>
      <c r="D1289" s="14" t="n"/>
      <c r="E1289" s="14" t="n"/>
      <c r="F1289" s="18" t="n"/>
      <c r="G1289" s="18" t="n"/>
      <c r="H1289" s="21">
        <f>IF(AND($F1289="",$G1289=""),"",N($F1289)*IFERROR(N(INDEX(Vinos!$H$2:$H$301,MATCH($B1289,Vinos!$A$2:$A$301,0))),0)+N($G1289))</f>
        <v/>
      </c>
      <c r="I1289" s="18" t="n"/>
      <c r="J1289" s="21">
        <f>IF(OR($H1289="",$I1289=""),"",$H1289-$I1289)</f>
        <v/>
      </c>
      <c r="K1289" s="16">
        <f>IF($H1289="","",IFERROR(IF(INDEX(Vinos!$J$2:$J$301,MATCH($B1289,Vinos!$A$2:$A$301,0))="","",$H1289*INDEX(Vinos!$J$2:$J$301,MATCH($B1289,Vinos!$A$2:$A$301,0))),""))</f>
        <v/>
      </c>
      <c r="L1289" s="16">
        <f>IF($H1289="","",IFERROR(IF(INDEX(Vinos!$K$2:$K$301,MATCH($B1289,Vinos!$A$2:$A$301,0))="","",$H1289*INDEX(Vinos!$K$2:$K$301,MATCH($B1289,Vinos!$A$2:$A$301,0))),""))</f>
        <v/>
      </c>
      <c r="M1289" s="21">
        <f>IF(OR($A1289="",$B1289=""),"",SUMIFS($H$2:$H$2001,$A$2:$A$2001,$A1289,$B$2:$B$2001,$B1289))</f>
        <v/>
      </c>
      <c r="N1289" s="20">
        <f>IF($M1289="","",IF($M1289&lt;=0,"Sin stock: reponer ya",IF($M1289&lt;IFERROR(N(INDEX(Vinos!$N$2:$N$301,MATCH($B1289,Vinos!$A$2:$A$301,0))),0),"Bajo mínimo: reponer","OK")))</f>
        <v/>
      </c>
      <c r="O1289" s="14" t="n"/>
      <c r="P1289" s="14" t="n"/>
      <c r="Q1289" s="20">
        <f>IF($B1289="","",IFERROR(INDEX(Vinos!$C$2:$C$301,MATCH($B1289,Vinos!$A$2:$A$301,0)),""))</f>
        <v/>
      </c>
      <c r="R1289" s="20">
        <f>IF(OR($A1289="",$A1289&lt;&gt;'Resumen del inventario'!$C$3,$N1289="",$N1289="OK"),"",IF(COUNTIFS($A$2:$A1289,$A1289,$B$2:$B1289,$B1289)=1,1,""))</f>
        <v/>
      </c>
      <c r="S1289" s="20">
        <f>IF($R1289=1,COUNTIF($R$2:$R1289,1),"")</f>
        <v/>
      </c>
    </row>
    <row r="1290">
      <c r="A1290" s="19" t="n"/>
      <c r="B1290" s="14" t="n"/>
      <c r="C1290" s="20">
        <f>IF($B1290="","",IFERROR(INDEX(Vinos!$B$2:$B$301,MATCH($B1290,Vinos!$A$2:$A$301,0)),"Código no cargado"))</f>
        <v/>
      </c>
      <c r="D1290" s="14" t="n"/>
      <c r="E1290" s="14" t="n"/>
      <c r="F1290" s="18" t="n"/>
      <c r="G1290" s="18" t="n"/>
      <c r="H1290" s="21">
        <f>IF(AND($F1290="",$G1290=""),"",N($F1290)*IFERROR(N(INDEX(Vinos!$H$2:$H$301,MATCH($B1290,Vinos!$A$2:$A$301,0))),0)+N($G1290))</f>
        <v/>
      </c>
      <c r="I1290" s="18" t="n"/>
      <c r="J1290" s="21">
        <f>IF(OR($H1290="",$I1290=""),"",$H1290-$I1290)</f>
        <v/>
      </c>
      <c r="K1290" s="16">
        <f>IF($H1290="","",IFERROR(IF(INDEX(Vinos!$J$2:$J$301,MATCH($B1290,Vinos!$A$2:$A$301,0))="","",$H1290*INDEX(Vinos!$J$2:$J$301,MATCH($B1290,Vinos!$A$2:$A$301,0))),""))</f>
        <v/>
      </c>
      <c r="L1290" s="16">
        <f>IF($H1290="","",IFERROR(IF(INDEX(Vinos!$K$2:$K$301,MATCH($B1290,Vinos!$A$2:$A$301,0))="","",$H1290*INDEX(Vinos!$K$2:$K$301,MATCH($B1290,Vinos!$A$2:$A$301,0))),""))</f>
        <v/>
      </c>
      <c r="M1290" s="21">
        <f>IF(OR($A1290="",$B1290=""),"",SUMIFS($H$2:$H$2001,$A$2:$A$2001,$A1290,$B$2:$B$2001,$B1290))</f>
        <v/>
      </c>
      <c r="N1290" s="20">
        <f>IF($M1290="","",IF($M1290&lt;=0,"Sin stock: reponer ya",IF($M1290&lt;IFERROR(N(INDEX(Vinos!$N$2:$N$301,MATCH($B1290,Vinos!$A$2:$A$301,0))),0),"Bajo mínimo: reponer","OK")))</f>
        <v/>
      </c>
      <c r="O1290" s="14" t="n"/>
      <c r="P1290" s="14" t="n"/>
      <c r="Q1290" s="20">
        <f>IF($B1290="","",IFERROR(INDEX(Vinos!$C$2:$C$301,MATCH($B1290,Vinos!$A$2:$A$301,0)),""))</f>
        <v/>
      </c>
      <c r="R1290" s="20">
        <f>IF(OR($A1290="",$A1290&lt;&gt;'Resumen del inventario'!$C$3,$N1290="",$N1290="OK"),"",IF(COUNTIFS($A$2:$A1290,$A1290,$B$2:$B1290,$B1290)=1,1,""))</f>
        <v/>
      </c>
      <c r="S1290" s="20">
        <f>IF($R1290=1,COUNTIF($R$2:$R1290,1),"")</f>
        <v/>
      </c>
    </row>
    <row r="1291">
      <c r="A1291" s="19" t="n"/>
      <c r="B1291" s="14" t="n"/>
      <c r="C1291" s="20">
        <f>IF($B1291="","",IFERROR(INDEX(Vinos!$B$2:$B$301,MATCH($B1291,Vinos!$A$2:$A$301,0)),"Código no cargado"))</f>
        <v/>
      </c>
      <c r="D1291" s="14" t="n"/>
      <c r="E1291" s="14" t="n"/>
      <c r="F1291" s="18" t="n"/>
      <c r="G1291" s="18" t="n"/>
      <c r="H1291" s="21">
        <f>IF(AND($F1291="",$G1291=""),"",N($F1291)*IFERROR(N(INDEX(Vinos!$H$2:$H$301,MATCH($B1291,Vinos!$A$2:$A$301,0))),0)+N($G1291))</f>
        <v/>
      </c>
      <c r="I1291" s="18" t="n"/>
      <c r="J1291" s="21">
        <f>IF(OR($H1291="",$I1291=""),"",$H1291-$I1291)</f>
        <v/>
      </c>
      <c r="K1291" s="16">
        <f>IF($H1291="","",IFERROR(IF(INDEX(Vinos!$J$2:$J$301,MATCH($B1291,Vinos!$A$2:$A$301,0))="","",$H1291*INDEX(Vinos!$J$2:$J$301,MATCH($B1291,Vinos!$A$2:$A$301,0))),""))</f>
        <v/>
      </c>
      <c r="L1291" s="16">
        <f>IF($H1291="","",IFERROR(IF(INDEX(Vinos!$K$2:$K$301,MATCH($B1291,Vinos!$A$2:$A$301,0))="","",$H1291*INDEX(Vinos!$K$2:$K$301,MATCH($B1291,Vinos!$A$2:$A$301,0))),""))</f>
        <v/>
      </c>
      <c r="M1291" s="21">
        <f>IF(OR($A1291="",$B1291=""),"",SUMIFS($H$2:$H$2001,$A$2:$A$2001,$A1291,$B$2:$B$2001,$B1291))</f>
        <v/>
      </c>
      <c r="N1291" s="20">
        <f>IF($M1291="","",IF($M1291&lt;=0,"Sin stock: reponer ya",IF($M1291&lt;IFERROR(N(INDEX(Vinos!$N$2:$N$301,MATCH($B1291,Vinos!$A$2:$A$301,0))),0),"Bajo mínimo: reponer","OK")))</f>
        <v/>
      </c>
      <c r="O1291" s="14" t="n"/>
      <c r="P1291" s="14" t="n"/>
      <c r="Q1291" s="20">
        <f>IF($B1291="","",IFERROR(INDEX(Vinos!$C$2:$C$301,MATCH($B1291,Vinos!$A$2:$A$301,0)),""))</f>
        <v/>
      </c>
      <c r="R1291" s="20">
        <f>IF(OR($A1291="",$A1291&lt;&gt;'Resumen del inventario'!$C$3,$N1291="",$N1291="OK"),"",IF(COUNTIFS($A$2:$A1291,$A1291,$B$2:$B1291,$B1291)=1,1,""))</f>
        <v/>
      </c>
      <c r="S1291" s="20">
        <f>IF($R1291=1,COUNTIF($R$2:$R1291,1),"")</f>
        <v/>
      </c>
    </row>
    <row r="1292">
      <c r="A1292" s="19" t="n"/>
      <c r="B1292" s="14" t="n"/>
      <c r="C1292" s="20">
        <f>IF($B1292="","",IFERROR(INDEX(Vinos!$B$2:$B$301,MATCH($B1292,Vinos!$A$2:$A$301,0)),"Código no cargado"))</f>
        <v/>
      </c>
      <c r="D1292" s="14" t="n"/>
      <c r="E1292" s="14" t="n"/>
      <c r="F1292" s="18" t="n"/>
      <c r="G1292" s="18" t="n"/>
      <c r="H1292" s="21">
        <f>IF(AND($F1292="",$G1292=""),"",N($F1292)*IFERROR(N(INDEX(Vinos!$H$2:$H$301,MATCH($B1292,Vinos!$A$2:$A$301,0))),0)+N($G1292))</f>
        <v/>
      </c>
      <c r="I1292" s="18" t="n"/>
      <c r="J1292" s="21">
        <f>IF(OR($H1292="",$I1292=""),"",$H1292-$I1292)</f>
        <v/>
      </c>
      <c r="K1292" s="16">
        <f>IF($H1292="","",IFERROR(IF(INDEX(Vinos!$J$2:$J$301,MATCH($B1292,Vinos!$A$2:$A$301,0))="","",$H1292*INDEX(Vinos!$J$2:$J$301,MATCH($B1292,Vinos!$A$2:$A$301,0))),""))</f>
        <v/>
      </c>
      <c r="L1292" s="16">
        <f>IF($H1292="","",IFERROR(IF(INDEX(Vinos!$K$2:$K$301,MATCH($B1292,Vinos!$A$2:$A$301,0))="","",$H1292*INDEX(Vinos!$K$2:$K$301,MATCH($B1292,Vinos!$A$2:$A$301,0))),""))</f>
        <v/>
      </c>
      <c r="M1292" s="21">
        <f>IF(OR($A1292="",$B1292=""),"",SUMIFS($H$2:$H$2001,$A$2:$A$2001,$A1292,$B$2:$B$2001,$B1292))</f>
        <v/>
      </c>
      <c r="N1292" s="20">
        <f>IF($M1292="","",IF($M1292&lt;=0,"Sin stock: reponer ya",IF($M1292&lt;IFERROR(N(INDEX(Vinos!$N$2:$N$301,MATCH($B1292,Vinos!$A$2:$A$301,0))),0),"Bajo mínimo: reponer","OK")))</f>
        <v/>
      </c>
      <c r="O1292" s="14" t="n"/>
      <c r="P1292" s="14" t="n"/>
      <c r="Q1292" s="20">
        <f>IF($B1292="","",IFERROR(INDEX(Vinos!$C$2:$C$301,MATCH($B1292,Vinos!$A$2:$A$301,0)),""))</f>
        <v/>
      </c>
      <c r="R1292" s="20">
        <f>IF(OR($A1292="",$A1292&lt;&gt;'Resumen del inventario'!$C$3,$N1292="",$N1292="OK"),"",IF(COUNTIFS($A$2:$A1292,$A1292,$B$2:$B1292,$B1292)=1,1,""))</f>
        <v/>
      </c>
      <c r="S1292" s="20">
        <f>IF($R1292=1,COUNTIF($R$2:$R1292,1),"")</f>
        <v/>
      </c>
    </row>
    <row r="1293">
      <c r="A1293" s="19" t="n"/>
      <c r="B1293" s="14" t="n"/>
      <c r="C1293" s="20">
        <f>IF($B1293="","",IFERROR(INDEX(Vinos!$B$2:$B$301,MATCH($B1293,Vinos!$A$2:$A$301,0)),"Código no cargado"))</f>
        <v/>
      </c>
      <c r="D1293" s="14" t="n"/>
      <c r="E1293" s="14" t="n"/>
      <c r="F1293" s="18" t="n"/>
      <c r="G1293" s="18" t="n"/>
      <c r="H1293" s="21">
        <f>IF(AND($F1293="",$G1293=""),"",N($F1293)*IFERROR(N(INDEX(Vinos!$H$2:$H$301,MATCH($B1293,Vinos!$A$2:$A$301,0))),0)+N($G1293))</f>
        <v/>
      </c>
      <c r="I1293" s="18" t="n"/>
      <c r="J1293" s="21">
        <f>IF(OR($H1293="",$I1293=""),"",$H1293-$I1293)</f>
        <v/>
      </c>
      <c r="K1293" s="16">
        <f>IF($H1293="","",IFERROR(IF(INDEX(Vinos!$J$2:$J$301,MATCH($B1293,Vinos!$A$2:$A$301,0))="","",$H1293*INDEX(Vinos!$J$2:$J$301,MATCH($B1293,Vinos!$A$2:$A$301,0))),""))</f>
        <v/>
      </c>
      <c r="L1293" s="16">
        <f>IF($H1293="","",IFERROR(IF(INDEX(Vinos!$K$2:$K$301,MATCH($B1293,Vinos!$A$2:$A$301,0))="","",$H1293*INDEX(Vinos!$K$2:$K$301,MATCH($B1293,Vinos!$A$2:$A$301,0))),""))</f>
        <v/>
      </c>
      <c r="M1293" s="21">
        <f>IF(OR($A1293="",$B1293=""),"",SUMIFS($H$2:$H$2001,$A$2:$A$2001,$A1293,$B$2:$B$2001,$B1293))</f>
        <v/>
      </c>
      <c r="N1293" s="20">
        <f>IF($M1293="","",IF($M1293&lt;=0,"Sin stock: reponer ya",IF($M1293&lt;IFERROR(N(INDEX(Vinos!$N$2:$N$301,MATCH($B1293,Vinos!$A$2:$A$301,0))),0),"Bajo mínimo: reponer","OK")))</f>
        <v/>
      </c>
      <c r="O1293" s="14" t="n"/>
      <c r="P1293" s="14" t="n"/>
      <c r="Q1293" s="20">
        <f>IF($B1293="","",IFERROR(INDEX(Vinos!$C$2:$C$301,MATCH($B1293,Vinos!$A$2:$A$301,0)),""))</f>
        <v/>
      </c>
      <c r="R1293" s="20">
        <f>IF(OR($A1293="",$A1293&lt;&gt;'Resumen del inventario'!$C$3,$N1293="",$N1293="OK"),"",IF(COUNTIFS($A$2:$A1293,$A1293,$B$2:$B1293,$B1293)=1,1,""))</f>
        <v/>
      </c>
      <c r="S1293" s="20">
        <f>IF($R1293=1,COUNTIF($R$2:$R1293,1),"")</f>
        <v/>
      </c>
    </row>
    <row r="1294">
      <c r="A1294" s="19" t="n"/>
      <c r="B1294" s="14" t="n"/>
      <c r="C1294" s="20">
        <f>IF($B1294="","",IFERROR(INDEX(Vinos!$B$2:$B$301,MATCH($B1294,Vinos!$A$2:$A$301,0)),"Código no cargado"))</f>
        <v/>
      </c>
      <c r="D1294" s="14" t="n"/>
      <c r="E1294" s="14" t="n"/>
      <c r="F1294" s="18" t="n"/>
      <c r="G1294" s="18" t="n"/>
      <c r="H1294" s="21">
        <f>IF(AND($F1294="",$G1294=""),"",N($F1294)*IFERROR(N(INDEX(Vinos!$H$2:$H$301,MATCH($B1294,Vinos!$A$2:$A$301,0))),0)+N($G1294))</f>
        <v/>
      </c>
      <c r="I1294" s="18" t="n"/>
      <c r="J1294" s="21">
        <f>IF(OR($H1294="",$I1294=""),"",$H1294-$I1294)</f>
        <v/>
      </c>
      <c r="K1294" s="16">
        <f>IF($H1294="","",IFERROR(IF(INDEX(Vinos!$J$2:$J$301,MATCH($B1294,Vinos!$A$2:$A$301,0))="","",$H1294*INDEX(Vinos!$J$2:$J$301,MATCH($B1294,Vinos!$A$2:$A$301,0))),""))</f>
        <v/>
      </c>
      <c r="L1294" s="16">
        <f>IF($H1294="","",IFERROR(IF(INDEX(Vinos!$K$2:$K$301,MATCH($B1294,Vinos!$A$2:$A$301,0))="","",$H1294*INDEX(Vinos!$K$2:$K$301,MATCH($B1294,Vinos!$A$2:$A$301,0))),""))</f>
        <v/>
      </c>
      <c r="M1294" s="21">
        <f>IF(OR($A1294="",$B1294=""),"",SUMIFS($H$2:$H$2001,$A$2:$A$2001,$A1294,$B$2:$B$2001,$B1294))</f>
        <v/>
      </c>
      <c r="N1294" s="20">
        <f>IF($M1294="","",IF($M1294&lt;=0,"Sin stock: reponer ya",IF($M1294&lt;IFERROR(N(INDEX(Vinos!$N$2:$N$301,MATCH($B1294,Vinos!$A$2:$A$301,0))),0),"Bajo mínimo: reponer","OK")))</f>
        <v/>
      </c>
      <c r="O1294" s="14" t="n"/>
      <c r="P1294" s="14" t="n"/>
      <c r="Q1294" s="20">
        <f>IF($B1294="","",IFERROR(INDEX(Vinos!$C$2:$C$301,MATCH($B1294,Vinos!$A$2:$A$301,0)),""))</f>
        <v/>
      </c>
      <c r="R1294" s="20">
        <f>IF(OR($A1294="",$A1294&lt;&gt;'Resumen del inventario'!$C$3,$N1294="",$N1294="OK"),"",IF(COUNTIFS($A$2:$A1294,$A1294,$B$2:$B1294,$B1294)=1,1,""))</f>
        <v/>
      </c>
      <c r="S1294" s="20">
        <f>IF($R1294=1,COUNTIF($R$2:$R1294,1),"")</f>
        <v/>
      </c>
    </row>
    <row r="1295">
      <c r="A1295" s="19" t="n"/>
      <c r="B1295" s="14" t="n"/>
      <c r="C1295" s="20">
        <f>IF($B1295="","",IFERROR(INDEX(Vinos!$B$2:$B$301,MATCH($B1295,Vinos!$A$2:$A$301,0)),"Código no cargado"))</f>
        <v/>
      </c>
      <c r="D1295" s="14" t="n"/>
      <c r="E1295" s="14" t="n"/>
      <c r="F1295" s="18" t="n"/>
      <c r="G1295" s="18" t="n"/>
      <c r="H1295" s="21">
        <f>IF(AND($F1295="",$G1295=""),"",N($F1295)*IFERROR(N(INDEX(Vinos!$H$2:$H$301,MATCH($B1295,Vinos!$A$2:$A$301,0))),0)+N($G1295))</f>
        <v/>
      </c>
      <c r="I1295" s="18" t="n"/>
      <c r="J1295" s="21">
        <f>IF(OR($H1295="",$I1295=""),"",$H1295-$I1295)</f>
        <v/>
      </c>
      <c r="K1295" s="16">
        <f>IF($H1295="","",IFERROR(IF(INDEX(Vinos!$J$2:$J$301,MATCH($B1295,Vinos!$A$2:$A$301,0))="","",$H1295*INDEX(Vinos!$J$2:$J$301,MATCH($B1295,Vinos!$A$2:$A$301,0))),""))</f>
        <v/>
      </c>
      <c r="L1295" s="16">
        <f>IF($H1295="","",IFERROR(IF(INDEX(Vinos!$K$2:$K$301,MATCH($B1295,Vinos!$A$2:$A$301,0))="","",$H1295*INDEX(Vinos!$K$2:$K$301,MATCH($B1295,Vinos!$A$2:$A$301,0))),""))</f>
        <v/>
      </c>
      <c r="M1295" s="21">
        <f>IF(OR($A1295="",$B1295=""),"",SUMIFS($H$2:$H$2001,$A$2:$A$2001,$A1295,$B$2:$B$2001,$B1295))</f>
        <v/>
      </c>
      <c r="N1295" s="20">
        <f>IF($M1295="","",IF($M1295&lt;=0,"Sin stock: reponer ya",IF($M1295&lt;IFERROR(N(INDEX(Vinos!$N$2:$N$301,MATCH($B1295,Vinos!$A$2:$A$301,0))),0),"Bajo mínimo: reponer","OK")))</f>
        <v/>
      </c>
      <c r="O1295" s="14" t="n"/>
      <c r="P1295" s="14" t="n"/>
      <c r="Q1295" s="20">
        <f>IF($B1295="","",IFERROR(INDEX(Vinos!$C$2:$C$301,MATCH($B1295,Vinos!$A$2:$A$301,0)),""))</f>
        <v/>
      </c>
      <c r="R1295" s="20">
        <f>IF(OR($A1295="",$A1295&lt;&gt;'Resumen del inventario'!$C$3,$N1295="",$N1295="OK"),"",IF(COUNTIFS($A$2:$A1295,$A1295,$B$2:$B1295,$B1295)=1,1,""))</f>
        <v/>
      </c>
      <c r="S1295" s="20">
        <f>IF($R1295=1,COUNTIF($R$2:$R1295,1),"")</f>
        <v/>
      </c>
    </row>
    <row r="1296">
      <c r="A1296" s="19" t="n"/>
      <c r="B1296" s="14" t="n"/>
      <c r="C1296" s="20">
        <f>IF($B1296="","",IFERROR(INDEX(Vinos!$B$2:$B$301,MATCH($B1296,Vinos!$A$2:$A$301,0)),"Código no cargado"))</f>
        <v/>
      </c>
      <c r="D1296" s="14" t="n"/>
      <c r="E1296" s="14" t="n"/>
      <c r="F1296" s="18" t="n"/>
      <c r="G1296" s="18" t="n"/>
      <c r="H1296" s="21">
        <f>IF(AND($F1296="",$G1296=""),"",N($F1296)*IFERROR(N(INDEX(Vinos!$H$2:$H$301,MATCH($B1296,Vinos!$A$2:$A$301,0))),0)+N($G1296))</f>
        <v/>
      </c>
      <c r="I1296" s="18" t="n"/>
      <c r="J1296" s="21">
        <f>IF(OR($H1296="",$I1296=""),"",$H1296-$I1296)</f>
        <v/>
      </c>
      <c r="K1296" s="16">
        <f>IF($H1296="","",IFERROR(IF(INDEX(Vinos!$J$2:$J$301,MATCH($B1296,Vinos!$A$2:$A$301,0))="","",$H1296*INDEX(Vinos!$J$2:$J$301,MATCH($B1296,Vinos!$A$2:$A$301,0))),""))</f>
        <v/>
      </c>
      <c r="L1296" s="16">
        <f>IF($H1296="","",IFERROR(IF(INDEX(Vinos!$K$2:$K$301,MATCH($B1296,Vinos!$A$2:$A$301,0))="","",$H1296*INDEX(Vinos!$K$2:$K$301,MATCH($B1296,Vinos!$A$2:$A$301,0))),""))</f>
        <v/>
      </c>
      <c r="M1296" s="21">
        <f>IF(OR($A1296="",$B1296=""),"",SUMIFS($H$2:$H$2001,$A$2:$A$2001,$A1296,$B$2:$B$2001,$B1296))</f>
        <v/>
      </c>
      <c r="N1296" s="20">
        <f>IF($M1296="","",IF($M1296&lt;=0,"Sin stock: reponer ya",IF($M1296&lt;IFERROR(N(INDEX(Vinos!$N$2:$N$301,MATCH($B1296,Vinos!$A$2:$A$301,0))),0),"Bajo mínimo: reponer","OK")))</f>
        <v/>
      </c>
      <c r="O1296" s="14" t="n"/>
      <c r="P1296" s="14" t="n"/>
      <c r="Q1296" s="20">
        <f>IF($B1296="","",IFERROR(INDEX(Vinos!$C$2:$C$301,MATCH($B1296,Vinos!$A$2:$A$301,0)),""))</f>
        <v/>
      </c>
      <c r="R1296" s="20">
        <f>IF(OR($A1296="",$A1296&lt;&gt;'Resumen del inventario'!$C$3,$N1296="",$N1296="OK"),"",IF(COUNTIFS($A$2:$A1296,$A1296,$B$2:$B1296,$B1296)=1,1,""))</f>
        <v/>
      </c>
      <c r="S1296" s="20">
        <f>IF($R1296=1,COUNTIF($R$2:$R1296,1),"")</f>
        <v/>
      </c>
    </row>
    <row r="1297">
      <c r="A1297" s="19" t="n"/>
      <c r="B1297" s="14" t="n"/>
      <c r="C1297" s="20">
        <f>IF($B1297="","",IFERROR(INDEX(Vinos!$B$2:$B$301,MATCH($B1297,Vinos!$A$2:$A$301,0)),"Código no cargado"))</f>
        <v/>
      </c>
      <c r="D1297" s="14" t="n"/>
      <c r="E1297" s="14" t="n"/>
      <c r="F1297" s="18" t="n"/>
      <c r="G1297" s="18" t="n"/>
      <c r="H1297" s="21">
        <f>IF(AND($F1297="",$G1297=""),"",N($F1297)*IFERROR(N(INDEX(Vinos!$H$2:$H$301,MATCH($B1297,Vinos!$A$2:$A$301,0))),0)+N($G1297))</f>
        <v/>
      </c>
      <c r="I1297" s="18" t="n"/>
      <c r="J1297" s="21">
        <f>IF(OR($H1297="",$I1297=""),"",$H1297-$I1297)</f>
        <v/>
      </c>
      <c r="K1297" s="16">
        <f>IF($H1297="","",IFERROR(IF(INDEX(Vinos!$J$2:$J$301,MATCH($B1297,Vinos!$A$2:$A$301,0))="","",$H1297*INDEX(Vinos!$J$2:$J$301,MATCH($B1297,Vinos!$A$2:$A$301,0))),""))</f>
        <v/>
      </c>
      <c r="L1297" s="16">
        <f>IF($H1297="","",IFERROR(IF(INDEX(Vinos!$K$2:$K$301,MATCH($B1297,Vinos!$A$2:$A$301,0))="","",$H1297*INDEX(Vinos!$K$2:$K$301,MATCH($B1297,Vinos!$A$2:$A$301,0))),""))</f>
        <v/>
      </c>
      <c r="M1297" s="21">
        <f>IF(OR($A1297="",$B1297=""),"",SUMIFS($H$2:$H$2001,$A$2:$A$2001,$A1297,$B$2:$B$2001,$B1297))</f>
        <v/>
      </c>
      <c r="N1297" s="20">
        <f>IF($M1297="","",IF($M1297&lt;=0,"Sin stock: reponer ya",IF($M1297&lt;IFERROR(N(INDEX(Vinos!$N$2:$N$301,MATCH($B1297,Vinos!$A$2:$A$301,0))),0),"Bajo mínimo: reponer","OK")))</f>
        <v/>
      </c>
      <c r="O1297" s="14" t="n"/>
      <c r="P1297" s="14" t="n"/>
      <c r="Q1297" s="20">
        <f>IF($B1297="","",IFERROR(INDEX(Vinos!$C$2:$C$301,MATCH($B1297,Vinos!$A$2:$A$301,0)),""))</f>
        <v/>
      </c>
      <c r="R1297" s="20">
        <f>IF(OR($A1297="",$A1297&lt;&gt;'Resumen del inventario'!$C$3,$N1297="",$N1297="OK"),"",IF(COUNTIFS($A$2:$A1297,$A1297,$B$2:$B1297,$B1297)=1,1,""))</f>
        <v/>
      </c>
      <c r="S1297" s="20">
        <f>IF($R1297=1,COUNTIF($R$2:$R1297,1),"")</f>
        <v/>
      </c>
    </row>
    <row r="1298">
      <c r="A1298" s="19" t="n"/>
      <c r="B1298" s="14" t="n"/>
      <c r="C1298" s="20">
        <f>IF($B1298="","",IFERROR(INDEX(Vinos!$B$2:$B$301,MATCH($B1298,Vinos!$A$2:$A$301,0)),"Código no cargado"))</f>
        <v/>
      </c>
      <c r="D1298" s="14" t="n"/>
      <c r="E1298" s="14" t="n"/>
      <c r="F1298" s="18" t="n"/>
      <c r="G1298" s="18" t="n"/>
      <c r="H1298" s="21">
        <f>IF(AND($F1298="",$G1298=""),"",N($F1298)*IFERROR(N(INDEX(Vinos!$H$2:$H$301,MATCH($B1298,Vinos!$A$2:$A$301,0))),0)+N($G1298))</f>
        <v/>
      </c>
      <c r="I1298" s="18" t="n"/>
      <c r="J1298" s="21">
        <f>IF(OR($H1298="",$I1298=""),"",$H1298-$I1298)</f>
        <v/>
      </c>
      <c r="K1298" s="16">
        <f>IF($H1298="","",IFERROR(IF(INDEX(Vinos!$J$2:$J$301,MATCH($B1298,Vinos!$A$2:$A$301,0))="","",$H1298*INDEX(Vinos!$J$2:$J$301,MATCH($B1298,Vinos!$A$2:$A$301,0))),""))</f>
        <v/>
      </c>
      <c r="L1298" s="16">
        <f>IF($H1298="","",IFERROR(IF(INDEX(Vinos!$K$2:$K$301,MATCH($B1298,Vinos!$A$2:$A$301,0))="","",$H1298*INDEX(Vinos!$K$2:$K$301,MATCH($B1298,Vinos!$A$2:$A$301,0))),""))</f>
        <v/>
      </c>
      <c r="M1298" s="21">
        <f>IF(OR($A1298="",$B1298=""),"",SUMIFS($H$2:$H$2001,$A$2:$A$2001,$A1298,$B$2:$B$2001,$B1298))</f>
        <v/>
      </c>
      <c r="N1298" s="20">
        <f>IF($M1298="","",IF($M1298&lt;=0,"Sin stock: reponer ya",IF($M1298&lt;IFERROR(N(INDEX(Vinos!$N$2:$N$301,MATCH($B1298,Vinos!$A$2:$A$301,0))),0),"Bajo mínimo: reponer","OK")))</f>
        <v/>
      </c>
      <c r="O1298" s="14" t="n"/>
      <c r="P1298" s="14" t="n"/>
      <c r="Q1298" s="20">
        <f>IF($B1298="","",IFERROR(INDEX(Vinos!$C$2:$C$301,MATCH($B1298,Vinos!$A$2:$A$301,0)),""))</f>
        <v/>
      </c>
      <c r="R1298" s="20">
        <f>IF(OR($A1298="",$A1298&lt;&gt;'Resumen del inventario'!$C$3,$N1298="",$N1298="OK"),"",IF(COUNTIFS($A$2:$A1298,$A1298,$B$2:$B1298,$B1298)=1,1,""))</f>
        <v/>
      </c>
      <c r="S1298" s="20">
        <f>IF($R1298=1,COUNTIF($R$2:$R1298,1),"")</f>
        <v/>
      </c>
    </row>
    <row r="1299">
      <c r="A1299" s="19" t="n"/>
      <c r="B1299" s="14" t="n"/>
      <c r="C1299" s="20">
        <f>IF($B1299="","",IFERROR(INDEX(Vinos!$B$2:$B$301,MATCH($B1299,Vinos!$A$2:$A$301,0)),"Código no cargado"))</f>
        <v/>
      </c>
      <c r="D1299" s="14" t="n"/>
      <c r="E1299" s="14" t="n"/>
      <c r="F1299" s="18" t="n"/>
      <c r="G1299" s="18" t="n"/>
      <c r="H1299" s="21">
        <f>IF(AND($F1299="",$G1299=""),"",N($F1299)*IFERROR(N(INDEX(Vinos!$H$2:$H$301,MATCH($B1299,Vinos!$A$2:$A$301,0))),0)+N($G1299))</f>
        <v/>
      </c>
      <c r="I1299" s="18" t="n"/>
      <c r="J1299" s="21">
        <f>IF(OR($H1299="",$I1299=""),"",$H1299-$I1299)</f>
        <v/>
      </c>
      <c r="K1299" s="16">
        <f>IF($H1299="","",IFERROR(IF(INDEX(Vinos!$J$2:$J$301,MATCH($B1299,Vinos!$A$2:$A$301,0))="","",$H1299*INDEX(Vinos!$J$2:$J$301,MATCH($B1299,Vinos!$A$2:$A$301,0))),""))</f>
        <v/>
      </c>
      <c r="L1299" s="16">
        <f>IF($H1299="","",IFERROR(IF(INDEX(Vinos!$K$2:$K$301,MATCH($B1299,Vinos!$A$2:$A$301,0))="","",$H1299*INDEX(Vinos!$K$2:$K$301,MATCH($B1299,Vinos!$A$2:$A$301,0))),""))</f>
        <v/>
      </c>
      <c r="M1299" s="21">
        <f>IF(OR($A1299="",$B1299=""),"",SUMIFS($H$2:$H$2001,$A$2:$A$2001,$A1299,$B$2:$B$2001,$B1299))</f>
        <v/>
      </c>
      <c r="N1299" s="20">
        <f>IF($M1299="","",IF($M1299&lt;=0,"Sin stock: reponer ya",IF($M1299&lt;IFERROR(N(INDEX(Vinos!$N$2:$N$301,MATCH($B1299,Vinos!$A$2:$A$301,0))),0),"Bajo mínimo: reponer","OK")))</f>
        <v/>
      </c>
      <c r="O1299" s="14" t="n"/>
      <c r="P1299" s="14" t="n"/>
      <c r="Q1299" s="20">
        <f>IF($B1299="","",IFERROR(INDEX(Vinos!$C$2:$C$301,MATCH($B1299,Vinos!$A$2:$A$301,0)),""))</f>
        <v/>
      </c>
      <c r="R1299" s="20">
        <f>IF(OR($A1299="",$A1299&lt;&gt;'Resumen del inventario'!$C$3,$N1299="",$N1299="OK"),"",IF(COUNTIFS($A$2:$A1299,$A1299,$B$2:$B1299,$B1299)=1,1,""))</f>
        <v/>
      </c>
      <c r="S1299" s="20">
        <f>IF($R1299=1,COUNTIF($R$2:$R1299,1),"")</f>
        <v/>
      </c>
    </row>
    <row r="1300">
      <c r="A1300" s="19" t="n"/>
      <c r="B1300" s="14" t="n"/>
      <c r="C1300" s="20">
        <f>IF($B1300="","",IFERROR(INDEX(Vinos!$B$2:$B$301,MATCH($B1300,Vinos!$A$2:$A$301,0)),"Código no cargado"))</f>
        <v/>
      </c>
      <c r="D1300" s="14" t="n"/>
      <c r="E1300" s="14" t="n"/>
      <c r="F1300" s="18" t="n"/>
      <c r="G1300" s="18" t="n"/>
      <c r="H1300" s="21">
        <f>IF(AND($F1300="",$G1300=""),"",N($F1300)*IFERROR(N(INDEX(Vinos!$H$2:$H$301,MATCH($B1300,Vinos!$A$2:$A$301,0))),0)+N($G1300))</f>
        <v/>
      </c>
      <c r="I1300" s="18" t="n"/>
      <c r="J1300" s="21">
        <f>IF(OR($H1300="",$I1300=""),"",$H1300-$I1300)</f>
        <v/>
      </c>
      <c r="K1300" s="16">
        <f>IF($H1300="","",IFERROR(IF(INDEX(Vinos!$J$2:$J$301,MATCH($B1300,Vinos!$A$2:$A$301,0))="","",$H1300*INDEX(Vinos!$J$2:$J$301,MATCH($B1300,Vinos!$A$2:$A$301,0))),""))</f>
        <v/>
      </c>
      <c r="L1300" s="16">
        <f>IF($H1300="","",IFERROR(IF(INDEX(Vinos!$K$2:$K$301,MATCH($B1300,Vinos!$A$2:$A$301,0))="","",$H1300*INDEX(Vinos!$K$2:$K$301,MATCH($B1300,Vinos!$A$2:$A$301,0))),""))</f>
        <v/>
      </c>
      <c r="M1300" s="21">
        <f>IF(OR($A1300="",$B1300=""),"",SUMIFS($H$2:$H$2001,$A$2:$A$2001,$A1300,$B$2:$B$2001,$B1300))</f>
        <v/>
      </c>
      <c r="N1300" s="20">
        <f>IF($M1300="","",IF($M1300&lt;=0,"Sin stock: reponer ya",IF($M1300&lt;IFERROR(N(INDEX(Vinos!$N$2:$N$301,MATCH($B1300,Vinos!$A$2:$A$301,0))),0),"Bajo mínimo: reponer","OK")))</f>
        <v/>
      </c>
      <c r="O1300" s="14" t="n"/>
      <c r="P1300" s="14" t="n"/>
      <c r="Q1300" s="20">
        <f>IF($B1300="","",IFERROR(INDEX(Vinos!$C$2:$C$301,MATCH($B1300,Vinos!$A$2:$A$301,0)),""))</f>
        <v/>
      </c>
      <c r="R1300" s="20">
        <f>IF(OR($A1300="",$A1300&lt;&gt;'Resumen del inventario'!$C$3,$N1300="",$N1300="OK"),"",IF(COUNTIFS($A$2:$A1300,$A1300,$B$2:$B1300,$B1300)=1,1,""))</f>
        <v/>
      </c>
      <c r="S1300" s="20">
        <f>IF($R1300=1,COUNTIF($R$2:$R1300,1),"")</f>
        <v/>
      </c>
    </row>
    <row r="1301">
      <c r="A1301" s="19" t="n"/>
      <c r="B1301" s="14" t="n"/>
      <c r="C1301" s="20">
        <f>IF($B1301="","",IFERROR(INDEX(Vinos!$B$2:$B$301,MATCH($B1301,Vinos!$A$2:$A$301,0)),"Código no cargado"))</f>
        <v/>
      </c>
      <c r="D1301" s="14" t="n"/>
      <c r="E1301" s="14" t="n"/>
      <c r="F1301" s="18" t="n"/>
      <c r="G1301" s="18" t="n"/>
      <c r="H1301" s="21">
        <f>IF(AND($F1301="",$G1301=""),"",N($F1301)*IFERROR(N(INDEX(Vinos!$H$2:$H$301,MATCH($B1301,Vinos!$A$2:$A$301,0))),0)+N($G1301))</f>
        <v/>
      </c>
      <c r="I1301" s="18" t="n"/>
      <c r="J1301" s="21">
        <f>IF(OR($H1301="",$I1301=""),"",$H1301-$I1301)</f>
        <v/>
      </c>
      <c r="K1301" s="16">
        <f>IF($H1301="","",IFERROR(IF(INDEX(Vinos!$J$2:$J$301,MATCH($B1301,Vinos!$A$2:$A$301,0))="","",$H1301*INDEX(Vinos!$J$2:$J$301,MATCH($B1301,Vinos!$A$2:$A$301,0))),""))</f>
        <v/>
      </c>
      <c r="L1301" s="16">
        <f>IF($H1301="","",IFERROR(IF(INDEX(Vinos!$K$2:$K$301,MATCH($B1301,Vinos!$A$2:$A$301,0))="","",$H1301*INDEX(Vinos!$K$2:$K$301,MATCH($B1301,Vinos!$A$2:$A$301,0))),""))</f>
        <v/>
      </c>
      <c r="M1301" s="21">
        <f>IF(OR($A1301="",$B1301=""),"",SUMIFS($H$2:$H$2001,$A$2:$A$2001,$A1301,$B$2:$B$2001,$B1301))</f>
        <v/>
      </c>
      <c r="N1301" s="20">
        <f>IF($M1301="","",IF($M1301&lt;=0,"Sin stock: reponer ya",IF($M1301&lt;IFERROR(N(INDEX(Vinos!$N$2:$N$301,MATCH($B1301,Vinos!$A$2:$A$301,0))),0),"Bajo mínimo: reponer","OK")))</f>
        <v/>
      </c>
      <c r="O1301" s="14" t="n"/>
      <c r="P1301" s="14" t="n"/>
      <c r="Q1301" s="20">
        <f>IF($B1301="","",IFERROR(INDEX(Vinos!$C$2:$C$301,MATCH($B1301,Vinos!$A$2:$A$301,0)),""))</f>
        <v/>
      </c>
      <c r="R1301" s="20">
        <f>IF(OR($A1301="",$A1301&lt;&gt;'Resumen del inventario'!$C$3,$N1301="",$N1301="OK"),"",IF(COUNTIFS($A$2:$A1301,$A1301,$B$2:$B1301,$B1301)=1,1,""))</f>
        <v/>
      </c>
      <c r="S1301" s="20">
        <f>IF($R1301=1,COUNTIF($R$2:$R1301,1),"")</f>
        <v/>
      </c>
    </row>
    <row r="1302">
      <c r="A1302" s="19" t="n"/>
      <c r="B1302" s="14" t="n"/>
      <c r="C1302" s="20">
        <f>IF($B1302="","",IFERROR(INDEX(Vinos!$B$2:$B$301,MATCH($B1302,Vinos!$A$2:$A$301,0)),"Código no cargado"))</f>
        <v/>
      </c>
      <c r="D1302" s="14" t="n"/>
      <c r="E1302" s="14" t="n"/>
      <c r="F1302" s="18" t="n"/>
      <c r="G1302" s="18" t="n"/>
      <c r="H1302" s="21">
        <f>IF(AND($F1302="",$G1302=""),"",N($F1302)*IFERROR(N(INDEX(Vinos!$H$2:$H$301,MATCH($B1302,Vinos!$A$2:$A$301,0))),0)+N($G1302))</f>
        <v/>
      </c>
      <c r="I1302" s="18" t="n"/>
      <c r="J1302" s="21">
        <f>IF(OR($H1302="",$I1302=""),"",$H1302-$I1302)</f>
        <v/>
      </c>
      <c r="K1302" s="16">
        <f>IF($H1302="","",IFERROR(IF(INDEX(Vinos!$J$2:$J$301,MATCH($B1302,Vinos!$A$2:$A$301,0))="","",$H1302*INDEX(Vinos!$J$2:$J$301,MATCH($B1302,Vinos!$A$2:$A$301,0))),""))</f>
        <v/>
      </c>
      <c r="L1302" s="16">
        <f>IF($H1302="","",IFERROR(IF(INDEX(Vinos!$K$2:$K$301,MATCH($B1302,Vinos!$A$2:$A$301,0))="","",$H1302*INDEX(Vinos!$K$2:$K$301,MATCH($B1302,Vinos!$A$2:$A$301,0))),""))</f>
        <v/>
      </c>
      <c r="M1302" s="21">
        <f>IF(OR($A1302="",$B1302=""),"",SUMIFS($H$2:$H$2001,$A$2:$A$2001,$A1302,$B$2:$B$2001,$B1302))</f>
        <v/>
      </c>
      <c r="N1302" s="20">
        <f>IF($M1302="","",IF($M1302&lt;=0,"Sin stock: reponer ya",IF($M1302&lt;IFERROR(N(INDEX(Vinos!$N$2:$N$301,MATCH($B1302,Vinos!$A$2:$A$301,0))),0),"Bajo mínimo: reponer","OK")))</f>
        <v/>
      </c>
      <c r="O1302" s="14" t="n"/>
      <c r="P1302" s="14" t="n"/>
      <c r="Q1302" s="20">
        <f>IF($B1302="","",IFERROR(INDEX(Vinos!$C$2:$C$301,MATCH($B1302,Vinos!$A$2:$A$301,0)),""))</f>
        <v/>
      </c>
      <c r="R1302" s="20">
        <f>IF(OR($A1302="",$A1302&lt;&gt;'Resumen del inventario'!$C$3,$N1302="",$N1302="OK"),"",IF(COUNTIFS($A$2:$A1302,$A1302,$B$2:$B1302,$B1302)=1,1,""))</f>
        <v/>
      </c>
      <c r="S1302" s="20">
        <f>IF($R1302=1,COUNTIF($R$2:$R1302,1),"")</f>
        <v/>
      </c>
    </row>
    <row r="1303">
      <c r="A1303" s="19" t="n"/>
      <c r="B1303" s="14" t="n"/>
      <c r="C1303" s="20">
        <f>IF($B1303="","",IFERROR(INDEX(Vinos!$B$2:$B$301,MATCH($B1303,Vinos!$A$2:$A$301,0)),"Código no cargado"))</f>
        <v/>
      </c>
      <c r="D1303" s="14" t="n"/>
      <c r="E1303" s="14" t="n"/>
      <c r="F1303" s="18" t="n"/>
      <c r="G1303" s="18" t="n"/>
      <c r="H1303" s="21">
        <f>IF(AND($F1303="",$G1303=""),"",N($F1303)*IFERROR(N(INDEX(Vinos!$H$2:$H$301,MATCH($B1303,Vinos!$A$2:$A$301,0))),0)+N($G1303))</f>
        <v/>
      </c>
      <c r="I1303" s="18" t="n"/>
      <c r="J1303" s="21">
        <f>IF(OR($H1303="",$I1303=""),"",$H1303-$I1303)</f>
        <v/>
      </c>
      <c r="K1303" s="16">
        <f>IF($H1303="","",IFERROR(IF(INDEX(Vinos!$J$2:$J$301,MATCH($B1303,Vinos!$A$2:$A$301,0))="","",$H1303*INDEX(Vinos!$J$2:$J$301,MATCH($B1303,Vinos!$A$2:$A$301,0))),""))</f>
        <v/>
      </c>
      <c r="L1303" s="16">
        <f>IF($H1303="","",IFERROR(IF(INDEX(Vinos!$K$2:$K$301,MATCH($B1303,Vinos!$A$2:$A$301,0))="","",$H1303*INDEX(Vinos!$K$2:$K$301,MATCH($B1303,Vinos!$A$2:$A$301,0))),""))</f>
        <v/>
      </c>
      <c r="M1303" s="21">
        <f>IF(OR($A1303="",$B1303=""),"",SUMIFS($H$2:$H$2001,$A$2:$A$2001,$A1303,$B$2:$B$2001,$B1303))</f>
        <v/>
      </c>
      <c r="N1303" s="20">
        <f>IF($M1303="","",IF($M1303&lt;=0,"Sin stock: reponer ya",IF($M1303&lt;IFERROR(N(INDEX(Vinos!$N$2:$N$301,MATCH($B1303,Vinos!$A$2:$A$301,0))),0),"Bajo mínimo: reponer","OK")))</f>
        <v/>
      </c>
      <c r="O1303" s="14" t="n"/>
      <c r="P1303" s="14" t="n"/>
      <c r="Q1303" s="20">
        <f>IF($B1303="","",IFERROR(INDEX(Vinos!$C$2:$C$301,MATCH($B1303,Vinos!$A$2:$A$301,0)),""))</f>
        <v/>
      </c>
      <c r="R1303" s="20">
        <f>IF(OR($A1303="",$A1303&lt;&gt;'Resumen del inventario'!$C$3,$N1303="",$N1303="OK"),"",IF(COUNTIFS($A$2:$A1303,$A1303,$B$2:$B1303,$B1303)=1,1,""))</f>
        <v/>
      </c>
      <c r="S1303" s="20">
        <f>IF($R1303=1,COUNTIF($R$2:$R1303,1),"")</f>
        <v/>
      </c>
    </row>
    <row r="1304">
      <c r="A1304" s="19" t="n"/>
      <c r="B1304" s="14" t="n"/>
      <c r="C1304" s="20">
        <f>IF($B1304="","",IFERROR(INDEX(Vinos!$B$2:$B$301,MATCH($B1304,Vinos!$A$2:$A$301,0)),"Código no cargado"))</f>
        <v/>
      </c>
      <c r="D1304" s="14" t="n"/>
      <c r="E1304" s="14" t="n"/>
      <c r="F1304" s="18" t="n"/>
      <c r="G1304" s="18" t="n"/>
      <c r="H1304" s="21">
        <f>IF(AND($F1304="",$G1304=""),"",N($F1304)*IFERROR(N(INDEX(Vinos!$H$2:$H$301,MATCH($B1304,Vinos!$A$2:$A$301,0))),0)+N($G1304))</f>
        <v/>
      </c>
      <c r="I1304" s="18" t="n"/>
      <c r="J1304" s="21">
        <f>IF(OR($H1304="",$I1304=""),"",$H1304-$I1304)</f>
        <v/>
      </c>
      <c r="K1304" s="16">
        <f>IF($H1304="","",IFERROR(IF(INDEX(Vinos!$J$2:$J$301,MATCH($B1304,Vinos!$A$2:$A$301,0))="","",$H1304*INDEX(Vinos!$J$2:$J$301,MATCH($B1304,Vinos!$A$2:$A$301,0))),""))</f>
        <v/>
      </c>
      <c r="L1304" s="16">
        <f>IF($H1304="","",IFERROR(IF(INDEX(Vinos!$K$2:$K$301,MATCH($B1304,Vinos!$A$2:$A$301,0))="","",$H1304*INDEX(Vinos!$K$2:$K$301,MATCH($B1304,Vinos!$A$2:$A$301,0))),""))</f>
        <v/>
      </c>
      <c r="M1304" s="21">
        <f>IF(OR($A1304="",$B1304=""),"",SUMIFS($H$2:$H$2001,$A$2:$A$2001,$A1304,$B$2:$B$2001,$B1304))</f>
        <v/>
      </c>
      <c r="N1304" s="20">
        <f>IF($M1304="","",IF($M1304&lt;=0,"Sin stock: reponer ya",IF($M1304&lt;IFERROR(N(INDEX(Vinos!$N$2:$N$301,MATCH($B1304,Vinos!$A$2:$A$301,0))),0),"Bajo mínimo: reponer","OK")))</f>
        <v/>
      </c>
      <c r="O1304" s="14" t="n"/>
      <c r="P1304" s="14" t="n"/>
      <c r="Q1304" s="20">
        <f>IF($B1304="","",IFERROR(INDEX(Vinos!$C$2:$C$301,MATCH($B1304,Vinos!$A$2:$A$301,0)),""))</f>
        <v/>
      </c>
      <c r="R1304" s="20">
        <f>IF(OR($A1304="",$A1304&lt;&gt;'Resumen del inventario'!$C$3,$N1304="",$N1304="OK"),"",IF(COUNTIFS($A$2:$A1304,$A1304,$B$2:$B1304,$B1304)=1,1,""))</f>
        <v/>
      </c>
      <c r="S1304" s="20">
        <f>IF($R1304=1,COUNTIF($R$2:$R1304,1),"")</f>
        <v/>
      </c>
    </row>
    <row r="1305">
      <c r="A1305" s="19" t="n"/>
      <c r="B1305" s="14" t="n"/>
      <c r="C1305" s="20">
        <f>IF($B1305="","",IFERROR(INDEX(Vinos!$B$2:$B$301,MATCH($B1305,Vinos!$A$2:$A$301,0)),"Código no cargado"))</f>
        <v/>
      </c>
      <c r="D1305" s="14" t="n"/>
      <c r="E1305" s="14" t="n"/>
      <c r="F1305" s="18" t="n"/>
      <c r="G1305" s="18" t="n"/>
      <c r="H1305" s="21">
        <f>IF(AND($F1305="",$G1305=""),"",N($F1305)*IFERROR(N(INDEX(Vinos!$H$2:$H$301,MATCH($B1305,Vinos!$A$2:$A$301,0))),0)+N($G1305))</f>
        <v/>
      </c>
      <c r="I1305" s="18" t="n"/>
      <c r="J1305" s="21">
        <f>IF(OR($H1305="",$I1305=""),"",$H1305-$I1305)</f>
        <v/>
      </c>
      <c r="K1305" s="16">
        <f>IF($H1305="","",IFERROR(IF(INDEX(Vinos!$J$2:$J$301,MATCH($B1305,Vinos!$A$2:$A$301,0))="","",$H1305*INDEX(Vinos!$J$2:$J$301,MATCH($B1305,Vinos!$A$2:$A$301,0))),""))</f>
        <v/>
      </c>
      <c r="L1305" s="16">
        <f>IF($H1305="","",IFERROR(IF(INDEX(Vinos!$K$2:$K$301,MATCH($B1305,Vinos!$A$2:$A$301,0))="","",$H1305*INDEX(Vinos!$K$2:$K$301,MATCH($B1305,Vinos!$A$2:$A$301,0))),""))</f>
        <v/>
      </c>
      <c r="M1305" s="21">
        <f>IF(OR($A1305="",$B1305=""),"",SUMIFS($H$2:$H$2001,$A$2:$A$2001,$A1305,$B$2:$B$2001,$B1305))</f>
        <v/>
      </c>
      <c r="N1305" s="20">
        <f>IF($M1305="","",IF($M1305&lt;=0,"Sin stock: reponer ya",IF($M1305&lt;IFERROR(N(INDEX(Vinos!$N$2:$N$301,MATCH($B1305,Vinos!$A$2:$A$301,0))),0),"Bajo mínimo: reponer","OK")))</f>
        <v/>
      </c>
      <c r="O1305" s="14" t="n"/>
      <c r="P1305" s="14" t="n"/>
      <c r="Q1305" s="20">
        <f>IF($B1305="","",IFERROR(INDEX(Vinos!$C$2:$C$301,MATCH($B1305,Vinos!$A$2:$A$301,0)),""))</f>
        <v/>
      </c>
      <c r="R1305" s="20">
        <f>IF(OR($A1305="",$A1305&lt;&gt;'Resumen del inventario'!$C$3,$N1305="",$N1305="OK"),"",IF(COUNTIFS($A$2:$A1305,$A1305,$B$2:$B1305,$B1305)=1,1,""))</f>
        <v/>
      </c>
      <c r="S1305" s="20">
        <f>IF($R1305=1,COUNTIF($R$2:$R1305,1),"")</f>
        <v/>
      </c>
    </row>
    <row r="1306">
      <c r="A1306" s="19" t="n"/>
      <c r="B1306" s="14" t="n"/>
      <c r="C1306" s="20">
        <f>IF($B1306="","",IFERROR(INDEX(Vinos!$B$2:$B$301,MATCH($B1306,Vinos!$A$2:$A$301,0)),"Código no cargado"))</f>
        <v/>
      </c>
      <c r="D1306" s="14" t="n"/>
      <c r="E1306" s="14" t="n"/>
      <c r="F1306" s="18" t="n"/>
      <c r="G1306" s="18" t="n"/>
      <c r="H1306" s="21">
        <f>IF(AND($F1306="",$G1306=""),"",N($F1306)*IFERROR(N(INDEX(Vinos!$H$2:$H$301,MATCH($B1306,Vinos!$A$2:$A$301,0))),0)+N($G1306))</f>
        <v/>
      </c>
      <c r="I1306" s="18" t="n"/>
      <c r="J1306" s="21">
        <f>IF(OR($H1306="",$I1306=""),"",$H1306-$I1306)</f>
        <v/>
      </c>
      <c r="K1306" s="16">
        <f>IF($H1306="","",IFERROR(IF(INDEX(Vinos!$J$2:$J$301,MATCH($B1306,Vinos!$A$2:$A$301,0))="","",$H1306*INDEX(Vinos!$J$2:$J$301,MATCH($B1306,Vinos!$A$2:$A$301,0))),""))</f>
        <v/>
      </c>
      <c r="L1306" s="16">
        <f>IF($H1306="","",IFERROR(IF(INDEX(Vinos!$K$2:$K$301,MATCH($B1306,Vinos!$A$2:$A$301,0))="","",$H1306*INDEX(Vinos!$K$2:$K$301,MATCH($B1306,Vinos!$A$2:$A$301,0))),""))</f>
        <v/>
      </c>
      <c r="M1306" s="21">
        <f>IF(OR($A1306="",$B1306=""),"",SUMIFS($H$2:$H$2001,$A$2:$A$2001,$A1306,$B$2:$B$2001,$B1306))</f>
        <v/>
      </c>
      <c r="N1306" s="20">
        <f>IF($M1306="","",IF($M1306&lt;=0,"Sin stock: reponer ya",IF($M1306&lt;IFERROR(N(INDEX(Vinos!$N$2:$N$301,MATCH($B1306,Vinos!$A$2:$A$301,0))),0),"Bajo mínimo: reponer","OK")))</f>
        <v/>
      </c>
      <c r="O1306" s="14" t="n"/>
      <c r="P1306" s="14" t="n"/>
      <c r="Q1306" s="20">
        <f>IF($B1306="","",IFERROR(INDEX(Vinos!$C$2:$C$301,MATCH($B1306,Vinos!$A$2:$A$301,0)),""))</f>
        <v/>
      </c>
      <c r="R1306" s="20">
        <f>IF(OR($A1306="",$A1306&lt;&gt;'Resumen del inventario'!$C$3,$N1306="",$N1306="OK"),"",IF(COUNTIFS($A$2:$A1306,$A1306,$B$2:$B1306,$B1306)=1,1,""))</f>
        <v/>
      </c>
      <c r="S1306" s="20">
        <f>IF($R1306=1,COUNTIF($R$2:$R1306,1),"")</f>
        <v/>
      </c>
    </row>
    <row r="1307">
      <c r="A1307" s="19" t="n"/>
      <c r="B1307" s="14" t="n"/>
      <c r="C1307" s="20">
        <f>IF($B1307="","",IFERROR(INDEX(Vinos!$B$2:$B$301,MATCH($B1307,Vinos!$A$2:$A$301,0)),"Código no cargado"))</f>
        <v/>
      </c>
      <c r="D1307" s="14" t="n"/>
      <c r="E1307" s="14" t="n"/>
      <c r="F1307" s="18" t="n"/>
      <c r="G1307" s="18" t="n"/>
      <c r="H1307" s="21">
        <f>IF(AND($F1307="",$G1307=""),"",N($F1307)*IFERROR(N(INDEX(Vinos!$H$2:$H$301,MATCH($B1307,Vinos!$A$2:$A$301,0))),0)+N($G1307))</f>
        <v/>
      </c>
      <c r="I1307" s="18" t="n"/>
      <c r="J1307" s="21">
        <f>IF(OR($H1307="",$I1307=""),"",$H1307-$I1307)</f>
        <v/>
      </c>
      <c r="K1307" s="16">
        <f>IF($H1307="","",IFERROR(IF(INDEX(Vinos!$J$2:$J$301,MATCH($B1307,Vinos!$A$2:$A$301,0))="","",$H1307*INDEX(Vinos!$J$2:$J$301,MATCH($B1307,Vinos!$A$2:$A$301,0))),""))</f>
        <v/>
      </c>
      <c r="L1307" s="16">
        <f>IF($H1307="","",IFERROR(IF(INDEX(Vinos!$K$2:$K$301,MATCH($B1307,Vinos!$A$2:$A$301,0))="","",$H1307*INDEX(Vinos!$K$2:$K$301,MATCH($B1307,Vinos!$A$2:$A$301,0))),""))</f>
        <v/>
      </c>
      <c r="M1307" s="21">
        <f>IF(OR($A1307="",$B1307=""),"",SUMIFS($H$2:$H$2001,$A$2:$A$2001,$A1307,$B$2:$B$2001,$B1307))</f>
        <v/>
      </c>
      <c r="N1307" s="20">
        <f>IF($M1307="","",IF($M1307&lt;=0,"Sin stock: reponer ya",IF($M1307&lt;IFERROR(N(INDEX(Vinos!$N$2:$N$301,MATCH($B1307,Vinos!$A$2:$A$301,0))),0),"Bajo mínimo: reponer","OK")))</f>
        <v/>
      </c>
      <c r="O1307" s="14" t="n"/>
      <c r="P1307" s="14" t="n"/>
      <c r="Q1307" s="20">
        <f>IF($B1307="","",IFERROR(INDEX(Vinos!$C$2:$C$301,MATCH($B1307,Vinos!$A$2:$A$301,0)),""))</f>
        <v/>
      </c>
      <c r="R1307" s="20">
        <f>IF(OR($A1307="",$A1307&lt;&gt;'Resumen del inventario'!$C$3,$N1307="",$N1307="OK"),"",IF(COUNTIFS($A$2:$A1307,$A1307,$B$2:$B1307,$B1307)=1,1,""))</f>
        <v/>
      </c>
      <c r="S1307" s="20">
        <f>IF($R1307=1,COUNTIF($R$2:$R1307,1),"")</f>
        <v/>
      </c>
    </row>
    <row r="1308">
      <c r="A1308" s="19" t="n"/>
      <c r="B1308" s="14" t="n"/>
      <c r="C1308" s="20">
        <f>IF($B1308="","",IFERROR(INDEX(Vinos!$B$2:$B$301,MATCH($B1308,Vinos!$A$2:$A$301,0)),"Código no cargado"))</f>
        <v/>
      </c>
      <c r="D1308" s="14" t="n"/>
      <c r="E1308" s="14" t="n"/>
      <c r="F1308" s="18" t="n"/>
      <c r="G1308" s="18" t="n"/>
      <c r="H1308" s="21">
        <f>IF(AND($F1308="",$G1308=""),"",N($F1308)*IFERROR(N(INDEX(Vinos!$H$2:$H$301,MATCH($B1308,Vinos!$A$2:$A$301,0))),0)+N($G1308))</f>
        <v/>
      </c>
      <c r="I1308" s="18" t="n"/>
      <c r="J1308" s="21">
        <f>IF(OR($H1308="",$I1308=""),"",$H1308-$I1308)</f>
        <v/>
      </c>
      <c r="K1308" s="16">
        <f>IF($H1308="","",IFERROR(IF(INDEX(Vinos!$J$2:$J$301,MATCH($B1308,Vinos!$A$2:$A$301,0))="","",$H1308*INDEX(Vinos!$J$2:$J$301,MATCH($B1308,Vinos!$A$2:$A$301,0))),""))</f>
        <v/>
      </c>
      <c r="L1308" s="16">
        <f>IF($H1308="","",IFERROR(IF(INDEX(Vinos!$K$2:$K$301,MATCH($B1308,Vinos!$A$2:$A$301,0))="","",$H1308*INDEX(Vinos!$K$2:$K$301,MATCH($B1308,Vinos!$A$2:$A$301,0))),""))</f>
        <v/>
      </c>
      <c r="M1308" s="21">
        <f>IF(OR($A1308="",$B1308=""),"",SUMIFS($H$2:$H$2001,$A$2:$A$2001,$A1308,$B$2:$B$2001,$B1308))</f>
        <v/>
      </c>
      <c r="N1308" s="20">
        <f>IF($M1308="","",IF($M1308&lt;=0,"Sin stock: reponer ya",IF($M1308&lt;IFERROR(N(INDEX(Vinos!$N$2:$N$301,MATCH($B1308,Vinos!$A$2:$A$301,0))),0),"Bajo mínimo: reponer","OK")))</f>
        <v/>
      </c>
      <c r="O1308" s="14" t="n"/>
      <c r="P1308" s="14" t="n"/>
      <c r="Q1308" s="20">
        <f>IF($B1308="","",IFERROR(INDEX(Vinos!$C$2:$C$301,MATCH($B1308,Vinos!$A$2:$A$301,0)),""))</f>
        <v/>
      </c>
      <c r="R1308" s="20">
        <f>IF(OR($A1308="",$A1308&lt;&gt;'Resumen del inventario'!$C$3,$N1308="",$N1308="OK"),"",IF(COUNTIFS($A$2:$A1308,$A1308,$B$2:$B1308,$B1308)=1,1,""))</f>
        <v/>
      </c>
      <c r="S1308" s="20">
        <f>IF($R1308=1,COUNTIF($R$2:$R1308,1),"")</f>
        <v/>
      </c>
    </row>
    <row r="1309">
      <c r="A1309" s="19" t="n"/>
      <c r="B1309" s="14" t="n"/>
      <c r="C1309" s="20">
        <f>IF($B1309="","",IFERROR(INDEX(Vinos!$B$2:$B$301,MATCH($B1309,Vinos!$A$2:$A$301,0)),"Código no cargado"))</f>
        <v/>
      </c>
      <c r="D1309" s="14" t="n"/>
      <c r="E1309" s="14" t="n"/>
      <c r="F1309" s="18" t="n"/>
      <c r="G1309" s="18" t="n"/>
      <c r="H1309" s="21">
        <f>IF(AND($F1309="",$G1309=""),"",N($F1309)*IFERROR(N(INDEX(Vinos!$H$2:$H$301,MATCH($B1309,Vinos!$A$2:$A$301,0))),0)+N($G1309))</f>
        <v/>
      </c>
      <c r="I1309" s="18" t="n"/>
      <c r="J1309" s="21">
        <f>IF(OR($H1309="",$I1309=""),"",$H1309-$I1309)</f>
        <v/>
      </c>
      <c r="K1309" s="16">
        <f>IF($H1309="","",IFERROR(IF(INDEX(Vinos!$J$2:$J$301,MATCH($B1309,Vinos!$A$2:$A$301,0))="","",$H1309*INDEX(Vinos!$J$2:$J$301,MATCH($B1309,Vinos!$A$2:$A$301,0))),""))</f>
        <v/>
      </c>
      <c r="L1309" s="16">
        <f>IF($H1309="","",IFERROR(IF(INDEX(Vinos!$K$2:$K$301,MATCH($B1309,Vinos!$A$2:$A$301,0))="","",$H1309*INDEX(Vinos!$K$2:$K$301,MATCH($B1309,Vinos!$A$2:$A$301,0))),""))</f>
        <v/>
      </c>
      <c r="M1309" s="21">
        <f>IF(OR($A1309="",$B1309=""),"",SUMIFS($H$2:$H$2001,$A$2:$A$2001,$A1309,$B$2:$B$2001,$B1309))</f>
        <v/>
      </c>
      <c r="N1309" s="20">
        <f>IF($M1309="","",IF($M1309&lt;=0,"Sin stock: reponer ya",IF($M1309&lt;IFERROR(N(INDEX(Vinos!$N$2:$N$301,MATCH($B1309,Vinos!$A$2:$A$301,0))),0),"Bajo mínimo: reponer","OK")))</f>
        <v/>
      </c>
      <c r="O1309" s="14" t="n"/>
      <c r="P1309" s="14" t="n"/>
      <c r="Q1309" s="20">
        <f>IF($B1309="","",IFERROR(INDEX(Vinos!$C$2:$C$301,MATCH($B1309,Vinos!$A$2:$A$301,0)),""))</f>
        <v/>
      </c>
      <c r="R1309" s="20">
        <f>IF(OR($A1309="",$A1309&lt;&gt;'Resumen del inventario'!$C$3,$N1309="",$N1309="OK"),"",IF(COUNTIFS($A$2:$A1309,$A1309,$B$2:$B1309,$B1309)=1,1,""))</f>
        <v/>
      </c>
      <c r="S1309" s="20">
        <f>IF($R1309=1,COUNTIF($R$2:$R1309,1),"")</f>
        <v/>
      </c>
    </row>
    <row r="1310">
      <c r="A1310" s="19" t="n"/>
      <c r="B1310" s="14" t="n"/>
      <c r="C1310" s="20">
        <f>IF($B1310="","",IFERROR(INDEX(Vinos!$B$2:$B$301,MATCH($B1310,Vinos!$A$2:$A$301,0)),"Código no cargado"))</f>
        <v/>
      </c>
      <c r="D1310" s="14" t="n"/>
      <c r="E1310" s="14" t="n"/>
      <c r="F1310" s="18" t="n"/>
      <c r="G1310" s="18" t="n"/>
      <c r="H1310" s="21">
        <f>IF(AND($F1310="",$G1310=""),"",N($F1310)*IFERROR(N(INDEX(Vinos!$H$2:$H$301,MATCH($B1310,Vinos!$A$2:$A$301,0))),0)+N($G1310))</f>
        <v/>
      </c>
      <c r="I1310" s="18" t="n"/>
      <c r="J1310" s="21">
        <f>IF(OR($H1310="",$I1310=""),"",$H1310-$I1310)</f>
        <v/>
      </c>
      <c r="K1310" s="16">
        <f>IF($H1310="","",IFERROR(IF(INDEX(Vinos!$J$2:$J$301,MATCH($B1310,Vinos!$A$2:$A$301,0))="","",$H1310*INDEX(Vinos!$J$2:$J$301,MATCH($B1310,Vinos!$A$2:$A$301,0))),""))</f>
        <v/>
      </c>
      <c r="L1310" s="16">
        <f>IF($H1310="","",IFERROR(IF(INDEX(Vinos!$K$2:$K$301,MATCH($B1310,Vinos!$A$2:$A$301,0))="","",$H1310*INDEX(Vinos!$K$2:$K$301,MATCH($B1310,Vinos!$A$2:$A$301,0))),""))</f>
        <v/>
      </c>
      <c r="M1310" s="21">
        <f>IF(OR($A1310="",$B1310=""),"",SUMIFS($H$2:$H$2001,$A$2:$A$2001,$A1310,$B$2:$B$2001,$B1310))</f>
        <v/>
      </c>
      <c r="N1310" s="20">
        <f>IF($M1310="","",IF($M1310&lt;=0,"Sin stock: reponer ya",IF($M1310&lt;IFERROR(N(INDEX(Vinos!$N$2:$N$301,MATCH($B1310,Vinos!$A$2:$A$301,0))),0),"Bajo mínimo: reponer","OK")))</f>
        <v/>
      </c>
      <c r="O1310" s="14" t="n"/>
      <c r="P1310" s="14" t="n"/>
      <c r="Q1310" s="20">
        <f>IF($B1310="","",IFERROR(INDEX(Vinos!$C$2:$C$301,MATCH($B1310,Vinos!$A$2:$A$301,0)),""))</f>
        <v/>
      </c>
      <c r="R1310" s="20">
        <f>IF(OR($A1310="",$A1310&lt;&gt;'Resumen del inventario'!$C$3,$N1310="",$N1310="OK"),"",IF(COUNTIFS($A$2:$A1310,$A1310,$B$2:$B1310,$B1310)=1,1,""))</f>
        <v/>
      </c>
      <c r="S1310" s="20">
        <f>IF($R1310=1,COUNTIF($R$2:$R1310,1),"")</f>
        <v/>
      </c>
    </row>
    <row r="1311">
      <c r="A1311" s="19" t="n"/>
      <c r="B1311" s="14" t="n"/>
      <c r="C1311" s="20">
        <f>IF($B1311="","",IFERROR(INDEX(Vinos!$B$2:$B$301,MATCH($B1311,Vinos!$A$2:$A$301,0)),"Código no cargado"))</f>
        <v/>
      </c>
      <c r="D1311" s="14" t="n"/>
      <c r="E1311" s="14" t="n"/>
      <c r="F1311" s="18" t="n"/>
      <c r="G1311" s="18" t="n"/>
      <c r="H1311" s="21">
        <f>IF(AND($F1311="",$G1311=""),"",N($F1311)*IFERROR(N(INDEX(Vinos!$H$2:$H$301,MATCH($B1311,Vinos!$A$2:$A$301,0))),0)+N($G1311))</f>
        <v/>
      </c>
      <c r="I1311" s="18" t="n"/>
      <c r="J1311" s="21">
        <f>IF(OR($H1311="",$I1311=""),"",$H1311-$I1311)</f>
        <v/>
      </c>
      <c r="K1311" s="16">
        <f>IF($H1311="","",IFERROR(IF(INDEX(Vinos!$J$2:$J$301,MATCH($B1311,Vinos!$A$2:$A$301,0))="","",$H1311*INDEX(Vinos!$J$2:$J$301,MATCH($B1311,Vinos!$A$2:$A$301,0))),""))</f>
        <v/>
      </c>
      <c r="L1311" s="16">
        <f>IF($H1311="","",IFERROR(IF(INDEX(Vinos!$K$2:$K$301,MATCH($B1311,Vinos!$A$2:$A$301,0))="","",$H1311*INDEX(Vinos!$K$2:$K$301,MATCH($B1311,Vinos!$A$2:$A$301,0))),""))</f>
        <v/>
      </c>
      <c r="M1311" s="21">
        <f>IF(OR($A1311="",$B1311=""),"",SUMIFS($H$2:$H$2001,$A$2:$A$2001,$A1311,$B$2:$B$2001,$B1311))</f>
        <v/>
      </c>
      <c r="N1311" s="20">
        <f>IF($M1311="","",IF($M1311&lt;=0,"Sin stock: reponer ya",IF($M1311&lt;IFERROR(N(INDEX(Vinos!$N$2:$N$301,MATCH($B1311,Vinos!$A$2:$A$301,0))),0),"Bajo mínimo: reponer","OK")))</f>
        <v/>
      </c>
      <c r="O1311" s="14" t="n"/>
      <c r="P1311" s="14" t="n"/>
      <c r="Q1311" s="20">
        <f>IF($B1311="","",IFERROR(INDEX(Vinos!$C$2:$C$301,MATCH($B1311,Vinos!$A$2:$A$301,0)),""))</f>
        <v/>
      </c>
      <c r="R1311" s="20">
        <f>IF(OR($A1311="",$A1311&lt;&gt;'Resumen del inventario'!$C$3,$N1311="",$N1311="OK"),"",IF(COUNTIFS($A$2:$A1311,$A1311,$B$2:$B1311,$B1311)=1,1,""))</f>
        <v/>
      </c>
      <c r="S1311" s="20">
        <f>IF($R1311=1,COUNTIF($R$2:$R1311,1),"")</f>
        <v/>
      </c>
    </row>
    <row r="1312">
      <c r="A1312" s="19" t="n"/>
      <c r="B1312" s="14" t="n"/>
      <c r="C1312" s="20">
        <f>IF($B1312="","",IFERROR(INDEX(Vinos!$B$2:$B$301,MATCH($B1312,Vinos!$A$2:$A$301,0)),"Código no cargado"))</f>
        <v/>
      </c>
      <c r="D1312" s="14" t="n"/>
      <c r="E1312" s="14" t="n"/>
      <c r="F1312" s="18" t="n"/>
      <c r="G1312" s="18" t="n"/>
      <c r="H1312" s="21">
        <f>IF(AND($F1312="",$G1312=""),"",N($F1312)*IFERROR(N(INDEX(Vinos!$H$2:$H$301,MATCH($B1312,Vinos!$A$2:$A$301,0))),0)+N($G1312))</f>
        <v/>
      </c>
      <c r="I1312" s="18" t="n"/>
      <c r="J1312" s="21">
        <f>IF(OR($H1312="",$I1312=""),"",$H1312-$I1312)</f>
        <v/>
      </c>
      <c r="K1312" s="16">
        <f>IF($H1312="","",IFERROR(IF(INDEX(Vinos!$J$2:$J$301,MATCH($B1312,Vinos!$A$2:$A$301,0))="","",$H1312*INDEX(Vinos!$J$2:$J$301,MATCH($B1312,Vinos!$A$2:$A$301,0))),""))</f>
        <v/>
      </c>
      <c r="L1312" s="16">
        <f>IF($H1312="","",IFERROR(IF(INDEX(Vinos!$K$2:$K$301,MATCH($B1312,Vinos!$A$2:$A$301,0))="","",$H1312*INDEX(Vinos!$K$2:$K$301,MATCH($B1312,Vinos!$A$2:$A$301,0))),""))</f>
        <v/>
      </c>
      <c r="M1312" s="21">
        <f>IF(OR($A1312="",$B1312=""),"",SUMIFS($H$2:$H$2001,$A$2:$A$2001,$A1312,$B$2:$B$2001,$B1312))</f>
        <v/>
      </c>
      <c r="N1312" s="20">
        <f>IF($M1312="","",IF($M1312&lt;=0,"Sin stock: reponer ya",IF($M1312&lt;IFERROR(N(INDEX(Vinos!$N$2:$N$301,MATCH($B1312,Vinos!$A$2:$A$301,0))),0),"Bajo mínimo: reponer","OK")))</f>
        <v/>
      </c>
      <c r="O1312" s="14" t="n"/>
      <c r="P1312" s="14" t="n"/>
      <c r="Q1312" s="20">
        <f>IF($B1312="","",IFERROR(INDEX(Vinos!$C$2:$C$301,MATCH($B1312,Vinos!$A$2:$A$301,0)),""))</f>
        <v/>
      </c>
      <c r="R1312" s="20">
        <f>IF(OR($A1312="",$A1312&lt;&gt;'Resumen del inventario'!$C$3,$N1312="",$N1312="OK"),"",IF(COUNTIFS($A$2:$A1312,$A1312,$B$2:$B1312,$B1312)=1,1,""))</f>
        <v/>
      </c>
      <c r="S1312" s="20">
        <f>IF($R1312=1,COUNTIF($R$2:$R1312,1),"")</f>
        <v/>
      </c>
    </row>
    <row r="1313">
      <c r="A1313" s="19" t="n"/>
      <c r="B1313" s="14" t="n"/>
      <c r="C1313" s="20">
        <f>IF($B1313="","",IFERROR(INDEX(Vinos!$B$2:$B$301,MATCH($B1313,Vinos!$A$2:$A$301,0)),"Código no cargado"))</f>
        <v/>
      </c>
      <c r="D1313" s="14" t="n"/>
      <c r="E1313" s="14" t="n"/>
      <c r="F1313" s="18" t="n"/>
      <c r="G1313" s="18" t="n"/>
      <c r="H1313" s="21">
        <f>IF(AND($F1313="",$G1313=""),"",N($F1313)*IFERROR(N(INDEX(Vinos!$H$2:$H$301,MATCH($B1313,Vinos!$A$2:$A$301,0))),0)+N($G1313))</f>
        <v/>
      </c>
      <c r="I1313" s="18" t="n"/>
      <c r="J1313" s="21">
        <f>IF(OR($H1313="",$I1313=""),"",$H1313-$I1313)</f>
        <v/>
      </c>
      <c r="K1313" s="16">
        <f>IF($H1313="","",IFERROR(IF(INDEX(Vinos!$J$2:$J$301,MATCH($B1313,Vinos!$A$2:$A$301,0))="","",$H1313*INDEX(Vinos!$J$2:$J$301,MATCH($B1313,Vinos!$A$2:$A$301,0))),""))</f>
        <v/>
      </c>
      <c r="L1313" s="16">
        <f>IF($H1313="","",IFERROR(IF(INDEX(Vinos!$K$2:$K$301,MATCH($B1313,Vinos!$A$2:$A$301,0))="","",$H1313*INDEX(Vinos!$K$2:$K$301,MATCH($B1313,Vinos!$A$2:$A$301,0))),""))</f>
        <v/>
      </c>
      <c r="M1313" s="21">
        <f>IF(OR($A1313="",$B1313=""),"",SUMIFS($H$2:$H$2001,$A$2:$A$2001,$A1313,$B$2:$B$2001,$B1313))</f>
        <v/>
      </c>
      <c r="N1313" s="20">
        <f>IF($M1313="","",IF($M1313&lt;=0,"Sin stock: reponer ya",IF($M1313&lt;IFERROR(N(INDEX(Vinos!$N$2:$N$301,MATCH($B1313,Vinos!$A$2:$A$301,0))),0),"Bajo mínimo: reponer","OK")))</f>
        <v/>
      </c>
      <c r="O1313" s="14" t="n"/>
      <c r="P1313" s="14" t="n"/>
      <c r="Q1313" s="20">
        <f>IF($B1313="","",IFERROR(INDEX(Vinos!$C$2:$C$301,MATCH($B1313,Vinos!$A$2:$A$301,0)),""))</f>
        <v/>
      </c>
      <c r="R1313" s="20">
        <f>IF(OR($A1313="",$A1313&lt;&gt;'Resumen del inventario'!$C$3,$N1313="",$N1313="OK"),"",IF(COUNTIFS($A$2:$A1313,$A1313,$B$2:$B1313,$B1313)=1,1,""))</f>
        <v/>
      </c>
      <c r="S1313" s="20">
        <f>IF($R1313=1,COUNTIF($R$2:$R1313,1),"")</f>
        <v/>
      </c>
    </row>
    <row r="1314">
      <c r="A1314" s="19" t="n"/>
      <c r="B1314" s="14" t="n"/>
      <c r="C1314" s="20">
        <f>IF($B1314="","",IFERROR(INDEX(Vinos!$B$2:$B$301,MATCH($B1314,Vinos!$A$2:$A$301,0)),"Código no cargado"))</f>
        <v/>
      </c>
      <c r="D1314" s="14" t="n"/>
      <c r="E1314" s="14" t="n"/>
      <c r="F1314" s="18" t="n"/>
      <c r="G1314" s="18" t="n"/>
      <c r="H1314" s="21">
        <f>IF(AND($F1314="",$G1314=""),"",N($F1314)*IFERROR(N(INDEX(Vinos!$H$2:$H$301,MATCH($B1314,Vinos!$A$2:$A$301,0))),0)+N($G1314))</f>
        <v/>
      </c>
      <c r="I1314" s="18" t="n"/>
      <c r="J1314" s="21">
        <f>IF(OR($H1314="",$I1314=""),"",$H1314-$I1314)</f>
        <v/>
      </c>
      <c r="K1314" s="16">
        <f>IF($H1314="","",IFERROR(IF(INDEX(Vinos!$J$2:$J$301,MATCH($B1314,Vinos!$A$2:$A$301,0))="","",$H1314*INDEX(Vinos!$J$2:$J$301,MATCH($B1314,Vinos!$A$2:$A$301,0))),""))</f>
        <v/>
      </c>
      <c r="L1314" s="16">
        <f>IF($H1314="","",IFERROR(IF(INDEX(Vinos!$K$2:$K$301,MATCH($B1314,Vinos!$A$2:$A$301,0))="","",$H1314*INDEX(Vinos!$K$2:$K$301,MATCH($B1314,Vinos!$A$2:$A$301,0))),""))</f>
        <v/>
      </c>
      <c r="M1314" s="21">
        <f>IF(OR($A1314="",$B1314=""),"",SUMIFS($H$2:$H$2001,$A$2:$A$2001,$A1314,$B$2:$B$2001,$B1314))</f>
        <v/>
      </c>
      <c r="N1314" s="20">
        <f>IF($M1314="","",IF($M1314&lt;=0,"Sin stock: reponer ya",IF($M1314&lt;IFERROR(N(INDEX(Vinos!$N$2:$N$301,MATCH($B1314,Vinos!$A$2:$A$301,0))),0),"Bajo mínimo: reponer","OK")))</f>
        <v/>
      </c>
      <c r="O1314" s="14" t="n"/>
      <c r="P1314" s="14" t="n"/>
      <c r="Q1314" s="20">
        <f>IF($B1314="","",IFERROR(INDEX(Vinos!$C$2:$C$301,MATCH($B1314,Vinos!$A$2:$A$301,0)),""))</f>
        <v/>
      </c>
      <c r="R1314" s="20">
        <f>IF(OR($A1314="",$A1314&lt;&gt;'Resumen del inventario'!$C$3,$N1314="",$N1314="OK"),"",IF(COUNTIFS($A$2:$A1314,$A1314,$B$2:$B1314,$B1314)=1,1,""))</f>
        <v/>
      </c>
      <c r="S1314" s="20">
        <f>IF($R1314=1,COUNTIF($R$2:$R1314,1),"")</f>
        <v/>
      </c>
    </row>
    <row r="1315">
      <c r="A1315" s="19" t="n"/>
      <c r="B1315" s="14" t="n"/>
      <c r="C1315" s="20">
        <f>IF($B1315="","",IFERROR(INDEX(Vinos!$B$2:$B$301,MATCH($B1315,Vinos!$A$2:$A$301,0)),"Código no cargado"))</f>
        <v/>
      </c>
      <c r="D1315" s="14" t="n"/>
      <c r="E1315" s="14" t="n"/>
      <c r="F1315" s="18" t="n"/>
      <c r="G1315" s="18" t="n"/>
      <c r="H1315" s="21">
        <f>IF(AND($F1315="",$G1315=""),"",N($F1315)*IFERROR(N(INDEX(Vinos!$H$2:$H$301,MATCH($B1315,Vinos!$A$2:$A$301,0))),0)+N($G1315))</f>
        <v/>
      </c>
      <c r="I1315" s="18" t="n"/>
      <c r="J1315" s="21">
        <f>IF(OR($H1315="",$I1315=""),"",$H1315-$I1315)</f>
        <v/>
      </c>
      <c r="K1315" s="16">
        <f>IF($H1315="","",IFERROR(IF(INDEX(Vinos!$J$2:$J$301,MATCH($B1315,Vinos!$A$2:$A$301,0))="","",$H1315*INDEX(Vinos!$J$2:$J$301,MATCH($B1315,Vinos!$A$2:$A$301,0))),""))</f>
        <v/>
      </c>
      <c r="L1315" s="16">
        <f>IF($H1315="","",IFERROR(IF(INDEX(Vinos!$K$2:$K$301,MATCH($B1315,Vinos!$A$2:$A$301,0))="","",$H1315*INDEX(Vinos!$K$2:$K$301,MATCH($B1315,Vinos!$A$2:$A$301,0))),""))</f>
        <v/>
      </c>
      <c r="M1315" s="21">
        <f>IF(OR($A1315="",$B1315=""),"",SUMIFS($H$2:$H$2001,$A$2:$A$2001,$A1315,$B$2:$B$2001,$B1315))</f>
        <v/>
      </c>
      <c r="N1315" s="20">
        <f>IF($M1315="","",IF($M1315&lt;=0,"Sin stock: reponer ya",IF($M1315&lt;IFERROR(N(INDEX(Vinos!$N$2:$N$301,MATCH($B1315,Vinos!$A$2:$A$301,0))),0),"Bajo mínimo: reponer","OK")))</f>
        <v/>
      </c>
      <c r="O1315" s="14" t="n"/>
      <c r="P1315" s="14" t="n"/>
      <c r="Q1315" s="20">
        <f>IF($B1315="","",IFERROR(INDEX(Vinos!$C$2:$C$301,MATCH($B1315,Vinos!$A$2:$A$301,0)),""))</f>
        <v/>
      </c>
      <c r="R1315" s="20">
        <f>IF(OR($A1315="",$A1315&lt;&gt;'Resumen del inventario'!$C$3,$N1315="",$N1315="OK"),"",IF(COUNTIFS($A$2:$A1315,$A1315,$B$2:$B1315,$B1315)=1,1,""))</f>
        <v/>
      </c>
      <c r="S1315" s="20">
        <f>IF($R1315=1,COUNTIF($R$2:$R1315,1),"")</f>
        <v/>
      </c>
    </row>
    <row r="1316">
      <c r="A1316" s="19" t="n"/>
      <c r="B1316" s="14" t="n"/>
      <c r="C1316" s="20">
        <f>IF($B1316="","",IFERROR(INDEX(Vinos!$B$2:$B$301,MATCH($B1316,Vinos!$A$2:$A$301,0)),"Código no cargado"))</f>
        <v/>
      </c>
      <c r="D1316" s="14" t="n"/>
      <c r="E1316" s="14" t="n"/>
      <c r="F1316" s="18" t="n"/>
      <c r="G1316" s="18" t="n"/>
      <c r="H1316" s="21">
        <f>IF(AND($F1316="",$G1316=""),"",N($F1316)*IFERROR(N(INDEX(Vinos!$H$2:$H$301,MATCH($B1316,Vinos!$A$2:$A$301,0))),0)+N($G1316))</f>
        <v/>
      </c>
      <c r="I1316" s="18" t="n"/>
      <c r="J1316" s="21">
        <f>IF(OR($H1316="",$I1316=""),"",$H1316-$I1316)</f>
        <v/>
      </c>
      <c r="K1316" s="16">
        <f>IF($H1316="","",IFERROR(IF(INDEX(Vinos!$J$2:$J$301,MATCH($B1316,Vinos!$A$2:$A$301,0))="","",$H1316*INDEX(Vinos!$J$2:$J$301,MATCH($B1316,Vinos!$A$2:$A$301,0))),""))</f>
        <v/>
      </c>
      <c r="L1316" s="16">
        <f>IF($H1316="","",IFERROR(IF(INDEX(Vinos!$K$2:$K$301,MATCH($B1316,Vinos!$A$2:$A$301,0))="","",$H1316*INDEX(Vinos!$K$2:$K$301,MATCH($B1316,Vinos!$A$2:$A$301,0))),""))</f>
        <v/>
      </c>
      <c r="M1316" s="21">
        <f>IF(OR($A1316="",$B1316=""),"",SUMIFS($H$2:$H$2001,$A$2:$A$2001,$A1316,$B$2:$B$2001,$B1316))</f>
        <v/>
      </c>
      <c r="N1316" s="20">
        <f>IF($M1316="","",IF($M1316&lt;=0,"Sin stock: reponer ya",IF($M1316&lt;IFERROR(N(INDEX(Vinos!$N$2:$N$301,MATCH($B1316,Vinos!$A$2:$A$301,0))),0),"Bajo mínimo: reponer","OK")))</f>
        <v/>
      </c>
      <c r="O1316" s="14" t="n"/>
      <c r="P1316" s="14" t="n"/>
      <c r="Q1316" s="20">
        <f>IF($B1316="","",IFERROR(INDEX(Vinos!$C$2:$C$301,MATCH($B1316,Vinos!$A$2:$A$301,0)),""))</f>
        <v/>
      </c>
      <c r="R1316" s="20">
        <f>IF(OR($A1316="",$A1316&lt;&gt;'Resumen del inventario'!$C$3,$N1316="",$N1316="OK"),"",IF(COUNTIFS($A$2:$A1316,$A1316,$B$2:$B1316,$B1316)=1,1,""))</f>
        <v/>
      </c>
      <c r="S1316" s="20">
        <f>IF($R1316=1,COUNTIF($R$2:$R1316,1),"")</f>
        <v/>
      </c>
    </row>
    <row r="1317">
      <c r="A1317" s="19" t="n"/>
      <c r="B1317" s="14" t="n"/>
      <c r="C1317" s="20">
        <f>IF($B1317="","",IFERROR(INDEX(Vinos!$B$2:$B$301,MATCH($B1317,Vinos!$A$2:$A$301,0)),"Código no cargado"))</f>
        <v/>
      </c>
      <c r="D1317" s="14" t="n"/>
      <c r="E1317" s="14" t="n"/>
      <c r="F1317" s="18" t="n"/>
      <c r="G1317" s="18" t="n"/>
      <c r="H1317" s="21">
        <f>IF(AND($F1317="",$G1317=""),"",N($F1317)*IFERROR(N(INDEX(Vinos!$H$2:$H$301,MATCH($B1317,Vinos!$A$2:$A$301,0))),0)+N($G1317))</f>
        <v/>
      </c>
      <c r="I1317" s="18" t="n"/>
      <c r="J1317" s="21">
        <f>IF(OR($H1317="",$I1317=""),"",$H1317-$I1317)</f>
        <v/>
      </c>
      <c r="K1317" s="16">
        <f>IF($H1317="","",IFERROR(IF(INDEX(Vinos!$J$2:$J$301,MATCH($B1317,Vinos!$A$2:$A$301,0))="","",$H1317*INDEX(Vinos!$J$2:$J$301,MATCH($B1317,Vinos!$A$2:$A$301,0))),""))</f>
        <v/>
      </c>
      <c r="L1317" s="16">
        <f>IF($H1317="","",IFERROR(IF(INDEX(Vinos!$K$2:$K$301,MATCH($B1317,Vinos!$A$2:$A$301,0))="","",$H1317*INDEX(Vinos!$K$2:$K$301,MATCH($B1317,Vinos!$A$2:$A$301,0))),""))</f>
        <v/>
      </c>
      <c r="M1317" s="21">
        <f>IF(OR($A1317="",$B1317=""),"",SUMIFS($H$2:$H$2001,$A$2:$A$2001,$A1317,$B$2:$B$2001,$B1317))</f>
        <v/>
      </c>
      <c r="N1317" s="20">
        <f>IF($M1317="","",IF($M1317&lt;=0,"Sin stock: reponer ya",IF($M1317&lt;IFERROR(N(INDEX(Vinos!$N$2:$N$301,MATCH($B1317,Vinos!$A$2:$A$301,0))),0),"Bajo mínimo: reponer","OK")))</f>
        <v/>
      </c>
      <c r="O1317" s="14" t="n"/>
      <c r="P1317" s="14" t="n"/>
      <c r="Q1317" s="20">
        <f>IF($B1317="","",IFERROR(INDEX(Vinos!$C$2:$C$301,MATCH($B1317,Vinos!$A$2:$A$301,0)),""))</f>
        <v/>
      </c>
      <c r="R1317" s="20">
        <f>IF(OR($A1317="",$A1317&lt;&gt;'Resumen del inventario'!$C$3,$N1317="",$N1317="OK"),"",IF(COUNTIFS($A$2:$A1317,$A1317,$B$2:$B1317,$B1317)=1,1,""))</f>
        <v/>
      </c>
      <c r="S1317" s="20">
        <f>IF($R1317=1,COUNTIF($R$2:$R1317,1),"")</f>
        <v/>
      </c>
    </row>
    <row r="1318">
      <c r="A1318" s="19" t="n"/>
      <c r="B1318" s="14" t="n"/>
      <c r="C1318" s="20">
        <f>IF($B1318="","",IFERROR(INDEX(Vinos!$B$2:$B$301,MATCH($B1318,Vinos!$A$2:$A$301,0)),"Código no cargado"))</f>
        <v/>
      </c>
      <c r="D1318" s="14" t="n"/>
      <c r="E1318" s="14" t="n"/>
      <c r="F1318" s="18" t="n"/>
      <c r="G1318" s="18" t="n"/>
      <c r="H1318" s="21">
        <f>IF(AND($F1318="",$G1318=""),"",N($F1318)*IFERROR(N(INDEX(Vinos!$H$2:$H$301,MATCH($B1318,Vinos!$A$2:$A$301,0))),0)+N($G1318))</f>
        <v/>
      </c>
      <c r="I1318" s="18" t="n"/>
      <c r="J1318" s="21">
        <f>IF(OR($H1318="",$I1318=""),"",$H1318-$I1318)</f>
        <v/>
      </c>
      <c r="K1318" s="16">
        <f>IF($H1318="","",IFERROR(IF(INDEX(Vinos!$J$2:$J$301,MATCH($B1318,Vinos!$A$2:$A$301,0))="","",$H1318*INDEX(Vinos!$J$2:$J$301,MATCH($B1318,Vinos!$A$2:$A$301,0))),""))</f>
        <v/>
      </c>
      <c r="L1318" s="16">
        <f>IF($H1318="","",IFERROR(IF(INDEX(Vinos!$K$2:$K$301,MATCH($B1318,Vinos!$A$2:$A$301,0))="","",$H1318*INDEX(Vinos!$K$2:$K$301,MATCH($B1318,Vinos!$A$2:$A$301,0))),""))</f>
        <v/>
      </c>
      <c r="M1318" s="21">
        <f>IF(OR($A1318="",$B1318=""),"",SUMIFS($H$2:$H$2001,$A$2:$A$2001,$A1318,$B$2:$B$2001,$B1318))</f>
        <v/>
      </c>
      <c r="N1318" s="20">
        <f>IF($M1318="","",IF($M1318&lt;=0,"Sin stock: reponer ya",IF($M1318&lt;IFERROR(N(INDEX(Vinos!$N$2:$N$301,MATCH($B1318,Vinos!$A$2:$A$301,0))),0),"Bajo mínimo: reponer","OK")))</f>
        <v/>
      </c>
      <c r="O1318" s="14" t="n"/>
      <c r="P1318" s="14" t="n"/>
      <c r="Q1318" s="20">
        <f>IF($B1318="","",IFERROR(INDEX(Vinos!$C$2:$C$301,MATCH($B1318,Vinos!$A$2:$A$301,0)),""))</f>
        <v/>
      </c>
      <c r="R1318" s="20">
        <f>IF(OR($A1318="",$A1318&lt;&gt;'Resumen del inventario'!$C$3,$N1318="",$N1318="OK"),"",IF(COUNTIFS($A$2:$A1318,$A1318,$B$2:$B1318,$B1318)=1,1,""))</f>
        <v/>
      </c>
      <c r="S1318" s="20">
        <f>IF($R1318=1,COUNTIF($R$2:$R1318,1),"")</f>
        <v/>
      </c>
    </row>
    <row r="1319">
      <c r="A1319" s="19" t="n"/>
      <c r="B1319" s="14" t="n"/>
      <c r="C1319" s="20">
        <f>IF($B1319="","",IFERROR(INDEX(Vinos!$B$2:$B$301,MATCH($B1319,Vinos!$A$2:$A$301,0)),"Código no cargado"))</f>
        <v/>
      </c>
      <c r="D1319" s="14" t="n"/>
      <c r="E1319" s="14" t="n"/>
      <c r="F1319" s="18" t="n"/>
      <c r="G1319" s="18" t="n"/>
      <c r="H1319" s="21">
        <f>IF(AND($F1319="",$G1319=""),"",N($F1319)*IFERROR(N(INDEX(Vinos!$H$2:$H$301,MATCH($B1319,Vinos!$A$2:$A$301,0))),0)+N($G1319))</f>
        <v/>
      </c>
      <c r="I1319" s="18" t="n"/>
      <c r="J1319" s="21">
        <f>IF(OR($H1319="",$I1319=""),"",$H1319-$I1319)</f>
        <v/>
      </c>
      <c r="K1319" s="16">
        <f>IF($H1319="","",IFERROR(IF(INDEX(Vinos!$J$2:$J$301,MATCH($B1319,Vinos!$A$2:$A$301,0))="","",$H1319*INDEX(Vinos!$J$2:$J$301,MATCH($B1319,Vinos!$A$2:$A$301,0))),""))</f>
        <v/>
      </c>
      <c r="L1319" s="16">
        <f>IF($H1319="","",IFERROR(IF(INDEX(Vinos!$K$2:$K$301,MATCH($B1319,Vinos!$A$2:$A$301,0))="","",$H1319*INDEX(Vinos!$K$2:$K$301,MATCH($B1319,Vinos!$A$2:$A$301,0))),""))</f>
        <v/>
      </c>
      <c r="M1319" s="21">
        <f>IF(OR($A1319="",$B1319=""),"",SUMIFS($H$2:$H$2001,$A$2:$A$2001,$A1319,$B$2:$B$2001,$B1319))</f>
        <v/>
      </c>
      <c r="N1319" s="20">
        <f>IF($M1319="","",IF($M1319&lt;=0,"Sin stock: reponer ya",IF($M1319&lt;IFERROR(N(INDEX(Vinos!$N$2:$N$301,MATCH($B1319,Vinos!$A$2:$A$301,0))),0),"Bajo mínimo: reponer","OK")))</f>
        <v/>
      </c>
      <c r="O1319" s="14" t="n"/>
      <c r="P1319" s="14" t="n"/>
      <c r="Q1319" s="20">
        <f>IF($B1319="","",IFERROR(INDEX(Vinos!$C$2:$C$301,MATCH($B1319,Vinos!$A$2:$A$301,0)),""))</f>
        <v/>
      </c>
      <c r="R1319" s="20">
        <f>IF(OR($A1319="",$A1319&lt;&gt;'Resumen del inventario'!$C$3,$N1319="",$N1319="OK"),"",IF(COUNTIFS($A$2:$A1319,$A1319,$B$2:$B1319,$B1319)=1,1,""))</f>
        <v/>
      </c>
      <c r="S1319" s="20">
        <f>IF($R1319=1,COUNTIF($R$2:$R1319,1),"")</f>
        <v/>
      </c>
    </row>
    <row r="1320">
      <c r="A1320" s="19" t="n"/>
      <c r="B1320" s="14" t="n"/>
      <c r="C1320" s="20">
        <f>IF($B1320="","",IFERROR(INDEX(Vinos!$B$2:$B$301,MATCH($B1320,Vinos!$A$2:$A$301,0)),"Código no cargado"))</f>
        <v/>
      </c>
      <c r="D1320" s="14" t="n"/>
      <c r="E1320" s="14" t="n"/>
      <c r="F1320" s="18" t="n"/>
      <c r="G1320" s="18" t="n"/>
      <c r="H1320" s="21">
        <f>IF(AND($F1320="",$G1320=""),"",N($F1320)*IFERROR(N(INDEX(Vinos!$H$2:$H$301,MATCH($B1320,Vinos!$A$2:$A$301,0))),0)+N($G1320))</f>
        <v/>
      </c>
      <c r="I1320" s="18" t="n"/>
      <c r="J1320" s="21">
        <f>IF(OR($H1320="",$I1320=""),"",$H1320-$I1320)</f>
        <v/>
      </c>
      <c r="K1320" s="16">
        <f>IF($H1320="","",IFERROR(IF(INDEX(Vinos!$J$2:$J$301,MATCH($B1320,Vinos!$A$2:$A$301,0))="","",$H1320*INDEX(Vinos!$J$2:$J$301,MATCH($B1320,Vinos!$A$2:$A$301,0))),""))</f>
        <v/>
      </c>
      <c r="L1320" s="16">
        <f>IF($H1320="","",IFERROR(IF(INDEX(Vinos!$K$2:$K$301,MATCH($B1320,Vinos!$A$2:$A$301,0))="","",$H1320*INDEX(Vinos!$K$2:$K$301,MATCH($B1320,Vinos!$A$2:$A$301,0))),""))</f>
        <v/>
      </c>
      <c r="M1320" s="21">
        <f>IF(OR($A1320="",$B1320=""),"",SUMIFS($H$2:$H$2001,$A$2:$A$2001,$A1320,$B$2:$B$2001,$B1320))</f>
        <v/>
      </c>
      <c r="N1320" s="20">
        <f>IF($M1320="","",IF($M1320&lt;=0,"Sin stock: reponer ya",IF($M1320&lt;IFERROR(N(INDEX(Vinos!$N$2:$N$301,MATCH($B1320,Vinos!$A$2:$A$301,0))),0),"Bajo mínimo: reponer","OK")))</f>
        <v/>
      </c>
      <c r="O1320" s="14" t="n"/>
      <c r="P1320" s="14" t="n"/>
      <c r="Q1320" s="20">
        <f>IF($B1320="","",IFERROR(INDEX(Vinos!$C$2:$C$301,MATCH($B1320,Vinos!$A$2:$A$301,0)),""))</f>
        <v/>
      </c>
      <c r="R1320" s="20">
        <f>IF(OR($A1320="",$A1320&lt;&gt;'Resumen del inventario'!$C$3,$N1320="",$N1320="OK"),"",IF(COUNTIFS($A$2:$A1320,$A1320,$B$2:$B1320,$B1320)=1,1,""))</f>
        <v/>
      </c>
      <c r="S1320" s="20">
        <f>IF($R1320=1,COUNTIF($R$2:$R1320,1),"")</f>
        <v/>
      </c>
    </row>
    <row r="1321">
      <c r="A1321" s="19" t="n"/>
      <c r="B1321" s="14" t="n"/>
      <c r="C1321" s="20">
        <f>IF($B1321="","",IFERROR(INDEX(Vinos!$B$2:$B$301,MATCH($B1321,Vinos!$A$2:$A$301,0)),"Código no cargado"))</f>
        <v/>
      </c>
      <c r="D1321" s="14" t="n"/>
      <c r="E1321" s="14" t="n"/>
      <c r="F1321" s="18" t="n"/>
      <c r="G1321" s="18" t="n"/>
      <c r="H1321" s="21">
        <f>IF(AND($F1321="",$G1321=""),"",N($F1321)*IFERROR(N(INDEX(Vinos!$H$2:$H$301,MATCH($B1321,Vinos!$A$2:$A$301,0))),0)+N($G1321))</f>
        <v/>
      </c>
      <c r="I1321" s="18" t="n"/>
      <c r="J1321" s="21">
        <f>IF(OR($H1321="",$I1321=""),"",$H1321-$I1321)</f>
        <v/>
      </c>
      <c r="K1321" s="16">
        <f>IF($H1321="","",IFERROR(IF(INDEX(Vinos!$J$2:$J$301,MATCH($B1321,Vinos!$A$2:$A$301,0))="","",$H1321*INDEX(Vinos!$J$2:$J$301,MATCH($B1321,Vinos!$A$2:$A$301,0))),""))</f>
        <v/>
      </c>
      <c r="L1321" s="16">
        <f>IF($H1321="","",IFERROR(IF(INDEX(Vinos!$K$2:$K$301,MATCH($B1321,Vinos!$A$2:$A$301,0))="","",$H1321*INDEX(Vinos!$K$2:$K$301,MATCH($B1321,Vinos!$A$2:$A$301,0))),""))</f>
        <v/>
      </c>
      <c r="M1321" s="21">
        <f>IF(OR($A1321="",$B1321=""),"",SUMIFS($H$2:$H$2001,$A$2:$A$2001,$A1321,$B$2:$B$2001,$B1321))</f>
        <v/>
      </c>
      <c r="N1321" s="20">
        <f>IF($M1321="","",IF($M1321&lt;=0,"Sin stock: reponer ya",IF($M1321&lt;IFERROR(N(INDEX(Vinos!$N$2:$N$301,MATCH($B1321,Vinos!$A$2:$A$301,0))),0),"Bajo mínimo: reponer","OK")))</f>
        <v/>
      </c>
      <c r="O1321" s="14" t="n"/>
      <c r="P1321" s="14" t="n"/>
      <c r="Q1321" s="20">
        <f>IF($B1321="","",IFERROR(INDEX(Vinos!$C$2:$C$301,MATCH($B1321,Vinos!$A$2:$A$301,0)),""))</f>
        <v/>
      </c>
      <c r="R1321" s="20">
        <f>IF(OR($A1321="",$A1321&lt;&gt;'Resumen del inventario'!$C$3,$N1321="",$N1321="OK"),"",IF(COUNTIFS($A$2:$A1321,$A1321,$B$2:$B1321,$B1321)=1,1,""))</f>
        <v/>
      </c>
      <c r="S1321" s="20">
        <f>IF($R1321=1,COUNTIF($R$2:$R1321,1),"")</f>
        <v/>
      </c>
    </row>
    <row r="1322">
      <c r="A1322" s="19" t="n"/>
      <c r="B1322" s="14" t="n"/>
      <c r="C1322" s="20">
        <f>IF($B1322="","",IFERROR(INDEX(Vinos!$B$2:$B$301,MATCH($B1322,Vinos!$A$2:$A$301,0)),"Código no cargado"))</f>
        <v/>
      </c>
      <c r="D1322" s="14" t="n"/>
      <c r="E1322" s="14" t="n"/>
      <c r="F1322" s="18" t="n"/>
      <c r="G1322" s="18" t="n"/>
      <c r="H1322" s="21">
        <f>IF(AND($F1322="",$G1322=""),"",N($F1322)*IFERROR(N(INDEX(Vinos!$H$2:$H$301,MATCH($B1322,Vinos!$A$2:$A$301,0))),0)+N($G1322))</f>
        <v/>
      </c>
      <c r="I1322" s="18" t="n"/>
      <c r="J1322" s="21">
        <f>IF(OR($H1322="",$I1322=""),"",$H1322-$I1322)</f>
        <v/>
      </c>
      <c r="K1322" s="16">
        <f>IF($H1322="","",IFERROR(IF(INDEX(Vinos!$J$2:$J$301,MATCH($B1322,Vinos!$A$2:$A$301,0))="","",$H1322*INDEX(Vinos!$J$2:$J$301,MATCH($B1322,Vinos!$A$2:$A$301,0))),""))</f>
        <v/>
      </c>
      <c r="L1322" s="16">
        <f>IF($H1322="","",IFERROR(IF(INDEX(Vinos!$K$2:$K$301,MATCH($B1322,Vinos!$A$2:$A$301,0))="","",$H1322*INDEX(Vinos!$K$2:$K$301,MATCH($B1322,Vinos!$A$2:$A$301,0))),""))</f>
        <v/>
      </c>
      <c r="M1322" s="21">
        <f>IF(OR($A1322="",$B1322=""),"",SUMIFS($H$2:$H$2001,$A$2:$A$2001,$A1322,$B$2:$B$2001,$B1322))</f>
        <v/>
      </c>
      <c r="N1322" s="20">
        <f>IF($M1322="","",IF($M1322&lt;=0,"Sin stock: reponer ya",IF($M1322&lt;IFERROR(N(INDEX(Vinos!$N$2:$N$301,MATCH($B1322,Vinos!$A$2:$A$301,0))),0),"Bajo mínimo: reponer","OK")))</f>
        <v/>
      </c>
      <c r="O1322" s="14" t="n"/>
      <c r="P1322" s="14" t="n"/>
      <c r="Q1322" s="20">
        <f>IF($B1322="","",IFERROR(INDEX(Vinos!$C$2:$C$301,MATCH($B1322,Vinos!$A$2:$A$301,0)),""))</f>
        <v/>
      </c>
      <c r="R1322" s="20">
        <f>IF(OR($A1322="",$A1322&lt;&gt;'Resumen del inventario'!$C$3,$N1322="",$N1322="OK"),"",IF(COUNTIFS($A$2:$A1322,$A1322,$B$2:$B1322,$B1322)=1,1,""))</f>
        <v/>
      </c>
      <c r="S1322" s="20">
        <f>IF($R1322=1,COUNTIF($R$2:$R1322,1),"")</f>
        <v/>
      </c>
    </row>
    <row r="1323">
      <c r="A1323" s="19" t="n"/>
      <c r="B1323" s="14" t="n"/>
      <c r="C1323" s="20">
        <f>IF($B1323="","",IFERROR(INDEX(Vinos!$B$2:$B$301,MATCH($B1323,Vinos!$A$2:$A$301,0)),"Código no cargado"))</f>
        <v/>
      </c>
      <c r="D1323" s="14" t="n"/>
      <c r="E1323" s="14" t="n"/>
      <c r="F1323" s="18" t="n"/>
      <c r="G1323" s="18" t="n"/>
      <c r="H1323" s="21">
        <f>IF(AND($F1323="",$G1323=""),"",N($F1323)*IFERROR(N(INDEX(Vinos!$H$2:$H$301,MATCH($B1323,Vinos!$A$2:$A$301,0))),0)+N($G1323))</f>
        <v/>
      </c>
      <c r="I1323" s="18" t="n"/>
      <c r="J1323" s="21">
        <f>IF(OR($H1323="",$I1323=""),"",$H1323-$I1323)</f>
        <v/>
      </c>
      <c r="K1323" s="16">
        <f>IF($H1323="","",IFERROR(IF(INDEX(Vinos!$J$2:$J$301,MATCH($B1323,Vinos!$A$2:$A$301,0))="","",$H1323*INDEX(Vinos!$J$2:$J$301,MATCH($B1323,Vinos!$A$2:$A$301,0))),""))</f>
        <v/>
      </c>
      <c r="L1323" s="16">
        <f>IF($H1323="","",IFERROR(IF(INDEX(Vinos!$K$2:$K$301,MATCH($B1323,Vinos!$A$2:$A$301,0))="","",$H1323*INDEX(Vinos!$K$2:$K$301,MATCH($B1323,Vinos!$A$2:$A$301,0))),""))</f>
        <v/>
      </c>
      <c r="M1323" s="21">
        <f>IF(OR($A1323="",$B1323=""),"",SUMIFS($H$2:$H$2001,$A$2:$A$2001,$A1323,$B$2:$B$2001,$B1323))</f>
        <v/>
      </c>
      <c r="N1323" s="20">
        <f>IF($M1323="","",IF($M1323&lt;=0,"Sin stock: reponer ya",IF($M1323&lt;IFERROR(N(INDEX(Vinos!$N$2:$N$301,MATCH($B1323,Vinos!$A$2:$A$301,0))),0),"Bajo mínimo: reponer","OK")))</f>
        <v/>
      </c>
      <c r="O1323" s="14" t="n"/>
      <c r="P1323" s="14" t="n"/>
      <c r="Q1323" s="20">
        <f>IF($B1323="","",IFERROR(INDEX(Vinos!$C$2:$C$301,MATCH($B1323,Vinos!$A$2:$A$301,0)),""))</f>
        <v/>
      </c>
      <c r="R1323" s="20">
        <f>IF(OR($A1323="",$A1323&lt;&gt;'Resumen del inventario'!$C$3,$N1323="",$N1323="OK"),"",IF(COUNTIFS($A$2:$A1323,$A1323,$B$2:$B1323,$B1323)=1,1,""))</f>
        <v/>
      </c>
      <c r="S1323" s="20">
        <f>IF($R1323=1,COUNTIF($R$2:$R1323,1),"")</f>
        <v/>
      </c>
    </row>
    <row r="1324">
      <c r="A1324" s="19" t="n"/>
      <c r="B1324" s="14" t="n"/>
      <c r="C1324" s="20">
        <f>IF($B1324="","",IFERROR(INDEX(Vinos!$B$2:$B$301,MATCH($B1324,Vinos!$A$2:$A$301,0)),"Código no cargado"))</f>
        <v/>
      </c>
      <c r="D1324" s="14" t="n"/>
      <c r="E1324" s="14" t="n"/>
      <c r="F1324" s="18" t="n"/>
      <c r="G1324" s="18" t="n"/>
      <c r="H1324" s="21">
        <f>IF(AND($F1324="",$G1324=""),"",N($F1324)*IFERROR(N(INDEX(Vinos!$H$2:$H$301,MATCH($B1324,Vinos!$A$2:$A$301,0))),0)+N($G1324))</f>
        <v/>
      </c>
      <c r="I1324" s="18" t="n"/>
      <c r="J1324" s="21">
        <f>IF(OR($H1324="",$I1324=""),"",$H1324-$I1324)</f>
        <v/>
      </c>
      <c r="K1324" s="16">
        <f>IF($H1324="","",IFERROR(IF(INDEX(Vinos!$J$2:$J$301,MATCH($B1324,Vinos!$A$2:$A$301,0))="","",$H1324*INDEX(Vinos!$J$2:$J$301,MATCH($B1324,Vinos!$A$2:$A$301,0))),""))</f>
        <v/>
      </c>
      <c r="L1324" s="16">
        <f>IF($H1324="","",IFERROR(IF(INDEX(Vinos!$K$2:$K$301,MATCH($B1324,Vinos!$A$2:$A$301,0))="","",$H1324*INDEX(Vinos!$K$2:$K$301,MATCH($B1324,Vinos!$A$2:$A$301,0))),""))</f>
        <v/>
      </c>
      <c r="M1324" s="21">
        <f>IF(OR($A1324="",$B1324=""),"",SUMIFS($H$2:$H$2001,$A$2:$A$2001,$A1324,$B$2:$B$2001,$B1324))</f>
        <v/>
      </c>
      <c r="N1324" s="20">
        <f>IF($M1324="","",IF($M1324&lt;=0,"Sin stock: reponer ya",IF($M1324&lt;IFERROR(N(INDEX(Vinos!$N$2:$N$301,MATCH($B1324,Vinos!$A$2:$A$301,0))),0),"Bajo mínimo: reponer","OK")))</f>
        <v/>
      </c>
      <c r="O1324" s="14" t="n"/>
      <c r="P1324" s="14" t="n"/>
      <c r="Q1324" s="20">
        <f>IF($B1324="","",IFERROR(INDEX(Vinos!$C$2:$C$301,MATCH($B1324,Vinos!$A$2:$A$301,0)),""))</f>
        <v/>
      </c>
      <c r="R1324" s="20">
        <f>IF(OR($A1324="",$A1324&lt;&gt;'Resumen del inventario'!$C$3,$N1324="",$N1324="OK"),"",IF(COUNTIFS($A$2:$A1324,$A1324,$B$2:$B1324,$B1324)=1,1,""))</f>
        <v/>
      </c>
      <c r="S1324" s="20">
        <f>IF($R1324=1,COUNTIF($R$2:$R1324,1),"")</f>
        <v/>
      </c>
    </row>
    <row r="1325">
      <c r="A1325" s="19" t="n"/>
      <c r="B1325" s="14" t="n"/>
      <c r="C1325" s="20">
        <f>IF($B1325="","",IFERROR(INDEX(Vinos!$B$2:$B$301,MATCH($B1325,Vinos!$A$2:$A$301,0)),"Código no cargado"))</f>
        <v/>
      </c>
      <c r="D1325" s="14" t="n"/>
      <c r="E1325" s="14" t="n"/>
      <c r="F1325" s="18" t="n"/>
      <c r="G1325" s="18" t="n"/>
      <c r="H1325" s="21">
        <f>IF(AND($F1325="",$G1325=""),"",N($F1325)*IFERROR(N(INDEX(Vinos!$H$2:$H$301,MATCH($B1325,Vinos!$A$2:$A$301,0))),0)+N($G1325))</f>
        <v/>
      </c>
      <c r="I1325" s="18" t="n"/>
      <c r="J1325" s="21">
        <f>IF(OR($H1325="",$I1325=""),"",$H1325-$I1325)</f>
        <v/>
      </c>
      <c r="K1325" s="16">
        <f>IF($H1325="","",IFERROR(IF(INDEX(Vinos!$J$2:$J$301,MATCH($B1325,Vinos!$A$2:$A$301,0))="","",$H1325*INDEX(Vinos!$J$2:$J$301,MATCH($B1325,Vinos!$A$2:$A$301,0))),""))</f>
        <v/>
      </c>
      <c r="L1325" s="16">
        <f>IF($H1325="","",IFERROR(IF(INDEX(Vinos!$K$2:$K$301,MATCH($B1325,Vinos!$A$2:$A$301,0))="","",$H1325*INDEX(Vinos!$K$2:$K$301,MATCH($B1325,Vinos!$A$2:$A$301,0))),""))</f>
        <v/>
      </c>
      <c r="M1325" s="21">
        <f>IF(OR($A1325="",$B1325=""),"",SUMIFS($H$2:$H$2001,$A$2:$A$2001,$A1325,$B$2:$B$2001,$B1325))</f>
        <v/>
      </c>
      <c r="N1325" s="20">
        <f>IF($M1325="","",IF($M1325&lt;=0,"Sin stock: reponer ya",IF($M1325&lt;IFERROR(N(INDEX(Vinos!$N$2:$N$301,MATCH($B1325,Vinos!$A$2:$A$301,0))),0),"Bajo mínimo: reponer","OK")))</f>
        <v/>
      </c>
      <c r="O1325" s="14" t="n"/>
      <c r="P1325" s="14" t="n"/>
      <c r="Q1325" s="20">
        <f>IF($B1325="","",IFERROR(INDEX(Vinos!$C$2:$C$301,MATCH($B1325,Vinos!$A$2:$A$301,0)),""))</f>
        <v/>
      </c>
      <c r="R1325" s="20">
        <f>IF(OR($A1325="",$A1325&lt;&gt;'Resumen del inventario'!$C$3,$N1325="",$N1325="OK"),"",IF(COUNTIFS($A$2:$A1325,$A1325,$B$2:$B1325,$B1325)=1,1,""))</f>
        <v/>
      </c>
      <c r="S1325" s="20">
        <f>IF($R1325=1,COUNTIF($R$2:$R1325,1),"")</f>
        <v/>
      </c>
    </row>
    <row r="1326">
      <c r="A1326" s="19" t="n"/>
      <c r="B1326" s="14" t="n"/>
      <c r="C1326" s="20">
        <f>IF($B1326="","",IFERROR(INDEX(Vinos!$B$2:$B$301,MATCH($B1326,Vinos!$A$2:$A$301,0)),"Código no cargado"))</f>
        <v/>
      </c>
      <c r="D1326" s="14" t="n"/>
      <c r="E1326" s="14" t="n"/>
      <c r="F1326" s="18" t="n"/>
      <c r="G1326" s="18" t="n"/>
      <c r="H1326" s="21">
        <f>IF(AND($F1326="",$G1326=""),"",N($F1326)*IFERROR(N(INDEX(Vinos!$H$2:$H$301,MATCH($B1326,Vinos!$A$2:$A$301,0))),0)+N($G1326))</f>
        <v/>
      </c>
      <c r="I1326" s="18" t="n"/>
      <c r="J1326" s="21">
        <f>IF(OR($H1326="",$I1326=""),"",$H1326-$I1326)</f>
        <v/>
      </c>
      <c r="K1326" s="16">
        <f>IF($H1326="","",IFERROR(IF(INDEX(Vinos!$J$2:$J$301,MATCH($B1326,Vinos!$A$2:$A$301,0))="","",$H1326*INDEX(Vinos!$J$2:$J$301,MATCH($B1326,Vinos!$A$2:$A$301,0))),""))</f>
        <v/>
      </c>
      <c r="L1326" s="16">
        <f>IF($H1326="","",IFERROR(IF(INDEX(Vinos!$K$2:$K$301,MATCH($B1326,Vinos!$A$2:$A$301,0))="","",$H1326*INDEX(Vinos!$K$2:$K$301,MATCH($B1326,Vinos!$A$2:$A$301,0))),""))</f>
        <v/>
      </c>
      <c r="M1326" s="21">
        <f>IF(OR($A1326="",$B1326=""),"",SUMIFS($H$2:$H$2001,$A$2:$A$2001,$A1326,$B$2:$B$2001,$B1326))</f>
        <v/>
      </c>
      <c r="N1326" s="20">
        <f>IF($M1326="","",IF($M1326&lt;=0,"Sin stock: reponer ya",IF($M1326&lt;IFERROR(N(INDEX(Vinos!$N$2:$N$301,MATCH($B1326,Vinos!$A$2:$A$301,0))),0),"Bajo mínimo: reponer","OK")))</f>
        <v/>
      </c>
      <c r="O1326" s="14" t="n"/>
      <c r="P1326" s="14" t="n"/>
      <c r="Q1326" s="20">
        <f>IF($B1326="","",IFERROR(INDEX(Vinos!$C$2:$C$301,MATCH($B1326,Vinos!$A$2:$A$301,0)),""))</f>
        <v/>
      </c>
      <c r="R1326" s="20">
        <f>IF(OR($A1326="",$A1326&lt;&gt;'Resumen del inventario'!$C$3,$N1326="",$N1326="OK"),"",IF(COUNTIFS($A$2:$A1326,$A1326,$B$2:$B1326,$B1326)=1,1,""))</f>
        <v/>
      </c>
      <c r="S1326" s="20">
        <f>IF($R1326=1,COUNTIF($R$2:$R1326,1),"")</f>
        <v/>
      </c>
    </row>
    <row r="1327">
      <c r="A1327" s="19" t="n"/>
      <c r="B1327" s="14" t="n"/>
      <c r="C1327" s="20">
        <f>IF($B1327="","",IFERROR(INDEX(Vinos!$B$2:$B$301,MATCH($B1327,Vinos!$A$2:$A$301,0)),"Código no cargado"))</f>
        <v/>
      </c>
      <c r="D1327" s="14" t="n"/>
      <c r="E1327" s="14" t="n"/>
      <c r="F1327" s="18" t="n"/>
      <c r="G1327" s="18" t="n"/>
      <c r="H1327" s="21">
        <f>IF(AND($F1327="",$G1327=""),"",N($F1327)*IFERROR(N(INDEX(Vinos!$H$2:$H$301,MATCH($B1327,Vinos!$A$2:$A$301,0))),0)+N($G1327))</f>
        <v/>
      </c>
      <c r="I1327" s="18" t="n"/>
      <c r="J1327" s="21">
        <f>IF(OR($H1327="",$I1327=""),"",$H1327-$I1327)</f>
        <v/>
      </c>
      <c r="K1327" s="16">
        <f>IF($H1327="","",IFERROR(IF(INDEX(Vinos!$J$2:$J$301,MATCH($B1327,Vinos!$A$2:$A$301,0))="","",$H1327*INDEX(Vinos!$J$2:$J$301,MATCH($B1327,Vinos!$A$2:$A$301,0))),""))</f>
        <v/>
      </c>
      <c r="L1327" s="16">
        <f>IF($H1327="","",IFERROR(IF(INDEX(Vinos!$K$2:$K$301,MATCH($B1327,Vinos!$A$2:$A$301,0))="","",$H1327*INDEX(Vinos!$K$2:$K$301,MATCH($B1327,Vinos!$A$2:$A$301,0))),""))</f>
        <v/>
      </c>
      <c r="M1327" s="21">
        <f>IF(OR($A1327="",$B1327=""),"",SUMIFS($H$2:$H$2001,$A$2:$A$2001,$A1327,$B$2:$B$2001,$B1327))</f>
        <v/>
      </c>
      <c r="N1327" s="20">
        <f>IF($M1327="","",IF($M1327&lt;=0,"Sin stock: reponer ya",IF($M1327&lt;IFERROR(N(INDEX(Vinos!$N$2:$N$301,MATCH($B1327,Vinos!$A$2:$A$301,0))),0),"Bajo mínimo: reponer","OK")))</f>
        <v/>
      </c>
      <c r="O1327" s="14" t="n"/>
      <c r="P1327" s="14" t="n"/>
      <c r="Q1327" s="20">
        <f>IF($B1327="","",IFERROR(INDEX(Vinos!$C$2:$C$301,MATCH($B1327,Vinos!$A$2:$A$301,0)),""))</f>
        <v/>
      </c>
      <c r="R1327" s="20">
        <f>IF(OR($A1327="",$A1327&lt;&gt;'Resumen del inventario'!$C$3,$N1327="",$N1327="OK"),"",IF(COUNTIFS($A$2:$A1327,$A1327,$B$2:$B1327,$B1327)=1,1,""))</f>
        <v/>
      </c>
      <c r="S1327" s="20">
        <f>IF($R1327=1,COUNTIF($R$2:$R1327,1),"")</f>
        <v/>
      </c>
    </row>
    <row r="1328">
      <c r="A1328" s="19" t="n"/>
      <c r="B1328" s="14" t="n"/>
      <c r="C1328" s="20">
        <f>IF($B1328="","",IFERROR(INDEX(Vinos!$B$2:$B$301,MATCH($B1328,Vinos!$A$2:$A$301,0)),"Código no cargado"))</f>
        <v/>
      </c>
      <c r="D1328" s="14" t="n"/>
      <c r="E1328" s="14" t="n"/>
      <c r="F1328" s="18" t="n"/>
      <c r="G1328" s="18" t="n"/>
      <c r="H1328" s="21">
        <f>IF(AND($F1328="",$G1328=""),"",N($F1328)*IFERROR(N(INDEX(Vinos!$H$2:$H$301,MATCH($B1328,Vinos!$A$2:$A$301,0))),0)+N($G1328))</f>
        <v/>
      </c>
      <c r="I1328" s="18" t="n"/>
      <c r="J1328" s="21">
        <f>IF(OR($H1328="",$I1328=""),"",$H1328-$I1328)</f>
        <v/>
      </c>
      <c r="K1328" s="16">
        <f>IF($H1328="","",IFERROR(IF(INDEX(Vinos!$J$2:$J$301,MATCH($B1328,Vinos!$A$2:$A$301,0))="","",$H1328*INDEX(Vinos!$J$2:$J$301,MATCH($B1328,Vinos!$A$2:$A$301,0))),""))</f>
        <v/>
      </c>
      <c r="L1328" s="16">
        <f>IF($H1328="","",IFERROR(IF(INDEX(Vinos!$K$2:$K$301,MATCH($B1328,Vinos!$A$2:$A$301,0))="","",$H1328*INDEX(Vinos!$K$2:$K$301,MATCH($B1328,Vinos!$A$2:$A$301,0))),""))</f>
        <v/>
      </c>
      <c r="M1328" s="21">
        <f>IF(OR($A1328="",$B1328=""),"",SUMIFS($H$2:$H$2001,$A$2:$A$2001,$A1328,$B$2:$B$2001,$B1328))</f>
        <v/>
      </c>
      <c r="N1328" s="20">
        <f>IF($M1328="","",IF($M1328&lt;=0,"Sin stock: reponer ya",IF($M1328&lt;IFERROR(N(INDEX(Vinos!$N$2:$N$301,MATCH($B1328,Vinos!$A$2:$A$301,0))),0),"Bajo mínimo: reponer","OK")))</f>
        <v/>
      </c>
      <c r="O1328" s="14" t="n"/>
      <c r="P1328" s="14" t="n"/>
      <c r="Q1328" s="20">
        <f>IF($B1328="","",IFERROR(INDEX(Vinos!$C$2:$C$301,MATCH($B1328,Vinos!$A$2:$A$301,0)),""))</f>
        <v/>
      </c>
      <c r="R1328" s="20">
        <f>IF(OR($A1328="",$A1328&lt;&gt;'Resumen del inventario'!$C$3,$N1328="",$N1328="OK"),"",IF(COUNTIFS($A$2:$A1328,$A1328,$B$2:$B1328,$B1328)=1,1,""))</f>
        <v/>
      </c>
      <c r="S1328" s="20">
        <f>IF($R1328=1,COUNTIF($R$2:$R1328,1),"")</f>
        <v/>
      </c>
    </row>
    <row r="1329">
      <c r="A1329" s="19" t="n"/>
      <c r="B1329" s="14" t="n"/>
      <c r="C1329" s="20">
        <f>IF($B1329="","",IFERROR(INDEX(Vinos!$B$2:$B$301,MATCH($B1329,Vinos!$A$2:$A$301,0)),"Código no cargado"))</f>
        <v/>
      </c>
      <c r="D1329" s="14" t="n"/>
      <c r="E1329" s="14" t="n"/>
      <c r="F1329" s="18" t="n"/>
      <c r="G1329" s="18" t="n"/>
      <c r="H1329" s="21">
        <f>IF(AND($F1329="",$G1329=""),"",N($F1329)*IFERROR(N(INDEX(Vinos!$H$2:$H$301,MATCH($B1329,Vinos!$A$2:$A$301,0))),0)+N($G1329))</f>
        <v/>
      </c>
      <c r="I1329" s="18" t="n"/>
      <c r="J1329" s="21">
        <f>IF(OR($H1329="",$I1329=""),"",$H1329-$I1329)</f>
        <v/>
      </c>
      <c r="K1329" s="16">
        <f>IF($H1329="","",IFERROR(IF(INDEX(Vinos!$J$2:$J$301,MATCH($B1329,Vinos!$A$2:$A$301,0))="","",$H1329*INDEX(Vinos!$J$2:$J$301,MATCH($B1329,Vinos!$A$2:$A$301,0))),""))</f>
        <v/>
      </c>
      <c r="L1329" s="16">
        <f>IF($H1329="","",IFERROR(IF(INDEX(Vinos!$K$2:$K$301,MATCH($B1329,Vinos!$A$2:$A$301,0))="","",$H1329*INDEX(Vinos!$K$2:$K$301,MATCH($B1329,Vinos!$A$2:$A$301,0))),""))</f>
        <v/>
      </c>
      <c r="M1329" s="21">
        <f>IF(OR($A1329="",$B1329=""),"",SUMIFS($H$2:$H$2001,$A$2:$A$2001,$A1329,$B$2:$B$2001,$B1329))</f>
        <v/>
      </c>
      <c r="N1329" s="20">
        <f>IF($M1329="","",IF($M1329&lt;=0,"Sin stock: reponer ya",IF($M1329&lt;IFERROR(N(INDEX(Vinos!$N$2:$N$301,MATCH($B1329,Vinos!$A$2:$A$301,0))),0),"Bajo mínimo: reponer","OK")))</f>
        <v/>
      </c>
      <c r="O1329" s="14" t="n"/>
      <c r="P1329" s="14" t="n"/>
      <c r="Q1329" s="20">
        <f>IF($B1329="","",IFERROR(INDEX(Vinos!$C$2:$C$301,MATCH($B1329,Vinos!$A$2:$A$301,0)),""))</f>
        <v/>
      </c>
      <c r="R1329" s="20">
        <f>IF(OR($A1329="",$A1329&lt;&gt;'Resumen del inventario'!$C$3,$N1329="",$N1329="OK"),"",IF(COUNTIFS($A$2:$A1329,$A1329,$B$2:$B1329,$B1329)=1,1,""))</f>
        <v/>
      </c>
      <c r="S1329" s="20">
        <f>IF($R1329=1,COUNTIF($R$2:$R1329,1),"")</f>
        <v/>
      </c>
    </row>
    <row r="1330">
      <c r="A1330" s="19" t="n"/>
      <c r="B1330" s="14" t="n"/>
      <c r="C1330" s="20">
        <f>IF($B1330="","",IFERROR(INDEX(Vinos!$B$2:$B$301,MATCH($B1330,Vinos!$A$2:$A$301,0)),"Código no cargado"))</f>
        <v/>
      </c>
      <c r="D1330" s="14" t="n"/>
      <c r="E1330" s="14" t="n"/>
      <c r="F1330" s="18" t="n"/>
      <c r="G1330" s="18" t="n"/>
      <c r="H1330" s="21">
        <f>IF(AND($F1330="",$G1330=""),"",N($F1330)*IFERROR(N(INDEX(Vinos!$H$2:$H$301,MATCH($B1330,Vinos!$A$2:$A$301,0))),0)+N($G1330))</f>
        <v/>
      </c>
      <c r="I1330" s="18" t="n"/>
      <c r="J1330" s="21">
        <f>IF(OR($H1330="",$I1330=""),"",$H1330-$I1330)</f>
        <v/>
      </c>
      <c r="K1330" s="16">
        <f>IF($H1330="","",IFERROR(IF(INDEX(Vinos!$J$2:$J$301,MATCH($B1330,Vinos!$A$2:$A$301,0))="","",$H1330*INDEX(Vinos!$J$2:$J$301,MATCH($B1330,Vinos!$A$2:$A$301,0))),""))</f>
        <v/>
      </c>
      <c r="L1330" s="16">
        <f>IF($H1330="","",IFERROR(IF(INDEX(Vinos!$K$2:$K$301,MATCH($B1330,Vinos!$A$2:$A$301,0))="","",$H1330*INDEX(Vinos!$K$2:$K$301,MATCH($B1330,Vinos!$A$2:$A$301,0))),""))</f>
        <v/>
      </c>
      <c r="M1330" s="21">
        <f>IF(OR($A1330="",$B1330=""),"",SUMIFS($H$2:$H$2001,$A$2:$A$2001,$A1330,$B$2:$B$2001,$B1330))</f>
        <v/>
      </c>
      <c r="N1330" s="20">
        <f>IF($M1330="","",IF($M1330&lt;=0,"Sin stock: reponer ya",IF($M1330&lt;IFERROR(N(INDEX(Vinos!$N$2:$N$301,MATCH($B1330,Vinos!$A$2:$A$301,0))),0),"Bajo mínimo: reponer","OK")))</f>
        <v/>
      </c>
      <c r="O1330" s="14" t="n"/>
      <c r="P1330" s="14" t="n"/>
      <c r="Q1330" s="20">
        <f>IF($B1330="","",IFERROR(INDEX(Vinos!$C$2:$C$301,MATCH($B1330,Vinos!$A$2:$A$301,0)),""))</f>
        <v/>
      </c>
      <c r="R1330" s="20">
        <f>IF(OR($A1330="",$A1330&lt;&gt;'Resumen del inventario'!$C$3,$N1330="",$N1330="OK"),"",IF(COUNTIFS($A$2:$A1330,$A1330,$B$2:$B1330,$B1330)=1,1,""))</f>
        <v/>
      </c>
      <c r="S1330" s="20">
        <f>IF($R1330=1,COUNTIF($R$2:$R1330,1),"")</f>
        <v/>
      </c>
    </row>
    <row r="1331">
      <c r="A1331" s="19" t="n"/>
      <c r="B1331" s="14" t="n"/>
      <c r="C1331" s="20">
        <f>IF($B1331="","",IFERROR(INDEX(Vinos!$B$2:$B$301,MATCH($B1331,Vinos!$A$2:$A$301,0)),"Código no cargado"))</f>
        <v/>
      </c>
      <c r="D1331" s="14" t="n"/>
      <c r="E1331" s="14" t="n"/>
      <c r="F1331" s="18" t="n"/>
      <c r="G1331" s="18" t="n"/>
      <c r="H1331" s="21">
        <f>IF(AND($F1331="",$G1331=""),"",N($F1331)*IFERROR(N(INDEX(Vinos!$H$2:$H$301,MATCH($B1331,Vinos!$A$2:$A$301,0))),0)+N($G1331))</f>
        <v/>
      </c>
      <c r="I1331" s="18" t="n"/>
      <c r="J1331" s="21">
        <f>IF(OR($H1331="",$I1331=""),"",$H1331-$I1331)</f>
        <v/>
      </c>
      <c r="K1331" s="16">
        <f>IF($H1331="","",IFERROR(IF(INDEX(Vinos!$J$2:$J$301,MATCH($B1331,Vinos!$A$2:$A$301,0))="","",$H1331*INDEX(Vinos!$J$2:$J$301,MATCH($B1331,Vinos!$A$2:$A$301,0))),""))</f>
        <v/>
      </c>
      <c r="L1331" s="16">
        <f>IF($H1331="","",IFERROR(IF(INDEX(Vinos!$K$2:$K$301,MATCH($B1331,Vinos!$A$2:$A$301,0))="","",$H1331*INDEX(Vinos!$K$2:$K$301,MATCH($B1331,Vinos!$A$2:$A$301,0))),""))</f>
        <v/>
      </c>
      <c r="M1331" s="21">
        <f>IF(OR($A1331="",$B1331=""),"",SUMIFS($H$2:$H$2001,$A$2:$A$2001,$A1331,$B$2:$B$2001,$B1331))</f>
        <v/>
      </c>
      <c r="N1331" s="20">
        <f>IF($M1331="","",IF($M1331&lt;=0,"Sin stock: reponer ya",IF($M1331&lt;IFERROR(N(INDEX(Vinos!$N$2:$N$301,MATCH($B1331,Vinos!$A$2:$A$301,0))),0),"Bajo mínimo: reponer","OK")))</f>
        <v/>
      </c>
      <c r="O1331" s="14" t="n"/>
      <c r="P1331" s="14" t="n"/>
      <c r="Q1331" s="20">
        <f>IF($B1331="","",IFERROR(INDEX(Vinos!$C$2:$C$301,MATCH($B1331,Vinos!$A$2:$A$301,0)),""))</f>
        <v/>
      </c>
      <c r="R1331" s="20">
        <f>IF(OR($A1331="",$A1331&lt;&gt;'Resumen del inventario'!$C$3,$N1331="",$N1331="OK"),"",IF(COUNTIFS($A$2:$A1331,$A1331,$B$2:$B1331,$B1331)=1,1,""))</f>
        <v/>
      </c>
      <c r="S1331" s="20">
        <f>IF($R1331=1,COUNTIF($R$2:$R1331,1),"")</f>
        <v/>
      </c>
    </row>
    <row r="1332">
      <c r="A1332" s="19" t="n"/>
      <c r="B1332" s="14" t="n"/>
      <c r="C1332" s="20">
        <f>IF($B1332="","",IFERROR(INDEX(Vinos!$B$2:$B$301,MATCH($B1332,Vinos!$A$2:$A$301,0)),"Código no cargado"))</f>
        <v/>
      </c>
      <c r="D1332" s="14" t="n"/>
      <c r="E1332" s="14" t="n"/>
      <c r="F1332" s="18" t="n"/>
      <c r="G1332" s="18" t="n"/>
      <c r="H1332" s="21">
        <f>IF(AND($F1332="",$G1332=""),"",N($F1332)*IFERROR(N(INDEX(Vinos!$H$2:$H$301,MATCH($B1332,Vinos!$A$2:$A$301,0))),0)+N($G1332))</f>
        <v/>
      </c>
      <c r="I1332" s="18" t="n"/>
      <c r="J1332" s="21">
        <f>IF(OR($H1332="",$I1332=""),"",$H1332-$I1332)</f>
        <v/>
      </c>
      <c r="K1332" s="16">
        <f>IF($H1332="","",IFERROR(IF(INDEX(Vinos!$J$2:$J$301,MATCH($B1332,Vinos!$A$2:$A$301,0))="","",$H1332*INDEX(Vinos!$J$2:$J$301,MATCH($B1332,Vinos!$A$2:$A$301,0))),""))</f>
        <v/>
      </c>
      <c r="L1332" s="16">
        <f>IF($H1332="","",IFERROR(IF(INDEX(Vinos!$K$2:$K$301,MATCH($B1332,Vinos!$A$2:$A$301,0))="","",$H1332*INDEX(Vinos!$K$2:$K$301,MATCH($B1332,Vinos!$A$2:$A$301,0))),""))</f>
        <v/>
      </c>
      <c r="M1332" s="21">
        <f>IF(OR($A1332="",$B1332=""),"",SUMIFS($H$2:$H$2001,$A$2:$A$2001,$A1332,$B$2:$B$2001,$B1332))</f>
        <v/>
      </c>
      <c r="N1332" s="20">
        <f>IF($M1332="","",IF($M1332&lt;=0,"Sin stock: reponer ya",IF($M1332&lt;IFERROR(N(INDEX(Vinos!$N$2:$N$301,MATCH($B1332,Vinos!$A$2:$A$301,0))),0),"Bajo mínimo: reponer","OK")))</f>
        <v/>
      </c>
      <c r="O1332" s="14" t="n"/>
      <c r="P1332" s="14" t="n"/>
      <c r="Q1332" s="20">
        <f>IF($B1332="","",IFERROR(INDEX(Vinos!$C$2:$C$301,MATCH($B1332,Vinos!$A$2:$A$301,0)),""))</f>
        <v/>
      </c>
      <c r="R1332" s="20">
        <f>IF(OR($A1332="",$A1332&lt;&gt;'Resumen del inventario'!$C$3,$N1332="",$N1332="OK"),"",IF(COUNTIFS($A$2:$A1332,$A1332,$B$2:$B1332,$B1332)=1,1,""))</f>
        <v/>
      </c>
      <c r="S1332" s="20">
        <f>IF($R1332=1,COUNTIF($R$2:$R1332,1),"")</f>
        <v/>
      </c>
    </row>
    <row r="1333">
      <c r="A1333" s="19" t="n"/>
      <c r="B1333" s="14" t="n"/>
      <c r="C1333" s="20">
        <f>IF($B1333="","",IFERROR(INDEX(Vinos!$B$2:$B$301,MATCH($B1333,Vinos!$A$2:$A$301,0)),"Código no cargado"))</f>
        <v/>
      </c>
      <c r="D1333" s="14" t="n"/>
      <c r="E1333" s="14" t="n"/>
      <c r="F1333" s="18" t="n"/>
      <c r="G1333" s="18" t="n"/>
      <c r="H1333" s="21">
        <f>IF(AND($F1333="",$G1333=""),"",N($F1333)*IFERROR(N(INDEX(Vinos!$H$2:$H$301,MATCH($B1333,Vinos!$A$2:$A$301,0))),0)+N($G1333))</f>
        <v/>
      </c>
      <c r="I1333" s="18" t="n"/>
      <c r="J1333" s="21">
        <f>IF(OR($H1333="",$I1333=""),"",$H1333-$I1333)</f>
        <v/>
      </c>
      <c r="K1333" s="16">
        <f>IF($H1333="","",IFERROR(IF(INDEX(Vinos!$J$2:$J$301,MATCH($B1333,Vinos!$A$2:$A$301,0))="","",$H1333*INDEX(Vinos!$J$2:$J$301,MATCH($B1333,Vinos!$A$2:$A$301,0))),""))</f>
        <v/>
      </c>
      <c r="L1333" s="16">
        <f>IF($H1333="","",IFERROR(IF(INDEX(Vinos!$K$2:$K$301,MATCH($B1333,Vinos!$A$2:$A$301,0))="","",$H1333*INDEX(Vinos!$K$2:$K$301,MATCH($B1333,Vinos!$A$2:$A$301,0))),""))</f>
        <v/>
      </c>
      <c r="M1333" s="21">
        <f>IF(OR($A1333="",$B1333=""),"",SUMIFS($H$2:$H$2001,$A$2:$A$2001,$A1333,$B$2:$B$2001,$B1333))</f>
        <v/>
      </c>
      <c r="N1333" s="20">
        <f>IF($M1333="","",IF($M1333&lt;=0,"Sin stock: reponer ya",IF($M1333&lt;IFERROR(N(INDEX(Vinos!$N$2:$N$301,MATCH($B1333,Vinos!$A$2:$A$301,0))),0),"Bajo mínimo: reponer","OK")))</f>
        <v/>
      </c>
      <c r="O1333" s="14" t="n"/>
      <c r="P1333" s="14" t="n"/>
      <c r="Q1333" s="20">
        <f>IF($B1333="","",IFERROR(INDEX(Vinos!$C$2:$C$301,MATCH($B1333,Vinos!$A$2:$A$301,0)),""))</f>
        <v/>
      </c>
      <c r="R1333" s="20">
        <f>IF(OR($A1333="",$A1333&lt;&gt;'Resumen del inventario'!$C$3,$N1333="",$N1333="OK"),"",IF(COUNTIFS($A$2:$A1333,$A1333,$B$2:$B1333,$B1333)=1,1,""))</f>
        <v/>
      </c>
      <c r="S1333" s="20">
        <f>IF($R1333=1,COUNTIF($R$2:$R1333,1),"")</f>
        <v/>
      </c>
    </row>
    <row r="1334">
      <c r="A1334" s="19" t="n"/>
      <c r="B1334" s="14" t="n"/>
      <c r="C1334" s="20">
        <f>IF($B1334="","",IFERROR(INDEX(Vinos!$B$2:$B$301,MATCH($B1334,Vinos!$A$2:$A$301,0)),"Código no cargado"))</f>
        <v/>
      </c>
      <c r="D1334" s="14" t="n"/>
      <c r="E1334" s="14" t="n"/>
      <c r="F1334" s="18" t="n"/>
      <c r="G1334" s="18" t="n"/>
      <c r="H1334" s="21">
        <f>IF(AND($F1334="",$G1334=""),"",N($F1334)*IFERROR(N(INDEX(Vinos!$H$2:$H$301,MATCH($B1334,Vinos!$A$2:$A$301,0))),0)+N($G1334))</f>
        <v/>
      </c>
      <c r="I1334" s="18" t="n"/>
      <c r="J1334" s="21">
        <f>IF(OR($H1334="",$I1334=""),"",$H1334-$I1334)</f>
        <v/>
      </c>
      <c r="K1334" s="16">
        <f>IF($H1334="","",IFERROR(IF(INDEX(Vinos!$J$2:$J$301,MATCH($B1334,Vinos!$A$2:$A$301,0))="","",$H1334*INDEX(Vinos!$J$2:$J$301,MATCH($B1334,Vinos!$A$2:$A$301,0))),""))</f>
        <v/>
      </c>
      <c r="L1334" s="16">
        <f>IF($H1334="","",IFERROR(IF(INDEX(Vinos!$K$2:$K$301,MATCH($B1334,Vinos!$A$2:$A$301,0))="","",$H1334*INDEX(Vinos!$K$2:$K$301,MATCH($B1334,Vinos!$A$2:$A$301,0))),""))</f>
        <v/>
      </c>
      <c r="M1334" s="21">
        <f>IF(OR($A1334="",$B1334=""),"",SUMIFS($H$2:$H$2001,$A$2:$A$2001,$A1334,$B$2:$B$2001,$B1334))</f>
        <v/>
      </c>
      <c r="N1334" s="20">
        <f>IF($M1334="","",IF($M1334&lt;=0,"Sin stock: reponer ya",IF($M1334&lt;IFERROR(N(INDEX(Vinos!$N$2:$N$301,MATCH($B1334,Vinos!$A$2:$A$301,0))),0),"Bajo mínimo: reponer","OK")))</f>
        <v/>
      </c>
      <c r="O1334" s="14" t="n"/>
      <c r="P1334" s="14" t="n"/>
      <c r="Q1334" s="20">
        <f>IF($B1334="","",IFERROR(INDEX(Vinos!$C$2:$C$301,MATCH($B1334,Vinos!$A$2:$A$301,0)),""))</f>
        <v/>
      </c>
      <c r="R1334" s="20">
        <f>IF(OR($A1334="",$A1334&lt;&gt;'Resumen del inventario'!$C$3,$N1334="",$N1334="OK"),"",IF(COUNTIFS($A$2:$A1334,$A1334,$B$2:$B1334,$B1334)=1,1,""))</f>
        <v/>
      </c>
      <c r="S1334" s="20">
        <f>IF($R1334=1,COUNTIF($R$2:$R1334,1),"")</f>
        <v/>
      </c>
    </row>
    <row r="1335">
      <c r="A1335" s="19" t="n"/>
      <c r="B1335" s="14" t="n"/>
      <c r="C1335" s="20">
        <f>IF($B1335="","",IFERROR(INDEX(Vinos!$B$2:$B$301,MATCH($B1335,Vinos!$A$2:$A$301,0)),"Código no cargado"))</f>
        <v/>
      </c>
      <c r="D1335" s="14" t="n"/>
      <c r="E1335" s="14" t="n"/>
      <c r="F1335" s="18" t="n"/>
      <c r="G1335" s="18" t="n"/>
      <c r="H1335" s="21">
        <f>IF(AND($F1335="",$G1335=""),"",N($F1335)*IFERROR(N(INDEX(Vinos!$H$2:$H$301,MATCH($B1335,Vinos!$A$2:$A$301,0))),0)+N($G1335))</f>
        <v/>
      </c>
      <c r="I1335" s="18" t="n"/>
      <c r="J1335" s="21">
        <f>IF(OR($H1335="",$I1335=""),"",$H1335-$I1335)</f>
        <v/>
      </c>
      <c r="K1335" s="16">
        <f>IF($H1335="","",IFERROR(IF(INDEX(Vinos!$J$2:$J$301,MATCH($B1335,Vinos!$A$2:$A$301,0))="","",$H1335*INDEX(Vinos!$J$2:$J$301,MATCH($B1335,Vinos!$A$2:$A$301,0))),""))</f>
        <v/>
      </c>
      <c r="L1335" s="16">
        <f>IF($H1335="","",IFERROR(IF(INDEX(Vinos!$K$2:$K$301,MATCH($B1335,Vinos!$A$2:$A$301,0))="","",$H1335*INDEX(Vinos!$K$2:$K$301,MATCH($B1335,Vinos!$A$2:$A$301,0))),""))</f>
        <v/>
      </c>
      <c r="M1335" s="21">
        <f>IF(OR($A1335="",$B1335=""),"",SUMIFS($H$2:$H$2001,$A$2:$A$2001,$A1335,$B$2:$B$2001,$B1335))</f>
        <v/>
      </c>
      <c r="N1335" s="20">
        <f>IF($M1335="","",IF($M1335&lt;=0,"Sin stock: reponer ya",IF($M1335&lt;IFERROR(N(INDEX(Vinos!$N$2:$N$301,MATCH($B1335,Vinos!$A$2:$A$301,0))),0),"Bajo mínimo: reponer","OK")))</f>
        <v/>
      </c>
      <c r="O1335" s="14" t="n"/>
      <c r="P1335" s="14" t="n"/>
      <c r="Q1335" s="20">
        <f>IF($B1335="","",IFERROR(INDEX(Vinos!$C$2:$C$301,MATCH($B1335,Vinos!$A$2:$A$301,0)),""))</f>
        <v/>
      </c>
      <c r="R1335" s="20">
        <f>IF(OR($A1335="",$A1335&lt;&gt;'Resumen del inventario'!$C$3,$N1335="",$N1335="OK"),"",IF(COUNTIFS($A$2:$A1335,$A1335,$B$2:$B1335,$B1335)=1,1,""))</f>
        <v/>
      </c>
      <c r="S1335" s="20">
        <f>IF($R1335=1,COUNTIF($R$2:$R1335,1),"")</f>
        <v/>
      </c>
    </row>
    <row r="1336">
      <c r="A1336" s="19" t="n"/>
      <c r="B1336" s="14" t="n"/>
      <c r="C1336" s="20">
        <f>IF($B1336="","",IFERROR(INDEX(Vinos!$B$2:$B$301,MATCH($B1336,Vinos!$A$2:$A$301,0)),"Código no cargado"))</f>
        <v/>
      </c>
      <c r="D1336" s="14" t="n"/>
      <c r="E1336" s="14" t="n"/>
      <c r="F1336" s="18" t="n"/>
      <c r="G1336" s="18" t="n"/>
      <c r="H1336" s="21">
        <f>IF(AND($F1336="",$G1336=""),"",N($F1336)*IFERROR(N(INDEX(Vinos!$H$2:$H$301,MATCH($B1336,Vinos!$A$2:$A$301,0))),0)+N($G1336))</f>
        <v/>
      </c>
      <c r="I1336" s="18" t="n"/>
      <c r="J1336" s="21">
        <f>IF(OR($H1336="",$I1336=""),"",$H1336-$I1336)</f>
        <v/>
      </c>
      <c r="K1336" s="16">
        <f>IF($H1336="","",IFERROR(IF(INDEX(Vinos!$J$2:$J$301,MATCH($B1336,Vinos!$A$2:$A$301,0))="","",$H1336*INDEX(Vinos!$J$2:$J$301,MATCH($B1336,Vinos!$A$2:$A$301,0))),""))</f>
        <v/>
      </c>
      <c r="L1336" s="16">
        <f>IF($H1336="","",IFERROR(IF(INDEX(Vinos!$K$2:$K$301,MATCH($B1336,Vinos!$A$2:$A$301,0))="","",$H1336*INDEX(Vinos!$K$2:$K$301,MATCH($B1336,Vinos!$A$2:$A$301,0))),""))</f>
        <v/>
      </c>
      <c r="M1336" s="21">
        <f>IF(OR($A1336="",$B1336=""),"",SUMIFS($H$2:$H$2001,$A$2:$A$2001,$A1336,$B$2:$B$2001,$B1336))</f>
        <v/>
      </c>
      <c r="N1336" s="20">
        <f>IF($M1336="","",IF($M1336&lt;=0,"Sin stock: reponer ya",IF($M1336&lt;IFERROR(N(INDEX(Vinos!$N$2:$N$301,MATCH($B1336,Vinos!$A$2:$A$301,0))),0),"Bajo mínimo: reponer","OK")))</f>
        <v/>
      </c>
      <c r="O1336" s="14" t="n"/>
      <c r="P1336" s="14" t="n"/>
      <c r="Q1336" s="20">
        <f>IF($B1336="","",IFERROR(INDEX(Vinos!$C$2:$C$301,MATCH($B1336,Vinos!$A$2:$A$301,0)),""))</f>
        <v/>
      </c>
      <c r="R1336" s="20">
        <f>IF(OR($A1336="",$A1336&lt;&gt;'Resumen del inventario'!$C$3,$N1336="",$N1336="OK"),"",IF(COUNTIFS($A$2:$A1336,$A1336,$B$2:$B1336,$B1336)=1,1,""))</f>
        <v/>
      </c>
      <c r="S1336" s="20">
        <f>IF($R1336=1,COUNTIF($R$2:$R1336,1),"")</f>
        <v/>
      </c>
    </row>
    <row r="1337">
      <c r="A1337" s="19" t="n"/>
      <c r="B1337" s="14" t="n"/>
      <c r="C1337" s="20">
        <f>IF($B1337="","",IFERROR(INDEX(Vinos!$B$2:$B$301,MATCH($B1337,Vinos!$A$2:$A$301,0)),"Código no cargado"))</f>
        <v/>
      </c>
      <c r="D1337" s="14" t="n"/>
      <c r="E1337" s="14" t="n"/>
      <c r="F1337" s="18" t="n"/>
      <c r="G1337" s="18" t="n"/>
      <c r="H1337" s="21">
        <f>IF(AND($F1337="",$G1337=""),"",N($F1337)*IFERROR(N(INDEX(Vinos!$H$2:$H$301,MATCH($B1337,Vinos!$A$2:$A$301,0))),0)+N($G1337))</f>
        <v/>
      </c>
      <c r="I1337" s="18" t="n"/>
      <c r="J1337" s="21">
        <f>IF(OR($H1337="",$I1337=""),"",$H1337-$I1337)</f>
        <v/>
      </c>
      <c r="K1337" s="16">
        <f>IF($H1337="","",IFERROR(IF(INDEX(Vinos!$J$2:$J$301,MATCH($B1337,Vinos!$A$2:$A$301,0))="","",$H1337*INDEX(Vinos!$J$2:$J$301,MATCH($B1337,Vinos!$A$2:$A$301,0))),""))</f>
        <v/>
      </c>
      <c r="L1337" s="16">
        <f>IF($H1337="","",IFERROR(IF(INDEX(Vinos!$K$2:$K$301,MATCH($B1337,Vinos!$A$2:$A$301,0))="","",$H1337*INDEX(Vinos!$K$2:$K$301,MATCH($B1337,Vinos!$A$2:$A$301,0))),""))</f>
        <v/>
      </c>
      <c r="M1337" s="21">
        <f>IF(OR($A1337="",$B1337=""),"",SUMIFS($H$2:$H$2001,$A$2:$A$2001,$A1337,$B$2:$B$2001,$B1337))</f>
        <v/>
      </c>
      <c r="N1337" s="20">
        <f>IF($M1337="","",IF($M1337&lt;=0,"Sin stock: reponer ya",IF($M1337&lt;IFERROR(N(INDEX(Vinos!$N$2:$N$301,MATCH($B1337,Vinos!$A$2:$A$301,0))),0),"Bajo mínimo: reponer","OK")))</f>
        <v/>
      </c>
      <c r="O1337" s="14" t="n"/>
      <c r="P1337" s="14" t="n"/>
      <c r="Q1337" s="20">
        <f>IF($B1337="","",IFERROR(INDEX(Vinos!$C$2:$C$301,MATCH($B1337,Vinos!$A$2:$A$301,0)),""))</f>
        <v/>
      </c>
      <c r="R1337" s="20">
        <f>IF(OR($A1337="",$A1337&lt;&gt;'Resumen del inventario'!$C$3,$N1337="",$N1337="OK"),"",IF(COUNTIFS($A$2:$A1337,$A1337,$B$2:$B1337,$B1337)=1,1,""))</f>
        <v/>
      </c>
      <c r="S1337" s="20">
        <f>IF($R1337=1,COUNTIF($R$2:$R1337,1),"")</f>
        <v/>
      </c>
    </row>
    <row r="1338">
      <c r="A1338" s="19" t="n"/>
      <c r="B1338" s="14" t="n"/>
      <c r="C1338" s="20">
        <f>IF($B1338="","",IFERROR(INDEX(Vinos!$B$2:$B$301,MATCH($B1338,Vinos!$A$2:$A$301,0)),"Código no cargado"))</f>
        <v/>
      </c>
      <c r="D1338" s="14" t="n"/>
      <c r="E1338" s="14" t="n"/>
      <c r="F1338" s="18" t="n"/>
      <c r="G1338" s="18" t="n"/>
      <c r="H1338" s="21">
        <f>IF(AND($F1338="",$G1338=""),"",N($F1338)*IFERROR(N(INDEX(Vinos!$H$2:$H$301,MATCH($B1338,Vinos!$A$2:$A$301,0))),0)+N($G1338))</f>
        <v/>
      </c>
      <c r="I1338" s="18" t="n"/>
      <c r="J1338" s="21">
        <f>IF(OR($H1338="",$I1338=""),"",$H1338-$I1338)</f>
        <v/>
      </c>
      <c r="K1338" s="16">
        <f>IF($H1338="","",IFERROR(IF(INDEX(Vinos!$J$2:$J$301,MATCH($B1338,Vinos!$A$2:$A$301,0))="","",$H1338*INDEX(Vinos!$J$2:$J$301,MATCH($B1338,Vinos!$A$2:$A$301,0))),""))</f>
        <v/>
      </c>
      <c r="L1338" s="16">
        <f>IF($H1338="","",IFERROR(IF(INDEX(Vinos!$K$2:$K$301,MATCH($B1338,Vinos!$A$2:$A$301,0))="","",$H1338*INDEX(Vinos!$K$2:$K$301,MATCH($B1338,Vinos!$A$2:$A$301,0))),""))</f>
        <v/>
      </c>
      <c r="M1338" s="21">
        <f>IF(OR($A1338="",$B1338=""),"",SUMIFS($H$2:$H$2001,$A$2:$A$2001,$A1338,$B$2:$B$2001,$B1338))</f>
        <v/>
      </c>
      <c r="N1338" s="20">
        <f>IF($M1338="","",IF($M1338&lt;=0,"Sin stock: reponer ya",IF($M1338&lt;IFERROR(N(INDEX(Vinos!$N$2:$N$301,MATCH($B1338,Vinos!$A$2:$A$301,0))),0),"Bajo mínimo: reponer","OK")))</f>
        <v/>
      </c>
      <c r="O1338" s="14" t="n"/>
      <c r="P1338" s="14" t="n"/>
      <c r="Q1338" s="20">
        <f>IF($B1338="","",IFERROR(INDEX(Vinos!$C$2:$C$301,MATCH($B1338,Vinos!$A$2:$A$301,0)),""))</f>
        <v/>
      </c>
      <c r="R1338" s="20">
        <f>IF(OR($A1338="",$A1338&lt;&gt;'Resumen del inventario'!$C$3,$N1338="",$N1338="OK"),"",IF(COUNTIFS($A$2:$A1338,$A1338,$B$2:$B1338,$B1338)=1,1,""))</f>
        <v/>
      </c>
      <c r="S1338" s="20">
        <f>IF($R1338=1,COUNTIF($R$2:$R1338,1),"")</f>
        <v/>
      </c>
    </row>
    <row r="1339">
      <c r="A1339" s="19" t="n"/>
      <c r="B1339" s="14" t="n"/>
      <c r="C1339" s="20">
        <f>IF($B1339="","",IFERROR(INDEX(Vinos!$B$2:$B$301,MATCH($B1339,Vinos!$A$2:$A$301,0)),"Código no cargado"))</f>
        <v/>
      </c>
      <c r="D1339" s="14" t="n"/>
      <c r="E1339" s="14" t="n"/>
      <c r="F1339" s="18" t="n"/>
      <c r="G1339" s="18" t="n"/>
      <c r="H1339" s="21">
        <f>IF(AND($F1339="",$G1339=""),"",N($F1339)*IFERROR(N(INDEX(Vinos!$H$2:$H$301,MATCH($B1339,Vinos!$A$2:$A$301,0))),0)+N($G1339))</f>
        <v/>
      </c>
      <c r="I1339" s="18" t="n"/>
      <c r="J1339" s="21">
        <f>IF(OR($H1339="",$I1339=""),"",$H1339-$I1339)</f>
        <v/>
      </c>
      <c r="K1339" s="16">
        <f>IF($H1339="","",IFERROR(IF(INDEX(Vinos!$J$2:$J$301,MATCH($B1339,Vinos!$A$2:$A$301,0))="","",$H1339*INDEX(Vinos!$J$2:$J$301,MATCH($B1339,Vinos!$A$2:$A$301,0))),""))</f>
        <v/>
      </c>
      <c r="L1339" s="16">
        <f>IF($H1339="","",IFERROR(IF(INDEX(Vinos!$K$2:$K$301,MATCH($B1339,Vinos!$A$2:$A$301,0))="","",$H1339*INDEX(Vinos!$K$2:$K$301,MATCH($B1339,Vinos!$A$2:$A$301,0))),""))</f>
        <v/>
      </c>
      <c r="M1339" s="21">
        <f>IF(OR($A1339="",$B1339=""),"",SUMIFS($H$2:$H$2001,$A$2:$A$2001,$A1339,$B$2:$B$2001,$B1339))</f>
        <v/>
      </c>
      <c r="N1339" s="20">
        <f>IF($M1339="","",IF($M1339&lt;=0,"Sin stock: reponer ya",IF($M1339&lt;IFERROR(N(INDEX(Vinos!$N$2:$N$301,MATCH($B1339,Vinos!$A$2:$A$301,0))),0),"Bajo mínimo: reponer","OK")))</f>
        <v/>
      </c>
      <c r="O1339" s="14" t="n"/>
      <c r="P1339" s="14" t="n"/>
      <c r="Q1339" s="20">
        <f>IF($B1339="","",IFERROR(INDEX(Vinos!$C$2:$C$301,MATCH($B1339,Vinos!$A$2:$A$301,0)),""))</f>
        <v/>
      </c>
      <c r="R1339" s="20">
        <f>IF(OR($A1339="",$A1339&lt;&gt;'Resumen del inventario'!$C$3,$N1339="",$N1339="OK"),"",IF(COUNTIFS($A$2:$A1339,$A1339,$B$2:$B1339,$B1339)=1,1,""))</f>
        <v/>
      </c>
      <c r="S1339" s="20">
        <f>IF($R1339=1,COUNTIF($R$2:$R1339,1),"")</f>
        <v/>
      </c>
    </row>
    <row r="1340">
      <c r="A1340" s="19" t="n"/>
      <c r="B1340" s="14" t="n"/>
      <c r="C1340" s="20">
        <f>IF($B1340="","",IFERROR(INDEX(Vinos!$B$2:$B$301,MATCH($B1340,Vinos!$A$2:$A$301,0)),"Código no cargado"))</f>
        <v/>
      </c>
      <c r="D1340" s="14" t="n"/>
      <c r="E1340" s="14" t="n"/>
      <c r="F1340" s="18" t="n"/>
      <c r="G1340" s="18" t="n"/>
      <c r="H1340" s="21">
        <f>IF(AND($F1340="",$G1340=""),"",N($F1340)*IFERROR(N(INDEX(Vinos!$H$2:$H$301,MATCH($B1340,Vinos!$A$2:$A$301,0))),0)+N($G1340))</f>
        <v/>
      </c>
      <c r="I1340" s="18" t="n"/>
      <c r="J1340" s="21">
        <f>IF(OR($H1340="",$I1340=""),"",$H1340-$I1340)</f>
        <v/>
      </c>
      <c r="K1340" s="16">
        <f>IF($H1340="","",IFERROR(IF(INDEX(Vinos!$J$2:$J$301,MATCH($B1340,Vinos!$A$2:$A$301,0))="","",$H1340*INDEX(Vinos!$J$2:$J$301,MATCH($B1340,Vinos!$A$2:$A$301,0))),""))</f>
        <v/>
      </c>
      <c r="L1340" s="16">
        <f>IF($H1340="","",IFERROR(IF(INDEX(Vinos!$K$2:$K$301,MATCH($B1340,Vinos!$A$2:$A$301,0))="","",$H1340*INDEX(Vinos!$K$2:$K$301,MATCH($B1340,Vinos!$A$2:$A$301,0))),""))</f>
        <v/>
      </c>
      <c r="M1340" s="21">
        <f>IF(OR($A1340="",$B1340=""),"",SUMIFS($H$2:$H$2001,$A$2:$A$2001,$A1340,$B$2:$B$2001,$B1340))</f>
        <v/>
      </c>
      <c r="N1340" s="20">
        <f>IF($M1340="","",IF($M1340&lt;=0,"Sin stock: reponer ya",IF($M1340&lt;IFERROR(N(INDEX(Vinos!$N$2:$N$301,MATCH($B1340,Vinos!$A$2:$A$301,0))),0),"Bajo mínimo: reponer","OK")))</f>
        <v/>
      </c>
      <c r="O1340" s="14" t="n"/>
      <c r="P1340" s="14" t="n"/>
      <c r="Q1340" s="20">
        <f>IF($B1340="","",IFERROR(INDEX(Vinos!$C$2:$C$301,MATCH($B1340,Vinos!$A$2:$A$301,0)),""))</f>
        <v/>
      </c>
      <c r="R1340" s="20">
        <f>IF(OR($A1340="",$A1340&lt;&gt;'Resumen del inventario'!$C$3,$N1340="",$N1340="OK"),"",IF(COUNTIFS($A$2:$A1340,$A1340,$B$2:$B1340,$B1340)=1,1,""))</f>
        <v/>
      </c>
      <c r="S1340" s="20">
        <f>IF($R1340=1,COUNTIF($R$2:$R1340,1),"")</f>
        <v/>
      </c>
    </row>
    <row r="1341">
      <c r="A1341" s="19" t="n"/>
      <c r="B1341" s="14" t="n"/>
      <c r="C1341" s="20">
        <f>IF($B1341="","",IFERROR(INDEX(Vinos!$B$2:$B$301,MATCH($B1341,Vinos!$A$2:$A$301,0)),"Código no cargado"))</f>
        <v/>
      </c>
      <c r="D1341" s="14" t="n"/>
      <c r="E1341" s="14" t="n"/>
      <c r="F1341" s="18" t="n"/>
      <c r="G1341" s="18" t="n"/>
      <c r="H1341" s="21">
        <f>IF(AND($F1341="",$G1341=""),"",N($F1341)*IFERROR(N(INDEX(Vinos!$H$2:$H$301,MATCH($B1341,Vinos!$A$2:$A$301,0))),0)+N($G1341))</f>
        <v/>
      </c>
      <c r="I1341" s="18" t="n"/>
      <c r="J1341" s="21">
        <f>IF(OR($H1341="",$I1341=""),"",$H1341-$I1341)</f>
        <v/>
      </c>
      <c r="K1341" s="16">
        <f>IF($H1341="","",IFERROR(IF(INDEX(Vinos!$J$2:$J$301,MATCH($B1341,Vinos!$A$2:$A$301,0))="","",$H1341*INDEX(Vinos!$J$2:$J$301,MATCH($B1341,Vinos!$A$2:$A$301,0))),""))</f>
        <v/>
      </c>
      <c r="L1341" s="16">
        <f>IF($H1341="","",IFERROR(IF(INDEX(Vinos!$K$2:$K$301,MATCH($B1341,Vinos!$A$2:$A$301,0))="","",$H1341*INDEX(Vinos!$K$2:$K$301,MATCH($B1341,Vinos!$A$2:$A$301,0))),""))</f>
        <v/>
      </c>
      <c r="M1341" s="21">
        <f>IF(OR($A1341="",$B1341=""),"",SUMIFS($H$2:$H$2001,$A$2:$A$2001,$A1341,$B$2:$B$2001,$B1341))</f>
        <v/>
      </c>
      <c r="N1341" s="20">
        <f>IF($M1341="","",IF($M1341&lt;=0,"Sin stock: reponer ya",IF($M1341&lt;IFERROR(N(INDEX(Vinos!$N$2:$N$301,MATCH($B1341,Vinos!$A$2:$A$301,0))),0),"Bajo mínimo: reponer","OK")))</f>
        <v/>
      </c>
      <c r="O1341" s="14" t="n"/>
      <c r="P1341" s="14" t="n"/>
      <c r="Q1341" s="20">
        <f>IF($B1341="","",IFERROR(INDEX(Vinos!$C$2:$C$301,MATCH($B1341,Vinos!$A$2:$A$301,0)),""))</f>
        <v/>
      </c>
      <c r="R1341" s="20">
        <f>IF(OR($A1341="",$A1341&lt;&gt;'Resumen del inventario'!$C$3,$N1341="",$N1341="OK"),"",IF(COUNTIFS($A$2:$A1341,$A1341,$B$2:$B1341,$B1341)=1,1,""))</f>
        <v/>
      </c>
      <c r="S1341" s="20">
        <f>IF($R1341=1,COUNTIF($R$2:$R1341,1),"")</f>
        <v/>
      </c>
    </row>
    <row r="1342">
      <c r="A1342" s="19" t="n"/>
      <c r="B1342" s="14" t="n"/>
      <c r="C1342" s="20">
        <f>IF($B1342="","",IFERROR(INDEX(Vinos!$B$2:$B$301,MATCH($B1342,Vinos!$A$2:$A$301,0)),"Código no cargado"))</f>
        <v/>
      </c>
      <c r="D1342" s="14" t="n"/>
      <c r="E1342" s="14" t="n"/>
      <c r="F1342" s="18" t="n"/>
      <c r="G1342" s="18" t="n"/>
      <c r="H1342" s="21">
        <f>IF(AND($F1342="",$G1342=""),"",N($F1342)*IFERROR(N(INDEX(Vinos!$H$2:$H$301,MATCH($B1342,Vinos!$A$2:$A$301,0))),0)+N($G1342))</f>
        <v/>
      </c>
      <c r="I1342" s="18" t="n"/>
      <c r="J1342" s="21">
        <f>IF(OR($H1342="",$I1342=""),"",$H1342-$I1342)</f>
        <v/>
      </c>
      <c r="K1342" s="16">
        <f>IF($H1342="","",IFERROR(IF(INDEX(Vinos!$J$2:$J$301,MATCH($B1342,Vinos!$A$2:$A$301,0))="","",$H1342*INDEX(Vinos!$J$2:$J$301,MATCH($B1342,Vinos!$A$2:$A$301,0))),""))</f>
        <v/>
      </c>
      <c r="L1342" s="16">
        <f>IF($H1342="","",IFERROR(IF(INDEX(Vinos!$K$2:$K$301,MATCH($B1342,Vinos!$A$2:$A$301,0))="","",$H1342*INDEX(Vinos!$K$2:$K$301,MATCH($B1342,Vinos!$A$2:$A$301,0))),""))</f>
        <v/>
      </c>
      <c r="M1342" s="21">
        <f>IF(OR($A1342="",$B1342=""),"",SUMIFS($H$2:$H$2001,$A$2:$A$2001,$A1342,$B$2:$B$2001,$B1342))</f>
        <v/>
      </c>
      <c r="N1342" s="20">
        <f>IF($M1342="","",IF($M1342&lt;=0,"Sin stock: reponer ya",IF($M1342&lt;IFERROR(N(INDEX(Vinos!$N$2:$N$301,MATCH($B1342,Vinos!$A$2:$A$301,0))),0),"Bajo mínimo: reponer","OK")))</f>
        <v/>
      </c>
      <c r="O1342" s="14" t="n"/>
      <c r="P1342" s="14" t="n"/>
      <c r="Q1342" s="20">
        <f>IF($B1342="","",IFERROR(INDEX(Vinos!$C$2:$C$301,MATCH($B1342,Vinos!$A$2:$A$301,0)),""))</f>
        <v/>
      </c>
      <c r="R1342" s="20">
        <f>IF(OR($A1342="",$A1342&lt;&gt;'Resumen del inventario'!$C$3,$N1342="",$N1342="OK"),"",IF(COUNTIFS($A$2:$A1342,$A1342,$B$2:$B1342,$B1342)=1,1,""))</f>
        <v/>
      </c>
      <c r="S1342" s="20">
        <f>IF($R1342=1,COUNTIF($R$2:$R1342,1),"")</f>
        <v/>
      </c>
    </row>
    <row r="1343">
      <c r="A1343" s="19" t="n"/>
      <c r="B1343" s="14" t="n"/>
      <c r="C1343" s="20">
        <f>IF($B1343="","",IFERROR(INDEX(Vinos!$B$2:$B$301,MATCH($B1343,Vinos!$A$2:$A$301,0)),"Código no cargado"))</f>
        <v/>
      </c>
      <c r="D1343" s="14" t="n"/>
      <c r="E1343" s="14" t="n"/>
      <c r="F1343" s="18" t="n"/>
      <c r="G1343" s="18" t="n"/>
      <c r="H1343" s="21">
        <f>IF(AND($F1343="",$G1343=""),"",N($F1343)*IFERROR(N(INDEX(Vinos!$H$2:$H$301,MATCH($B1343,Vinos!$A$2:$A$301,0))),0)+N($G1343))</f>
        <v/>
      </c>
      <c r="I1343" s="18" t="n"/>
      <c r="J1343" s="21">
        <f>IF(OR($H1343="",$I1343=""),"",$H1343-$I1343)</f>
        <v/>
      </c>
      <c r="K1343" s="16">
        <f>IF($H1343="","",IFERROR(IF(INDEX(Vinos!$J$2:$J$301,MATCH($B1343,Vinos!$A$2:$A$301,0))="","",$H1343*INDEX(Vinos!$J$2:$J$301,MATCH($B1343,Vinos!$A$2:$A$301,0))),""))</f>
        <v/>
      </c>
      <c r="L1343" s="16">
        <f>IF($H1343="","",IFERROR(IF(INDEX(Vinos!$K$2:$K$301,MATCH($B1343,Vinos!$A$2:$A$301,0))="","",$H1343*INDEX(Vinos!$K$2:$K$301,MATCH($B1343,Vinos!$A$2:$A$301,0))),""))</f>
        <v/>
      </c>
      <c r="M1343" s="21">
        <f>IF(OR($A1343="",$B1343=""),"",SUMIFS($H$2:$H$2001,$A$2:$A$2001,$A1343,$B$2:$B$2001,$B1343))</f>
        <v/>
      </c>
      <c r="N1343" s="20">
        <f>IF($M1343="","",IF($M1343&lt;=0,"Sin stock: reponer ya",IF($M1343&lt;IFERROR(N(INDEX(Vinos!$N$2:$N$301,MATCH($B1343,Vinos!$A$2:$A$301,0))),0),"Bajo mínimo: reponer","OK")))</f>
        <v/>
      </c>
      <c r="O1343" s="14" t="n"/>
      <c r="P1343" s="14" t="n"/>
      <c r="Q1343" s="20">
        <f>IF($B1343="","",IFERROR(INDEX(Vinos!$C$2:$C$301,MATCH($B1343,Vinos!$A$2:$A$301,0)),""))</f>
        <v/>
      </c>
      <c r="R1343" s="20">
        <f>IF(OR($A1343="",$A1343&lt;&gt;'Resumen del inventario'!$C$3,$N1343="",$N1343="OK"),"",IF(COUNTIFS($A$2:$A1343,$A1343,$B$2:$B1343,$B1343)=1,1,""))</f>
        <v/>
      </c>
      <c r="S1343" s="20">
        <f>IF($R1343=1,COUNTIF($R$2:$R1343,1),"")</f>
        <v/>
      </c>
    </row>
    <row r="1344">
      <c r="A1344" s="19" t="n"/>
      <c r="B1344" s="14" t="n"/>
      <c r="C1344" s="20">
        <f>IF($B1344="","",IFERROR(INDEX(Vinos!$B$2:$B$301,MATCH($B1344,Vinos!$A$2:$A$301,0)),"Código no cargado"))</f>
        <v/>
      </c>
      <c r="D1344" s="14" t="n"/>
      <c r="E1344" s="14" t="n"/>
      <c r="F1344" s="18" t="n"/>
      <c r="G1344" s="18" t="n"/>
      <c r="H1344" s="21">
        <f>IF(AND($F1344="",$G1344=""),"",N($F1344)*IFERROR(N(INDEX(Vinos!$H$2:$H$301,MATCH($B1344,Vinos!$A$2:$A$301,0))),0)+N($G1344))</f>
        <v/>
      </c>
      <c r="I1344" s="18" t="n"/>
      <c r="J1344" s="21">
        <f>IF(OR($H1344="",$I1344=""),"",$H1344-$I1344)</f>
        <v/>
      </c>
      <c r="K1344" s="16">
        <f>IF($H1344="","",IFERROR(IF(INDEX(Vinos!$J$2:$J$301,MATCH($B1344,Vinos!$A$2:$A$301,0))="","",$H1344*INDEX(Vinos!$J$2:$J$301,MATCH($B1344,Vinos!$A$2:$A$301,0))),""))</f>
        <v/>
      </c>
      <c r="L1344" s="16">
        <f>IF($H1344="","",IFERROR(IF(INDEX(Vinos!$K$2:$K$301,MATCH($B1344,Vinos!$A$2:$A$301,0))="","",$H1344*INDEX(Vinos!$K$2:$K$301,MATCH($B1344,Vinos!$A$2:$A$301,0))),""))</f>
        <v/>
      </c>
      <c r="M1344" s="21">
        <f>IF(OR($A1344="",$B1344=""),"",SUMIFS($H$2:$H$2001,$A$2:$A$2001,$A1344,$B$2:$B$2001,$B1344))</f>
        <v/>
      </c>
      <c r="N1344" s="20">
        <f>IF($M1344="","",IF($M1344&lt;=0,"Sin stock: reponer ya",IF($M1344&lt;IFERROR(N(INDEX(Vinos!$N$2:$N$301,MATCH($B1344,Vinos!$A$2:$A$301,0))),0),"Bajo mínimo: reponer","OK")))</f>
        <v/>
      </c>
      <c r="O1344" s="14" t="n"/>
      <c r="P1344" s="14" t="n"/>
      <c r="Q1344" s="20">
        <f>IF($B1344="","",IFERROR(INDEX(Vinos!$C$2:$C$301,MATCH($B1344,Vinos!$A$2:$A$301,0)),""))</f>
        <v/>
      </c>
      <c r="R1344" s="20">
        <f>IF(OR($A1344="",$A1344&lt;&gt;'Resumen del inventario'!$C$3,$N1344="",$N1344="OK"),"",IF(COUNTIFS($A$2:$A1344,$A1344,$B$2:$B1344,$B1344)=1,1,""))</f>
        <v/>
      </c>
      <c r="S1344" s="20">
        <f>IF($R1344=1,COUNTIF($R$2:$R1344,1),"")</f>
        <v/>
      </c>
    </row>
    <row r="1345">
      <c r="A1345" s="19" t="n"/>
      <c r="B1345" s="14" t="n"/>
      <c r="C1345" s="20">
        <f>IF($B1345="","",IFERROR(INDEX(Vinos!$B$2:$B$301,MATCH($B1345,Vinos!$A$2:$A$301,0)),"Código no cargado"))</f>
        <v/>
      </c>
      <c r="D1345" s="14" t="n"/>
      <c r="E1345" s="14" t="n"/>
      <c r="F1345" s="18" t="n"/>
      <c r="G1345" s="18" t="n"/>
      <c r="H1345" s="21">
        <f>IF(AND($F1345="",$G1345=""),"",N($F1345)*IFERROR(N(INDEX(Vinos!$H$2:$H$301,MATCH($B1345,Vinos!$A$2:$A$301,0))),0)+N($G1345))</f>
        <v/>
      </c>
      <c r="I1345" s="18" t="n"/>
      <c r="J1345" s="21">
        <f>IF(OR($H1345="",$I1345=""),"",$H1345-$I1345)</f>
        <v/>
      </c>
      <c r="K1345" s="16">
        <f>IF($H1345="","",IFERROR(IF(INDEX(Vinos!$J$2:$J$301,MATCH($B1345,Vinos!$A$2:$A$301,0))="","",$H1345*INDEX(Vinos!$J$2:$J$301,MATCH($B1345,Vinos!$A$2:$A$301,0))),""))</f>
        <v/>
      </c>
      <c r="L1345" s="16">
        <f>IF($H1345="","",IFERROR(IF(INDEX(Vinos!$K$2:$K$301,MATCH($B1345,Vinos!$A$2:$A$301,0))="","",$H1345*INDEX(Vinos!$K$2:$K$301,MATCH($B1345,Vinos!$A$2:$A$301,0))),""))</f>
        <v/>
      </c>
      <c r="M1345" s="21">
        <f>IF(OR($A1345="",$B1345=""),"",SUMIFS($H$2:$H$2001,$A$2:$A$2001,$A1345,$B$2:$B$2001,$B1345))</f>
        <v/>
      </c>
      <c r="N1345" s="20">
        <f>IF($M1345="","",IF($M1345&lt;=0,"Sin stock: reponer ya",IF($M1345&lt;IFERROR(N(INDEX(Vinos!$N$2:$N$301,MATCH($B1345,Vinos!$A$2:$A$301,0))),0),"Bajo mínimo: reponer","OK")))</f>
        <v/>
      </c>
      <c r="O1345" s="14" t="n"/>
      <c r="P1345" s="14" t="n"/>
      <c r="Q1345" s="20">
        <f>IF($B1345="","",IFERROR(INDEX(Vinos!$C$2:$C$301,MATCH($B1345,Vinos!$A$2:$A$301,0)),""))</f>
        <v/>
      </c>
      <c r="R1345" s="20">
        <f>IF(OR($A1345="",$A1345&lt;&gt;'Resumen del inventario'!$C$3,$N1345="",$N1345="OK"),"",IF(COUNTIFS($A$2:$A1345,$A1345,$B$2:$B1345,$B1345)=1,1,""))</f>
        <v/>
      </c>
      <c r="S1345" s="20">
        <f>IF($R1345=1,COUNTIF($R$2:$R1345,1),"")</f>
        <v/>
      </c>
    </row>
    <row r="1346">
      <c r="A1346" s="19" t="n"/>
      <c r="B1346" s="14" t="n"/>
      <c r="C1346" s="20">
        <f>IF($B1346="","",IFERROR(INDEX(Vinos!$B$2:$B$301,MATCH($B1346,Vinos!$A$2:$A$301,0)),"Código no cargado"))</f>
        <v/>
      </c>
      <c r="D1346" s="14" t="n"/>
      <c r="E1346" s="14" t="n"/>
      <c r="F1346" s="18" t="n"/>
      <c r="G1346" s="18" t="n"/>
      <c r="H1346" s="21">
        <f>IF(AND($F1346="",$G1346=""),"",N($F1346)*IFERROR(N(INDEX(Vinos!$H$2:$H$301,MATCH($B1346,Vinos!$A$2:$A$301,0))),0)+N($G1346))</f>
        <v/>
      </c>
      <c r="I1346" s="18" t="n"/>
      <c r="J1346" s="21">
        <f>IF(OR($H1346="",$I1346=""),"",$H1346-$I1346)</f>
        <v/>
      </c>
      <c r="K1346" s="16">
        <f>IF($H1346="","",IFERROR(IF(INDEX(Vinos!$J$2:$J$301,MATCH($B1346,Vinos!$A$2:$A$301,0))="","",$H1346*INDEX(Vinos!$J$2:$J$301,MATCH($B1346,Vinos!$A$2:$A$301,0))),""))</f>
        <v/>
      </c>
      <c r="L1346" s="16">
        <f>IF($H1346="","",IFERROR(IF(INDEX(Vinos!$K$2:$K$301,MATCH($B1346,Vinos!$A$2:$A$301,0))="","",$H1346*INDEX(Vinos!$K$2:$K$301,MATCH($B1346,Vinos!$A$2:$A$301,0))),""))</f>
        <v/>
      </c>
      <c r="M1346" s="21">
        <f>IF(OR($A1346="",$B1346=""),"",SUMIFS($H$2:$H$2001,$A$2:$A$2001,$A1346,$B$2:$B$2001,$B1346))</f>
        <v/>
      </c>
      <c r="N1346" s="20">
        <f>IF($M1346="","",IF($M1346&lt;=0,"Sin stock: reponer ya",IF($M1346&lt;IFERROR(N(INDEX(Vinos!$N$2:$N$301,MATCH($B1346,Vinos!$A$2:$A$301,0))),0),"Bajo mínimo: reponer","OK")))</f>
        <v/>
      </c>
      <c r="O1346" s="14" t="n"/>
      <c r="P1346" s="14" t="n"/>
      <c r="Q1346" s="20">
        <f>IF($B1346="","",IFERROR(INDEX(Vinos!$C$2:$C$301,MATCH($B1346,Vinos!$A$2:$A$301,0)),""))</f>
        <v/>
      </c>
      <c r="R1346" s="20">
        <f>IF(OR($A1346="",$A1346&lt;&gt;'Resumen del inventario'!$C$3,$N1346="",$N1346="OK"),"",IF(COUNTIFS($A$2:$A1346,$A1346,$B$2:$B1346,$B1346)=1,1,""))</f>
        <v/>
      </c>
      <c r="S1346" s="20">
        <f>IF($R1346=1,COUNTIF($R$2:$R1346,1),"")</f>
        <v/>
      </c>
    </row>
    <row r="1347">
      <c r="A1347" s="19" t="n"/>
      <c r="B1347" s="14" t="n"/>
      <c r="C1347" s="20">
        <f>IF($B1347="","",IFERROR(INDEX(Vinos!$B$2:$B$301,MATCH($B1347,Vinos!$A$2:$A$301,0)),"Código no cargado"))</f>
        <v/>
      </c>
      <c r="D1347" s="14" t="n"/>
      <c r="E1347" s="14" t="n"/>
      <c r="F1347" s="18" t="n"/>
      <c r="G1347" s="18" t="n"/>
      <c r="H1347" s="21">
        <f>IF(AND($F1347="",$G1347=""),"",N($F1347)*IFERROR(N(INDEX(Vinos!$H$2:$H$301,MATCH($B1347,Vinos!$A$2:$A$301,0))),0)+N($G1347))</f>
        <v/>
      </c>
      <c r="I1347" s="18" t="n"/>
      <c r="J1347" s="21">
        <f>IF(OR($H1347="",$I1347=""),"",$H1347-$I1347)</f>
        <v/>
      </c>
      <c r="K1347" s="16">
        <f>IF($H1347="","",IFERROR(IF(INDEX(Vinos!$J$2:$J$301,MATCH($B1347,Vinos!$A$2:$A$301,0))="","",$H1347*INDEX(Vinos!$J$2:$J$301,MATCH($B1347,Vinos!$A$2:$A$301,0))),""))</f>
        <v/>
      </c>
      <c r="L1347" s="16">
        <f>IF($H1347="","",IFERROR(IF(INDEX(Vinos!$K$2:$K$301,MATCH($B1347,Vinos!$A$2:$A$301,0))="","",$H1347*INDEX(Vinos!$K$2:$K$301,MATCH($B1347,Vinos!$A$2:$A$301,0))),""))</f>
        <v/>
      </c>
      <c r="M1347" s="21">
        <f>IF(OR($A1347="",$B1347=""),"",SUMIFS($H$2:$H$2001,$A$2:$A$2001,$A1347,$B$2:$B$2001,$B1347))</f>
        <v/>
      </c>
      <c r="N1347" s="20">
        <f>IF($M1347="","",IF($M1347&lt;=0,"Sin stock: reponer ya",IF($M1347&lt;IFERROR(N(INDEX(Vinos!$N$2:$N$301,MATCH($B1347,Vinos!$A$2:$A$301,0))),0),"Bajo mínimo: reponer","OK")))</f>
        <v/>
      </c>
      <c r="O1347" s="14" t="n"/>
      <c r="P1347" s="14" t="n"/>
      <c r="Q1347" s="20">
        <f>IF($B1347="","",IFERROR(INDEX(Vinos!$C$2:$C$301,MATCH($B1347,Vinos!$A$2:$A$301,0)),""))</f>
        <v/>
      </c>
      <c r="R1347" s="20">
        <f>IF(OR($A1347="",$A1347&lt;&gt;'Resumen del inventario'!$C$3,$N1347="",$N1347="OK"),"",IF(COUNTIFS($A$2:$A1347,$A1347,$B$2:$B1347,$B1347)=1,1,""))</f>
        <v/>
      </c>
      <c r="S1347" s="20">
        <f>IF($R1347=1,COUNTIF($R$2:$R1347,1),"")</f>
        <v/>
      </c>
    </row>
    <row r="1348">
      <c r="A1348" s="19" t="n"/>
      <c r="B1348" s="14" t="n"/>
      <c r="C1348" s="20">
        <f>IF($B1348="","",IFERROR(INDEX(Vinos!$B$2:$B$301,MATCH($B1348,Vinos!$A$2:$A$301,0)),"Código no cargado"))</f>
        <v/>
      </c>
      <c r="D1348" s="14" t="n"/>
      <c r="E1348" s="14" t="n"/>
      <c r="F1348" s="18" t="n"/>
      <c r="G1348" s="18" t="n"/>
      <c r="H1348" s="21">
        <f>IF(AND($F1348="",$G1348=""),"",N($F1348)*IFERROR(N(INDEX(Vinos!$H$2:$H$301,MATCH($B1348,Vinos!$A$2:$A$301,0))),0)+N($G1348))</f>
        <v/>
      </c>
      <c r="I1348" s="18" t="n"/>
      <c r="J1348" s="21">
        <f>IF(OR($H1348="",$I1348=""),"",$H1348-$I1348)</f>
        <v/>
      </c>
      <c r="K1348" s="16">
        <f>IF($H1348="","",IFERROR(IF(INDEX(Vinos!$J$2:$J$301,MATCH($B1348,Vinos!$A$2:$A$301,0))="","",$H1348*INDEX(Vinos!$J$2:$J$301,MATCH($B1348,Vinos!$A$2:$A$301,0))),""))</f>
        <v/>
      </c>
      <c r="L1348" s="16">
        <f>IF($H1348="","",IFERROR(IF(INDEX(Vinos!$K$2:$K$301,MATCH($B1348,Vinos!$A$2:$A$301,0))="","",$H1348*INDEX(Vinos!$K$2:$K$301,MATCH($B1348,Vinos!$A$2:$A$301,0))),""))</f>
        <v/>
      </c>
      <c r="M1348" s="21">
        <f>IF(OR($A1348="",$B1348=""),"",SUMIFS($H$2:$H$2001,$A$2:$A$2001,$A1348,$B$2:$B$2001,$B1348))</f>
        <v/>
      </c>
      <c r="N1348" s="20">
        <f>IF($M1348="","",IF($M1348&lt;=0,"Sin stock: reponer ya",IF($M1348&lt;IFERROR(N(INDEX(Vinos!$N$2:$N$301,MATCH($B1348,Vinos!$A$2:$A$301,0))),0),"Bajo mínimo: reponer","OK")))</f>
        <v/>
      </c>
      <c r="O1348" s="14" t="n"/>
      <c r="P1348" s="14" t="n"/>
      <c r="Q1348" s="20">
        <f>IF($B1348="","",IFERROR(INDEX(Vinos!$C$2:$C$301,MATCH($B1348,Vinos!$A$2:$A$301,0)),""))</f>
        <v/>
      </c>
      <c r="R1348" s="20">
        <f>IF(OR($A1348="",$A1348&lt;&gt;'Resumen del inventario'!$C$3,$N1348="",$N1348="OK"),"",IF(COUNTIFS($A$2:$A1348,$A1348,$B$2:$B1348,$B1348)=1,1,""))</f>
        <v/>
      </c>
      <c r="S1348" s="20">
        <f>IF($R1348=1,COUNTIF($R$2:$R1348,1),"")</f>
        <v/>
      </c>
    </row>
    <row r="1349">
      <c r="A1349" s="19" t="n"/>
      <c r="B1349" s="14" t="n"/>
      <c r="C1349" s="20">
        <f>IF($B1349="","",IFERROR(INDEX(Vinos!$B$2:$B$301,MATCH($B1349,Vinos!$A$2:$A$301,0)),"Código no cargado"))</f>
        <v/>
      </c>
      <c r="D1349" s="14" t="n"/>
      <c r="E1349" s="14" t="n"/>
      <c r="F1349" s="18" t="n"/>
      <c r="G1349" s="18" t="n"/>
      <c r="H1349" s="21">
        <f>IF(AND($F1349="",$G1349=""),"",N($F1349)*IFERROR(N(INDEX(Vinos!$H$2:$H$301,MATCH($B1349,Vinos!$A$2:$A$301,0))),0)+N($G1349))</f>
        <v/>
      </c>
      <c r="I1349" s="18" t="n"/>
      <c r="J1349" s="21">
        <f>IF(OR($H1349="",$I1349=""),"",$H1349-$I1349)</f>
        <v/>
      </c>
      <c r="K1349" s="16">
        <f>IF($H1349="","",IFERROR(IF(INDEX(Vinos!$J$2:$J$301,MATCH($B1349,Vinos!$A$2:$A$301,0))="","",$H1349*INDEX(Vinos!$J$2:$J$301,MATCH($B1349,Vinos!$A$2:$A$301,0))),""))</f>
        <v/>
      </c>
      <c r="L1349" s="16">
        <f>IF($H1349="","",IFERROR(IF(INDEX(Vinos!$K$2:$K$301,MATCH($B1349,Vinos!$A$2:$A$301,0))="","",$H1349*INDEX(Vinos!$K$2:$K$301,MATCH($B1349,Vinos!$A$2:$A$301,0))),""))</f>
        <v/>
      </c>
      <c r="M1349" s="21">
        <f>IF(OR($A1349="",$B1349=""),"",SUMIFS($H$2:$H$2001,$A$2:$A$2001,$A1349,$B$2:$B$2001,$B1349))</f>
        <v/>
      </c>
      <c r="N1349" s="20">
        <f>IF($M1349="","",IF($M1349&lt;=0,"Sin stock: reponer ya",IF($M1349&lt;IFERROR(N(INDEX(Vinos!$N$2:$N$301,MATCH($B1349,Vinos!$A$2:$A$301,0))),0),"Bajo mínimo: reponer","OK")))</f>
        <v/>
      </c>
      <c r="O1349" s="14" t="n"/>
      <c r="P1349" s="14" t="n"/>
      <c r="Q1349" s="20">
        <f>IF($B1349="","",IFERROR(INDEX(Vinos!$C$2:$C$301,MATCH($B1349,Vinos!$A$2:$A$301,0)),""))</f>
        <v/>
      </c>
      <c r="R1349" s="20">
        <f>IF(OR($A1349="",$A1349&lt;&gt;'Resumen del inventario'!$C$3,$N1349="",$N1349="OK"),"",IF(COUNTIFS($A$2:$A1349,$A1349,$B$2:$B1349,$B1349)=1,1,""))</f>
        <v/>
      </c>
      <c r="S1349" s="20">
        <f>IF($R1349=1,COUNTIF($R$2:$R1349,1),"")</f>
        <v/>
      </c>
    </row>
    <row r="1350">
      <c r="A1350" s="19" t="n"/>
      <c r="B1350" s="14" t="n"/>
      <c r="C1350" s="20">
        <f>IF($B1350="","",IFERROR(INDEX(Vinos!$B$2:$B$301,MATCH($B1350,Vinos!$A$2:$A$301,0)),"Código no cargado"))</f>
        <v/>
      </c>
      <c r="D1350" s="14" t="n"/>
      <c r="E1350" s="14" t="n"/>
      <c r="F1350" s="18" t="n"/>
      <c r="G1350" s="18" t="n"/>
      <c r="H1350" s="21">
        <f>IF(AND($F1350="",$G1350=""),"",N($F1350)*IFERROR(N(INDEX(Vinos!$H$2:$H$301,MATCH($B1350,Vinos!$A$2:$A$301,0))),0)+N($G1350))</f>
        <v/>
      </c>
      <c r="I1350" s="18" t="n"/>
      <c r="J1350" s="21">
        <f>IF(OR($H1350="",$I1350=""),"",$H1350-$I1350)</f>
        <v/>
      </c>
      <c r="K1350" s="16">
        <f>IF($H1350="","",IFERROR(IF(INDEX(Vinos!$J$2:$J$301,MATCH($B1350,Vinos!$A$2:$A$301,0))="","",$H1350*INDEX(Vinos!$J$2:$J$301,MATCH($B1350,Vinos!$A$2:$A$301,0))),""))</f>
        <v/>
      </c>
      <c r="L1350" s="16">
        <f>IF($H1350="","",IFERROR(IF(INDEX(Vinos!$K$2:$K$301,MATCH($B1350,Vinos!$A$2:$A$301,0))="","",$H1350*INDEX(Vinos!$K$2:$K$301,MATCH($B1350,Vinos!$A$2:$A$301,0))),""))</f>
        <v/>
      </c>
      <c r="M1350" s="21">
        <f>IF(OR($A1350="",$B1350=""),"",SUMIFS($H$2:$H$2001,$A$2:$A$2001,$A1350,$B$2:$B$2001,$B1350))</f>
        <v/>
      </c>
      <c r="N1350" s="20">
        <f>IF($M1350="","",IF($M1350&lt;=0,"Sin stock: reponer ya",IF($M1350&lt;IFERROR(N(INDEX(Vinos!$N$2:$N$301,MATCH($B1350,Vinos!$A$2:$A$301,0))),0),"Bajo mínimo: reponer","OK")))</f>
        <v/>
      </c>
      <c r="O1350" s="14" t="n"/>
      <c r="P1350" s="14" t="n"/>
      <c r="Q1350" s="20">
        <f>IF($B1350="","",IFERROR(INDEX(Vinos!$C$2:$C$301,MATCH($B1350,Vinos!$A$2:$A$301,0)),""))</f>
        <v/>
      </c>
      <c r="R1350" s="20">
        <f>IF(OR($A1350="",$A1350&lt;&gt;'Resumen del inventario'!$C$3,$N1350="",$N1350="OK"),"",IF(COUNTIFS($A$2:$A1350,$A1350,$B$2:$B1350,$B1350)=1,1,""))</f>
        <v/>
      </c>
      <c r="S1350" s="20">
        <f>IF($R1350=1,COUNTIF($R$2:$R1350,1),"")</f>
        <v/>
      </c>
    </row>
    <row r="1351">
      <c r="A1351" s="19" t="n"/>
      <c r="B1351" s="14" t="n"/>
      <c r="C1351" s="20">
        <f>IF($B1351="","",IFERROR(INDEX(Vinos!$B$2:$B$301,MATCH($B1351,Vinos!$A$2:$A$301,0)),"Código no cargado"))</f>
        <v/>
      </c>
      <c r="D1351" s="14" t="n"/>
      <c r="E1351" s="14" t="n"/>
      <c r="F1351" s="18" t="n"/>
      <c r="G1351" s="18" t="n"/>
      <c r="H1351" s="21">
        <f>IF(AND($F1351="",$G1351=""),"",N($F1351)*IFERROR(N(INDEX(Vinos!$H$2:$H$301,MATCH($B1351,Vinos!$A$2:$A$301,0))),0)+N($G1351))</f>
        <v/>
      </c>
      <c r="I1351" s="18" t="n"/>
      <c r="J1351" s="21">
        <f>IF(OR($H1351="",$I1351=""),"",$H1351-$I1351)</f>
        <v/>
      </c>
      <c r="K1351" s="16">
        <f>IF($H1351="","",IFERROR(IF(INDEX(Vinos!$J$2:$J$301,MATCH($B1351,Vinos!$A$2:$A$301,0))="","",$H1351*INDEX(Vinos!$J$2:$J$301,MATCH($B1351,Vinos!$A$2:$A$301,0))),""))</f>
        <v/>
      </c>
      <c r="L1351" s="16">
        <f>IF($H1351="","",IFERROR(IF(INDEX(Vinos!$K$2:$K$301,MATCH($B1351,Vinos!$A$2:$A$301,0))="","",$H1351*INDEX(Vinos!$K$2:$K$301,MATCH($B1351,Vinos!$A$2:$A$301,0))),""))</f>
        <v/>
      </c>
      <c r="M1351" s="21">
        <f>IF(OR($A1351="",$B1351=""),"",SUMIFS($H$2:$H$2001,$A$2:$A$2001,$A1351,$B$2:$B$2001,$B1351))</f>
        <v/>
      </c>
      <c r="N1351" s="20">
        <f>IF($M1351="","",IF($M1351&lt;=0,"Sin stock: reponer ya",IF($M1351&lt;IFERROR(N(INDEX(Vinos!$N$2:$N$301,MATCH($B1351,Vinos!$A$2:$A$301,0))),0),"Bajo mínimo: reponer","OK")))</f>
        <v/>
      </c>
      <c r="O1351" s="14" t="n"/>
      <c r="P1351" s="14" t="n"/>
      <c r="Q1351" s="20">
        <f>IF($B1351="","",IFERROR(INDEX(Vinos!$C$2:$C$301,MATCH($B1351,Vinos!$A$2:$A$301,0)),""))</f>
        <v/>
      </c>
      <c r="R1351" s="20">
        <f>IF(OR($A1351="",$A1351&lt;&gt;'Resumen del inventario'!$C$3,$N1351="",$N1351="OK"),"",IF(COUNTIFS($A$2:$A1351,$A1351,$B$2:$B1351,$B1351)=1,1,""))</f>
        <v/>
      </c>
      <c r="S1351" s="20">
        <f>IF($R1351=1,COUNTIF($R$2:$R1351,1),"")</f>
        <v/>
      </c>
    </row>
    <row r="1352">
      <c r="A1352" s="19" t="n"/>
      <c r="B1352" s="14" t="n"/>
      <c r="C1352" s="20">
        <f>IF($B1352="","",IFERROR(INDEX(Vinos!$B$2:$B$301,MATCH($B1352,Vinos!$A$2:$A$301,0)),"Código no cargado"))</f>
        <v/>
      </c>
      <c r="D1352" s="14" t="n"/>
      <c r="E1352" s="14" t="n"/>
      <c r="F1352" s="18" t="n"/>
      <c r="G1352" s="18" t="n"/>
      <c r="H1352" s="21">
        <f>IF(AND($F1352="",$G1352=""),"",N($F1352)*IFERROR(N(INDEX(Vinos!$H$2:$H$301,MATCH($B1352,Vinos!$A$2:$A$301,0))),0)+N($G1352))</f>
        <v/>
      </c>
      <c r="I1352" s="18" t="n"/>
      <c r="J1352" s="21">
        <f>IF(OR($H1352="",$I1352=""),"",$H1352-$I1352)</f>
        <v/>
      </c>
      <c r="K1352" s="16">
        <f>IF($H1352="","",IFERROR(IF(INDEX(Vinos!$J$2:$J$301,MATCH($B1352,Vinos!$A$2:$A$301,0))="","",$H1352*INDEX(Vinos!$J$2:$J$301,MATCH($B1352,Vinos!$A$2:$A$301,0))),""))</f>
        <v/>
      </c>
      <c r="L1352" s="16">
        <f>IF($H1352="","",IFERROR(IF(INDEX(Vinos!$K$2:$K$301,MATCH($B1352,Vinos!$A$2:$A$301,0))="","",$H1352*INDEX(Vinos!$K$2:$K$301,MATCH($B1352,Vinos!$A$2:$A$301,0))),""))</f>
        <v/>
      </c>
      <c r="M1352" s="21">
        <f>IF(OR($A1352="",$B1352=""),"",SUMIFS($H$2:$H$2001,$A$2:$A$2001,$A1352,$B$2:$B$2001,$B1352))</f>
        <v/>
      </c>
      <c r="N1352" s="20">
        <f>IF($M1352="","",IF($M1352&lt;=0,"Sin stock: reponer ya",IF($M1352&lt;IFERROR(N(INDEX(Vinos!$N$2:$N$301,MATCH($B1352,Vinos!$A$2:$A$301,0))),0),"Bajo mínimo: reponer","OK")))</f>
        <v/>
      </c>
      <c r="O1352" s="14" t="n"/>
      <c r="P1352" s="14" t="n"/>
      <c r="Q1352" s="20">
        <f>IF($B1352="","",IFERROR(INDEX(Vinos!$C$2:$C$301,MATCH($B1352,Vinos!$A$2:$A$301,0)),""))</f>
        <v/>
      </c>
      <c r="R1352" s="20">
        <f>IF(OR($A1352="",$A1352&lt;&gt;'Resumen del inventario'!$C$3,$N1352="",$N1352="OK"),"",IF(COUNTIFS($A$2:$A1352,$A1352,$B$2:$B1352,$B1352)=1,1,""))</f>
        <v/>
      </c>
      <c r="S1352" s="20">
        <f>IF($R1352=1,COUNTIF($R$2:$R1352,1),"")</f>
        <v/>
      </c>
    </row>
    <row r="1353">
      <c r="A1353" s="19" t="n"/>
      <c r="B1353" s="14" t="n"/>
      <c r="C1353" s="20">
        <f>IF($B1353="","",IFERROR(INDEX(Vinos!$B$2:$B$301,MATCH($B1353,Vinos!$A$2:$A$301,0)),"Código no cargado"))</f>
        <v/>
      </c>
      <c r="D1353" s="14" t="n"/>
      <c r="E1353" s="14" t="n"/>
      <c r="F1353" s="18" t="n"/>
      <c r="G1353" s="18" t="n"/>
      <c r="H1353" s="21">
        <f>IF(AND($F1353="",$G1353=""),"",N($F1353)*IFERROR(N(INDEX(Vinos!$H$2:$H$301,MATCH($B1353,Vinos!$A$2:$A$301,0))),0)+N($G1353))</f>
        <v/>
      </c>
      <c r="I1353" s="18" t="n"/>
      <c r="J1353" s="21">
        <f>IF(OR($H1353="",$I1353=""),"",$H1353-$I1353)</f>
        <v/>
      </c>
      <c r="K1353" s="16">
        <f>IF($H1353="","",IFERROR(IF(INDEX(Vinos!$J$2:$J$301,MATCH($B1353,Vinos!$A$2:$A$301,0))="","",$H1353*INDEX(Vinos!$J$2:$J$301,MATCH($B1353,Vinos!$A$2:$A$301,0))),""))</f>
        <v/>
      </c>
      <c r="L1353" s="16">
        <f>IF($H1353="","",IFERROR(IF(INDEX(Vinos!$K$2:$K$301,MATCH($B1353,Vinos!$A$2:$A$301,0))="","",$H1353*INDEX(Vinos!$K$2:$K$301,MATCH($B1353,Vinos!$A$2:$A$301,0))),""))</f>
        <v/>
      </c>
      <c r="M1353" s="21">
        <f>IF(OR($A1353="",$B1353=""),"",SUMIFS($H$2:$H$2001,$A$2:$A$2001,$A1353,$B$2:$B$2001,$B1353))</f>
        <v/>
      </c>
      <c r="N1353" s="20">
        <f>IF($M1353="","",IF($M1353&lt;=0,"Sin stock: reponer ya",IF($M1353&lt;IFERROR(N(INDEX(Vinos!$N$2:$N$301,MATCH($B1353,Vinos!$A$2:$A$301,0))),0),"Bajo mínimo: reponer","OK")))</f>
        <v/>
      </c>
      <c r="O1353" s="14" t="n"/>
      <c r="P1353" s="14" t="n"/>
      <c r="Q1353" s="20">
        <f>IF($B1353="","",IFERROR(INDEX(Vinos!$C$2:$C$301,MATCH($B1353,Vinos!$A$2:$A$301,0)),""))</f>
        <v/>
      </c>
      <c r="R1353" s="20">
        <f>IF(OR($A1353="",$A1353&lt;&gt;'Resumen del inventario'!$C$3,$N1353="",$N1353="OK"),"",IF(COUNTIFS($A$2:$A1353,$A1353,$B$2:$B1353,$B1353)=1,1,""))</f>
        <v/>
      </c>
      <c r="S1353" s="20">
        <f>IF($R1353=1,COUNTIF($R$2:$R1353,1),"")</f>
        <v/>
      </c>
    </row>
    <row r="1354">
      <c r="A1354" s="19" t="n"/>
      <c r="B1354" s="14" t="n"/>
      <c r="C1354" s="20">
        <f>IF($B1354="","",IFERROR(INDEX(Vinos!$B$2:$B$301,MATCH($B1354,Vinos!$A$2:$A$301,0)),"Código no cargado"))</f>
        <v/>
      </c>
      <c r="D1354" s="14" t="n"/>
      <c r="E1354" s="14" t="n"/>
      <c r="F1354" s="18" t="n"/>
      <c r="G1354" s="18" t="n"/>
      <c r="H1354" s="21">
        <f>IF(AND($F1354="",$G1354=""),"",N($F1354)*IFERROR(N(INDEX(Vinos!$H$2:$H$301,MATCH($B1354,Vinos!$A$2:$A$301,0))),0)+N($G1354))</f>
        <v/>
      </c>
      <c r="I1354" s="18" t="n"/>
      <c r="J1354" s="21">
        <f>IF(OR($H1354="",$I1354=""),"",$H1354-$I1354)</f>
        <v/>
      </c>
      <c r="K1354" s="16">
        <f>IF($H1354="","",IFERROR(IF(INDEX(Vinos!$J$2:$J$301,MATCH($B1354,Vinos!$A$2:$A$301,0))="","",$H1354*INDEX(Vinos!$J$2:$J$301,MATCH($B1354,Vinos!$A$2:$A$301,0))),""))</f>
        <v/>
      </c>
      <c r="L1354" s="16">
        <f>IF($H1354="","",IFERROR(IF(INDEX(Vinos!$K$2:$K$301,MATCH($B1354,Vinos!$A$2:$A$301,0))="","",$H1354*INDEX(Vinos!$K$2:$K$301,MATCH($B1354,Vinos!$A$2:$A$301,0))),""))</f>
        <v/>
      </c>
      <c r="M1354" s="21">
        <f>IF(OR($A1354="",$B1354=""),"",SUMIFS($H$2:$H$2001,$A$2:$A$2001,$A1354,$B$2:$B$2001,$B1354))</f>
        <v/>
      </c>
      <c r="N1354" s="20">
        <f>IF($M1354="","",IF($M1354&lt;=0,"Sin stock: reponer ya",IF($M1354&lt;IFERROR(N(INDEX(Vinos!$N$2:$N$301,MATCH($B1354,Vinos!$A$2:$A$301,0))),0),"Bajo mínimo: reponer","OK")))</f>
        <v/>
      </c>
      <c r="O1354" s="14" t="n"/>
      <c r="P1354" s="14" t="n"/>
      <c r="Q1354" s="20">
        <f>IF($B1354="","",IFERROR(INDEX(Vinos!$C$2:$C$301,MATCH($B1354,Vinos!$A$2:$A$301,0)),""))</f>
        <v/>
      </c>
      <c r="R1354" s="20">
        <f>IF(OR($A1354="",$A1354&lt;&gt;'Resumen del inventario'!$C$3,$N1354="",$N1354="OK"),"",IF(COUNTIFS($A$2:$A1354,$A1354,$B$2:$B1354,$B1354)=1,1,""))</f>
        <v/>
      </c>
      <c r="S1354" s="20">
        <f>IF($R1354=1,COUNTIF($R$2:$R1354,1),"")</f>
        <v/>
      </c>
    </row>
    <row r="1355">
      <c r="A1355" s="19" t="n"/>
      <c r="B1355" s="14" t="n"/>
      <c r="C1355" s="20">
        <f>IF($B1355="","",IFERROR(INDEX(Vinos!$B$2:$B$301,MATCH($B1355,Vinos!$A$2:$A$301,0)),"Código no cargado"))</f>
        <v/>
      </c>
      <c r="D1355" s="14" t="n"/>
      <c r="E1355" s="14" t="n"/>
      <c r="F1355" s="18" t="n"/>
      <c r="G1355" s="18" t="n"/>
      <c r="H1355" s="21">
        <f>IF(AND($F1355="",$G1355=""),"",N($F1355)*IFERROR(N(INDEX(Vinos!$H$2:$H$301,MATCH($B1355,Vinos!$A$2:$A$301,0))),0)+N($G1355))</f>
        <v/>
      </c>
      <c r="I1355" s="18" t="n"/>
      <c r="J1355" s="21">
        <f>IF(OR($H1355="",$I1355=""),"",$H1355-$I1355)</f>
        <v/>
      </c>
      <c r="K1355" s="16">
        <f>IF($H1355="","",IFERROR(IF(INDEX(Vinos!$J$2:$J$301,MATCH($B1355,Vinos!$A$2:$A$301,0))="","",$H1355*INDEX(Vinos!$J$2:$J$301,MATCH($B1355,Vinos!$A$2:$A$301,0))),""))</f>
        <v/>
      </c>
      <c r="L1355" s="16">
        <f>IF($H1355="","",IFERROR(IF(INDEX(Vinos!$K$2:$K$301,MATCH($B1355,Vinos!$A$2:$A$301,0))="","",$H1355*INDEX(Vinos!$K$2:$K$301,MATCH($B1355,Vinos!$A$2:$A$301,0))),""))</f>
        <v/>
      </c>
      <c r="M1355" s="21">
        <f>IF(OR($A1355="",$B1355=""),"",SUMIFS($H$2:$H$2001,$A$2:$A$2001,$A1355,$B$2:$B$2001,$B1355))</f>
        <v/>
      </c>
      <c r="N1355" s="20">
        <f>IF($M1355="","",IF($M1355&lt;=0,"Sin stock: reponer ya",IF($M1355&lt;IFERROR(N(INDEX(Vinos!$N$2:$N$301,MATCH($B1355,Vinos!$A$2:$A$301,0))),0),"Bajo mínimo: reponer","OK")))</f>
        <v/>
      </c>
      <c r="O1355" s="14" t="n"/>
      <c r="P1355" s="14" t="n"/>
      <c r="Q1355" s="20">
        <f>IF($B1355="","",IFERROR(INDEX(Vinos!$C$2:$C$301,MATCH($B1355,Vinos!$A$2:$A$301,0)),""))</f>
        <v/>
      </c>
      <c r="R1355" s="20">
        <f>IF(OR($A1355="",$A1355&lt;&gt;'Resumen del inventario'!$C$3,$N1355="",$N1355="OK"),"",IF(COUNTIFS($A$2:$A1355,$A1355,$B$2:$B1355,$B1355)=1,1,""))</f>
        <v/>
      </c>
      <c r="S1355" s="20">
        <f>IF($R1355=1,COUNTIF($R$2:$R1355,1),"")</f>
        <v/>
      </c>
    </row>
    <row r="1356">
      <c r="A1356" s="19" t="n"/>
      <c r="B1356" s="14" t="n"/>
      <c r="C1356" s="20">
        <f>IF($B1356="","",IFERROR(INDEX(Vinos!$B$2:$B$301,MATCH($B1356,Vinos!$A$2:$A$301,0)),"Código no cargado"))</f>
        <v/>
      </c>
      <c r="D1356" s="14" t="n"/>
      <c r="E1356" s="14" t="n"/>
      <c r="F1356" s="18" t="n"/>
      <c r="G1356" s="18" t="n"/>
      <c r="H1356" s="21">
        <f>IF(AND($F1356="",$G1356=""),"",N($F1356)*IFERROR(N(INDEX(Vinos!$H$2:$H$301,MATCH($B1356,Vinos!$A$2:$A$301,0))),0)+N($G1356))</f>
        <v/>
      </c>
      <c r="I1356" s="18" t="n"/>
      <c r="J1356" s="21">
        <f>IF(OR($H1356="",$I1356=""),"",$H1356-$I1356)</f>
        <v/>
      </c>
      <c r="K1356" s="16">
        <f>IF($H1356="","",IFERROR(IF(INDEX(Vinos!$J$2:$J$301,MATCH($B1356,Vinos!$A$2:$A$301,0))="","",$H1356*INDEX(Vinos!$J$2:$J$301,MATCH($B1356,Vinos!$A$2:$A$301,0))),""))</f>
        <v/>
      </c>
      <c r="L1356" s="16">
        <f>IF($H1356="","",IFERROR(IF(INDEX(Vinos!$K$2:$K$301,MATCH($B1356,Vinos!$A$2:$A$301,0))="","",$H1356*INDEX(Vinos!$K$2:$K$301,MATCH($B1356,Vinos!$A$2:$A$301,0))),""))</f>
        <v/>
      </c>
      <c r="M1356" s="21">
        <f>IF(OR($A1356="",$B1356=""),"",SUMIFS($H$2:$H$2001,$A$2:$A$2001,$A1356,$B$2:$B$2001,$B1356))</f>
        <v/>
      </c>
      <c r="N1356" s="20">
        <f>IF($M1356="","",IF($M1356&lt;=0,"Sin stock: reponer ya",IF($M1356&lt;IFERROR(N(INDEX(Vinos!$N$2:$N$301,MATCH($B1356,Vinos!$A$2:$A$301,0))),0),"Bajo mínimo: reponer","OK")))</f>
        <v/>
      </c>
      <c r="O1356" s="14" t="n"/>
      <c r="P1356" s="14" t="n"/>
      <c r="Q1356" s="20">
        <f>IF($B1356="","",IFERROR(INDEX(Vinos!$C$2:$C$301,MATCH($B1356,Vinos!$A$2:$A$301,0)),""))</f>
        <v/>
      </c>
      <c r="R1356" s="20">
        <f>IF(OR($A1356="",$A1356&lt;&gt;'Resumen del inventario'!$C$3,$N1356="",$N1356="OK"),"",IF(COUNTIFS($A$2:$A1356,$A1356,$B$2:$B1356,$B1356)=1,1,""))</f>
        <v/>
      </c>
      <c r="S1356" s="20">
        <f>IF($R1356=1,COUNTIF($R$2:$R1356,1),"")</f>
        <v/>
      </c>
    </row>
    <row r="1357">
      <c r="A1357" s="19" t="n"/>
      <c r="B1357" s="14" t="n"/>
      <c r="C1357" s="20">
        <f>IF($B1357="","",IFERROR(INDEX(Vinos!$B$2:$B$301,MATCH($B1357,Vinos!$A$2:$A$301,0)),"Código no cargado"))</f>
        <v/>
      </c>
      <c r="D1357" s="14" t="n"/>
      <c r="E1357" s="14" t="n"/>
      <c r="F1357" s="18" t="n"/>
      <c r="G1357" s="18" t="n"/>
      <c r="H1357" s="21">
        <f>IF(AND($F1357="",$G1357=""),"",N($F1357)*IFERROR(N(INDEX(Vinos!$H$2:$H$301,MATCH($B1357,Vinos!$A$2:$A$301,0))),0)+N($G1357))</f>
        <v/>
      </c>
      <c r="I1357" s="18" t="n"/>
      <c r="J1357" s="21">
        <f>IF(OR($H1357="",$I1357=""),"",$H1357-$I1357)</f>
        <v/>
      </c>
      <c r="K1357" s="16">
        <f>IF($H1357="","",IFERROR(IF(INDEX(Vinos!$J$2:$J$301,MATCH($B1357,Vinos!$A$2:$A$301,0))="","",$H1357*INDEX(Vinos!$J$2:$J$301,MATCH($B1357,Vinos!$A$2:$A$301,0))),""))</f>
        <v/>
      </c>
      <c r="L1357" s="16">
        <f>IF($H1357="","",IFERROR(IF(INDEX(Vinos!$K$2:$K$301,MATCH($B1357,Vinos!$A$2:$A$301,0))="","",$H1357*INDEX(Vinos!$K$2:$K$301,MATCH($B1357,Vinos!$A$2:$A$301,0))),""))</f>
        <v/>
      </c>
      <c r="M1357" s="21">
        <f>IF(OR($A1357="",$B1357=""),"",SUMIFS($H$2:$H$2001,$A$2:$A$2001,$A1357,$B$2:$B$2001,$B1357))</f>
        <v/>
      </c>
      <c r="N1357" s="20">
        <f>IF($M1357="","",IF($M1357&lt;=0,"Sin stock: reponer ya",IF($M1357&lt;IFERROR(N(INDEX(Vinos!$N$2:$N$301,MATCH($B1357,Vinos!$A$2:$A$301,0))),0),"Bajo mínimo: reponer","OK")))</f>
        <v/>
      </c>
      <c r="O1357" s="14" t="n"/>
      <c r="P1357" s="14" t="n"/>
      <c r="Q1357" s="20">
        <f>IF($B1357="","",IFERROR(INDEX(Vinos!$C$2:$C$301,MATCH($B1357,Vinos!$A$2:$A$301,0)),""))</f>
        <v/>
      </c>
      <c r="R1357" s="20">
        <f>IF(OR($A1357="",$A1357&lt;&gt;'Resumen del inventario'!$C$3,$N1357="",$N1357="OK"),"",IF(COUNTIFS($A$2:$A1357,$A1357,$B$2:$B1357,$B1357)=1,1,""))</f>
        <v/>
      </c>
      <c r="S1357" s="20">
        <f>IF($R1357=1,COUNTIF($R$2:$R1357,1),"")</f>
        <v/>
      </c>
    </row>
    <row r="1358">
      <c r="A1358" s="19" t="n"/>
      <c r="B1358" s="14" t="n"/>
      <c r="C1358" s="20">
        <f>IF($B1358="","",IFERROR(INDEX(Vinos!$B$2:$B$301,MATCH($B1358,Vinos!$A$2:$A$301,0)),"Código no cargado"))</f>
        <v/>
      </c>
      <c r="D1358" s="14" t="n"/>
      <c r="E1358" s="14" t="n"/>
      <c r="F1358" s="18" t="n"/>
      <c r="G1358" s="18" t="n"/>
      <c r="H1358" s="21">
        <f>IF(AND($F1358="",$G1358=""),"",N($F1358)*IFERROR(N(INDEX(Vinos!$H$2:$H$301,MATCH($B1358,Vinos!$A$2:$A$301,0))),0)+N($G1358))</f>
        <v/>
      </c>
      <c r="I1358" s="18" t="n"/>
      <c r="J1358" s="21">
        <f>IF(OR($H1358="",$I1358=""),"",$H1358-$I1358)</f>
        <v/>
      </c>
      <c r="K1358" s="16">
        <f>IF($H1358="","",IFERROR(IF(INDEX(Vinos!$J$2:$J$301,MATCH($B1358,Vinos!$A$2:$A$301,0))="","",$H1358*INDEX(Vinos!$J$2:$J$301,MATCH($B1358,Vinos!$A$2:$A$301,0))),""))</f>
        <v/>
      </c>
      <c r="L1358" s="16">
        <f>IF($H1358="","",IFERROR(IF(INDEX(Vinos!$K$2:$K$301,MATCH($B1358,Vinos!$A$2:$A$301,0))="","",$H1358*INDEX(Vinos!$K$2:$K$301,MATCH($B1358,Vinos!$A$2:$A$301,0))),""))</f>
        <v/>
      </c>
      <c r="M1358" s="21">
        <f>IF(OR($A1358="",$B1358=""),"",SUMIFS($H$2:$H$2001,$A$2:$A$2001,$A1358,$B$2:$B$2001,$B1358))</f>
        <v/>
      </c>
      <c r="N1358" s="20">
        <f>IF($M1358="","",IF($M1358&lt;=0,"Sin stock: reponer ya",IF($M1358&lt;IFERROR(N(INDEX(Vinos!$N$2:$N$301,MATCH($B1358,Vinos!$A$2:$A$301,0))),0),"Bajo mínimo: reponer","OK")))</f>
        <v/>
      </c>
      <c r="O1358" s="14" t="n"/>
      <c r="P1358" s="14" t="n"/>
      <c r="Q1358" s="20">
        <f>IF($B1358="","",IFERROR(INDEX(Vinos!$C$2:$C$301,MATCH($B1358,Vinos!$A$2:$A$301,0)),""))</f>
        <v/>
      </c>
      <c r="R1358" s="20">
        <f>IF(OR($A1358="",$A1358&lt;&gt;'Resumen del inventario'!$C$3,$N1358="",$N1358="OK"),"",IF(COUNTIFS($A$2:$A1358,$A1358,$B$2:$B1358,$B1358)=1,1,""))</f>
        <v/>
      </c>
      <c r="S1358" s="20">
        <f>IF($R1358=1,COUNTIF($R$2:$R1358,1),"")</f>
        <v/>
      </c>
    </row>
    <row r="1359">
      <c r="A1359" s="19" t="n"/>
      <c r="B1359" s="14" t="n"/>
      <c r="C1359" s="20">
        <f>IF($B1359="","",IFERROR(INDEX(Vinos!$B$2:$B$301,MATCH($B1359,Vinos!$A$2:$A$301,0)),"Código no cargado"))</f>
        <v/>
      </c>
      <c r="D1359" s="14" t="n"/>
      <c r="E1359" s="14" t="n"/>
      <c r="F1359" s="18" t="n"/>
      <c r="G1359" s="18" t="n"/>
      <c r="H1359" s="21">
        <f>IF(AND($F1359="",$G1359=""),"",N($F1359)*IFERROR(N(INDEX(Vinos!$H$2:$H$301,MATCH($B1359,Vinos!$A$2:$A$301,0))),0)+N($G1359))</f>
        <v/>
      </c>
      <c r="I1359" s="18" t="n"/>
      <c r="J1359" s="21">
        <f>IF(OR($H1359="",$I1359=""),"",$H1359-$I1359)</f>
        <v/>
      </c>
      <c r="K1359" s="16">
        <f>IF($H1359="","",IFERROR(IF(INDEX(Vinos!$J$2:$J$301,MATCH($B1359,Vinos!$A$2:$A$301,0))="","",$H1359*INDEX(Vinos!$J$2:$J$301,MATCH($B1359,Vinos!$A$2:$A$301,0))),""))</f>
        <v/>
      </c>
      <c r="L1359" s="16">
        <f>IF($H1359="","",IFERROR(IF(INDEX(Vinos!$K$2:$K$301,MATCH($B1359,Vinos!$A$2:$A$301,0))="","",$H1359*INDEX(Vinos!$K$2:$K$301,MATCH($B1359,Vinos!$A$2:$A$301,0))),""))</f>
        <v/>
      </c>
      <c r="M1359" s="21">
        <f>IF(OR($A1359="",$B1359=""),"",SUMIFS($H$2:$H$2001,$A$2:$A$2001,$A1359,$B$2:$B$2001,$B1359))</f>
        <v/>
      </c>
      <c r="N1359" s="20">
        <f>IF($M1359="","",IF($M1359&lt;=0,"Sin stock: reponer ya",IF($M1359&lt;IFERROR(N(INDEX(Vinos!$N$2:$N$301,MATCH($B1359,Vinos!$A$2:$A$301,0))),0),"Bajo mínimo: reponer","OK")))</f>
        <v/>
      </c>
      <c r="O1359" s="14" t="n"/>
      <c r="P1359" s="14" t="n"/>
      <c r="Q1359" s="20">
        <f>IF($B1359="","",IFERROR(INDEX(Vinos!$C$2:$C$301,MATCH($B1359,Vinos!$A$2:$A$301,0)),""))</f>
        <v/>
      </c>
      <c r="R1359" s="20">
        <f>IF(OR($A1359="",$A1359&lt;&gt;'Resumen del inventario'!$C$3,$N1359="",$N1359="OK"),"",IF(COUNTIFS($A$2:$A1359,$A1359,$B$2:$B1359,$B1359)=1,1,""))</f>
        <v/>
      </c>
      <c r="S1359" s="20">
        <f>IF($R1359=1,COUNTIF($R$2:$R1359,1),"")</f>
        <v/>
      </c>
    </row>
    <row r="1360">
      <c r="A1360" s="19" t="n"/>
      <c r="B1360" s="14" t="n"/>
      <c r="C1360" s="20">
        <f>IF($B1360="","",IFERROR(INDEX(Vinos!$B$2:$B$301,MATCH($B1360,Vinos!$A$2:$A$301,0)),"Código no cargado"))</f>
        <v/>
      </c>
      <c r="D1360" s="14" t="n"/>
      <c r="E1360" s="14" t="n"/>
      <c r="F1360" s="18" t="n"/>
      <c r="G1360" s="18" t="n"/>
      <c r="H1360" s="21">
        <f>IF(AND($F1360="",$G1360=""),"",N($F1360)*IFERROR(N(INDEX(Vinos!$H$2:$H$301,MATCH($B1360,Vinos!$A$2:$A$301,0))),0)+N($G1360))</f>
        <v/>
      </c>
      <c r="I1360" s="18" t="n"/>
      <c r="J1360" s="21">
        <f>IF(OR($H1360="",$I1360=""),"",$H1360-$I1360)</f>
        <v/>
      </c>
      <c r="K1360" s="16">
        <f>IF($H1360="","",IFERROR(IF(INDEX(Vinos!$J$2:$J$301,MATCH($B1360,Vinos!$A$2:$A$301,0))="","",$H1360*INDEX(Vinos!$J$2:$J$301,MATCH($B1360,Vinos!$A$2:$A$301,0))),""))</f>
        <v/>
      </c>
      <c r="L1360" s="16">
        <f>IF($H1360="","",IFERROR(IF(INDEX(Vinos!$K$2:$K$301,MATCH($B1360,Vinos!$A$2:$A$301,0))="","",$H1360*INDEX(Vinos!$K$2:$K$301,MATCH($B1360,Vinos!$A$2:$A$301,0))),""))</f>
        <v/>
      </c>
      <c r="M1360" s="21">
        <f>IF(OR($A1360="",$B1360=""),"",SUMIFS($H$2:$H$2001,$A$2:$A$2001,$A1360,$B$2:$B$2001,$B1360))</f>
        <v/>
      </c>
      <c r="N1360" s="20">
        <f>IF($M1360="","",IF($M1360&lt;=0,"Sin stock: reponer ya",IF($M1360&lt;IFERROR(N(INDEX(Vinos!$N$2:$N$301,MATCH($B1360,Vinos!$A$2:$A$301,0))),0),"Bajo mínimo: reponer","OK")))</f>
        <v/>
      </c>
      <c r="O1360" s="14" t="n"/>
      <c r="P1360" s="14" t="n"/>
      <c r="Q1360" s="20">
        <f>IF($B1360="","",IFERROR(INDEX(Vinos!$C$2:$C$301,MATCH($B1360,Vinos!$A$2:$A$301,0)),""))</f>
        <v/>
      </c>
      <c r="R1360" s="20">
        <f>IF(OR($A1360="",$A1360&lt;&gt;'Resumen del inventario'!$C$3,$N1360="",$N1360="OK"),"",IF(COUNTIFS($A$2:$A1360,$A1360,$B$2:$B1360,$B1360)=1,1,""))</f>
        <v/>
      </c>
      <c r="S1360" s="20">
        <f>IF($R1360=1,COUNTIF($R$2:$R1360,1),"")</f>
        <v/>
      </c>
    </row>
    <row r="1361">
      <c r="A1361" s="19" t="n"/>
      <c r="B1361" s="14" t="n"/>
      <c r="C1361" s="20">
        <f>IF($B1361="","",IFERROR(INDEX(Vinos!$B$2:$B$301,MATCH($B1361,Vinos!$A$2:$A$301,0)),"Código no cargado"))</f>
        <v/>
      </c>
      <c r="D1361" s="14" t="n"/>
      <c r="E1361" s="14" t="n"/>
      <c r="F1361" s="18" t="n"/>
      <c r="G1361" s="18" t="n"/>
      <c r="H1361" s="21">
        <f>IF(AND($F1361="",$G1361=""),"",N($F1361)*IFERROR(N(INDEX(Vinos!$H$2:$H$301,MATCH($B1361,Vinos!$A$2:$A$301,0))),0)+N($G1361))</f>
        <v/>
      </c>
      <c r="I1361" s="18" t="n"/>
      <c r="J1361" s="21">
        <f>IF(OR($H1361="",$I1361=""),"",$H1361-$I1361)</f>
        <v/>
      </c>
      <c r="K1361" s="16">
        <f>IF($H1361="","",IFERROR(IF(INDEX(Vinos!$J$2:$J$301,MATCH($B1361,Vinos!$A$2:$A$301,0))="","",$H1361*INDEX(Vinos!$J$2:$J$301,MATCH($B1361,Vinos!$A$2:$A$301,0))),""))</f>
        <v/>
      </c>
      <c r="L1361" s="16">
        <f>IF($H1361="","",IFERROR(IF(INDEX(Vinos!$K$2:$K$301,MATCH($B1361,Vinos!$A$2:$A$301,0))="","",$H1361*INDEX(Vinos!$K$2:$K$301,MATCH($B1361,Vinos!$A$2:$A$301,0))),""))</f>
        <v/>
      </c>
      <c r="M1361" s="21">
        <f>IF(OR($A1361="",$B1361=""),"",SUMIFS($H$2:$H$2001,$A$2:$A$2001,$A1361,$B$2:$B$2001,$B1361))</f>
        <v/>
      </c>
      <c r="N1361" s="20">
        <f>IF($M1361="","",IF($M1361&lt;=0,"Sin stock: reponer ya",IF($M1361&lt;IFERROR(N(INDEX(Vinos!$N$2:$N$301,MATCH($B1361,Vinos!$A$2:$A$301,0))),0),"Bajo mínimo: reponer","OK")))</f>
        <v/>
      </c>
      <c r="O1361" s="14" t="n"/>
      <c r="P1361" s="14" t="n"/>
      <c r="Q1361" s="20">
        <f>IF($B1361="","",IFERROR(INDEX(Vinos!$C$2:$C$301,MATCH($B1361,Vinos!$A$2:$A$301,0)),""))</f>
        <v/>
      </c>
      <c r="R1361" s="20">
        <f>IF(OR($A1361="",$A1361&lt;&gt;'Resumen del inventario'!$C$3,$N1361="",$N1361="OK"),"",IF(COUNTIFS($A$2:$A1361,$A1361,$B$2:$B1361,$B1361)=1,1,""))</f>
        <v/>
      </c>
      <c r="S1361" s="20">
        <f>IF($R1361=1,COUNTIF($R$2:$R1361,1),"")</f>
        <v/>
      </c>
    </row>
    <row r="1362">
      <c r="A1362" s="19" t="n"/>
      <c r="B1362" s="14" t="n"/>
      <c r="C1362" s="20">
        <f>IF($B1362="","",IFERROR(INDEX(Vinos!$B$2:$B$301,MATCH($B1362,Vinos!$A$2:$A$301,0)),"Código no cargado"))</f>
        <v/>
      </c>
      <c r="D1362" s="14" t="n"/>
      <c r="E1362" s="14" t="n"/>
      <c r="F1362" s="18" t="n"/>
      <c r="G1362" s="18" t="n"/>
      <c r="H1362" s="21">
        <f>IF(AND($F1362="",$G1362=""),"",N($F1362)*IFERROR(N(INDEX(Vinos!$H$2:$H$301,MATCH($B1362,Vinos!$A$2:$A$301,0))),0)+N($G1362))</f>
        <v/>
      </c>
      <c r="I1362" s="18" t="n"/>
      <c r="J1362" s="21">
        <f>IF(OR($H1362="",$I1362=""),"",$H1362-$I1362)</f>
        <v/>
      </c>
      <c r="K1362" s="16">
        <f>IF($H1362="","",IFERROR(IF(INDEX(Vinos!$J$2:$J$301,MATCH($B1362,Vinos!$A$2:$A$301,0))="","",$H1362*INDEX(Vinos!$J$2:$J$301,MATCH($B1362,Vinos!$A$2:$A$301,0))),""))</f>
        <v/>
      </c>
      <c r="L1362" s="16">
        <f>IF($H1362="","",IFERROR(IF(INDEX(Vinos!$K$2:$K$301,MATCH($B1362,Vinos!$A$2:$A$301,0))="","",$H1362*INDEX(Vinos!$K$2:$K$301,MATCH($B1362,Vinos!$A$2:$A$301,0))),""))</f>
        <v/>
      </c>
      <c r="M1362" s="21">
        <f>IF(OR($A1362="",$B1362=""),"",SUMIFS($H$2:$H$2001,$A$2:$A$2001,$A1362,$B$2:$B$2001,$B1362))</f>
        <v/>
      </c>
      <c r="N1362" s="20">
        <f>IF($M1362="","",IF($M1362&lt;=0,"Sin stock: reponer ya",IF($M1362&lt;IFERROR(N(INDEX(Vinos!$N$2:$N$301,MATCH($B1362,Vinos!$A$2:$A$301,0))),0),"Bajo mínimo: reponer","OK")))</f>
        <v/>
      </c>
      <c r="O1362" s="14" t="n"/>
      <c r="P1362" s="14" t="n"/>
      <c r="Q1362" s="20">
        <f>IF($B1362="","",IFERROR(INDEX(Vinos!$C$2:$C$301,MATCH($B1362,Vinos!$A$2:$A$301,0)),""))</f>
        <v/>
      </c>
      <c r="R1362" s="20">
        <f>IF(OR($A1362="",$A1362&lt;&gt;'Resumen del inventario'!$C$3,$N1362="",$N1362="OK"),"",IF(COUNTIFS($A$2:$A1362,$A1362,$B$2:$B1362,$B1362)=1,1,""))</f>
        <v/>
      </c>
      <c r="S1362" s="20">
        <f>IF($R1362=1,COUNTIF($R$2:$R1362,1),"")</f>
        <v/>
      </c>
    </row>
    <row r="1363">
      <c r="A1363" s="19" t="n"/>
      <c r="B1363" s="14" t="n"/>
      <c r="C1363" s="20">
        <f>IF($B1363="","",IFERROR(INDEX(Vinos!$B$2:$B$301,MATCH($B1363,Vinos!$A$2:$A$301,0)),"Código no cargado"))</f>
        <v/>
      </c>
      <c r="D1363" s="14" t="n"/>
      <c r="E1363" s="14" t="n"/>
      <c r="F1363" s="18" t="n"/>
      <c r="G1363" s="18" t="n"/>
      <c r="H1363" s="21">
        <f>IF(AND($F1363="",$G1363=""),"",N($F1363)*IFERROR(N(INDEX(Vinos!$H$2:$H$301,MATCH($B1363,Vinos!$A$2:$A$301,0))),0)+N($G1363))</f>
        <v/>
      </c>
      <c r="I1363" s="18" t="n"/>
      <c r="J1363" s="21">
        <f>IF(OR($H1363="",$I1363=""),"",$H1363-$I1363)</f>
        <v/>
      </c>
      <c r="K1363" s="16">
        <f>IF($H1363="","",IFERROR(IF(INDEX(Vinos!$J$2:$J$301,MATCH($B1363,Vinos!$A$2:$A$301,0))="","",$H1363*INDEX(Vinos!$J$2:$J$301,MATCH($B1363,Vinos!$A$2:$A$301,0))),""))</f>
        <v/>
      </c>
      <c r="L1363" s="16">
        <f>IF($H1363="","",IFERROR(IF(INDEX(Vinos!$K$2:$K$301,MATCH($B1363,Vinos!$A$2:$A$301,0))="","",$H1363*INDEX(Vinos!$K$2:$K$301,MATCH($B1363,Vinos!$A$2:$A$301,0))),""))</f>
        <v/>
      </c>
      <c r="M1363" s="21">
        <f>IF(OR($A1363="",$B1363=""),"",SUMIFS($H$2:$H$2001,$A$2:$A$2001,$A1363,$B$2:$B$2001,$B1363))</f>
        <v/>
      </c>
      <c r="N1363" s="20">
        <f>IF($M1363="","",IF($M1363&lt;=0,"Sin stock: reponer ya",IF($M1363&lt;IFERROR(N(INDEX(Vinos!$N$2:$N$301,MATCH($B1363,Vinos!$A$2:$A$301,0))),0),"Bajo mínimo: reponer","OK")))</f>
        <v/>
      </c>
      <c r="O1363" s="14" t="n"/>
      <c r="P1363" s="14" t="n"/>
      <c r="Q1363" s="20">
        <f>IF($B1363="","",IFERROR(INDEX(Vinos!$C$2:$C$301,MATCH($B1363,Vinos!$A$2:$A$301,0)),""))</f>
        <v/>
      </c>
      <c r="R1363" s="20">
        <f>IF(OR($A1363="",$A1363&lt;&gt;'Resumen del inventario'!$C$3,$N1363="",$N1363="OK"),"",IF(COUNTIFS($A$2:$A1363,$A1363,$B$2:$B1363,$B1363)=1,1,""))</f>
        <v/>
      </c>
      <c r="S1363" s="20">
        <f>IF($R1363=1,COUNTIF($R$2:$R1363,1),"")</f>
        <v/>
      </c>
    </row>
    <row r="1364">
      <c r="A1364" s="19" t="n"/>
      <c r="B1364" s="14" t="n"/>
      <c r="C1364" s="20">
        <f>IF($B1364="","",IFERROR(INDEX(Vinos!$B$2:$B$301,MATCH($B1364,Vinos!$A$2:$A$301,0)),"Código no cargado"))</f>
        <v/>
      </c>
      <c r="D1364" s="14" t="n"/>
      <c r="E1364" s="14" t="n"/>
      <c r="F1364" s="18" t="n"/>
      <c r="G1364" s="18" t="n"/>
      <c r="H1364" s="21">
        <f>IF(AND($F1364="",$G1364=""),"",N($F1364)*IFERROR(N(INDEX(Vinos!$H$2:$H$301,MATCH($B1364,Vinos!$A$2:$A$301,0))),0)+N($G1364))</f>
        <v/>
      </c>
      <c r="I1364" s="18" t="n"/>
      <c r="J1364" s="21">
        <f>IF(OR($H1364="",$I1364=""),"",$H1364-$I1364)</f>
        <v/>
      </c>
      <c r="K1364" s="16">
        <f>IF($H1364="","",IFERROR(IF(INDEX(Vinos!$J$2:$J$301,MATCH($B1364,Vinos!$A$2:$A$301,0))="","",$H1364*INDEX(Vinos!$J$2:$J$301,MATCH($B1364,Vinos!$A$2:$A$301,0))),""))</f>
        <v/>
      </c>
      <c r="L1364" s="16">
        <f>IF($H1364="","",IFERROR(IF(INDEX(Vinos!$K$2:$K$301,MATCH($B1364,Vinos!$A$2:$A$301,0))="","",$H1364*INDEX(Vinos!$K$2:$K$301,MATCH($B1364,Vinos!$A$2:$A$301,0))),""))</f>
        <v/>
      </c>
      <c r="M1364" s="21">
        <f>IF(OR($A1364="",$B1364=""),"",SUMIFS($H$2:$H$2001,$A$2:$A$2001,$A1364,$B$2:$B$2001,$B1364))</f>
        <v/>
      </c>
      <c r="N1364" s="20">
        <f>IF($M1364="","",IF($M1364&lt;=0,"Sin stock: reponer ya",IF($M1364&lt;IFERROR(N(INDEX(Vinos!$N$2:$N$301,MATCH($B1364,Vinos!$A$2:$A$301,0))),0),"Bajo mínimo: reponer","OK")))</f>
        <v/>
      </c>
      <c r="O1364" s="14" t="n"/>
      <c r="P1364" s="14" t="n"/>
      <c r="Q1364" s="20">
        <f>IF($B1364="","",IFERROR(INDEX(Vinos!$C$2:$C$301,MATCH($B1364,Vinos!$A$2:$A$301,0)),""))</f>
        <v/>
      </c>
      <c r="R1364" s="20">
        <f>IF(OR($A1364="",$A1364&lt;&gt;'Resumen del inventario'!$C$3,$N1364="",$N1364="OK"),"",IF(COUNTIFS($A$2:$A1364,$A1364,$B$2:$B1364,$B1364)=1,1,""))</f>
        <v/>
      </c>
      <c r="S1364" s="20">
        <f>IF($R1364=1,COUNTIF($R$2:$R1364,1),"")</f>
        <v/>
      </c>
    </row>
    <row r="1365">
      <c r="A1365" s="19" t="n"/>
      <c r="B1365" s="14" t="n"/>
      <c r="C1365" s="20">
        <f>IF($B1365="","",IFERROR(INDEX(Vinos!$B$2:$B$301,MATCH($B1365,Vinos!$A$2:$A$301,0)),"Código no cargado"))</f>
        <v/>
      </c>
      <c r="D1365" s="14" t="n"/>
      <c r="E1365" s="14" t="n"/>
      <c r="F1365" s="18" t="n"/>
      <c r="G1365" s="18" t="n"/>
      <c r="H1365" s="21">
        <f>IF(AND($F1365="",$G1365=""),"",N($F1365)*IFERROR(N(INDEX(Vinos!$H$2:$H$301,MATCH($B1365,Vinos!$A$2:$A$301,0))),0)+N($G1365))</f>
        <v/>
      </c>
      <c r="I1365" s="18" t="n"/>
      <c r="J1365" s="21">
        <f>IF(OR($H1365="",$I1365=""),"",$H1365-$I1365)</f>
        <v/>
      </c>
      <c r="K1365" s="16">
        <f>IF($H1365="","",IFERROR(IF(INDEX(Vinos!$J$2:$J$301,MATCH($B1365,Vinos!$A$2:$A$301,0))="","",$H1365*INDEX(Vinos!$J$2:$J$301,MATCH($B1365,Vinos!$A$2:$A$301,0))),""))</f>
        <v/>
      </c>
      <c r="L1365" s="16">
        <f>IF($H1365="","",IFERROR(IF(INDEX(Vinos!$K$2:$K$301,MATCH($B1365,Vinos!$A$2:$A$301,0))="","",$H1365*INDEX(Vinos!$K$2:$K$301,MATCH($B1365,Vinos!$A$2:$A$301,0))),""))</f>
        <v/>
      </c>
      <c r="M1365" s="21">
        <f>IF(OR($A1365="",$B1365=""),"",SUMIFS($H$2:$H$2001,$A$2:$A$2001,$A1365,$B$2:$B$2001,$B1365))</f>
        <v/>
      </c>
      <c r="N1365" s="20">
        <f>IF($M1365="","",IF($M1365&lt;=0,"Sin stock: reponer ya",IF($M1365&lt;IFERROR(N(INDEX(Vinos!$N$2:$N$301,MATCH($B1365,Vinos!$A$2:$A$301,0))),0),"Bajo mínimo: reponer","OK")))</f>
        <v/>
      </c>
      <c r="O1365" s="14" t="n"/>
      <c r="P1365" s="14" t="n"/>
      <c r="Q1365" s="20">
        <f>IF($B1365="","",IFERROR(INDEX(Vinos!$C$2:$C$301,MATCH($B1365,Vinos!$A$2:$A$301,0)),""))</f>
        <v/>
      </c>
      <c r="R1365" s="20">
        <f>IF(OR($A1365="",$A1365&lt;&gt;'Resumen del inventario'!$C$3,$N1365="",$N1365="OK"),"",IF(COUNTIFS($A$2:$A1365,$A1365,$B$2:$B1365,$B1365)=1,1,""))</f>
        <v/>
      </c>
      <c r="S1365" s="20">
        <f>IF($R1365=1,COUNTIF($R$2:$R1365,1),"")</f>
        <v/>
      </c>
    </row>
    <row r="1366">
      <c r="A1366" s="19" t="n"/>
      <c r="B1366" s="14" t="n"/>
      <c r="C1366" s="20">
        <f>IF($B1366="","",IFERROR(INDEX(Vinos!$B$2:$B$301,MATCH($B1366,Vinos!$A$2:$A$301,0)),"Código no cargado"))</f>
        <v/>
      </c>
      <c r="D1366" s="14" t="n"/>
      <c r="E1366" s="14" t="n"/>
      <c r="F1366" s="18" t="n"/>
      <c r="G1366" s="18" t="n"/>
      <c r="H1366" s="21">
        <f>IF(AND($F1366="",$G1366=""),"",N($F1366)*IFERROR(N(INDEX(Vinos!$H$2:$H$301,MATCH($B1366,Vinos!$A$2:$A$301,0))),0)+N($G1366))</f>
        <v/>
      </c>
      <c r="I1366" s="18" t="n"/>
      <c r="J1366" s="21">
        <f>IF(OR($H1366="",$I1366=""),"",$H1366-$I1366)</f>
        <v/>
      </c>
      <c r="K1366" s="16">
        <f>IF($H1366="","",IFERROR(IF(INDEX(Vinos!$J$2:$J$301,MATCH($B1366,Vinos!$A$2:$A$301,0))="","",$H1366*INDEX(Vinos!$J$2:$J$301,MATCH($B1366,Vinos!$A$2:$A$301,0))),""))</f>
        <v/>
      </c>
      <c r="L1366" s="16">
        <f>IF($H1366="","",IFERROR(IF(INDEX(Vinos!$K$2:$K$301,MATCH($B1366,Vinos!$A$2:$A$301,0))="","",$H1366*INDEX(Vinos!$K$2:$K$301,MATCH($B1366,Vinos!$A$2:$A$301,0))),""))</f>
        <v/>
      </c>
      <c r="M1366" s="21">
        <f>IF(OR($A1366="",$B1366=""),"",SUMIFS($H$2:$H$2001,$A$2:$A$2001,$A1366,$B$2:$B$2001,$B1366))</f>
        <v/>
      </c>
      <c r="N1366" s="20">
        <f>IF($M1366="","",IF($M1366&lt;=0,"Sin stock: reponer ya",IF($M1366&lt;IFERROR(N(INDEX(Vinos!$N$2:$N$301,MATCH($B1366,Vinos!$A$2:$A$301,0))),0),"Bajo mínimo: reponer","OK")))</f>
        <v/>
      </c>
      <c r="O1366" s="14" t="n"/>
      <c r="P1366" s="14" t="n"/>
      <c r="Q1366" s="20">
        <f>IF($B1366="","",IFERROR(INDEX(Vinos!$C$2:$C$301,MATCH($B1366,Vinos!$A$2:$A$301,0)),""))</f>
        <v/>
      </c>
      <c r="R1366" s="20">
        <f>IF(OR($A1366="",$A1366&lt;&gt;'Resumen del inventario'!$C$3,$N1366="",$N1366="OK"),"",IF(COUNTIFS($A$2:$A1366,$A1366,$B$2:$B1366,$B1366)=1,1,""))</f>
        <v/>
      </c>
      <c r="S1366" s="20">
        <f>IF($R1366=1,COUNTIF($R$2:$R1366,1),"")</f>
        <v/>
      </c>
    </row>
    <row r="1367">
      <c r="A1367" s="19" t="n"/>
      <c r="B1367" s="14" t="n"/>
      <c r="C1367" s="20">
        <f>IF($B1367="","",IFERROR(INDEX(Vinos!$B$2:$B$301,MATCH($B1367,Vinos!$A$2:$A$301,0)),"Código no cargado"))</f>
        <v/>
      </c>
      <c r="D1367" s="14" t="n"/>
      <c r="E1367" s="14" t="n"/>
      <c r="F1367" s="18" t="n"/>
      <c r="G1367" s="18" t="n"/>
      <c r="H1367" s="21">
        <f>IF(AND($F1367="",$G1367=""),"",N($F1367)*IFERROR(N(INDEX(Vinos!$H$2:$H$301,MATCH($B1367,Vinos!$A$2:$A$301,0))),0)+N($G1367))</f>
        <v/>
      </c>
      <c r="I1367" s="18" t="n"/>
      <c r="J1367" s="21">
        <f>IF(OR($H1367="",$I1367=""),"",$H1367-$I1367)</f>
        <v/>
      </c>
      <c r="K1367" s="16">
        <f>IF($H1367="","",IFERROR(IF(INDEX(Vinos!$J$2:$J$301,MATCH($B1367,Vinos!$A$2:$A$301,0))="","",$H1367*INDEX(Vinos!$J$2:$J$301,MATCH($B1367,Vinos!$A$2:$A$301,0))),""))</f>
        <v/>
      </c>
      <c r="L1367" s="16">
        <f>IF($H1367="","",IFERROR(IF(INDEX(Vinos!$K$2:$K$301,MATCH($B1367,Vinos!$A$2:$A$301,0))="","",$H1367*INDEX(Vinos!$K$2:$K$301,MATCH($B1367,Vinos!$A$2:$A$301,0))),""))</f>
        <v/>
      </c>
      <c r="M1367" s="21">
        <f>IF(OR($A1367="",$B1367=""),"",SUMIFS($H$2:$H$2001,$A$2:$A$2001,$A1367,$B$2:$B$2001,$B1367))</f>
        <v/>
      </c>
      <c r="N1367" s="20">
        <f>IF($M1367="","",IF($M1367&lt;=0,"Sin stock: reponer ya",IF($M1367&lt;IFERROR(N(INDEX(Vinos!$N$2:$N$301,MATCH($B1367,Vinos!$A$2:$A$301,0))),0),"Bajo mínimo: reponer","OK")))</f>
        <v/>
      </c>
      <c r="O1367" s="14" t="n"/>
      <c r="P1367" s="14" t="n"/>
      <c r="Q1367" s="20">
        <f>IF($B1367="","",IFERROR(INDEX(Vinos!$C$2:$C$301,MATCH($B1367,Vinos!$A$2:$A$301,0)),""))</f>
        <v/>
      </c>
      <c r="R1367" s="20">
        <f>IF(OR($A1367="",$A1367&lt;&gt;'Resumen del inventario'!$C$3,$N1367="",$N1367="OK"),"",IF(COUNTIFS($A$2:$A1367,$A1367,$B$2:$B1367,$B1367)=1,1,""))</f>
        <v/>
      </c>
      <c r="S1367" s="20">
        <f>IF($R1367=1,COUNTIF($R$2:$R1367,1),"")</f>
        <v/>
      </c>
    </row>
    <row r="1368">
      <c r="A1368" s="19" t="n"/>
      <c r="B1368" s="14" t="n"/>
      <c r="C1368" s="20">
        <f>IF($B1368="","",IFERROR(INDEX(Vinos!$B$2:$B$301,MATCH($B1368,Vinos!$A$2:$A$301,0)),"Código no cargado"))</f>
        <v/>
      </c>
      <c r="D1368" s="14" t="n"/>
      <c r="E1368" s="14" t="n"/>
      <c r="F1368" s="18" t="n"/>
      <c r="G1368" s="18" t="n"/>
      <c r="H1368" s="21">
        <f>IF(AND($F1368="",$G1368=""),"",N($F1368)*IFERROR(N(INDEX(Vinos!$H$2:$H$301,MATCH($B1368,Vinos!$A$2:$A$301,0))),0)+N($G1368))</f>
        <v/>
      </c>
      <c r="I1368" s="18" t="n"/>
      <c r="J1368" s="21">
        <f>IF(OR($H1368="",$I1368=""),"",$H1368-$I1368)</f>
        <v/>
      </c>
      <c r="K1368" s="16">
        <f>IF($H1368="","",IFERROR(IF(INDEX(Vinos!$J$2:$J$301,MATCH($B1368,Vinos!$A$2:$A$301,0))="","",$H1368*INDEX(Vinos!$J$2:$J$301,MATCH($B1368,Vinos!$A$2:$A$301,0))),""))</f>
        <v/>
      </c>
      <c r="L1368" s="16">
        <f>IF($H1368="","",IFERROR(IF(INDEX(Vinos!$K$2:$K$301,MATCH($B1368,Vinos!$A$2:$A$301,0))="","",$H1368*INDEX(Vinos!$K$2:$K$301,MATCH($B1368,Vinos!$A$2:$A$301,0))),""))</f>
        <v/>
      </c>
      <c r="M1368" s="21">
        <f>IF(OR($A1368="",$B1368=""),"",SUMIFS($H$2:$H$2001,$A$2:$A$2001,$A1368,$B$2:$B$2001,$B1368))</f>
        <v/>
      </c>
      <c r="N1368" s="20">
        <f>IF($M1368="","",IF($M1368&lt;=0,"Sin stock: reponer ya",IF($M1368&lt;IFERROR(N(INDEX(Vinos!$N$2:$N$301,MATCH($B1368,Vinos!$A$2:$A$301,0))),0),"Bajo mínimo: reponer","OK")))</f>
        <v/>
      </c>
      <c r="O1368" s="14" t="n"/>
      <c r="P1368" s="14" t="n"/>
      <c r="Q1368" s="20">
        <f>IF($B1368="","",IFERROR(INDEX(Vinos!$C$2:$C$301,MATCH($B1368,Vinos!$A$2:$A$301,0)),""))</f>
        <v/>
      </c>
      <c r="R1368" s="20">
        <f>IF(OR($A1368="",$A1368&lt;&gt;'Resumen del inventario'!$C$3,$N1368="",$N1368="OK"),"",IF(COUNTIFS($A$2:$A1368,$A1368,$B$2:$B1368,$B1368)=1,1,""))</f>
        <v/>
      </c>
      <c r="S1368" s="20">
        <f>IF($R1368=1,COUNTIF($R$2:$R1368,1),"")</f>
        <v/>
      </c>
    </row>
    <row r="1369">
      <c r="A1369" s="19" t="n"/>
      <c r="B1369" s="14" t="n"/>
      <c r="C1369" s="20">
        <f>IF($B1369="","",IFERROR(INDEX(Vinos!$B$2:$B$301,MATCH($B1369,Vinos!$A$2:$A$301,0)),"Código no cargado"))</f>
        <v/>
      </c>
      <c r="D1369" s="14" t="n"/>
      <c r="E1369" s="14" t="n"/>
      <c r="F1369" s="18" t="n"/>
      <c r="G1369" s="18" t="n"/>
      <c r="H1369" s="21">
        <f>IF(AND($F1369="",$G1369=""),"",N($F1369)*IFERROR(N(INDEX(Vinos!$H$2:$H$301,MATCH($B1369,Vinos!$A$2:$A$301,0))),0)+N($G1369))</f>
        <v/>
      </c>
      <c r="I1369" s="18" t="n"/>
      <c r="J1369" s="21">
        <f>IF(OR($H1369="",$I1369=""),"",$H1369-$I1369)</f>
        <v/>
      </c>
      <c r="K1369" s="16">
        <f>IF($H1369="","",IFERROR(IF(INDEX(Vinos!$J$2:$J$301,MATCH($B1369,Vinos!$A$2:$A$301,0))="","",$H1369*INDEX(Vinos!$J$2:$J$301,MATCH($B1369,Vinos!$A$2:$A$301,0))),""))</f>
        <v/>
      </c>
      <c r="L1369" s="16">
        <f>IF($H1369="","",IFERROR(IF(INDEX(Vinos!$K$2:$K$301,MATCH($B1369,Vinos!$A$2:$A$301,0))="","",$H1369*INDEX(Vinos!$K$2:$K$301,MATCH($B1369,Vinos!$A$2:$A$301,0))),""))</f>
        <v/>
      </c>
      <c r="M1369" s="21">
        <f>IF(OR($A1369="",$B1369=""),"",SUMIFS($H$2:$H$2001,$A$2:$A$2001,$A1369,$B$2:$B$2001,$B1369))</f>
        <v/>
      </c>
      <c r="N1369" s="20">
        <f>IF($M1369="","",IF($M1369&lt;=0,"Sin stock: reponer ya",IF($M1369&lt;IFERROR(N(INDEX(Vinos!$N$2:$N$301,MATCH($B1369,Vinos!$A$2:$A$301,0))),0),"Bajo mínimo: reponer","OK")))</f>
        <v/>
      </c>
      <c r="O1369" s="14" t="n"/>
      <c r="P1369" s="14" t="n"/>
      <c r="Q1369" s="20">
        <f>IF($B1369="","",IFERROR(INDEX(Vinos!$C$2:$C$301,MATCH($B1369,Vinos!$A$2:$A$301,0)),""))</f>
        <v/>
      </c>
      <c r="R1369" s="20">
        <f>IF(OR($A1369="",$A1369&lt;&gt;'Resumen del inventario'!$C$3,$N1369="",$N1369="OK"),"",IF(COUNTIFS($A$2:$A1369,$A1369,$B$2:$B1369,$B1369)=1,1,""))</f>
        <v/>
      </c>
      <c r="S1369" s="20">
        <f>IF($R1369=1,COUNTIF($R$2:$R1369,1),"")</f>
        <v/>
      </c>
    </row>
    <row r="1370">
      <c r="A1370" s="19" t="n"/>
      <c r="B1370" s="14" t="n"/>
      <c r="C1370" s="20">
        <f>IF($B1370="","",IFERROR(INDEX(Vinos!$B$2:$B$301,MATCH($B1370,Vinos!$A$2:$A$301,0)),"Código no cargado"))</f>
        <v/>
      </c>
      <c r="D1370" s="14" t="n"/>
      <c r="E1370" s="14" t="n"/>
      <c r="F1370" s="18" t="n"/>
      <c r="G1370" s="18" t="n"/>
      <c r="H1370" s="21">
        <f>IF(AND($F1370="",$G1370=""),"",N($F1370)*IFERROR(N(INDEX(Vinos!$H$2:$H$301,MATCH($B1370,Vinos!$A$2:$A$301,0))),0)+N($G1370))</f>
        <v/>
      </c>
      <c r="I1370" s="18" t="n"/>
      <c r="J1370" s="21">
        <f>IF(OR($H1370="",$I1370=""),"",$H1370-$I1370)</f>
        <v/>
      </c>
      <c r="K1370" s="16">
        <f>IF($H1370="","",IFERROR(IF(INDEX(Vinos!$J$2:$J$301,MATCH($B1370,Vinos!$A$2:$A$301,0))="","",$H1370*INDEX(Vinos!$J$2:$J$301,MATCH($B1370,Vinos!$A$2:$A$301,0))),""))</f>
        <v/>
      </c>
      <c r="L1370" s="16">
        <f>IF($H1370="","",IFERROR(IF(INDEX(Vinos!$K$2:$K$301,MATCH($B1370,Vinos!$A$2:$A$301,0))="","",$H1370*INDEX(Vinos!$K$2:$K$301,MATCH($B1370,Vinos!$A$2:$A$301,0))),""))</f>
        <v/>
      </c>
      <c r="M1370" s="21">
        <f>IF(OR($A1370="",$B1370=""),"",SUMIFS($H$2:$H$2001,$A$2:$A$2001,$A1370,$B$2:$B$2001,$B1370))</f>
        <v/>
      </c>
      <c r="N1370" s="20">
        <f>IF($M1370="","",IF($M1370&lt;=0,"Sin stock: reponer ya",IF($M1370&lt;IFERROR(N(INDEX(Vinos!$N$2:$N$301,MATCH($B1370,Vinos!$A$2:$A$301,0))),0),"Bajo mínimo: reponer","OK")))</f>
        <v/>
      </c>
      <c r="O1370" s="14" t="n"/>
      <c r="P1370" s="14" t="n"/>
      <c r="Q1370" s="20">
        <f>IF($B1370="","",IFERROR(INDEX(Vinos!$C$2:$C$301,MATCH($B1370,Vinos!$A$2:$A$301,0)),""))</f>
        <v/>
      </c>
      <c r="R1370" s="20">
        <f>IF(OR($A1370="",$A1370&lt;&gt;'Resumen del inventario'!$C$3,$N1370="",$N1370="OK"),"",IF(COUNTIFS($A$2:$A1370,$A1370,$B$2:$B1370,$B1370)=1,1,""))</f>
        <v/>
      </c>
      <c r="S1370" s="20">
        <f>IF($R1370=1,COUNTIF($R$2:$R1370,1),"")</f>
        <v/>
      </c>
    </row>
    <row r="1371">
      <c r="A1371" s="19" t="n"/>
      <c r="B1371" s="14" t="n"/>
      <c r="C1371" s="20">
        <f>IF($B1371="","",IFERROR(INDEX(Vinos!$B$2:$B$301,MATCH($B1371,Vinos!$A$2:$A$301,0)),"Código no cargado"))</f>
        <v/>
      </c>
      <c r="D1371" s="14" t="n"/>
      <c r="E1371" s="14" t="n"/>
      <c r="F1371" s="18" t="n"/>
      <c r="G1371" s="18" t="n"/>
      <c r="H1371" s="21">
        <f>IF(AND($F1371="",$G1371=""),"",N($F1371)*IFERROR(N(INDEX(Vinos!$H$2:$H$301,MATCH($B1371,Vinos!$A$2:$A$301,0))),0)+N($G1371))</f>
        <v/>
      </c>
      <c r="I1371" s="18" t="n"/>
      <c r="J1371" s="21">
        <f>IF(OR($H1371="",$I1371=""),"",$H1371-$I1371)</f>
        <v/>
      </c>
      <c r="K1371" s="16">
        <f>IF($H1371="","",IFERROR(IF(INDEX(Vinos!$J$2:$J$301,MATCH($B1371,Vinos!$A$2:$A$301,0))="","",$H1371*INDEX(Vinos!$J$2:$J$301,MATCH($B1371,Vinos!$A$2:$A$301,0))),""))</f>
        <v/>
      </c>
      <c r="L1371" s="16">
        <f>IF($H1371="","",IFERROR(IF(INDEX(Vinos!$K$2:$K$301,MATCH($B1371,Vinos!$A$2:$A$301,0))="","",$H1371*INDEX(Vinos!$K$2:$K$301,MATCH($B1371,Vinos!$A$2:$A$301,0))),""))</f>
        <v/>
      </c>
      <c r="M1371" s="21">
        <f>IF(OR($A1371="",$B1371=""),"",SUMIFS($H$2:$H$2001,$A$2:$A$2001,$A1371,$B$2:$B$2001,$B1371))</f>
        <v/>
      </c>
      <c r="N1371" s="20">
        <f>IF($M1371="","",IF($M1371&lt;=0,"Sin stock: reponer ya",IF($M1371&lt;IFERROR(N(INDEX(Vinos!$N$2:$N$301,MATCH($B1371,Vinos!$A$2:$A$301,0))),0),"Bajo mínimo: reponer","OK")))</f>
        <v/>
      </c>
      <c r="O1371" s="14" t="n"/>
      <c r="P1371" s="14" t="n"/>
      <c r="Q1371" s="20">
        <f>IF($B1371="","",IFERROR(INDEX(Vinos!$C$2:$C$301,MATCH($B1371,Vinos!$A$2:$A$301,0)),""))</f>
        <v/>
      </c>
      <c r="R1371" s="20">
        <f>IF(OR($A1371="",$A1371&lt;&gt;'Resumen del inventario'!$C$3,$N1371="",$N1371="OK"),"",IF(COUNTIFS($A$2:$A1371,$A1371,$B$2:$B1371,$B1371)=1,1,""))</f>
        <v/>
      </c>
      <c r="S1371" s="20">
        <f>IF($R1371=1,COUNTIF($R$2:$R1371,1),"")</f>
        <v/>
      </c>
    </row>
    <row r="1372">
      <c r="A1372" s="19" t="n"/>
      <c r="B1372" s="14" t="n"/>
      <c r="C1372" s="20">
        <f>IF($B1372="","",IFERROR(INDEX(Vinos!$B$2:$B$301,MATCH($B1372,Vinos!$A$2:$A$301,0)),"Código no cargado"))</f>
        <v/>
      </c>
      <c r="D1372" s="14" t="n"/>
      <c r="E1372" s="14" t="n"/>
      <c r="F1372" s="18" t="n"/>
      <c r="G1372" s="18" t="n"/>
      <c r="H1372" s="21">
        <f>IF(AND($F1372="",$G1372=""),"",N($F1372)*IFERROR(N(INDEX(Vinos!$H$2:$H$301,MATCH($B1372,Vinos!$A$2:$A$301,0))),0)+N($G1372))</f>
        <v/>
      </c>
      <c r="I1372" s="18" t="n"/>
      <c r="J1372" s="21">
        <f>IF(OR($H1372="",$I1372=""),"",$H1372-$I1372)</f>
        <v/>
      </c>
      <c r="K1372" s="16">
        <f>IF($H1372="","",IFERROR(IF(INDEX(Vinos!$J$2:$J$301,MATCH($B1372,Vinos!$A$2:$A$301,0))="","",$H1372*INDEX(Vinos!$J$2:$J$301,MATCH($B1372,Vinos!$A$2:$A$301,0))),""))</f>
        <v/>
      </c>
      <c r="L1372" s="16">
        <f>IF($H1372="","",IFERROR(IF(INDEX(Vinos!$K$2:$K$301,MATCH($B1372,Vinos!$A$2:$A$301,0))="","",$H1372*INDEX(Vinos!$K$2:$K$301,MATCH($B1372,Vinos!$A$2:$A$301,0))),""))</f>
        <v/>
      </c>
      <c r="M1372" s="21">
        <f>IF(OR($A1372="",$B1372=""),"",SUMIFS($H$2:$H$2001,$A$2:$A$2001,$A1372,$B$2:$B$2001,$B1372))</f>
        <v/>
      </c>
      <c r="N1372" s="20">
        <f>IF($M1372="","",IF($M1372&lt;=0,"Sin stock: reponer ya",IF($M1372&lt;IFERROR(N(INDEX(Vinos!$N$2:$N$301,MATCH($B1372,Vinos!$A$2:$A$301,0))),0),"Bajo mínimo: reponer","OK")))</f>
        <v/>
      </c>
      <c r="O1372" s="14" t="n"/>
      <c r="P1372" s="14" t="n"/>
      <c r="Q1372" s="20">
        <f>IF($B1372="","",IFERROR(INDEX(Vinos!$C$2:$C$301,MATCH($B1372,Vinos!$A$2:$A$301,0)),""))</f>
        <v/>
      </c>
      <c r="R1372" s="20">
        <f>IF(OR($A1372="",$A1372&lt;&gt;'Resumen del inventario'!$C$3,$N1372="",$N1372="OK"),"",IF(COUNTIFS($A$2:$A1372,$A1372,$B$2:$B1372,$B1372)=1,1,""))</f>
        <v/>
      </c>
      <c r="S1372" s="20">
        <f>IF($R1372=1,COUNTIF($R$2:$R1372,1),"")</f>
        <v/>
      </c>
    </row>
    <row r="1373">
      <c r="A1373" s="19" t="n"/>
      <c r="B1373" s="14" t="n"/>
      <c r="C1373" s="20">
        <f>IF($B1373="","",IFERROR(INDEX(Vinos!$B$2:$B$301,MATCH($B1373,Vinos!$A$2:$A$301,0)),"Código no cargado"))</f>
        <v/>
      </c>
      <c r="D1373" s="14" t="n"/>
      <c r="E1373" s="14" t="n"/>
      <c r="F1373" s="18" t="n"/>
      <c r="G1373" s="18" t="n"/>
      <c r="H1373" s="21">
        <f>IF(AND($F1373="",$G1373=""),"",N($F1373)*IFERROR(N(INDEX(Vinos!$H$2:$H$301,MATCH($B1373,Vinos!$A$2:$A$301,0))),0)+N($G1373))</f>
        <v/>
      </c>
      <c r="I1373" s="18" t="n"/>
      <c r="J1373" s="21">
        <f>IF(OR($H1373="",$I1373=""),"",$H1373-$I1373)</f>
        <v/>
      </c>
      <c r="K1373" s="16">
        <f>IF($H1373="","",IFERROR(IF(INDEX(Vinos!$J$2:$J$301,MATCH($B1373,Vinos!$A$2:$A$301,0))="","",$H1373*INDEX(Vinos!$J$2:$J$301,MATCH($B1373,Vinos!$A$2:$A$301,0))),""))</f>
        <v/>
      </c>
      <c r="L1373" s="16">
        <f>IF($H1373="","",IFERROR(IF(INDEX(Vinos!$K$2:$K$301,MATCH($B1373,Vinos!$A$2:$A$301,0))="","",$H1373*INDEX(Vinos!$K$2:$K$301,MATCH($B1373,Vinos!$A$2:$A$301,0))),""))</f>
        <v/>
      </c>
      <c r="M1373" s="21">
        <f>IF(OR($A1373="",$B1373=""),"",SUMIFS($H$2:$H$2001,$A$2:$A$2001,$A1373,$B$2:$B$2001,$B1373))</f>
        <v/>
      </c>
      <c r="N1373" s="20">
        <f>IF($M1373="","",IF($M1373&lt;=0,"Sin stock: reponer ya",IF($M1373&lt;IFERROR(N(INDEX(Vinos!$N$2:$N$301,MATCH($B1373,Vinos!$A$2:$A$301,0))),0),"Bajo mínimo: reponer","OK")))</f>
        <v/>
      </c>
      <c r="O1373" s="14" t="n"/>
      <c r="P1373" s="14" t="n"/>
      <c r="Q1373" s="20">
        <f>IF($B1373="","",IFERROR(INDEX(Vinos!$C$2:$C$301,MATCH($B1373,Vinos!$A$2:$A$301,0)),""))</f>
        <v/>
      </c>
      <c r="R1373" s="20">
        <f>IF(OR($A1373="",$A1373&lt;&gt;'Resumen del inventario'!$C$3,$N1373="",$N1373="OK"),"",IF(COUNTIFS($A$2:$A1373,$A1373,$B$2:$B1373,$B1373)=1,1,""))</f>
        <v/>
      </c>
      <c r="S1373" s="20">
        <f>IF($R1373=1,COUNTIF($R$2:$R1373,1),"")</f>
        <v/>
      </c>
    </row>
    <row r="1374">
      <c r="A1374" s="19" t="n"/>
      <c r="B1374" s="14" t="n"/>
      <c r="C1374" s="20">
        <f>IF($B1374="","",IFERROR(INDEX(Vinos!$B$2:$B$301,MATCH($B1374,Vinos!$A$2:$A$301,0)),"Código no cargado"))</f>
        <v/>
      </c>
      <c r="D1374" s="14" t="n"/>
      <c r="E1374" s="14" t="n"/>
      <c r="F1374" s="18" t="n"/>
      <c r="G1374" s="18" t="n"/>
      <c r="H1374" s="21">
        <f>IF(AND($F1374="",$G1374=""),"",N($F1374)*IFERROR(N(INDEX(Vinos!$H$2:$H$301,MATCH($B1374,Vinos!$A$2:$A$301,0))),0)+N($G1374))</f>
        <v/>
      </c>
      <c r="I1374" s="18" t="n"/>
      <c r="J1374" s="21">
        <f>IF(OR($H1374="",$I1374=""),"",$H1374-$I1374)</f>
        <v/>
      </c>
      <c r="K1374" s="16">
        <f>IF($H1374="","",IFERROR(IF(INDEX(Vinos!$J$2:$J$301,MATCH($B1374,Vinos!$A$2:$A$301,0))="","",$H1374*INDEX(Vinos!$J$2:$J$301,MATCH($B1374,Vinos!$A$2:$A$301,0))),""))</f>
        <v/>
      </c>
      <c r="L1374" s="16">
        <f>IF($H1374="","",IFERROR(IF(INDEX(Vinos!$K$2:$K$301,MATCH($B1374,Vinos!$A$2:$A$301,0))="","",$H1374*INDEX(Vinos!$K$2:$K$301,MATCH($B1374,Vinos!$A$2:$A$301,0))),""))</f>
        <v/>
      </c>
      <c r="M1374" s="21">
        <f>IF(OR($A1374="",$B1374=""),"",SUMIFS($H$2:$H$2001,$A$2:$A$2001,$A1374,$B$2:$B$2001,$B1374))</f>
        <v/>
      </c>
      <c r="N1374" s="20">
        <f>IF($M1374="","",IF($M1374&lt;=0,"Sin stock: reponer ya",IF($M1374&lt;IFERROR(N(INDEX(Vinos!$N$2:$N$301,MATCH($B1374,Vinos!$A$2:$A$301,0))),0),"Bajo mínimo: reponer","OK")))</f>
        <v/>
      </c>
      <c r="O1374" s="14" t="n"/>
      <c r="P1374" s="14" t="n"/>
      <c r="Q1374" s="20">
        <f>IF($B1374="","",IFERROR(INDEX(Vinos!$C$2:$C$301,MATCH($B1374,Vinos!$A$2:$A$301,0)),""))</f>
        <v/>
      </c>
      <c r="R1374" s="20">
        <f>IF(OR($A1374="",$A1374&lt;&gt;'Resumen del inventario'!$C$3,$N1374="",$N1374="OK"),"",IF(COUNTIFS($A$2:$A1374,$A1374,$B$2:$B1374,$B1374)=1,1,""))</f>
        <v/>
      </c>
      <c r="S1374" s="20">
        <f>IF($R1374=1,COUNTIF($R$2:$R1374,1),"")</f>
        <v/>
      </c>
    </row>
    <row r="1375">
      <c r="A1375" s="19" t="n"/>
      <c r="B1375" s="14" t="n"/>
      <c r="C1375" s="20">
        <f>IF($B1375="","",IFERROR(INDEX(Vinos!$B$2:$B$301,MATCH($B1375,Vinos!$A$2:$A$301,0)),"Código no cargado"))</f>
        <v/>
      </c>
      <c r="D1375" s="14" t="n"/>
      <c r="E1375" s="14" t="n"/>
      <c r="F1375" s="18" t="n"/>
      <c r="G1375" s="18" t="n"/>
      <c r="H1375" s="21">
        <f>IF(AND($F1375="",$G1375=""),"",N($F1375)*IFERROR(N(INDEX(Vinos!$H$2:$H$301,MATCH($B1375,Vinos!$A$2:$A$301,0))),0)+N($G1375))</f>
        <v/>
      </c>
      <c r="I1375" s="18" t="n"/>
      <c r="J1375" s="21">
        <f>IF(OR($H1375="",$I1375=""),"",$H1375-$I1375)</f>
        <v/>
      </c>
      <c r="K1375" s="16">
        <f>IF($H1375="","",IFERROR(IF(INDEX(Vinos!$J$2:$J$301,MATCH($B1375,Vinos!$A$2:$A$301,0))="","",$H1375*INDEX(Vinos!$J$2:$J$301,MATCH($B1375,Vinos!$A$2:$A$301,0))),""))</f>
        <v/>
      </c>
      <c r="L1375" s="16">
        <f>IF($H1375="","",IFERROR(IF(INDEX(Vinos!$K$2:$K$301,MATCH($B1375,Vinos!$A$2:$A$301,0))="","",$H1375*INDEX(Vinos!$K$2:$K$301,MATCH($B1375,Vinos!$A$2:$A$301,0))),""))</f>
        <v/>
      </c>
      <c r="M1375" s="21">
        <f>IF(OR($A1375="",$B1375=""),"",SUMIFS($H$2:$H$2001,$A$2:$A$2001,$A1375,$B$2:$B$2001,$B1375))</f>
        <v/>
      </c>
      <c r="N1375" s="20">
        <f>IF($M1375="","",IF($M1375&lt;=0,"Sin stock: reponer ya",IF($M1375&lt;IFERROR(N(INDEX(Vinos!$N$2:$N$301,MATCH($B1375,Vinos!$A$2:$A$301,0))),0),"Bajo mínimo: reponer","OK")))</f>
        <v/>
      </c>
      <c r="O1375" s="14" t="n"/>
      <c r="P1375" s="14" t="n"/>
      <c r="Q1375" s="20">
        <f>IF($B1375="","",IFERROR(INDEX(Vinos!$C$2:$C$301,MATCH($B1375,Vinos!$A$2:$A$301,0)),""))</f>
        <v/>
      </c>
      <c r="R1375" s="20">
        <f>IF(OR($A1375="",$A1375&lt;&gt;'Resumen del inventario'!$C$3,$N1375="",$N1375="OK"),"",IF(COUNTIFS($A$2:$A1375,$A1375,$B$2:$B1375,$B1375)=1,1,""))</f>
        <v/>
      </c>
      <c r="S1375" s="20">
        <f>IF($R1375=1,COUNTIF($R$2:$R1375,1),"")</f>
        <v/>
      </c>
    </row>
    <row r="1376">
      <c r="A1376" s="19" t="n"/>
      <c r="B1376" s="14" t="n"/>
      <c r="C1376" s="20">
        <f>IF($B1376="","",IFERROR(INDEX(Vinos!$B$2:$B$301,MATCH($B1376,Vinos!$A$2:$A$301,0)),"Código no cargado"))</f>
        <v/>
      </c>
      <c r="D1376" s="14" t="n"/>
      <c r="E1376" s="14" t="n"/>
      <c r="F1376" s="18" t="n"/>
      <c r="G1376" s="18" t="n"/>
      <c r="H1376" s="21">
        <f>IF(AND($F1376="",$G1376=""),"",N($F1376)*IFERROR(N(INDEX(Vinos!$H$2:$H$301,MATCH($B1376,Vinos!$A$2:$A$301,0))),0)+N($G1376))</f>
        <v/>
      </c>
      <c r="I1376" s="18" t="n"/>
      <c r="J1376" s="21">
        <f>IF(OR($H1376="",$I1376=""),"",$H1376-$I1376)</f>
        <v/>
      </c>
      <c r="K1376" s="16">
        <f>IF($H1376="","",IFERROR(IF(INDEX(Vinos!$J$2:$J$301,MATCH($B1376,Vinos!$A$2:$A$301,0))="","",$H1376*INDEX(Vinos!$J$2:$J$301,MATCH($B1376,Vinos!$A$2:$A$301,0))),""))</f>
        <v/>
      </c>
      <c r="L1376" s="16">
        <f>IF($H1376="","",IFERROR(IF(INDEX(Vinos!$K$2:$K$301,MATCH($B1376,Vinos!$A$2:$A$301,0))="","",$H1376*INDEX(Vinos!$K$2:$K$301,MATCH($B1376,Vinos!$A$2:$A$301,0))),""))</f>
        <v/>
      </c>
      <c r="M1376" s="21">
        <f>IF(OR($A1376="",$B1376=""),"",SUMIFS($H$2:$H$2001,$A$2:$A$2001,$A1376,$B$2:$B$2001,$B1376))</f>
        <v/>
      </c>
      <c r="N1376" s="20">
        <f>IF($M1376="","",IF($M1376&lt;=0,"Sin stock: reponer ya",IF($M1376&lt;IFERROR(N(INDEX(Vinos!$N$2:$N$301,MATCH($B1376,Vinos!$A$2:$A$301,0))),0),"Bajo mínimo: reponer","OK")))</f>
        <v/>
      </c>
      <c r="O1376" s="14" t="n"/>
      <c r="P1376" s="14" t="n"/>
      <c r="Q1376" s="20">
        <f>IF($B1376="","",IFERROR(INDEX(Vinos!$C$2:$C$301,MATCH($B1376,Vinos!$A$2:$A$301,0)),""))</f>
        <v/>
      </c>
      <c r="R1376" s="20">
        <f>IF(OR($A1376="",$A1376&lt;&gt;'Resumen del inventario'!$C$3,$N1376="",$N1376="OK"),"",IF(COUNTIFS($A$2:$A1376,$A1376,$B$2:$B1376,$B1376)=1,1,""))</f>
        <v/>
      </c>
      <c r="S1376" s="20">
        <f>IF($R1376=1,COUNTIF($R$2:$R1376,1),"")</f>
        <v/>
      </c>
    </row>
    <row r="1377">
      <c r="A1377" s="19" t="n"/>
      <c r="B1377" s="14" t="n"/>
      <c r="C1377" s="20">
        <f>IF($B1377="","",IFERROR(INDEX(Vinos!$B$2:$B$301,MATCH($B1377,Vinos!$A$2:$A$301,0)),"Código no cargado"))</f>
        <v/>
      </c>
      <c r="D1377" s="14" t="n"/>
      <c r="E1377" s="14" t="n"/>
      <c r="F1377" s="18" t="n"/>
      <c r="G1377" s="18" t="n"/>
      <c r="H1377" s="21">
        <f>IF(AND($F1377="",$G1377=""),"",N($F1377)*IFERROR(N(INDEX(Vinos!$H$2:$H$301,MATCH($B1377,Vinos!$A$2:$A$301,0))),0)+N($G1377))</f>
        <v/>
      </c>
      <c r="I1377" s="18" t="n"/>
      <c r="J1377" s="21">
        <f>IF(OR($H1377="",$I1377=""),"",$H1377-$I1377)</f>
        <v/>
      </c>
      <c r="K1377" s="16">
        <f>IF($H1377="","",IFERROR(IF(INDEX(Vinos!$J$2:$J$301,MATCH($B1377,Vinos!$A$2:$A$301,0))="","",$H1377*INDEX(Vinos!$J$2:$J$301,MATCH($B1377,Vinos!$A$2:$A$301,0))),""))</f>
        <v/>
      </c>
      <c r="L1377" s="16">
        <f>IF($H1377="","",IFERROR(IF(INDEX(Vinos!$K$2:$K$301,MATCH($B1377,Vinos!$A$2:$A$301,0))="","",$H1377*INDEX(Vinos!$K$2:$K$301,MATCH($B1377,Vinos!$A$2:$A$301,0))),""))</f>
        <v/>
      </c>
      <c r="M1377" s="21">
        <f>IF(OR($A1377="",$B1377=""),"",SUMIFS($H$2:$H$2001,$A$2:$A$2001,$A1377,$B$2:$B$2001,$B1377))</f>
        <v/>
      </c>
      <c r="N1377" s="20">
        <f>IF($M1377="","",IF($M1377&lt;=0,"Sin stock: reponer ya",IF($M1377&lt;IFERROR(N(INDEX(Vinos!$N$2:$N$301,MATCH($B1377,Vinos!$A$2:$A$301,0))),0),"Bajo mínimo: reponer","OK")))</f>
        <v/>
      </c>
      <c r="O1377" s="14" t="n"/>
      <c r="P1377" s="14" t="n"/>
      <c r="Q1377" s="20">
        <f>IF($B1377="","",IFERROR(INDEX(Vinos!$C$2:$C$301,MATCH($B1377,Vinos!$A$2:$A$301,0)),""))</f>
        <v/>
      </c>
      <c r="R1377" s="20">
        <f>IF(OR($A1377="",$A1377&lt;&gt;'Resumen del inventario'!$C$3,$N1377="",$N1377="OK"),"",IF(COUNTIFS($A$2:$A1377,$A1377,$B$2:$B1377,$B1377)=1,1,""))</f>
        <v/>
      </c>
      <c r="S1377" s="20">
        <f>IF($R1377=1,COUNTIF($R$2:$R1377,1),"")</f>
        <v/>
      </c>
    </row>
    <row r="1378">
      <c r="A1378" s="19" t="n"/>
      <c r="B1378" s="14" t="n"/>
      <c r="C1378" s="20">
        <f>IF($B1378="","",IFERROR(INDEX(Vinos!$B$2:$B$301,MATCH($B1378,Vinos!$A$2:$A$301,0)),"Código no cargado"))</f>
        <v/>
      </c>
      <c r="D1378" s="14" t="n"/>
      <c r="E1378" s="14" t="n"/>
      <c r="F1378" s="18" t="n"/>
      <c r="G1378" s="18" t="n"/>
      <c r="H1378" s="21">
        <f>IF(AND($F1378="",$G1378=""),"",N($F1378)*IFERROR(N(INDEX(Vinos!$H$2:$H$301,MATCH($B1378,Vinos!$A$2:$A$301,0))),0)+N($G1378))</f>
        <v/>
      </c>
      <c r="I1378" s="18" t="n"/>
      <c r="J1378" s="21">
        <f>IF(OR($H1378="",$I1378=""),"",$H1378-$I1378)</f>
        <v/>
      </c>
      <c r="K1378" s="16">
        <f>IF($H1378="","",IFERROR(IF(INDEX(Vinos!$J$2:$J$301,MATCH($B1378,Vinos!$A$2:$A$301,0))="","",$H1378*INDEX(Vinos!$J$2:$J$301,MATCH($B1378,Vinos!$A$2:$A$301,0))),""))</f>
        <v/>
      </c>
      <c r="L1378" s="16">
        <f>IF($H1378="","",IFERROR(IF(INDEX(Vinos!$K$2:$K$301,MATCH($B1378,Vinos!$A$2:$A$301,0))="","",$H1378*INDEX(Vinos!$K$2:$K$301,MATCH($B1378,Vinos!$A$2:$A$301,0))),""))</f>
        <v/>
      </c>
      <c r="M1378" s="21">
        <f>IF(OR($A1378="",$B1378=""),"",SUMIFS($H$2:$H$2001,$A$2:$A$2001,$A1378,$B$2:$B$2001,$B1378))</f>
        <v/>
      </c>
      <c r="N1378" s="20">
        <f>IF($M1378="","",IF($M1378&lt;=0,"Sin stock: reponer ya",IF($M1378&lt;IFERROR(N(INDEX(Vinos!$N$2:$N$301,MATCH($B1378,Vinos!$A$2:$A$301,0))),0),"Bajo mínimo: reponer","OK")))</f>
        <v/>
      </c>
      <c r="O1378" s="14" t="n"/>
      <c r="P1378" s="14" t="n"/>
      <c r="Q1378" s="20">
        <f>IF($B1378="","",IFERROR(INDEX(Vinos!$C$2:$C$301,MATCH($B1378,Vinos!$A$2:$A$301,0)),""))</f>
        <v/>
      </c>
      <c r="R1378" s="20">
        <f>IF(OR($A1378="",$A1378&lt;&gt;'Resumen del inventario'!$C$3,$N1378="",$N1378="OK"),"",IF(COUNTIFS($A$2:$A1378,$A1378,$B$2:$B1378,$B1378)=1,1,""))</f>
        <v/>
      </c>
      <c r="S1378" s="20">
        <f>IF($R1378=1,COUNTIF($R$2:$R1378,1),"")</f>
        <v/>
      </c>
    </row>
    <row r="1379">
      <c r="A1379" s="19" t="n"/>
      <c r="B1379" s="14" t="n"/>
      <c r="C1379" s="20">
        <f>IF($B1379="","",IFERROR(INDEX(Vinos!$B$2:$B$301,MATCH($B1379,Vinos!$A$2:$A$301,0)),"Código no cargado"))</f>
        <v/>
      </c>
      <c r="D1379" s="14" t="n"/>
      <c r="E1379" s="14" t="n"/>
      <c r="F1379" s="18" t="n"/>
      <c r="G1379" s="18" t="n"/>
      <c r="H1379" s="21">
        <f>IF(AND($F1379="",$G1379=""),"",N($F1379)*IFERROR(N(INDEX(Vinos!$H$2:$H$301,MATCH($B1379,Vinos!$A$2:$A$301,0))),0)+N($G1379))</f>
        <v/>
      </c>
      <c r="I1379" s="18" t="n"/>
      <c r="J1379" s="21">
        <f>IF(OR($H1379="",$I1379=""),"",$H1379-$I1379)</f>
        <v/>
      </c>
      <c r="K1379" s="16">
        <f>IF($H1379="","",IFERROR(IF(INDEX(Vinos!$J$2:$J$301,MATCH($B1379,Vinos!$A$2:$A$301,0))="","",$H1379*INDEX(Vinos!$J$2:$J$301,MATCH($B1379,Vinos!$A$2:$A$301,0))),""))</f>
        <v/>
      </c>
      <c r="L1379" s="16">
        <f>IF($H1379="","",IFERROR(IF(INDEX(Vinos!$K$2:$K$301,MATCH($B1379,Vinos!$A$2:$A$301,0))="","",$H1379*INDEX(Vinos!$K$2:$K$301,MATCH($B1379,Vinos!$A$2:$A$301,0))),""))</f>
        <v/>
      </c>
      <c r="M1379" s="21">
        <f>IF(OR($A1379="",$B1379=""),"",SUMIFS($H$2:$H$2001,$A$2:$A$2001,$A1379,$B$2:$B$2001,$B1379))</f>
        <v/>
      </c>
      <c r="N1379" s="20">
        <f>IF($M1379="","",IF($M1379&lt;=0,"Sin stock: reponer ya",IF($M1379&lt;IFERROR(N(INDEX(Vinos!$N$2:$N$301,MATCH($B1379,Vinos!$A$2:$A$301,0))),0),"Bajo mínimo: reponer","OK")))</f>
        <v/>
      </c>
      <c r="O1379" s="14" t="n"/>
      <c r="P1379" s="14" t="n"/>
      <c r="Q1379" s="20">
        <f>IF($B1379="","",IFERROR(INDEX(Vinos!$C$2:$C$301,MATCH($B1379,Vinos!$A$2:$A$301,0)),""))</f>
        <v/>
      </c>
      <c r="R1379" s="20">
        <f>IF(OR($A1379="",$A1379&lt;&gt;'Resumen del inventario'!$C$3,$N1379="",$N1379="OK"),"",IF(COUNTIFS($A$2:$A1379,$A1379,$B$2:$B1379,$B1379)=1,1,""))</f>
        <v/>
      </c>
      <c r="S1379" s="20">
        <f>IF($R1379=1,COUNTIF($R$2:$R1379,1),"")</f>
        <v/>
      </c>
    </row>
    <row r="1380">
      <c r="A1380" s="19" t="n"/>
      <c r="B1380" s="14" t="n"/>
      <c r="C1380" s="20">
        <f>IF($B1380="","",IFERROR(INDEX(Vinos!$B$2:$B$301,MATCH($B1380,Vinos!$A$2:$A$301,0)),"Código no cargado"))</f>
        <v/>
      </c>
      <c r="D1380" s="14" t="n"/>
      <c r="E1380" s="14" t="n"/>
      <c r="F1380" s="18" t="n"/>
      <c r="G1380" s="18" t="n"/>
      <c r="H1380" s="21">
        <f>IF(AND($F1380="",$G1380=""),"",N($F1380)*IFERROR(N(INDEX(Vinos!$H$2:$H$301,MATCH($B1380,Vinos!$A$2:$A$301,0))),0)+N($G1380))</f>
        <v/>
      </c>
      <c r="I1380" s="18" t="n"/>
      <c r="J1380" s="21">
        <f>IF(OR($H1380="",$I1380=""),"",$H1380-$I1380)</f>
        <v/>
      </c>
      <c r="K1380" s="16">
        <f>IF($H1380="","",IFERROR(IF(INDEX(Vinos!$J$2:$J$301,MATCH($B1380,Vinos!$A$2:$A$301,0))="","",$H1380*INDEX(Vinos!$J$2:$J$301,MATCH($B1380,Vinos!$A$2:$A$301,0))),""))</f>
        <v/>
      </c>
      <c r="L1380" s="16">
        <f>IF($H1380="","",IFERROR(IF(INDEX(Vinos!$K$2:$K$301,MATCH($B1380,Vinos!$A$2:$A$301,0))="","",$H1380*INDEX(Vinos!$K$2:$K$301,MATCH($B1380,Vinos!$A$2:$A$301,0))),""))</f>
        <v/>
      </c>
      <c r="M1380" s="21">
        <f>IF(OR($A1380="",$B1380=""),"",SUMIFS($H$2:$H$2001,$A$2:$A$2001,$A1380,$B$2:$B$2001,$B1380))</f>
        <v/>
      </c>
      <c r="N1380" s="20">
        <f>IF($M1380="","",IF($M1380&lt;=0,"Sin stock: reponer ya",IF($M1380&lt;IFERROR(N(INDEX(Vinos!$N$2:$N$301,MATCH($B1380,Vinos!$A$2:$A$301,0))),0),"Bajo mínimo: reponer","OK")))</f>
        <v/>
      </c>
      <c r="O1380" s="14" t="n"/>
      <c r="P1380" s="14" t="n"/>
      <c r="Q1380" s="20">
        <f>IF($B1380="","",IFERROR(INDEX(Vinos!$C$2:$C$301,MATCH($B1380,Vinos!$A$2:$A$301,0)),""))</f>
        <v/>
      </c>
      <c r="R1380" s="20">
        <f>IF(OR($A1380="",$A1380&lt;&gt;'Resumen del inventario'!$C$3,$N1380="",$N1380="OK"),"",IF(COUNTIFS($A$2:$A1380,$A1380,$B$2:$B1380,$B1380)=1,1,""))</f>
        <v/>
      </c>
      <c r="S1380" s="20">
        <f>IF($R1380=1,COUNTIF($R$2:$R1380,1),"")</f>
        <v/>
      </c>
    </row>
    <row r="1381">
      <c r="A1381" s="19" t="n"/>
      <c r="B1381" s="14" t="n"/>
      <c r="C1381" s="20">
        <f>IF($B1381="","",IFERROR(INDEX(Vinos!$B$2:$B$301,MATCH($B1381,Vinos!$A$2:$A$301,0)),"Código no cargado"))</f>
        <v/>
      </c>
      <c r="D1381" s="14" t="n"/>
      <c r="E1381" s="14" t="n"/>
      <c r="F1381" s="18" t="n"/>
      <c r="G1381" s="18" t="n"/>
      <c r="H1381" s="21">
        <f>IF(AND($F1381="",$G1381=""),"",N($F1381)*IFERROR(N(INDEX(Vinos!$H$2:$H$301,MATCH($B1381,Vinos!$A$2:$A$301,0))),0)+N($G1381))</f>
        <v/>
      </c>
      <c r="I1381" s="18" t="n"/>
      <c r="J1381" s="21">
        <f>IF(OR($H1381="",$I1381=""),"",$H1381-$I1381)</f>
        <v/>
      </c>
      <c r="K1381" s="16">
        <f>IF($H1381="","",IFERROR(IF(INDEX(Vinos!$J$2:$J$301,MATCH($B1381,Vinos!$A$2:$A$301,0))="","",$H1381*INDEX(Vinos!$J$2:$J$301,MATCH($B1381,Vinos!$A$2:$A$301,0))),""))</f>
        <v/>
      </c>
      <c r="L1381" s="16">
        <f>IF($H1381="","",IFERROR(IF(INDEX(Vinos!$K$2:$K$301,MATCH($B1381,Vinos!$A$2:$A$301,0))="","",$H1381*INDEX(Vinos!$K$2:$K$301,MATCH($B1381,Vinos!$A$2:$A$301,0))),""))</f>
        <v/>
      </c>
      <c r="M1381" s="21">
        <f>IF(OR($A1381="",$B1381=""),"",SUMIFS($H$2:$H$2001,$A$2:$A$2001,$A1381,$B$2:$B$2001,$B1381))</f>
        <v/>
      </c>
      <c r="N1381" s="20">
        <f>IF($M1381="","",IF($M1381&lt;=0,"Sin stock: reponer ya",IF($M1381&lt;IFERROR(N(INDEX(Vinos!$N$2:$N$301,MATCH($B1381,Vinos!$A$2:$A$301,0))),0),"Bajo mínimo: reponer","OK")))</f>
        <v/>
      </c>
      <c r="O1381" s="14" t="n"/>
      <c r="P1381" s="14" t="n"/>
      <c r="Q1381" s="20">
        <f>IF($B1381="","",IFERROR(INDEX(Vinos!$C$2:$C$301,MATCH($B1381,Vinos!$A$2:$A$301,0)),""))</f>
        <v/>
      </c>
      <c r="R1381" s="20">
        <f>IF(OR($A1381="",$A1381&lt;&gt;'Resumen del inventario'!$C$3,$N1381="",$N1381="OK"),"",IF(COUNTIFS($A$2:$A1381,$A1381,$B$2:$B1381,$B1381)=1,1,""))</f>
        <v/>
      </c>
      <c r="S1381" s="20">
        <f>IF($R1381=1,COUNTIF($R$2:$R1381,1),"")</f>
        <v/>
      </c>
    </row>
    <row r="1382">
      <c r="A1382" s="19" t="n"/>
      <c r="B1382" s="14" t="n"/>
      <c r="C1382" s="20">
        <f>IF($B1382="","",IFERROR(INDEX(Vinos!$B$2:$B$301,MATCH($B1382,Vinos!$A$2:$A$301,0)),"Código no cargado"))</f>
        <v/>
      </c>
      <c r="D1382" s="14" t="n"/>
      <c r="E1382" s="14" t="n"/>
      <c r="F1382" s="18" t="n"/>
      <c r="G1382" s="18" t="n"/>
      <c r="H1382" s="21">
        <f>IF(AND($F1382="",$G1382=""),"",N($F1382)*IFERROR(N(INDEX(Vinos!$H$2:$H$301,MATCH($B1382,Vinos!$A$2:$A$301,0))),0)+N($G1382))</f>
        <v/>
      </c>
      <c r="I1382" s="18" t="n"/>
      <c r="J1382" s="21">
        <f>IF(OR($H1382="",$I1382=""),"",$H1382-$I1382)</f>
        <v/>
      </c>
      <c r="K1382" s="16">
        <f>IF($H1382="","",IFERROR(IF(INDEX(Vinos!$J$2:$J$301,MATCH($B1382,Vinos!$A$2:$A$301,0))="","",$H1382*INDEX(Vinos!$J$2:$J$301,MATCH($B1382,Vinos!$A$2:$A$301,0))),""))</f>
        <v/>
      </c>
      <c r="L1382" s="16">
        <f>IF($H1382="","",IFERROR(IF(INDEX(Vinos!$K$2:$K$301,MATCH($B1382,Vinos!$A$2:$A$301,0))="","",$H1382*INDEX(Vinos!$K$2:$K$301,MATCH($B1382,Vinos!$A$2:$A$301,0))),""))</f>
        <v/>
      </c>
      <c r="M1382" s="21">
        <f>IF(OR($A1382="",$B1382=""),"",SUMIFS($H$2:$H$2001,$A$2:$A$2001,$A1382,$B$2:$B$2001,$B1382))</f>
        <v/>
      </c>
      <c r="N1382" s="20">
        <f>IF($M1382="","",IF($M1382&lt;=0,"Sin stock: reponer ya",IF($M1382&lt;IFERROR(N(INDEX(Vinos!$N$2:$N$301,MATCH($B1382,Vinos!$A$2:$A$301,0))),0),"Bajo mínimo: reponer","OK")))</f>
        <v/>
      </c>
      <c r="O1382" s="14" t="n"/>
      <c r="P1382" s="14" t="n"/>
      <c r="Q1382" s="20">
        <f>IF($B1382="","",IFERROR(INDEX(Vinos!$C$2:$C$301,MATCH($B1382,Vinos!$A$2:$A$301,0)),""))</f>
        <v/>
      </c>
      <c r="R1382" s="20">
        <f>IF(OR($A1382="",$A1382&lt;&gt;'Resumen del inventario'!$C$3,$N1382="",$N1382="OK"),"",IF(COUNTIFS($A$2:$A1382,$A1382,$B$2:$B1382,$B1382)=1,1,""))</f>
        <v/>
      </c>
      <c r="S1382" s="20">
        <f>IF($R1382=1,COUNTIF($R$2:$R1382,1),"")</f>
        <v/>
      </c>
    </row>
    <row r="1383">
      <c r="A1383" s="19" t="n"/>
      <c r="B1383" s="14" t="n"/>
      <c r="C1383" s="20">
        <f>IF($B1383="","",IFERROR(INDEX(Vinos!$B$2:$B$301,MATCH($B1383,Vinos!$A$2:$A$301,0)),"Código no cargado"))</f>
        <v/>
      </c>
      <c r="D1383" s="14" t="n"/>
      <c r="E1383" s="14" t="n"/>
      <c r="F1383" s="18" t="n"/>
      <c r="G1383" s="18" t="n"/>
      <c r="H1383" s="21">
        <f>IF(AND($F1383="",$G1383=""),"",N($F1383)*IFERROR(N(INDEX(Vinos!$H$2:$H$301,MATCH($B1383,Vinos!$A$2:$A$301,0))),0)+N($G1383))</f>
        <v/>
      </c>
      <c r="I1383" s="18" t="n"/>
      <c r="J1383" s="21">
        <f>IF(OR($H1383="",$I1383=""),"",$H1383-$I1383)</f>
        <v/>
      </c>
      <c r="K1383" s="16">
        <f>IF($H1383="","",IFERROR(IF(INDEX(Vinos!$J$2:$J$301,MATCH($B1383,Vinos!$A$2:$A$301,0))="","",$H1383*INDEX(Vinos!$J$2:$J$301,MATCH($B1383,Vinos!$A$2:$A$301,0))),""))</f>
        <v/>
      </c>
      <c r="L1383" s="16">
        <f>IF($H1383="","",IFERROR(IF(INDEX(Vinos!$K$2:$K$301,MATCH($B1383,Vinos!$A$2:$A$301,0))="","",$H1383*INDEX(Vinos!$K$2:$K$301,MATCH($B1383,Vinos!$A$2:$A$301,0))),""))</f>
        <v/>
      </c>
      <c r="M1383" s="21">
        <f>IF(OR($A1383="",$B1383=""),"",SUMIFS($H$2:$H$2001,$A$2:$A$2001,$A1383,$B$2:$B$2001,$B1383))</f>
        <v/>
      </c>
      <c r="N1383" s="20">
        <f>IF($M1383="","",IF($M1383&lt;=0,"Sin stock: reponer ya",IF($M1383&lt;IFERROR(N(INDEX(Vinos!$N$2:$N$301,MATCH($B1383,Vinos!$A$2:$A$301,0))),0),"Bajo mínimo: reponer","OK")))</f>
        <v/>
      </c>
      <c r="O1383" s="14" t="n"/>
      <c r="P1383" s="14" t="n"/>
      <c r="Q1383" s="20">
        <f>IF($B1383="","",IFERROR(INDEX(Vinos!$C$2:$C$301,MATCH($B1383,Vinos!$A$2:$A$301,0)),""))</f>
        <v/>
      </c>
      <c r="R1383" s="20">
        <f>IF(OR($A1383="",$A1383&lt;&gt;'Resumen del inventario'!$C$3,$N1383="",$N1383="OK"),"",IF(COUNTIFS($A$2:$A1383,$A1383,$B$2:$B1383,$B1383)=1,1,""))</f>
        <v/>
      </c>
      <c r="S1383" s="20">
        <f>IF($R1383=1,COUNTIF($R$2:$R1383,1),"")</f>
        <v/>
      </c>
    </row>
    <row r="1384">
      <c r="A1384" s="19" t="n"/>
      <c r="B1384" s="14" t="n"/>
      <c r="C1384" s="20">
        <f>IF($B1384="","",IFERROR(INDEX(Vinos!$B$2:$B$301,MATCH($B1384,Vinos!$A$2:$A$301,0)),"Código no cargado"))</f>
        <v/>
      </c>
      <c r="D1384" s="14" t="n"/>
      <c r="E1384" s="14" t="n"/>
      <c r="F1384" s="18" t="n"/>
      <c r="G1384" s="18" t="n"/>
      <c r="H1384" s="21">
        <f>IF(AND($F1384="",$G1384=""),"",N($F1384)*IFERROR(N(INDEX(Vinos!$H$2:$H$301,MATCH($B1384,Vinos!$A$2:$A$301,0))),0)+N($G1384))</f>
        <v/>
      </c>
      <c r="I1384" s="18" t="n"/>
      <c r="J1384" s="21">
        <f>IF(OR($H1384="",$I1384=""),"",$H1384-$I1384)</f>
        <v/>
      </c>
      <c r="K1384" s="16">
        <f>IF($H1384="","",IFERROR(IF(INDEX(Vinos!$J$2:$J$301,MATCH($B1384,Vinos!$A$2:$A$301,0))="","",$H1384*INDEX(Vinos!$J$2:$J$301,MATCH($B1384,Vinos!$A$2:$A$301,0))),""))</f>
        <v/>
      </c>
      <c r="L1384" s="16">
        <f>IF($H1384="","",IFERROR(IF(INDEX(Vinos!$K$2:$K$301,MATCH($B1384,Vinos!$A$2:$A$301,0))="","",$H1384*INDEX(Vinos!$K$2:$K$301,MATCH($B1384,Vinos!$A$2:$A$301,0))),""))</f>
        <v/>
      </c>
      <c r="M1384" s="21">
        <f>IF(OR($A1384="",$B1384=""),"",SUMIFS($H$2:$H$2001,$A$2:$A$2001,$A1384,$B$2:$B$2001,$B1384))</f>
        <v/>
      </c>
      <c r="N1384" s="20">
        <f>IF($M1384="","",IF($M1384&lt;=0,"Sin stock: reponer ya",IF($M1384&lt;IFERROR(N(INDEX(Vinos!$N$2:$N$301,MATCH($B1384,Vinos!$A$2:$A$301,0))),0),"Bajo mínimo: reponer","OK")))</f>
        <v/>
      </c>
      <c r="O1384" s="14" t="n"/>
      <c r="P1384" s="14" t="n"/>
      <c r="Q1384" s="20">
        <f>IF($B1384="","",IFERROR(INDEX(Vinos!$C$2:$C$301,MATCH($B1384,Vinos!$A$2:$A$301,0)),""))</f>
        <v/>
      </c>
      <c r="R1384" s="20">
        <f>IF(OR($A1384="",$A1384&lt;&gt;'Resumen del inventario'!$C$3,$N1384="",$N1384="OK"),"",IF(COUNTIFS($A$2:$A1384,$A1384,$B$2:$B1384,$B1384)=1,1,""))</f>
        <v/>
      </c>
      <c r="S1384" s="20">
        <f>IF($R1384=1,COUNTIF($R$2:$R1384,1),"")</f>
        <v/>
      </c>
    </row>
    <row r="1385">
      <c r="A1385" s="19" t="n"/>
      <c r="B1385" s="14" t="n"/>
      <c r="C1385" s="20">
        <f>IF($B1385="","",IFERROR(INDEX(Vinos!$B$2:$B$301,MATCH($B1385,Vinos!$A$2:$A$301,0)),"Código no cargado"))</f>
        <v/>
      </c>
      <c r="D1385" s="14" t="n"/>
      <c r="E1385" s="14" t="n"/>
      <c r="F1385" s="18" t="n"/>
      <c r="G1385" s="18" t="n"/>
      <c r="H1385" s="21">
        <f>IF(AND($F1385="",$G1385=""),"",N($F1385)*IFERROR(N(INDEX(Vinos!$H$2:$H$301,MATCH($B1385,Vinos!$A$2:$A$301,0))),0)+N($G1385))</f>
        <v/>
      </c>
      <c r="I1385" s="18" t="n"/>
      <c r="J1385" s="21">
        <f>IF(OR($H1385="",$I1385=""),"",$H1385-$I1385)</f>
        <v/>
      </c>
      <c r="K1385" s="16">
        <f>IF($H1385="","",IFERROR(IF(INDEX(Vinos!$J$2:$J$301,MATCH($B1385,Vinos!$A$2:$A$301,0))="","",$H1385*INDEX(Vinos!$J$2:$J$301,MATCH($B1385,Vinos!$A$2:$A$301,0))),""))</f>
        <v/>
      </c>
      <c r="L1385" s="16">
        <f>IF($H1385="","",IFERROR(IF(INDEX(Vinos!$K$2:$K$301,MATCH($B1385,Vinos!$A$2:$A$301,0))="","",$H1385*INDEX(Vinos!$K$2:$K$301,MATCH($B1385,Vinos!$A$2:$A$301,0))),""))</f>
        <v/>
      </c>
      <c r="M1385" s="21">
        <f>IF(OR($A1385="",$B1385=""),"",SUMIFS($H$2:$H$2001,$A$2:$A$2001,$A1385,$B$2:$B$2001,$B1385))</f>
        <v/>
      </c>
      <c r="N1385" s="20">
        <f>IF($M1385="","",IF($M1385&lt;=0,"Sin stock: reponer ya",IF($M1385&lt;IFERROR(N(INDEX(Vinos!$N$2:$N$301,MATCH($B1385,Vinos!$A$2:$A$301,0))),0),"Bajo mínimo: reponer","OK")))</f>
        <v/>
      </c>
      <c r="O1385" s="14" t="n"/>
      <c r="P1385" s="14" t="n"/>
      <c r="Q1385" s="20">
        <f>IF($B1385="","",IFERROR(INDEX(Vinos!$C$2:$C$301,MATCH($B1385,Vinos!$A$2:$A$301,0)),""))</f>
        <v/>
      </c>
      <c r="R1385" s="20">
        <f>IF(OR($A1385="",$A1385&lt;&gt;'Resumen del inventario'!$C$3,$N1385="",$N1385="OK"),"",IF(COUNTIFS($A$2:$A1385,$A1385,$B$2:$B1385,$B1385)=1,1,""))</f>
        <v/>
      </c>
      <c r="S1385" s="20">
        <f>IF($R1385=1,COUNTIF($R$2:$R1385,1),"")</f>
        <v/>
      </c>
    </row>
    <row r="1386">
      <c r="A1386" s="19" t="n"/>
      <c r="B1386" s="14" t="n"/>
      <c r="C1386" s="20">
        <f>IF($B1386="","",IFERROR(INDEX(Vinos!$B$2:$B$301,MATCH($B1386,Vinos!$A$2:$A$301,0)),"Código no cargado"))</f>
        <v/>
      </c>
      <c r="D1386" s="14" t="n"/>
      <c r="E1386" s="14" t="n"/>
      <c r="F1386" s="18" t="n"/>
      <c r="G1386" s="18" t="n"/>
      <c r="H1386" s="21">
        <f>IF(AND($F1386="",$G1386=""),"",N($F1386)*IFERROR(N(INDEX(Vinos!$H$2:$H$301,MATCH($B1386,Vinos!$A$2:$A$301,0))),0)+N($G1386))</f>
        <v/>
      </c>
      <c r="I1386" s="18" t="n"/>
      <c r="J1386" s="21">
        <f>IF(OR($H1386="",$I1386=""),"",$H1386-$I1386)</f>
        <v/>
      </c>
      <c r="K1386" s="16">
        <f>IF($H1386="","",IFERROR(IF(INDEX(Vinos!$J$2:$J$301,MATCH($B1386,Vinos!$A$2:$A$301,0))="","",$H1386*INDEX(Vinos!$J$2:$J$301,MATCH($B1386,Vinos!$A$2:$A$301,0))),""))</f>
        <v/>
      </c>
      <c r="L1386" s="16">
        <f>IF($H1386="","",IFERROR(IF(INDEX(Vinos!$K$2:$K$301,MATCH($B1386,Vinos!$A$2:$A$301,0))="","",$H1386*INDEX(Vinos!$K$2:$K$301,MATCH($B1386,Vinos!$A$2:$A$301,0))),""))</f>
        <v/>
      </c>
      <c r="M1386" s="21">
        <f>IF(OR($A1386="",$B1386=""),"",SUMIFS($H$2:$H$2001,$A$2:$A$2001,$A1386,$B$2:$B$2001,$B1386))</f>
        <v/>
      </c>
      <c r="N1386" s="20">
        <f>IF($M1386="","",IF($M1386&lt;=0,"Sin stock: reponer ya",IF($M1386&lt;IFERROR(N(INDEX(Vinos!$N$2:$N$301,MATCH($B1386,Vinos!$A$2:$A$301,0))),0),"Bajo mínimo: reponer","OK")))</f>
        <v/>
      </c>
      <c r="O1386" s="14" t="n"/>
      <c r="P1386" s="14" t="n"/>
      <c r="Q1386" s="20">
        <f>IF($B1386="","",IFERROR(INDEX(Vinos!$C$2:$C$301,MATCH($B1386,Vinos!$A$2:$A$301,0)),""))</f>
        <v/>
      </c>
      <c r="R1386" s="20">
        <f>IF(OR($A1386="",$A1386&lt;&gt;'Resumen del inventario'!$C$3,$N1386="",$N1386="OK"),"",IF(COUNTIFS($A$2:$A1386,$A1386,$B$2:$B1386,$B1386)=1,1,""))</f>
        <v/>
      </c>
      <c r="S1386" s="20">
        <f>IF($R1386=1,COUNTIF($R$2:$R1386,1),"")</f>
        <v/>
      </c>
    </row>
    <row r="1387">
      <c r="A1387" s="19" t="n"/>
      <c r="B1387" s="14" t="n"/>
      <c r="C1387" s="20">
        <f>IF($B1387="","",IFERROR(INDEX(Vinos!$B$2:$B$301,MATCH($B1387,Vinos!$A$2:$A$301,0)),"Código no cargado"))</f>
        <v/>
      </c>
      <c r="D1387" s="14" t="n"/>
      <c r="E1387" s="14" t="n"/>
      <c r="F1387" s="18" t="n"/>
      <c r="G1387" s="18" t="n"/>
      <c r="H1387" s="21">
        <f>IF(AND($F1387="",$G1387=""),"",N($F1387)*IFERROR(N(INDEX(Vinos!$H$2:$H$301,MATCH($B1387,Vinos!$A$2:$A$301,0))),0)+N($G1387))</f>
        <v/>
      </c>
      <c r="I1387" s="18" t="n"/>
      <c r="J1387" s="21">
        <f>IF(OR($H1387="",$I1387=""),"",$H1387-$I1387)</f>
        <v/>
      </c>
      <c r="K1387" s="16">
        <f>IF($H1387="","",IFERROR(IF(INDEX(Vinos!$J$2:$J$301,MATCH($B1387,Vinos!$A$2:$A$301,0))="","",$H1387*INDEX(Vinos!$J$2:$J$301,MATCH($B1387,Vinos!$A$2:$A$301,0))),""))</f>
        <v/>
      </c>
      <c r="L1387" s="16">
        <f>IF($H1387="","",IFERROR(IF(INDEX(Vinos!$K$2:$K$301,MATCH($B1387,Vinos!$A$2:$A$301,0))="","",$H1387*INDEX(Vinos!$K$2:$K$301,MATCH($B1387,Vinos!$A$2:$A$301,0))),""))</f>
        <v/>
      </c>
      <c r="M1387" s="21">
        <f>IF(OR($A1387="",$B1387=""),"",SUMIFS($H$2:$H$2001,$A$2:$A$2001,$A1387,$B$2:$B$2001,$B1387))</f>
        <v/>
      </c>
      <c r="N1387" s="20">
        <f>IF($M1387="","",IF($M1387&lt;=0,"Sin stock: reponer ya",IF($M1387&lt;IFERROR(N(INDEX(Vinos!$N$2:$N$301,MATCH($B1387,Vinos!$A$2:$A$301,0))),0),"Bajo mínimo: reponer","OK")))</f>
        <v/>
      </c>
      <c r="O1387" s="14" t="n"/>
      <c r="P1387" s="14" t="n"/>
      <c r="Q1387" s="20">
        <f>IF($B1387="","",IFERROR(INDEX(Vinos!$C$2:$C$301,MATCH($B1387,Vinos!$A$2:$A$301,0)),""))</f>
        <v/>
      </c>
      <c r="R1387" s="20">
        <f>IF(OR($A1387="",$A1387&lt;&gt;'Resumen del inventario'!$C$3,$N1387="",$N1387="OK"),"",IF(COUNTIFS($A$2:$A1387,$A1387,$B$2:$B1387,$B1387)=1,1,""))</f>
        <v/>
      </c>
      <c r="S1387" s="20">
        <f>IF($R1387=1,COUNTIF($R$2:$R1387,1),"")</f>
        <v/>
      </c>
    </row>
    <row r="1388">
      <c r="A1388" s="19" t="n"/>
      <c r="B1388" s="14" t="n"/>
      <c r="C1388" s="20">
        <f>IF($B1388="","",IFERROR(INDEX(Vinos!$B$2:$B$301,MATCH($B1388,Vinos!$A$2:$A$301,0)),"Código no cargado"))</f>
        <v/>
      </c>
      <c r="D1388" s="14" t="n"/>
      <c r="E1388" s="14" t="n"/>
      <c r="F1388" s="18" t="n"/>
      <c r="G1388" s="18" t="n"/>
      <c r="H1388" s="21">
        <f>IF(AND($F1388="",$G1388=""),"",N($F1388)*IFERROR(N(INDEX(Vinos!$H$2:$H$301,MATCH($B1388,Vinos!$A$2:$A$301,0))),0)+N($G1388))</f>
        <v/>
      </c>
      <c r="I1388" s="18" t="n"/>
      <c r="J1388" s="21">
        <f>IF(OR($H1388="",$I1388=""),"",$H1388-$I1388)</f>
        <v/>
      </c>
      <c r="K1388" s="16">
        <f>IF($H1388="","",IFERROR(IF(INDEX(Vinos!$J$2:$J$301,MATCH($B1388,Vinos!$A$2:$A$301,0))="","",$H1388*INDEX(Vinos!$J$2:$J$301,MATCH($B1388,Vinos!$A$2:$A$301,0))),""))</f>
        <v/>
      </c>
      <c r="L1388" s="16">
        <f>IF($H1388="","",IFERROR(IF(INDEX(Vinos!$K$2:$K$301,MATCH($B1388,Vinos!$A$2:$A$301,0))="","",$H1388*INDEX(Vinos!$K$2:$K$301,MATCH($B1388,Vinos!$A$2:$A$301,0))),""))</f>
        <v/>
      </c>
      <c r="M1388" s="21">
        <f>IF(OR($A1388="",$B1388=""),"",SUMIFS($H$2:$H$2001,$A$2:$A$2001,$A1388,$B$2:$B$2001,$B1388))</f>
        <v/>
      </c>
      <c r="N1388" s="20">
        <f>IF($M1388="","",IF($M1388&lt;=0,"Sin stock: reponer ya",IF($M1388&lt;IFERROR(N(INDEX(Vinos!$N$2:$N$301,MATCH($B1388,Vinos!$A$2:$A$301,0))),0),"Bajo mínimo: reponer","OK")))</f>
        <v/>
      </c>
      <c r="O1388" s="14" t="n"/>
      <c r="P1388" s="14" t="n"/>
      <c r="Q1388" s="20">
        <f>IF($B1388="","",IFERROR(INDEX(Vinos!$C$2:$C$301,MATCH($B1388,Vinos!$A$2:$A$301,0)),""))</f>
        <v/>
      </c>
      <c r="R1388" s="20">
        <f>IF(OR($A1388="",$A1388&lt;&gt;'Resumen del inventario'!$C$3,$N1388="",$N1388="OK"),"",IF(COUNTIFS($A$2:$A1388,$A1388,$B$2:$B1388,$B1388)=1,1,""))</f>
        <v/>
      </c>
      <c r="S1388" s="20">
        <f>IF($R1388=1,COUNTIF($R$2:$R1388,1),"")</f>
        <v/>
      </c>
    </row>
    <row r="1389">
      <c r="A1389" s="19" t="n"/>
      <c r="B1389" s="14" t="n"/>
      <c r="C1389" s="20">
        <f>IF($B1389="","",IFERROR(INDEX(Vinos!$B$2:$B$301,MATCH($B1389,Vinos!$A$2:$A$301,0)),"Código no cargado"))</f>
        <v/>
      </c>
      <c r="D1389" s="14" t="n"/>
      <c r="E1389" s="14" t="n"/>
      <c r="F1389" s="18" t="n"/>
      <c r="G1389" s="18" t="n"/>
      <c r="H1389" s="21">
        <f>IF(AND($F1389="",$G1389=""),"",N($F1389)*IFERROR(N(INDEX(Vinos!$H$2:$H$301,MATCH($B1389,Vinos!$A$2:$A$301,0))),0)+N($G1389))</f>
        <v/>
      </c>
      <c r="I1389" s="18" t="n"/>
      <c r="J1389" s="21">
        <f>IF(OR($H1389="",$I1389=""),"",$H1389-$I1389)</f>
        <v/>
      </c>
      <c r="K1389" s="16">
        <f>IF($H1389="","",IFERROR(IF(INDEX(Vinos!$J$2:$J$301,MATCH($B1389,Vinos!$A$2:$A$301,0))="","",$H1389*INDEX(Vinos!$J$2:$J$301,MATCH($B1389,Vinos!$A$2:$A$301,0))),""))</f>
        <v/>
      </c>
      <c r="L1389" s="16">
        <f>IF($H1389="","",IFERROR(IF(INDEX(Vinos!$K$2:$K$301,MATCH($B1389,Vinos!$A$2:$A$301,0))="","",$H1389*INDEX(Vinos!$K$2:$K$301,MATCH($B1389,Vinos!$A$2:$A$301,0))),""))</f>
        <v/>
      </c>
      <c r="M1389" s="21">
        <f>IF(OR($A1389="",$B1389=""),"",SUMIFS($H$2:$H$2001,$A$2:$A$2001,$A1389,$B$2:$B$2001,$B1389))</f>
        <v/>
      </c>
      <c r="N1389" s="20">
        <f>IF($M1389="","",IF($M1389&lt;=0,"Sin stock: reponer ya",IF($M1389&lt;IFERROR(N(INDEX(Vinos!$N$2:$N$301,MATCH($B1389,Vinos!$A$2:$A$301,0))),0),"Bajo mínimo: reponer","OK")))</f>
        <v/>
      </c>
      <c r="O1389" s="14" t="n"/>
      <c r="P1389" s="14" t="n"/>
      <c r="Q1389" s="20">
        <f>IF($B1389="","",IFERROR(INDEX(Vinos!$C$2:$C$301,MATCH($B1389,Vinos!$A$2:$A$301,0)),""))</f>
        <v/>
      </c>
      <c r="R1389" s="20">
        <f>IF(OR($A1389="",$A1389&lt;&gt;'Resumen del inventario'!$C$3,$N1389="",$N1389="OK"),"",IF(COUNTIFS($A$2:$A1389,$A1389,$B$2:$B1389,$B1389)=1,1,""))</f>
        <v/>
      </c>
      <c r="S1389" s="20">
        <f>IF($R1389=1,COUNTIF($R$2:$R1389,1),"")</f>
        <v/>
      </c>
    </row>
    <row r="1390">
      <c r="A1390" s="19" t="n"/>
      <c r="B1390" s="14" t="n"/>
      <c r="C1390" s="20">
        <f>IF($B1390="","",IFERROR(INDEX(Vinos!$B$2:$B$301,MATCH($B1390,Vinos!$A$2:$A$301,0)),"Código no cargado"))</f>
        <v/>
      </c>
      <c r="D1390" s="14" t="n"/>
      <c r="E1390" s="14" t="n"/>
      <c r="F1390" s="18" t="n"/>
      <c r="G1390" s="18" t="n"/>
      <c r="H1390" s="21">
        <f>IF(AND($F1390="",$G1390=""),"",N($F1390)*IFERROR(N(INDEX(Vinos!$H$2:$H$301,MATCH($B1390,Vinos!$A$2:$A$301,0))),0)+N($G1390))</f>
        <v/>
      </c>
      <c r="I1390" s="18" t="n"/>
      <c r="J1390" s="21">
        <f>IF(OR($H1390="",$I1390=""),"",$H1390-$I1390)</f>
        <v/>
      </c>
      <c r="K1390" s="16">
        <f>IF($H1390="","",IFERROR(IF(INDEX(Vinos!$J$2:$J$301,MATCH($B1390,Vinos!$A$2:$A$301,0))="","",$H1390*INDEX(Vinos!$J$2:$J$301,MATCH($B1390,Vinos!$A$2:$A$301,0))),""))</f>
        <v/>
      </c>
      <c r="L1390" s="16">
        <f>IF($H1390="","",IFERROR(IF(INDEX(Vinos!$K$2:$K$301,MATCH($B1390,Vinos!$A$2:$A$301,0))="","",$H1390*INDEX(Vinos!$K$2:$K$301,MATCH($B1390,Vinos!$A$2:$A$301,0))),""))</f>
        <v/>
      </c>
      <c r="M1390" s="21">
        <f>IF(OR($A1390="",$B1390=""),"",SUMIFS($H$2:$H$2001,$A$2:$A$2001,$A1390,$B$2:$B$2001,$B1390))</f>
        <v/>
      </c>
      <c r="N1390" s="20">
        <f>IF($M1390="","",IF($M1390&lt;=0,"Sin stock: reponer ya",IF($M1390&lt;IFERROR(N(INDEX(Vinos!$N$2:$N$301,MATCH($B1390,Vinos!$A$2:$A$301,0))),0),"Bajo mínimo: reponer","OK")))</f>
        <v/>
      </c>
      <c r="O1390" s="14" t="n"/>
      <c r="P1390" s="14" t="n"/>
      <c r="Q1390" s="20">
        <f>IF($B1390="","",IFERROR(INDEX(Vinos!$C$2:$C$301,MATCH($B1390,Vinos!$A$2:$A$301,0)),""))</f>
        <v/>
      </c>
      <c r="R1390" s="20">
        <f>IF(OR($A1390="",$A1390&lt;&gt;'Resumen del inventario'!$C$3,$N1390="",$N1390="OK"),"",IF(COUNTIFS($A$2:$A1390,$A1390,$B$2:$B1390,$B1390)=1,1,""))</f>
        <v/>
      </c>
      <c r="S1390" s="20">
        <f>IF($R1390=1,COUNTIF($R$2:$R1390,1),"")</f>
        <v/>
      </c>
    </row>
    <row r="1391">
      <c r="A1391" s="19" t="n"/>
      <c r="B1391" s="14" t="n"/>
      <c r="C1391" s="20">
        <f>IF($B1391="","",IFERROR(INDEX(Vinos!$B$2:$B$301,MATCH($B1391,Vinos!$A$2:$A$301,0)),"Código no cargado"))</f>
        <v/>
      </c>
      <c r="D1391" s="14" t="n"/>
      <c r="E1391" s="14" t="n"/>
      <c r="F1391" s="18" t="n"/>
      <c r="G1391" s="18" t="n"/>
      <c r="H1391" s="21">
        <f>IF(AND($F1391="",$G1391=""),"",N($F1391)*IFERROR(N(INDEX(Vinos!$H$2:$H$301,MATCH($B1391,Vinos!$A$2:$A$301,0))),0)+N($G1391))</f>
        <v/>
      </c>
      <c r="I1391" s="18" t="n"/>
      <c r="J1391" s="21">
        <f>IF(OR($H1391="",$I1391=""),"",$H1391-$I1391)</f>
        <v/>
      </c>
      <c r="K1391" s="16">
        <f>IF($H1391="","",IFERROR(IF(INDEX(Vinos!$J$2:$J$301,MATCH($B1391,Vinos!$A$2:$A$301,0))="","",$H1391*INDEX(Vinos!$J$2:$J$301,MATCH($B1391,Vinos!$A$2:$A$301,0))),""))</f>
        <v/>
      </c>
      <c r="L1391" s="16">
        <f>IF($H1391="","",IFERROR(IF(INDEX(Vinos!$K$2:$K$301,MATCH($B1391,Vinos!$A$2:$A$301,0))="","",$H1391*INDEX(Vinos!$K$2:$K$301,MATCH($B1391,Vinos!$A$2:$A$301,0))),""))</f>
        <v/>
      </c>
      <c r="M1391" s="21">
        <f>IF(OR($A1391="",$B1391=""),"",SUMIFS($H$2:$H$2001,$A$2:$A$2001,$A1391,$B$2:$B$2001,$B1391))</f>
        <v/>
      </c>
      <c r="N1391" s="20">
        <f>IF($M1391="","",IF($M1391&lt;=0,"Sin stock: reponer ya",IF($M1391&lt;IFERROR(N(INDEX(Vinos!$N$2:$N$301,MATCH($B1391,Vinos!$A$2:$A$301,0))),0),"Bajo mínimo: reponer","OK")))</f>
        <v/>
      </c>
      <c r="O1391" s="14" t="n"/>
      <c r="P1391" s="14" t="n"/>
      <c r="Q1391" s="20">
        <f>IF($B1391="","",IFERROR(INDEX(Vinos!$C$2:$C$301,MATCH($B1391,Vinos!$A$2:$A$301,0)),""))</f>
        <v/>
      </c>
      <c r="R1391" s="20">
        <f>IF(OR($A1391="",$A1391&lt;&gt;'Resumen del inventario'!$C$3,$N1391="",$N1391="OK"),"",IF(COUNTIFS($A$2:$A1391,$A1391,$B$2:$B1391,$B1391)=1,1,""))</f>
        <v/>
      </c>
      <c r="S1391" s="20">
        <f>IF($R1391=1,COUNTIF($R$2:$R1391,1),"")</f>
        <v/>
      </c>
    </row>
    <row r="1392">
      <c r="A1392" s="19" t="n"/>
      <c r="B1392" s="14" t="n"/>
      <c r="C1392" s="20">
        <f>IF($B1392="","",IFERROR(INDEX(Vinos!$B$2:$B$301,MATCH($B1392,Vinos!$A$2:$A$301,0)),"Código no cargado"))</f>
        <v/>
      </c>
      <c r="D1392" s="14" t="n"/>
      <c r="E1392" s="14" t="n"/>
      <c r="F1392" s="18" t="n"/>
      <c r="G1392" s="18" t="n"/>
      <c r="H1392" s="21">
        <f>IF(AND($F1392="",$G1392=""),"",N($F1392)*IFERROR(N(INDEX(Vinos!$H$2:$H$301,MATCH($B1392,Vinos!$A$2:$A$301,0))),0)+N($G1392))</f>
        <v/>
      </c>
      <c r="I1392" s="18" t="n"/>
      <c r="J1392" s="21">
        <f>IF(OR($H1392="",$I1392=""),"",$H1392-$I1392)</f>
        <v/>
      </c>
      <c r="K1392" s="16">
        <f>IF($H1392="","",IFERROR(IF(INDEX(Vinos!$J$2:$J$301,MATCH($B1392,Vinos!$A$2:$A$301,0))="","",$H1392*INDEX(Vinos!$J$2:$J$301,MATCH($B1392,Vinos!$A$2:$A$301,0))),""))</f>
        <v/>
      </c>
      <c r="L1392" s="16">
        <f>IF($H1392="","",IFERROR(IF(INDEX(Vinos!$K$2:$K$301,MATCH($B1392,Vinos!$A$2:$A$301,0))="","",$H1392*INDEX(Vinos!$K$2:$K$301,MATCH($B1392,Vinos!$A$2:$A$301,0))),""))</f>
        <v/>
      </c>
      <c r="M1392" s="21">
        <f>IF(OR($A1392="",$B1392=""),"",SUMIFS($H$2:$H$2001,$A$2:$A$2001,$A1392,$B$2:$B$2001,$B1392))</f>
        <v/>
      </c>
      <c r="N1392" s="20">
        <f>IF($M1392="","",IF($M1392&lt;=0,"Sin stock: reponer ya",IF($M1392&lt;IFERROR(N(INDEX(Vinos!$N$2:$N$301,MATCH($B1392,Vinos!$A$2:$A$301,0))),0),"Bajo mínimo: reponer","OK")))</f>
        <v/>
      </c>
      <c r="O1392" s="14" t="n"/>
      <c r="P1392" s="14" t="n"/>
      <c r="Q1392" s="20">
        <f>IF($B1392="","",IFERROR(INDEX(Vinos!$C$2:$C$301,MATCH($B1392,Vinos!$A$2:$A$301,0)),""))</f>
        <v/>
      </c>
      <c r="R1392" s="20">
        <f>IF(OR($A1392="",$A1392&lt;&gt;'Resumen del inventario'!$C$3,$N1392="",$N1392="OK"),"",IF(COUNTIFS($A$2:$A1392,$A1392,$B$2:$B1392,$B1392)=1,1,""))</f>
        <v/>
      </c>
      <c r="S1392" s="20">
        <f>IF($R1392=1,COUNTIF($R$2:$R1392,1),"")</f>
        <v/>
      </c>
    </row>
    <row r="1393">
      <c r="A1393" s="19" t="n"/>
      <c r="B1393" s="14" t="n"/>
      <c r="C1393" s="20">
        <f>IF($B1393="","",IFERROR(INDEX(Vinos!$B$2:$B$301,MATCH($B1393,Vinos!$A$2:$A$301,0)),"Código no cargado"))</f>
        <v/>
      </c>
      <c r="D1393" s="14" t="n"/>
      <c r="E1393" s="14" t="n"/>
      <c r="F1393" s="18" t="n"/>
      <c r="G1393" s="18" t="n"/>
      <c r="H1393" s="21">
        <f>IF(AND($F1393="",$G1393=""),"",N($F1393)*IFERROR(N(INDEX(Vinos!$H$2:$H$301,MATCH($B1393,Vinos!$A$2:$A$301,0))),0)+N($G1393))</f>
        <v/>
      </c>
      <c r="I1393" s="18" t="n"/>
      <c r="J1393" s="21">
        <f>IF(OR($H1393="",$I1393=""),"",$H1393-$I1393)</f>
        <v/>
      </c>
      <c r="K1393" s="16">
        <f>IF($H1393="","",IFERROR(IF(INDEX(Vinos!$J$2:$J$301,MATCH($B1393,Vinos!$A$2:$A$301,0))="","",$H1393*INDEX(Vinos!$J$2:$J$301,MATCH($B1393,Vinos!$A$2:$A$301,0))),""))</f>
        <v/>
      </c>
      <c r="L1393" s="16">
        <f>IF($H1393="","",IFERROR(IF(INDEX(Vinos!$K$2:$K$301,MATCH($B1393,Vinos!$A$2:$A$301,0))="","",$H1393*INDEX(Vinos!$K$2:$K$301,MATCH($B1393,Vinos!$A$2:$A$301,0))),""))</f>
        <v/>
      </c>
      <c r="M1393" s="21">
        <f>IF(OR($A1393="",$B1393=""),"",SUMIFS($H$2:$H$2001,$A$2:$A$2001,$A1393,$B$2:$B$2001,$B1393))</f>
        <v/>
      </c>
      <c r="N1393" s="20">
        <f>IF($M1393="","",IF($M1393&lt;=0,"Sin stock: reponer ya",IF($M1393&lt;IFERROR(N(INDEX(Vinos!$N$2:$N$301,MATCH($B1393,Vinos!$A$2:$A$301,0))),0),"Bajo mínimo: reponer","OK")))</f>
        <v/>
      </c>
      <c r="O1393" s="14" t="n"/>
      <c r="P1393" s="14" t="n"/>
      <c r="Q1393" s="20">
        <f>IF($B1393="","",IFERROR(INDEX(Vinos!$C$2:$C$301,MATCH($B1393,Vinos!$A$2:$A$301,0)),""))</f>
        <v/>
      </c>
      <c r="R1393" s="20">
        <f>IF(OR($A1393="",$A1393&lt;&gt;'Resumen del inventario'!$C$3,$N1393="",$N1393="OK"),"",IF(COUNTIFS($A$2:$A1393,$A1393,$B$2:$B1393,$B1393)=1,1,""))</f>
        <v/>
      </c>
      <c r="S1393" s="20">
        <f>IF($R1393=1,COUNTIF($R$2:$R1393,1),"")</f>
        <v/>
      </c>
    </row>
    <row r="1394">
      <c r="A1394" s="19" t="n"/>
      <c r="B1394" s="14" t="n"/>
      <c r="C1394" s="20">
        <f>IF($B1394="","",IFERROR(INDEX(Vinos!$B$2:$B$301,MATCH($B1394,Vinos!$A$2:$A$301,0)),"Código no cargado"))</f>
        <v/>
      </c>
      <c r="D1394" s="14" t="n"/>
      <c r="E1394" s="14" t="n"/>
      <c r="F1394" s="18" t="n"/>
      <c r="G1394" s="18" t="n"/>
      <c r="H1394" s="21">
        <f>IF(AND($F1394="",$G1394=""),"",N($F1394)*IFERROR(N(INDEX(Vinos!$H$2:$H$301,MATCH($B1394,Vinos!$A$2:$A$301,0))),0)+N($G1394))</f>
        <v/>
      </c>
      <c r="I1394" s="18" t="n"/>
      <c r="J1394" s="21">
        <f>IF(OR($H1394="",$I1394=""),"",$H1394-$I1394)</f>
        <v/>
      </c>
      <c r="K1394" s="16">
        <f>IF($H1394="","",IFERROR(IF(INDEX(Vinos!$J$2:$J$301,MATCH($B1394,Vinos!$A$2:$A$301,0))="","",$H1394*INDEX(Vinos!$J$2:$J$301,MATCH($B1394,Vinos!$A$2:$A$301,0))),""))</f>
        <v/>
      </c>
      <c r="L1394" s="16">
        <f>IF($H1394="","",IFERROR(IF(INDEX(Vinos!$K$2:$K$301,MATCH($B1394,Vinos!$A$2:$A$301,0))="","",$H1394*INDEX(Vinos!$K$2:$K$301,MATCH($B1394,Vinos!$A$2:$A$301,0))),""))</f>
        <v/>
      </c>
      <c r="M1394" s="21">
        <f>IF(OR($A1394="",$B1394=""),"",SUMIFS($H$2:$H$2001,$A$2:$A$2001,$A1394,$B$2:$B$2001,$B1394))</f>
        <v/>
      </c>
      <c r="N1394" s="20">
        <f>IF($M1394="","",IF($M1394&lt;=0,"Sin stock: reponer ya",IF($M1394&lt;IFERROR(N(INDEX(Vinos!$N$2:$N$301,MATCH($B1394,Vinos!$A$2:$A$301,0))),0),"Bajo mínimo: reponer","OK")))</f>
        <v/>
      </c>
      <c r="O1394" s="14" t="n"/>
      <c r="P1394" s="14" t="n"/>
      <c r="Q1394" s="20">
        <f>IF($B1394="","",IFERROR(INDEX(Vinos!$C$2:$C$301,MATCH($B1394,Vinos!$A$2:$A$301,0)),""))</f>
        <v/>
      </c>
      <c r="R1394" s="20">
        <f>IF(OR($A1394="",$A1394&lt;&gt;'Resumen del inventario'!$C$3,$N1394="",$N1394="OK"),"",IF(COUNTIFS($A$2:$A1394,$A1394,$B$2:$B1394,$B1394)=1,1,""))</f>
        <v/>
      </c>
      <c r="S1394" s="20">
        <f>IF($R1394=1,COUNTIF($R$2:$R1394,1),"")</f>
        <v/>
      </c>
    </row>
    <row r="1395">
      <c r="A1395" s="19" t="n"/>
      <c r="B1395" s="14" t="n"/>
      <c r="C1395" s="20">
        <f>IF($B1395="","",IFERROR(INDEX(Vinos!$B$2:$B$301,MATCH($B1395,Vinos!$A$2:$A$301,0)),"Código no cargado"))</f>
        <v/>
      </c>
      <c r="D1395" s="14" t="n"/>
      <c r="E1395" s="14" t="n"/>
      <c r="F1395" s="18" t="n"/>
      <c r="G1395" s="18" t="n"/>
      <c r="H1395" s="21">
        <f>IF(AND($F1395="",$G1395=""),"",N($F1395)*IFERROR(N(INDEX(Vinos!$H$2:$H$301,MATCH($B1395,Vinos!$A$2:$A$301,0))),0)+N($G1395))</f>
        <v/>
      </c>
      <c r="I1395" s="18" t="n"/>
      <c r="J1395" s="21">
        <f>IF(OR($H1395="",$I1395=""),"",$H1395-$I1395)</f>
        <v/>
      </c>
      <c r="K1395" s="16">
        <f>IF($H1395="","",IFERROR(IF(INDEX(Vinos!$J$2:$J$301,MATCH($B1395,Vinos!$A$2:$A$301,0))="","",$H1395*INDEX(Vinos!$J$2:$J$301,MATCH($B1395,Vinos!$A$2:$A$301,0))),""))</f>
        <v/>
      </c>
      <c r="L1395" s="16">
        <f>IF($H1395="","",IFERROR(IF(INDEX(Vinos!$K$2:$K$301,MATCH($B1395,Vinos!$A$2:$A$301,0))="","",$H1395*INDEX(Vinos!$K$2:$K$301,MATCH($B1395,Vinos!$A$2:$A$301,0))),""))</f>
        <v/>
      </c>
      <c r="M1395" s="21">
        <f>IF(OR($A1395="",$B1395=""),"",SUMIFS($H$2:$H$2001,$A$2:$A$2001,$A1395,$B$2:$B$2001,$B1395))</f>
        <v/>
      </c>
      <c r="N1395" s="20">
        <f>IF($M1395="","",IF($M1395&lt;=0,"Sin stock: reponer ya",IF($M1395&lt;IFERROR(N(INDEX(Vinos!$N$2:$N$301,MATCH($B1395,Vinos!$A$2:$A$301,0))),0),"Bajo mínimo: reponer","OK")))</f>
        <v/>
      </c>
      <c r="O1395" s="14" t="n"/>
      <c r="P1395" s="14" t="n"/>
      <c r="Q1395" s="20">
        <f>IF($B1395="","",IFERROR(INDEX(Vinos!$C$2:$C$301,MATCH($B1395,Vinos!$A$2:$A$301,0)),""))</f>
        <v/>
      </c>
      <c r="R1395" s="20">
        <f>IF(OR($A1395="",$A1395&lt;&gt;'Resumen del inventario'!$C$3,$N1395="",$N1395="OK"),"",IF(COUNTIFS($A$2:$A1395,$A1395,$B$2:$B1395,$B1395)=1,1,""))</f>
        <v/>
      </c>
      <c r="S1395" s="20">
        <f>IF($R1395=1,COUNTIF($R$2:$R1395,1),"")</f>
        <v/>
      </c>
    </row>
    <row r="1396">
      <c r="A1396" s="19" t="n"/>
      <c r="B1396" s="14" t="n"/>
      <c r="C1396" s="20">
        <f>IF($B1396="","",IFERROR(INDEX(Vinos!$B$2:$B$301,MATCH($B1396,Vinos!$A$2:$A$301,0)),"Código no cargado"))</f>
        <v/>
      </c>
      <c r="D1396" s="14" t="n"/>
      <c r="E1396" s="14" t="n"/>
      <c r="F1396" s="18" t="n"/>
      <c r="G1396" s="18" t="n"/>
      <c r="H1396" s="21">
        <f>IF(AND($F1396="",$G1396=""),"",N($F1396)*IFERROR(N(INDEX(Vinos!$H$2:$H$301,MATCH($B1396,Vinos!$A$2:$A$301,0))),0)+N($G1396))</f>
        <v/>
      </c>
      <c r="I1396" s="18" t="n"/>
      <c r="J1396" s="21">
        <f>IF(OR($H1396="",$I1396=""),"",$H1396-$I1396)</f>
        <v/>
      </c>
      <c r="K1396" s="16">
        <f>IF($H1396="","",IFERROR(IF(INDEX(Vinos!$J$2:$J$301,MATCH($B1396,Vinos!$A$2:$A$301,0))="","",$H1396*INDEX(Vinos!$J$2:$J$301,MATCH($B1396,Vinos!$A$2:$A$301,0))),""))</f>
        <v/>
      </c>
      <c r="L1396" s="16">
        <f>IF($H1396="","",IFERROR(IF(INDEX(Vinos!$K$2:$K$301,MATCH($B1396,Vinos!$A$2:$A$301,0))="","",$H1396*INDEX(Vinos!$K$2:$K$301,MATCH($B1396,Vinos!$A$2:$A$301,0))),""))</f>
        <v/>
      </c>
      <c r="M1396" s="21">
        <f>IF(OR($A1396="",$B1396=""),"",SUMIFS($H$2:$H$2001,$A$2:$A$2001,$A1396,$B$2:$B$2001,$B1396))</f>
        <v/>
      </c>
      <c r="N1396" s="20">
        <f>IF($M1396="","",IF($M1396&lt;=0,"Sin stock: reponer ya",IF($M1396&lt;IFERROR(N(INDEX(Vinos!$N$2:$N$301,MATCH($B1396,Vinos!$A$2:$A$301,0))),0),"Bajo mínimo: reponer","OK")))</f>
        <v/>
      </c>
      <c r="O1396" s="14" t="n"/>
      <c r="P1396" s="14" t="n"/>
      <c r="Q1396" s="20">
        <f>IF($B1396="","",IFERROR(INDEX(Vinos!$C$2:$C$301,MATCH($B1396,Vinos!$A$2:$A$301,0)),""))</f>
        <v/>
      </c>
      <c r="R1396" s="20">
        <f>IF(OR($A1396="",$A1396&lt;&gt;'Resumen del inventario'!$C$3,$N1396="",$N1396="OK"),"",IF(COUNTIFS($A$2:$A1396,$A1396,$B$2:$B1396,$B1396)=1,1,""))</f>
        <v/>
      </c>
      <c r="S1396" s="20">
        <f>IF($R1396=1,COUNTIF($R$2:$R1396,1),"")</f>
        <v/>
      </c>
    </row>
    <row r="1397">
      <c r="A1397" s="19" t="n"/>
      <c r="B1397" s="14" t="n"/>
      <c r="C1397" s="20">
        <f>IF($B1397="","",IFERROR(INDEX(Vinos!$B$2:$B$301,MATCH($B1397,Vinos!$A$2:$A$301,0)),"Código no cargado"))</f>
        <v/>
      </c>
      <c r="D1397" s="14" t="n"/>
      <c r="E1397" s="14" t="n"/>
      <c r="F1397" s="18" t="n"/>
      <c r="G1397" s="18" t="n"/>
      <c r="H1397" s="21">
        <f>IF(AND($F1397="",$G1397=""),"",N($F1397)*IFERROR(N(INDEX(Vinos!$H$2:$H$301,MATCH($B1397,Vinos!$A$2:$A$301,0))),0)+N($G1397))</f>
        <v/>
      </c>
      <c r="I1397" s="18" t="n"/>
      <c r="J1397" s="21">
        <f>IF(OR($H1397="",$I1397=""),"",$H1397-$I1397)</f>
        <v/>
      </c>
      <c r="K1397" s="16">
        <f>IF($H1397="","",IFERROR(IF(INDEX(Vinos!$J$2:$J$301,MATCH($B1397,Vinos!$A$2:$A$301,0))="","",$H1397*INDEX(Vinos!$J$2:$J$301,MATCH($B1397,Vinos!$A$2:$A$301,0))),""))</f>
        <v/>
      </c>
      <c r="L1397" s="16">
        <f>IF($H1397="","",IFERROR(IF(INDEX(Vinos!$K$2:$K$301,MATCH($B1397,Vinos!$A$2:$A$301,0))="","",$H1397*INDEX(Vinos!$K$2:$K$301,MATCH($B1397,Vinos!$A$2:$A$301,0))),""))</f>
        <v/>
      </c>
      <c r="M1397" s="21">
        <f>IF(OR($A1397="",$B1397=""),"",SUMIFS($H$2:$H$2001,$A$2:$A$2001,$A1397,$B$2:$B$2001,$B1397))</f>
        <v/>
      </c>
      <c r="N1397" s="20">
        <f>IF($M1397="","",IF($M1397&lt;=0,"Sin stock: reponer ya",IF($M1397&lt;IFERROR(N(INDEX(Vinos!$N$2:$N$301,MATCH($B1397,Vinos!$A$2:$A$301,0))),0),"Bajo mínimo: reponer","OK")))</f>
        <v/>
      </c>
      <c r="O1397" s="14" t="n"/>
      <c r="P1397" s="14" t="n"/>
      <c r="Q1397" s="20">
        <f>IF($B1397="","",IFERROR(INDEX(Vinos!$C$2:$C$301,MATCH($B1397,Vinos!$A$2:$A$301,0)),""))</f>
        <v/>
      </c>
      <c r="R1397" s="20">
        <f>IF(OR($A1397="",$A1397&lt;&gt;'Resumen del inventario'!$C$3,$N1397="",$N1397="OK"),"",IF(COUNTIFS($A$2:$A1397,$A1397,$B$2:$B1397,$B1397)=1,1,""))</f>
        <v/>
      </c>
      <c r="S1397" s="20">
        <f>IF($R1397=1,COUNTIF($R$2:$R1397,1),"")</f>
        <v/>
      </c>
    </row>
    <row r="1398">
      <c r="A1398" s="19" t="n"/>
      <c r="B1398" s="14" t="n"/>
      <c r="C1398" s="20">
        <f>IF($B1398="","",IFERROR(INDEX(Vinos!$B$2:$B$301,MATCH($B1398,Vinos!$A$2:$A$301,0)),"Código no cargado"))</f>
        <v/>
      </c>
      <c r="D1398" s="14" t="n"/>
      <c r="E1398" s="14" t="n"/>
      <c r="F1398" s="18" t="n"/>
      <c r="G1398" s="18" t="n"/>
      <c r="H1398" s="21">
        <f>IF(AND($F1398="",$G1398=""),"",N($F1398)*IFERROR(N(INDEX(Vinos!$H$2:$H$301,MATCH($B1398,Vinos!$A$2:$A$301,0))),0)+N($G1398))</f>
        <v/>
      </c>
      <c r="I1398" s="18" t="n"/>
      <c r="J1398" s="21">
        <f>IF(OR($H1398="",$I1398=""),"",$H1398-$I1398)</f>
        <v/>
      </c>
      <c r="K1398" s="16">
        <f>IF($H1398="","",IFERROR(IF(INDEX(Vinos!$J$2:$J$301,MATCH($B1398,Vinos!$A$2:$A$301,0))="","",$H1398*INDEX(Vinos!$J$2:$J$301,MATCH($B1398,Vinos!$A$2:$A$301,0))),""))</f>
        <v/>
      </c>
      <c r="L1398" s="16">
        <f>IF($H1398="","",IFERROR(IF(INDEX(Vinos!$K$2:$K$301,MATCH($B1398,Vinos!$A$2:$A$301,0))="","",$H1398*INDEX(Vinos!$K$2:$K$301,MATCH($B1398,Vinos!$A$2:$A$301,0))),""))</f>
        <v/>
      </c>
      <c r="M1398" s="21">
        <f>IF(OR($A1398="",$B1398=""),"",SUMIFS($H$2:$H$2001,$A$2:$A$2001,$A1398,$B$2:$B$2001,$B1398))</f>
        <v/>
      </c>
      <c r="N1398" s="20">
        <f>IF($M1398="","",IF($M1398&lt;=0,"Sin stock: reponer ya",IF($M1398&lt;IFERROR(N(INDEX(Vinos!$N$2:$N$301,MATCH($B1398,Vinos!$A$2:$A$301,0))),0),"Bajo mínimo: reponer","OK")))</f>
        <v/>
      </c>
      <c r="O1398" s="14" t="n"/>
      <c r="P1398" s="14" t="n"/>
      <c r="Q1398" s="20">
        <f>IF($B1398="","",IFERROR(INDEX(Vinos!$C$2:$C$301,MATCH($B1398,Vinos!$A$2:$A$301,0)),""))</f>
        <v/>
      </c>
      <c r="R1398" s="20">
        <f>IF(OR($A1398="",$A1398&lt;&gt;'Resumen del inventario'!$C$3,$N1398="",$N1398="OK"),"",IF(COUNTIFS($A$2:$A1398,$A1398,$B$2:$B1398,$B1398)=1,1,""))</f>
        <v/>
      </c>
      <c r="S1398" s="20">
        <f>IF($R1398=1,COUNTIF($R$2:$R1398,1),"")</f>
        <v/>
      </c>
    </row>
    <row r="1399">
      <c r="A1399" s="19" t="n"/>
      <c r="B1399" s="14" t="n"/>
      <c r="C1399" s="20">
        <f>IF($B1399="","",IFERROR(INDEX(Vinos!$B$2:$B$301,MATCH($B1399,Vinos!$A$2:$A$301,0)),"Código no cargado"))</f>
        <v/>
      </c>
      <c r="D1399" s="14" t="n"/>
      <c r="E1399" s="14" t="n"/>
      <c r="F1399" s="18" t="n"/>
      <c r="G1399" s="18" t="n"/>
      <c r="H1399" s="21">
        <f>IF(AND($F1399="",$G1399=""),"",N($F1399)*IFERROR(N(INDEX(Vinos!$H$2:$H$301,MATCH($B1399,Vinos!$A$2:$A$301,0))),0)+N($G1399))</f>
        <v/>
      </c>
      <c r="I1399" s="18" t="n"/>
      <c r="J1399" s="21">
        <f>IF(OR($H1399="",$I1399=""),"",$H1399-$I1399)</f>
        <v/>
      </c>
      <c r="K1399" s="16">
        <f>IF($H1399="","",IFERROR(IF(INDEX(Vinos!$J$2:$J$301,MATCH($B1399,Vinos!$A$2:$A$301,0))="","",$H1399*INDEX(Vinos!$J$2:$J$301,MATCH($B1399,Vinos!$A$2:$A$301,0))),""))</f>
        <v/>
      </c>
      <c r="L1399" s="16">
        <f>IF($H1399="","",IFERROR(IF(INDEX(Vinos!$K$2:$K$301,MATCH($B1399,Vinos!$A$2:$A$301,0))="","",$H1399*INDEX(Vinos!$K$2:$K$301,MATCH($B1399,Vinos!$A$2:$A$301,0))),""))</f>
        <v/>
      </c>
      <c r="M1399" s="21">
        <f>IF(OR($A1399="",$B1399=""),"",SUMIFS($H$2:$H$2001,$A$2:$A$2001,$A1399,$B$2:$B$2001,$B1399))</f>
        <v/>
      </c>
      <c r="N1399" s="20">
        <f>IF($M1399="","",IF($M1399&lt;=0,"Sin stock: reponer ya",IF($M1399&lt;IFERROR(N(INDEX(Vinos!$N$2:$N$301,MATCH($B1399,Vinos!$A$2:$A$301,0))),0),"Bajo mínimo: reponer","OK")))</f>
        <v/>
      </c>
      <c r="O1399" s="14" t="n"/>
      <c r="P1399" s="14" t="n"/>
      <c r="Q1399" s="20">
        <f>IF($B1399="","",IFERROR(INDEX(Vinos!$C$2:$C$301,MATCH($B1399,Vinos!$A$2:$A$301,0)),""))</f>
        <v/>
      </c>
      <c r="R1399" s="20">
        <f>IF(OR($A1399="",$A1399&lt;&gt;'Resumen del inventario'!$C$3,$N1399="",$N1399="OK"),"",IF(COUNTIFS($A$2:$A1399,$A1399,$B$2:$B1399,$B1399)=1,1,""))</f>
        <v/>
      </c>
      <c r="S1399" s="20">
        <f>IF($R1399=1,COUNTIF($R$2:$R1399,1),"")</f>
        <v/>
      </c>
    </row>
    <row r="1400">
      <c r="A1400" s="19" t="n"/>
      <c r="B1400" s="14" t="n"/>
      <c r="C1400" s="20">
        <f>IF($B1400="","",IFERROR(INDEX(Vinos!$B$2:$B$301,MATCH($B1400,Vinos!$A$2:$A$301,0)),"Código no cargado"))</f>
        <v/>
      </c>
      <c r="D1400" s="14" t="n"/>
      <c r="E1400" s="14" t="n"/>
      <c r="F1400" s="18" t="n"/>
      <c r="G1400" s="18" t="n"/>
      <c r="H1400" s="21">
        <f>IF(AND($F1400="",$G1400=""),"",N($F1400)*IFERROR(N(INDEX(Vinos!$H$2:$H$301,MATCH($B1400,Vinos!$A$2:$A$301,0))),0)+N($G1400))</f>
        <v/>
      </c>
      <c r="I1400" s="18" t="n"/>
      <c r="J1400" s="21">
        <f>IF(OR($H1400="",$I1400=""),"",$H1400-$I1400)</f>
        <v/>
      </c>
      <c r="K1400" s="16">
        <f>IF($H1400="","",IFERROR(IF(INDEX(Vinos!$J$2:$J$301,MATCH($B1400,Vinos!$A$2:$A$301,0))="","",$H1400*INDEX(Vinos!$J$2:$J$301,MATCH($B1400,Vinos!$A$2:$A$301,0))),""))</f>
        <v/>
      </c>
      <c r="L1400" s="16">
        <f>IF($H1400="","",IFERROR(IF(INDEX(Vinos!$K$2:$K$301,MATCH($B1400,Vinos!$A$2:$A$301,0))="","",$H1400*INDEX(Vinos!$K$2:$K$301,MATCH($B1400,Vinos!$A$2:$A$301,0))),""))</f>
        <v/>
      </c>
      <c r="M1400" s="21">
        <f>IF(OR($A1400="",$B1400=""),"",SUMIFS($H$2:$H$2001,$A$2:$A$2001,$A1400,$B$2:$B$2001,$B1400))</f>
        <v/>
      </c>
      <c r="N1400" s="20">
        <f>IF($M1400="","",IF($M1400&lt;=0,"Sin stock: reponer ya",IF($M1400&lt;IFERROR(N(INDEX(Vinos!$N$2:$N$301,MATCH($B1400,Vinos!$A$2:$A$301,0))),0),"Bajo mínimo: reponer","OK")))</f>
        <v/>
      </c>
      <c r="O1400" s="14" t="n"/>
      <c r="P1400" s="14" t="n"/>
      <c r="Q1400" s="20">
        <f>IF($B1400="","",IFERROR(INDEX(Vinos!$C$2:$C$301,MATCH($B1400,Vinos!$A$2:$A$301,0)),""))</f>
        <v/>
      </c>
      <c r="R1400" s="20">
        <f>IF(OR($A1400="",$A1400&lt;&gt;'Resumen del inventario'!$C$3,$N1400="",$N1400="OK"),"",IF(COUNTIFS($A$2:$A1400,$A1400,$B$2:$B1400,$B1400)=1,1,""))</f>
        <v/>
      </c>
      <c r="S1400" s="20">
        <f>IF($R1400=1,COUNTIF($R$2:$R1400,1),"")</f>
        <v/>
      </c>
    </row>
    <row r="1401">
      <c r="A1401" s="19" t="n"/>
      <c r="B1401" s="14" t="n"/>
      <c r="C1401" s="20">
        <f>IF($B1401="","",IFERROR(INDEX(Vinos!$B$2:$B$301,MATCH($B1401,Vinos!$A$2:$A$301,0)),"Código no cargado"))</f>
        <v/>
      </c>
      <c r="D1401" s="14" t="n"/>
      <c r="E1401" s="14" t="n"/>
      <c r="F1401" s="18" t="n"/>
      <c r="G1401" s="18" t="n"/>
      <c r="H1401" s="21">
        <f>IF(AND($F1401="",$G1401=""),"",N($F1401)*IFERROR(N(INDEX(Vinos!$H$2:$H$301,MATCH($B1401,Vinos!$A$2:$A$301,0))),0)+N($G1401))</f>
        <v/>
      </c>
      <c r="I1401" s="18" t="n"/>
      <c r="J1401" s="21">
        <f>IF(OR($H1401="",$I1401=""),"",$H1401-$I1401)</f>
        <v/>
      </c>
      <c r="K1401" s="16">
        <f>IF($H1401="","",IFERROR(IF(INDEX(Vinos!$J$2:$J$301,MATCH($B1401,Vinos!$A$2:$A$301,0))="","",$H1401*INDEX(Vinos!$J$2:$J$301,MATCH($B1401,Vinos!$A$2:$A$301,0))),""))</f>
        <v/>
      </c>
      <c r="L1401" s="16">
        <f>IF($H1401="","",IFERROR(IF(INDEX(Vinos!$K$2:$K$301,MATCH($B1401,Vinos!$A$2:$A$301,0))="","",$H1401*INDEX(Vinos!$K$2:$K$301,MATCH($B1401,Vinos!$A$2:$A$301,0))),""))</f>
        <v/>
      </c>
      <c r="M1401" s="21">
        <f>IF(OR($A1401="",$B1401=""),"",SUMIFS($H$2:$H$2001,$A$2:$A$2001,$A1401,$B$2:$B$2001,$B1401))</f>
        <v/>
      </c>
      <c r="N1401" s="20">
        <f>IF($M1401="","",IF($M1401&lt;=0,"Sin stock: reponer ya",IF($M1401&lt;IFERROR(N(INDEX(Vinos!$N$2:$N$301,MATCH($B1401,Vinos!$A$2:$A$301,0))),0),"Bajo mínimo: reponer","OK")))</f>
        <v/>
      </c>
      <c r="O1401" s="14" t="n"/>
      <c r="P1401" s="14" t="n"/>
      <c r="Q1401" s="20">
        <f>IF($B1401="","",IFERROR(INDEX(Vinos!$C$2:$C$301,MATCH($B1401,Vinos!$A$2:$A$301,0)),""))</f>
        <v/>
      </c>
      <c r="R1401" s="20">
        <f>IF(OR($A1401="",$A1401&lt;&gt;'Resumen del inventario'!$C$3,$N1401="",$N1401="OK"),"",IF(COUNTIFS($A$2:$A1401,$A1401,$B$2:$B1401,$B1401)=1,1,""))</f>
        <v/>
      </c>
      <c r="S1401" s="20">
        <f>IF($R1401=1,COUNTIF($R$2:$R1401,1),"")</f>
        <v/>
      </c>
    </row>
    <row r="1402">
      <c r="A1402" s="19" t="n"/>
      <c r="B1402" s="14" t="n"/>
      <c r="C1402" s="20">
        <f>IF($B1402="","",IFERROR(INDEX(Vinos!$B$2:$B$301,MATCH($B1402,Vinos!$A$2:$A$301,0)),"Código no cargado"))</f>
        <v/>
      </c>
      <c r="D1402" s="14" t="n"/>
      <c r="E1402" s="14" t="n"/>
      <c r="F1402" s="18" t="n"/>
      <c r="G1402" s="18" t="n"/>
      <c r="H1402" s="21">
        <f>IF(AND($F1402="",$G1402=""),"",N($F1402)*IFERROR(N(INDEX(Vinos!$H$2:$H$301,MATCH($B1402,Vinos!$A$2:$A$301,0))),0)+N($G1402))</f>
        <v/>
      </c>
      <c r="I1402" s="18" t="n"/>
      <c r="J1402" s="21">
        <f>IF(OR($H1402="",$I1402=""),"",$H1402-$I1402)</f>
        <v/>
      </c>
      <c r="K1402" s="16">
        <f>IF($H1402="","",IFERROR(IF(INDEX(Vinos!$J$2:$J$301,MATCH($B1402,Vinos!$A$2:$A$301,0))="","",$H1402*INDEX(Vinos!$J$2:$J$301,MATCH($B1402,Vinos!$A$2:$A$301,0))),""))</f>
        <v/>
      </c>
      <c r="L1402" s="16">
        <f>IF($H1402="","",IFERROR(IF(INDEX(Vinos!$K$2:$K$301,MATCH($B1402,Vinos!$A$2:$A$301,0))="","",$H1402*INDEX(Vinos!$K$2:$K$301,MATCH($B1402,Vinos!$A$2:$A$301,0))),""))</f>
        <v/>
      </c>
      <c r="M1402" s="21">
        <f>IF(OR($A1402="",$B1402=""),"",SUMIFS($H$2:$H$2001,$A$2:$A$2001,$A1402,$B$2:$B$2001,$B1402))</f>
        <v/>
      </c>
      <c r="N1402" s="20">
        <f>IF($M1402="","",IF($M1402&lt;=0,"Sin stock: reponer ya",IF($M1402&lt;IFERROR(N(INDEX(Vinos!$N$2:$N$301,MATCH($B1402,Vinos!$A$2:$A$301,0))),0),"Bajo mínimo: reponer","OK")))</f>
        <v/>
      </c>
      <c r="O1402" s="14" t="n"/>
      <c r="P1402" s="14" t="n"/>
      <c r="Q1402" s="20">
        <f>IF($B1402="","",IFERROR(INDEX(Vinos!$C$2:$C$301,MATCH($B1402,Vinos!$A$2:$A$301,0)),""))</f>
        <v/>
      </c>
      <c r="R1402" s="20">
        <f>IF(OR($A1402="",$A1402&lt;&gt;'Resumen del inventario'!$C$3,$N1402="",$N1402="OK"),"",IF(COUNTIFS($A$2:$A1402,$A1402,$B$2:$B1402,$B1402)=1,1,""))</f>
        <v/>
      </c>
      <c r="S1402" s="20">
        <f>IF($R1402=1,COUNTIF($R$2:$R1402,1),"")</f>
        <v/>
      </c>
    </row>
    <row r="1403">
      <c r="A1403" s="19" t="n"/>
      <c r="B1403" s="14" t="n"/>
      <c r="C1403" s="20">
        <f>IF($B1403="","",IFERROR(INDEX(Vinos!$B$2:$B$301,MATCH($B1403,Vinos!$A$2:$A$301,0)),"Código no cargado"))</f>
        <v/>
      </c>
      <c r="D1403" s="14" t="n"/>
      <c r="E1403" s="14" t="n"/>
      <c r="F1403" s="18" t="n"/>
      <c r="G1403" s="18" t="n"/>
      <c r="H1403" s="21">
        <f>IF(AND($F1403="",$G1403=""),"",N($F1403)*IFERROR(N(INDEX(Vinos!$H$2:$H$301,MATCH($B1403,Vinos!$A$2:$A$301,0))),0)+N($G1403))</f>
        <v/>
      </c>
      <c r="I1403" s="18" t="n"/>
      <c r="J1403" s="21">
        <f>IF(OR($H1403="",$I1403=""),"",$H1403-$I1403)</f>
        <v/>
      </c>
      <c r="K1403" s="16">
        <f>IF($H1403="","",IFERROR(IF(INDEX(Vinos!$J$2:$J$301,MATCH($B1403,Vinos!$A$2:$A$301,0))="","",$H1403*INDEX(Vinos!$J$2:$J$301,MATCH($B1403,Vinos!$A$2:$A$301,0))),""))</f>
        <v/>
      </c>
      <c r="L1403" s="16">
        <f>IF($H1403="","",IFERROR(IF(INDEX(Vinos!$K$2:$K$301,MATCH($B1403,Vinos!$A$2:$A$301,0))="","",$H1403*INDEX(Vinos!$K$2:$K$301,MATCH($B1403,Vinos!$A$2:$A$301,0))),""))</f>
        <v/>
      </c>
      <c r="M1403" s="21">
        <f>IF(OR($A1403="",$B1403=""),"",SUMIFS($H$2:$H$2001,$A$2:$A$2001,$A1403,$B$2:$B$2001,$B1403))</f>
        <v/>
      </c>
      <c r="N1403" s="20">
        <f>IF($M1403="","",IF($M1403&lt;=0,"Sin stock: reponer ya",IF($M1403&lt;IFERROR(N(INDEX(Vinos!$N$2:$N$301,MATCH($B1403,Vinos!$A$2:$A$301,0))),0),"Bajo mínimo: reponer","OK")))</f>
        <v/>
      </c>
      <c r="O1403" s="14" t="n"/>
      <c r="P1403" s="14" t="n"/>
      <c r="Q1403" s="20">
        <f>IF($B1403="","",IFERROR(INDEX(Vinos!$C$2:$C$301,MATCH($B1403,Vinos!$A$2:$A$301,0)),""))</f>
        <v/>
      </c>
      <c r="R1403" s="20">
        <f>IF(OR($A1403="",$A1403&lt;&gt;'Resumen del inventario'!$C$3,$N1403="",$N1403="OK"),"",IF(COUNTIFS($A$2:$A1403,$A1403,$B$2:$B1403,$B1403)=1,1,""))</f>
        <v/>
      </c>
      <c r="S1403" s="20">
        <f>IF($R1403=1,COUNTIF($R$2:$R1403,1),"")</f>
        <v/>
      </c>
    </row>
    <row r="1404">
      <c r="A1404" s="19" t="n"/>
      <c r="B1404" s="14" t="n"/>
      <c r="C1404" s="20">
        <f>IF($B1404="","",IFERROR(INDEX(Vinos!$B$2:$B$301,MATCH($B1404,Vinos!$A$2:$A$301,0)),"Código no cargado"))</f>
        <v/>
      </c>
      <c r="D1404" s="14" t="n"/>
      <c r="E1404" s="14" t="n"/>
      <c r="F1404" s="18" t="n"/>
      <c r="G1404" s="18" t="n"/>
      <c r="H1404" s="21">
        <f>IF(AND($F1404="",$G1404=""),"",N($F1404)*IFERROR(N(INDEX(Vinos!$H$2:$H$301,MATCH($B1404,Vinos!$A$2:$A$301,0))),0)+N($G1404))</f>
        <v/>
      </c>
      <c r="I1404" s="18" t="n"/>
      <c r="J1404" s="21">
        <f>IF(OR($H1404="",$I1404=""),"",$H1404-$I1404)</f>
        <v/>
      </c>
      <c r="K1404" s="16">
        <f>IF($H1404="","",IFERROR(IF(INDEX(Vinos!$J$2:$J$301,MATCH($B1404,Vinos!$A$2:$A$301,0))="","",$H1404*INDEX(Vinos!$J$2:$J$301,MATCH($B1404,Vinos!$A$2:$A$301,0))),""))</f>
        <v/>
      </c>
      <c r="L1404" s="16">
        <f>IF($H1404="","",IFERROR(IF(INDEX(Vinos!$K$2:$K$301,MATCH($B1404,Vinos!$A$2:$A$301,0))="","",$H1404*INDEX(Vinos!$K$2:$K$301,MATCH($B1404,Vinos!$A$2:$A$301,0))),""))</f>
        <v/>
      </c>
      <c r="M1404" s="21">
        <f>IF(OR($A1404="",$B1404=""),"",SUMIFS($H$2:$H$2001,$A$2:$A$2001,$A1404,$B$2:$B$2001,$B1404))</f>
        <v/>
      </c>
      <c r="N1404" s="20">
        <f>IF($M1404="","",IF($M1404&lt;=0,"Sin stock: reponer ya",IF($M1404&lt;IFERROR(N(INDEX(Vinos!$N$2:$N$301,MATCH($B1404,Vinos!$A$2:$A$301,0))),0),"Bajo mínimo: reponer","OK")))</f>
        <v/>
      </c>
      <c r="O1404" s="14" t="n"/>
      <c r="P1404" s="14" t="n"/>
      <c r="Q1404" s="20">
        <f>IF($B1404="","",IFERROR(INDEX(Vinos!$C$2:$C$301,MATCH($B1404,Vinos!$A$2:$A$301,0)),""))</f>
        <v/>
      </c>
      <c r="R1404" s="20">
        <f>IF(OR($A1404="",$A1404&lt;&gt;'Resumen del inventario'!$C$3,$N1404="",$N1404="OK"),"",IF(COUNTIFS($A$2:$A1404,$A1404,$B$2:$B1404,$B1404)=1,1,""))</f>
        <v/>
      </c>
      <c r="S1404" s="20">
        <f>IF($R1404=1,COUNTIF($R$2:$R1404,1),"")</f>
        <v/>
      </c>
    </row>
    <row r="1405">
      <c r="A1405" s="19" t="n"/>
      <c r="B1405" s="14" t="n"/>
      <c r="C1405" s="20">
        <f>IF($B1405="","",IFERROR(INDEX(Vinos!$B$2:$B$301,MATCH($B1405,Vinos!$A$2:$A$301,0)),"Código no cargado"))</f>
        <v/>
      </c>
      <c r="D1405" s="14" t="n"/>
      <c r="E1405" s="14" t="n"/>
      <c r="F1405" s="18" t="n"/>
      <c r="G1405" s="18" t="n"/>
      <c r="H1405" s="21">
        <f>IF(AND($F1405="",$G1405=""),"",N($F1405)*IFERROR(N(INDEX(Vinos!$H$2:$H$301,MATCH($B1405,Vinos!$A$2:$A$301,0))),0)+N($G1405))</f>
        <v/>
      </c>
      <c r="I1405" s="18" t="n"/>
      <c r="J1405" s="21">
        <f>IF(OR($H1405="",$I1405=""),"",$H1405-$I1405)</f>
        <v/>
      </c>
      <c r="K1405" s="16">
        <f>IF($H1405="","",IFERROR(IF(INDEX(Vinos!$J$2:$J$301,MATCH($B1405,Vinos!$A$2:$A$301,0))="","",$H1405*INDEX(Vinos!$J$2:$J$301,MATCH($B1405,Vinos!$A$2:$A$301,0))),""))</f>
        <v/>
      </c>
      <c r="L1405" s="16">
        <f>IF($H1405="","",IFERROR(IF(INDEX(Vinos!$K$2:$K$301,MATCH($B1405,Vinos!$A$2:$A$301,0))="","",$H1405*INDEX(Vinos!$K$2:$K$301,MATCH($B1405,Vinos!$A$2:$A$301,0))),""))</f>
        <v/>
      </c>
      <c r="M1405" s="21">
        <f>IF(OR($A1405="",$B1405=""),"",SUMIFS($H$2:$H$2001,$A$2:$A$2001,$A1405,$B$2:$B$2001,$B1405))</f>
        <v/>
      </c>
      <c r="N1405" s="20">
        <f>IF($M1405="","",IF($M1405&lt;=0,"Sin stock: reponer ya",IF($M1405&lt;IFERROR(N(INDEX(Vinos!$N$2:$N$301,MATCH($B1405,Vinos!$A$2:$A$301,0))),0),"Bajo mínimo: reponer","OK")))</f>
        <v/>
      </c>
      <c r="O1405" s="14" t="n"/>
      <c r="P1405" s="14" t="n"/>
      <c r="Q1405" s="20">
        <f>IF($B1405="","",IFERROR(INDEX(Vinos!$C$2:$C$301,MATCH($B1405,Vinos!$A$2:$A$301,0)),""))</f>
        <v/>
      </c>
      <c r="R1405" s="20">
        <f>IF(OR($A1405="",$A1405&lt;&gt;'Resumen del inventario'!$C$3,$N1405="",$N1405="OK"),"",IF(COUNTIFS($A$2:$A1405,$A1405,$B$2:$B1405,$B1405)=1,1,""))</f>
        <v/>
      </c>
      <c r="S1405" s="20">
        <f>IF($R1405=1,COUNTIF($R$2:$R1405,1),"")</f>
        <v/>
      </c>
    </row>
    <row r="1406">
      <c r="A1406" s="19" t="n"/>
      <c r="B1406" s="14" t="n"/>
      <c r="C1406" s="20">
        <f>IF($B1406="","",IFERROR(INDEX(Vinos!$B$2:$B$301,MATCH($B1406,Vinos!$A$2:$A$301,0)),"Código no cargado"))</f>
        <v/>
      </c>
      <c r="D1406" s="14" t="n"/>
      <c r="E1406" s="14" t="n"/>
      <c r="F1406" s="18" t="n"/>
      <c r="G1406" s="18" t="n"/>
      <c r="H1406" s="21">
        <f>IF(AND($F1406="",$G1406=""),"",N($F1406)*IFERROR(N(INDEX(Vinos!$H$2:$H$301,MATCH($B1406,Vinos!$A$2:$A$301,0))),0)+N($G1406))</f>
        <v/>
      </c>
      <c r="I1406" s="18" t="n"/>
      <c r="J1406" s="21">
        <f>IF(OR($H1406="",$I1406=""),"",$H1406-$I1406)</f>
        <v/>
      </c>
      <c r="K1406" s="16">
        <f>IF($H1406="","",IFERROR(IF(INDEX(Vinos!$J$2:$J$301,MATCH($B1406,Vinos!$A$2:$A$301,0))="","",$H1406*INDEX(Vinos!$J$2:$J$301,MATCH($B1406,Vinos!$A$2:$A$301,0))),""))</f>
        <v/>
      </c>
      <c r="L1406" s="16">
        <f>IF($H1406="","",IFERROR(IF(INDEX(Vinos!$K$2:$K$301,MATCH($B1406,Vinos!$A$2:$A$301,0))="","",$H1406*INDEX(Vinos!$K$2:$K$301,MATCH($B1406,Vinos!$A$2:$A$301,0))),""))</f>
        <v/>
      </c>
      <c r="M1406" s="21">
        <f>IF(OR($A1406="",$B1406=""),"",SUMIFS($H$2:$H$2001,$A$2:$A$2001,$A1406,$B$2:$B$2001,$B1406))</f>
        <v/>
      </c>
      <c r="N1406" s="20">
        <f>IF($M1406="","",IF($M1406&lt;=0,"Sin stock: reponer ya",IF($M1406&lt;IFERROR(N(INDEX(Vinos!$N$2:$N$301,MATCH($B1406,Vinos!$A$2:$A$301,0))),0),"Bajo mínimo: reponer","OK")))</f>
        <v/>
      </c>
      <c r="O1406" s="14" t="n"/>
      <c r="P1406" s="14" t="n"/>
      <c r="Q1406" s="20">
        <f>IF($B1406="","",IFERROR(INDEX(Vinos!$C$2:$C$301,MATCH($B1406,Vinos!$A$2:$A$301,0)),""))</f>
        <v/>
      </c>
      <c r="R1406" s="20">
        <f>IF(OR($A1406="",$A1406&lt;&gt;'Resumen del inventario'!$C$3,$N1406="",$N1406="OK"),"",IF(COUNTIFS($A$2:$A1406,$A1406,$B$2:$B1406,$B1406)=1,1,""))</f>
        <v/>
      </c>
      <c r="S1406" s="20">
        <f>IF($R1406=1,COUNTIF($R$2:$R1406,1),"")</f>
        <v/>
      </c>
    </row>
    <row r="1407">
      <c r="A1407" s="19" t="n"/>
      <c r="B1407" s="14" t="n"/>
      <c r="C1407" s="20">
        <f>IF($B1407="","",IFERROR(INDEX(Vinos!$B$2:$B$301,MATCH($B1407,Vinos!$A$2:$A$301,0)),"Código no cargado"))</f>
        <v/>
      </c>
      <c r="D1407" s="14" t="n"/>
      <c r="E1407" s="14" t="n"/>
      <c r="F1407" s="18" t="n"/>
      <c r="G1407" s="18" t="n"/>
      <c r="H1407" s="21">
        <f>IF(AND($F1407="",$G1407=""),"",N($F1407)*IFERROR(N(INDEX(Vinos!$H$2:$H$301,MATCH($B1407,Vinos!$A$2:$A$301,0))),0)+N($G1407))</f>
        <v/>
      </c>
      <c r="I1407" s="18" t="n"/>
      <c r="J1407" s="21">
        <f>IF(OR($H1407="",$I1407=""),"",$H1407-$I1407)</f>
        <v/>
      </c>
      <c r="K1407" s="16">
        <f>IF($H1407="","",IFERROR(IF(INDEX(Vinos!$J$2:$J$301,MATCH($B1407,Vinos!$A$2:$A$301,0))="","",$H1407*INDEX(Vinos!$J$2:$J$301,MATCH($B1407,Vinos!$A$2:$A$301,0))),""))</f>
        <v/>
      </c>
      <c r="L1407" s="16">
        <f>IF($H1407="","",IFERROR(IF(INDEX(Vinos!$K$2:$K$301,MATCH($B1407,Vinos!$A$2:$A$301,0))="","",$H1407*INDEX(Vinos!$K$2:$K$301,MATCH($B1407,Vinos!$A$2:$A$301,0))),""))</f>
        <v/>
      </c>
      <c r="M1407" s="21">
        <f>IF(OR($A1407="",$B1407=""),"",SUMIFS($H$2:$H$2001,$A$2:$A$2001,$A1407,$B$2:$B$2001,$B1407))</f>
        <v/>
      </c>
      <c r="N1407" s="20">
        <f>IF($M1407="","",IF($M1407&lt;=0,"Sin stock: reponer ya",IF($M1407&lt;IFERROR(N(INDEX(Vinos!$N$2:$N$301,MATCH($B1407,Vinos!$A$2:$A$301,0))),0),"Bajo mínimo: reponer","OK")))</f>
        <v/>
      </c>
      <c r="O1407" s="14" t="n"/>
      <c r="P1407" s="14" t="n"/>
      <c r="Q1407" s="20">
        <f>IF($B1407="","",IFERROR(INDEX(Vinos!$C$2:$C$301,MATCH($B1407,Vinos!$A$2:$A$301,0)),""))</f>
        <v/>
      </c>
      <c r="R1407" s="20">
        <f>IF(OR($A1407="",$A1407&lt;&gt;'Resumen del inventario'!$C$3,$N1407="",$N1407="OK"),"",IF(COUNTIFS($A$2:$A1407,$A1407,$B$2:$B1407,$B1407)=1,1,""))</f>
        <v/>
      </c>
      <c r="S1407" s="20">
        <f>IF($R1407=1,COUNTIF($R$2:$R1407,1),"")</f>
        <v/>
      </c>
    </row>
    <row r="1408">
      <c r="A1408" s="19" t="n"/>
      <c r="B1408" s="14" t="n"/>
      <c r="C1408" s="20">
        <f>IF($B1408="","",IFERROR(INDEX(Vinos!$B$2:$B$301,MATCH($B1408,Vinos!$A$2:$A$301,0)),"Código no cargado"))</f>
        <v/>
      </c>
      <c r="D1408" s="14" t="n"/>
      <c r="E1408" s="14" t="n"/>
      <c r="F1408" s="18" t="n"/>
      <c r="G1408" s="18" t="n"/>
      <c r="H1408" s="21">
        <f>IF(AND($F1408="",$G1408=""),"",N($F1408)*IFERROR(N(INDEX(Vinos!$H$2:$H$301,MATCH($B1408,Vinos!$A$2:$A$301,0))),0)+N($G1408))</f>
        <v/>
      </c>
      <c r="I1408" s="18" t="n"/>
      <c r="J1408" s="21">
        <f>IF(OR($H1408="",$I1408=""),"",$H1408-$I1408)</f>
        <v/>
      </c>
      <c r="K1408" s="16">
        <f>IF($H1408="","",IFERROR(IF(INDEX(Vinos!$J$2:$J$301,MATCH($B1408,Vinos!$A$2:$A$301,0))="","",$H1408*INDEX(Vinos!$J$2:$J$301,MATCH($B1408,Vinos!$A$2:$A$301,0))),""))</f>
        <v/>
      </c>
      <c r="L1408" s="16">
        <f>IF($H1408="","",IFERROR(IF(INDEX(Vinos!$K$2:$K$301,MATCH($B1408,Vinos!$A$2:$A$301,0))="","",$H1408*INDEX(Vinos!$K$2:$K$301,MATCH($B1408,Vinos!$A$2:$A$301,0))),""))</f>
        <v/>
      </c>
      <c r="M1408" s="21">
        <f>IF(OR($A1408="",$B1408=""),"",SUMIFS($H$2:$H$2001,$A$2:$A$2001,$A1408,$B$2:$B$2001,$B1408))</f>
        <v/>
      </c>
      <c r="N1408" s="20">
        <f>IF($M1408="","",IF($M1408&lt;=0,"Sin stock: reponer ya",IF($M1408&lt;IFERROR(N(INDEX(Vinos!$N$2:$N$301,MATCH($B1408,Vinos!$A$2:$A$301,0))),0),"Bajo mínimo: reponer","OK")))</f>
        <v/>
      </c>
      <c r="O1408" s="14" t="n"/>
      <c r="P1408" s="14" t="n"/>
      <c r="Q1408" s="20">
        <f>IF($B1408="","",IFERROR(INDEX(Vinos!$C$2:$C$301,MATCH($B1408,Vinos!$A$2:$A$301,0)),""))</f>
        <v/>
      </c>
      <c r="R1408" s="20">
        <f>IF(OR($A1408="",$A1408&lt;&gt;'Resumen del inventario'!$C$3,$N1408="",$N1408="OK"),"",IF(COUNTIFS($A$2:$A1408,$A1408,$B$2:$B1408,$B1408)=1,1,""))</f>
        <v/>
      </c>
      <c r="S1408" s="20">
        <f>IF($R1408=1,COUNTIF($R$2:$R1408,1),"")</f>
        <v/>
      </c>
    </row>
    <row r="1409">
      <c r="A1409" s="19" t="n"/>
      <c r="B1409" s="14" t="n"/>
      <c r="C1409" s="20">
        <f>IF($B1409="","",IFERROR(INDEX(Vinos!$B$2:$B$301,MATCH($B1409,Vinos!$A$2:$A$301,0)),"Código no cargado"))</f>
        <v/>
      </c>
      <c r="D1409" s="14" t="n"/>
      <c r="E1409" s="14" t="n"/>
      <c r="F1409" s="18" t="n"/>
      <c r="G1409" s="18" t="n"/>
      <c r="H1409" s="21">
        <f>IF(AND($F1409="",$G1409=""),"",N($F1409)*IFERROR(N(INDEX(Vinos!$H$2:$H$301,MATCH($B1409,Vinos!$A$2:$A$301,0))),0)+N($G1409))</f>
        <v/>
      </c>
      <c r="I1409" s="18" t="n"/>
      <c r="J1409" s="21">
        <f>IF(OR($H1409="",$I1409=""),"",$H1409-$I1409)</f>
        <v/>
      </c>
      <c r="K1409" s="16">
        <f>IF($H1409="","",IFERROR(IF(INDEX(Vinos!$J$2:$J$301,MATCH($B1409,Vinos!$A$2:$A$301,0))="","",$H1409*INDEX(Vinos!$J$2:$J$301,MATCH($B1409,Vinos!$A$2:$A$301,0))),""))</f>
        <v/>
      </c>
      <c r="L1409" s="16">
        <f>IF($H1409="","",IFERROR(IF(INDEX(Vinos!$K$2:$K$301,MATCH($B1409,Vinos!$A$2:$A$301,0))="","",$H1409*INDEX(Vinos!$K$2:$K$301,MATCH($B1409,Vinos!$A$2:$A$301,0))),""))</f>
        <v/>
      </c>
      <c r="M1409" s="21">
        <f>IF(OR($A1409="",$B1409=""),"",SUMIFS($H$2:$H$2001,$A$2:$A$2001,$A1409,$B$2:$B$2001,$B1409))</f>
        <v/>
      </c>
      <c r="N1409" s="20">
        <f>IF($M1409="","",IF($M1409&lt;=0,"Sin stock: reponer ya",IF($M1409&lt;IFERROR(N(INDEX(Vinos!$N$2:$N$301,MATCH($B1409,Vinos!$A$2:$A$301,0))),0),"Bajo mínimo: reponer","OK")))</f>
        <v/>
      </c>
      <c r="O1409" s="14" t="n"/>
      <c r="P1409" s="14" t="n"/>
      <c r="Q1409" s="20">
        <f>IF($B1409="","",IFERROR(INDEX(Vinos!$C$2:$C$301,MATCH($B1409,Vinos!$A$2:$A$301,0)),""))</f>
        <v/>
      </c>
      <c r="R1409" s="20">
        <f>IF(OR($A1409="",$A1409&lt;&gt;'Resumen del inventario'!$C$3,$N1409="",$N1409="OK"),"",IF(COUNTIFS($A$2:$A1409,$A1409,$B$2:$B1409,$B1409)=1,1,""))</f>
        <v/>
      </c>
      <c r="S1409" s="20">
        <f>IF($R1409=1,COUNTIF($R$2:$R1409,1),"")</f>
        <v/>
      </c>
    </row>
    <row r="1410">
      <c r="A1410" s="19" t="n"/>
      <c r="B1410" s="14" t="n"/>
      <c r="C1410" s="20">
        <f>IF($B1410="","",IFERROR(INDEX(Vinos!$B$2:$B$301,MATCH($B1410,Vinos!$A$2:$A$301,0)),"Código no cargado"))</f>
        <v/>
      </c>
      <c r="D1410" s="14" t="n"/>
      <c r="E1410" s="14" t="n"/>
      <c r="F1410" s="18" t="n"/>
      <c r="G1410" s="18" t="n"/>
      <c r="H1410" s="21">
        <f>IF(AND($F1410="",$G1410=""),"",N($F1410)*IFERROR(N(INDEX(Vinos!$H$2:$H$301,MATCH($B1410,Vinos!$A$2:$A$301,0))),0)+N($G1410))</f>
        <v/>
      </c>
      <c r="I1410" s="18" t="n"/>
      <c r="J1410" s="21">
        <f>IF(OR($H1410="",$I1410=""),"",$H1410-$I1410)</f>
        <v/>
      </c>
      <c r="K1410" s="16">
        <f>IF($H1410="","",IFERROR(IF(INDEX(Vinos!$J$2:$J$301,MATCH($B1410,Vinos!$A$2:$A$301,0))="","",$H1410*INDEX(Vinos!$J$2:$J$301,MATCH($B1410,Vinos!$A$2:$A$301,0))),""))</f>
        <v/>
      </c>
      <c r="L1410" s="16">
        <f>IF($H1410="","",IFERROR(IF(INDEX(Vinos!$K$2:$K$301,MATCH($B1410,Vinos!$A$2:$A$301,0))="","",$H1410*INDEX(Vinos!$K$2:$K$301,MATCH($B1410,Vinos!$A$2:$A$301,0))),""))</f>
        <v/>
      </c>
      <c r="M1410" s="21">
        <f>IF(OR($A1410="",$B1410=""),"",SUMIFS($H$2:$H$2001,$A$2:$A$2001,$A1410,$B$2:$B$2001,$B1410))</f>
        <v/>
      </c>
      <c r="N1410" s="20">
        <f>IF($M1410="","",IF($M1410&lt;=0,"Sin stock: reponer ya",IF($M1410&lt;IFERROR(N(INDEX(Vinos!$N$2:$N$301,MATCH($B1410,Vinos!$A$2:$A$301,0))),0),"Bajo mínimo: reponer","OK")))</f>
        <v/>
      </c>
      <c r="O1410" s="14" t="n"/>
      <c r="P1410" s="14" t="n"/>
      <c r="Q1410" s="20">
        <f>IF($B1410="","",IFERROR(INDEX(Vinos!$C$2:$C$301,MATCH($B1410,Vinos!$A$2:$A$301,0)),""))</f>
        <v/>
      </c>
      <c r="R1410" s="20">
        <f>IF(OR($A1410="",$A1410&lt;&gt;'Resumen del inventario'!$C$3,$N1410="",$N1410="OK"),"",IF(COUNTIFS($A$2:$A1410,$A1410,$B$2:$B1410,$B1410)=1,1,""))</f>
        <v/>
      </c>
      <c r="S1410" s="20">
        <f>IF($R1410=1,COUNTIF($R$2:$R1410,1),"")</f>
        <v/>
      </c>
    </row>
    <row r="1411">
      <c r="A1411" s="19" t="n"/>
      <c r="B1411" s="14" t="n"/>
      <c r="C1411" s="20">
        <f>IF($B1411="","",IFERROR(INDEX(Vinos!$B$2:$B$301,MATCH($B1411,Vinos!$A$2:$A$301,0)),"Código no cargado"))</f>
        <v/>
      </c>
      <c r="D1411" s="14" t="n"/>
      <c r="E1411" s="14" t="n"/>
      <c r="F1411" s="18" t="n"/>
      <c r="G1411" s="18" t="n"/>
      <c r="H1411" s="21">
        <f>IF(AND($F1411="",$G1411=""),"",N($F1411)*IFERROR(N(INDEX(Vinos!$H$2:$H$301,MATCH($B1411,Vinos!$A$2:$A$301,0))),0)+N($G1411))</f>
        <v/>
      </c>
      <c r="I1411" s="18" t="n"/>
      <c r="J1411" s="21">
        <f>IF(OR($H1411="",$I1411=""),"",$H1411-$I1411)</f>
        <v/>
      </c>
      <c r="K1411" s="16">
        <f>IF($H1411="","",IFERROR(IF(INDEX(Vinos!$J$2:$J$301,MATCH($B1411,Vinos!$A$2:$A$301,0))="","",$H1411*INDEX(Vinos!$J$2:$J$301,MATCH($B1411,Vinos!$A$2:$A$301,0))),""))</f>
        <v/>
      </c>
      <c r="L1411" s="16">
        <f>IF($H1411="","",IFERROR(IF(INDEX(Vinos!$K$2:$K$301,MATCH($B1411,Vinos!$A$2:$A$301,0))="","",$H1411*INDEX(Vinos!$K$2:$K$301,MATCH($B1411,Vinos!$A$2:$A$301,0))),""))</f>
        <v/>
      </c>
      <c r="M1411" s="21">
        <f>IF(OR($A1411="",$B1411=""),"",SUMIFS($H$2:$H$2001,$A$2:$A$2001,$A1411,$B$2:$B$2001,$B1411))</f>
        <v/>
      </c>
      <c r="N1411" s="20">
        <f>IF($M1411="","",IF($M1411&lt;=0,"Sin stock: reponer ya",IF($M1411&lt;IFERROR(N(INDEX(Vinos!$N$2:$N$301,MATCH($B1411,Vinos!$A$2:$A$301,0))),0),"Bajo mínimo: reponer","OK")))</f>
        <v/>
      </c>
      <c r="O1411" s="14" t="n"/>
      <c r="P1411" s="14" t="n"/>
      <c r="Q1411" s="20">
        <f>IF($B1411="","",IFERROR(INDEX(Vinos!$C$2:$C$301,MATCH($B1411,Vinos!$A$2:$A$301,0)),""))</f>
        <v/>
      </c>
      <c r="R1411" s="20">
        <f>IF(OR($A1411="",$A1411&lt;&gt;'Resumen del inventario'!$C$3,$N1411="",$N1411="OK"),"",IF(COUNTIFS($A$2:$A1411,$A1411,$B$2:$B1411,$B1411)=1,1,""))</f>
        <v/>
      </c>
      <c r="S1411" s="20">
        <f>IF($R1411=1,COUNTIF($R$2:$R1411,1),"")</f>
        <v/>
      </c>
    </row>
    <row r="1412">
      <c r="A1412" s="19" t="n"/>
      <c r="B1412" s="14" t="n"/>
      <c r="C1412" s="20">
        <f>IF($B1412="","",IFERROR(INDEX(Vinos!$B$2:$B$301,MATCH($B1412,Vinos!$A$2:$A$301,0)),"Código no cargado"))</f>
        <v/>
      </c>
      <c r="D1412" s="14" t="n"/>
      <c r="E1412" s="14" t="n"/>
      <c r="F1412" s="18" t="n"/>
      <c r="G1412" s="18" t="n"/>
      <c r="H1412" s="21">
        <f>IF(AND($F1412="",$G1412=""),"",N($F1412)*IFERROR(N(INDEX(Vinos!$H$2:$H$301,MATCH($B1412,Vinos!$A$2:$A$301,0))),0)+N($G1412))</f>
        <v/>
      </c>
      <c r="I1412" s="18" t="n"/>
      <c r="J1412" s="21">
        <f>IF(OR($H1412="",$I1412=""),"",$H1412-$I1412)</f>
        <v/>
      </c>
      <c r="K1412" s="16">
        <f>IF($H1412="","",IFERROR(IF(INDEX(Vinos!$J$2:$J$301,MATCH($B1412,Vinos!$A$2:$A$301,0))="","",$H1412*INDEX(Vinos!$J$2:$J$301,MATCH($B1412,Vinos!$A$2:$A$301,0))),""))</f>
        <v/>
      </c>
      <c r="L1412" s="16">
        <f>IF($H1412="","",IFERROR(IF(INDEX(Vinos!$K$2:$K$301,MATCH($B1412,Vinos!$A$2:$A$301,0))="","",$H1412*INDEX(Vinos!$K$2:$K$301,MATCH($B1412,Vinos!$A$2:$A$301,0))),""))</f>
        <v/>
      </c>
      <c r="M1412" s="21">
        <f>IF(OR($A1412="",$B1412=""),"",SUMIFS($H$2:$H$2001,$A$2:$A$2001,$A1412,$B$2:$B$2001,$B1412))</f>
        <v/>
      </c>
      <c r="N1412" s="20">
        <f>IF($M1412="","",IF($M1412&lt;=0,"Sin stock: reponer ya",IF($M1412&lt;IFERROR(N(INDEX(Vinos!$N$2:$N$301,MATCH($B1412,Vinos!$A$2:$A$301,0))),0),"Bajo mínimo: reponer","OK")))</f>
        <v/>
      </c>
      <c r="O1412" s="14" t="n"/>
      <c r="P1412" s="14" t="n"/>
      <c r="Q1412" s="20">
        <f>IF($B1412="","",IFERROR(INDEX(Vinos!$C$2:$C$301,MATCH($B1412,Vinos!$A$2:$A$301,0)),""))</f>
        <v/>
      </c>
      <c r="R1412" s="20">
        <f>IF(OR($A1412="",$A1412&lt;&gt;'Resumen del inventario'!$C$3,$N1412="",$N1412="OK"),"",IF(COUNTIFS($A$2:$A1412,$A1412,$B$2:$B1412,$B1412)=1,1,""))</f>
        <v/>
      </c>
      <c r="S1412" s="20">
        <f>IF($R1412=1,COUNTIF($R$2:$R1412,1),"")</f>
        <v/>
      </c>
    </row>
    <row r="1413">
      <c r="A1413" s="19" t="n"/>
      <c r="B1413" s="14" t="n"/>
      <c r="C1413" s="20">
        <f>IF($B1413="","",IFERROR(INDEX(Vinos!$B$2:$B$301,MATCH($B1413,Vinos!$A$2:$A$301,0)),"Código no cargado"))</f>
        <v/>
      </c>
      <c r="D1413" s="14" t="n"/>
      <c r="E1413" s="14" t="n"/>
      <c r="F1413" s="18" t="n"/>
      <c r="G1413" s="18" t="n"/>
      <c r="H1413" s="21">
        <f>IF(AND($F1413="",$G1413=""),"",N($F1413)*IFERROR(N(INDEX(Vinos!$H$2:$H$301,MATCH($B1413,Vinos!$A$2:$A$301,0))),0)+N($G1413))</f>
        <v/>
      </c>
      <c r="I1413" s="18" t="n"/>
      <c r="J1413" s="21">
        <f>IF(OR($H1413="",$I1413=""),"",$H1413-$I1413)</f>
        <v/>
      </c>
      <c r="K1413" s="16">
        <f>IF($H1413="","",IFERROR(IF(INDEX(Vinos!$J$2:$J$301,MATCH($B1413,Vinos!$A$2:$A$301,0))="","",$H1413*INDEX(Vinos!$J$2:$J$301,MATCH($B1413,Vinos!$A$2:$A$301,0))),""))</f>
        <v/>
      </c>
      <c r="L1413" s="16">
        <f>IF($H1413="","",IFERROR(IF(INDEX(Vinos!$K$2:$K$301,MATCH($B1413,Vinos!$A$2:$A$301,0))="","",$H1413*INDEX(Vinos!$K$2:$K$301,MATCH($B1413,Vinos!$A$2:$A$301,0))),""))</f>
        <v/>
      </c>
      <c r="M1413" s="21">
        <f>IF(OR($A1413="",$B1413=""),"",SUMIFS($H$2:$H$2001,$A$2:$A$2001,$A1413,$B$2:$B$2001,$B1413))</f>
        <v/>
      </c>
      <c r="N1413" s="20">
        <f>IF($M1413="","",IF($M1413&lt;=0,"Sin stock: reponer ya",IF($M1413&lt;IFERROR(N(INDEX(Vinos!$N$2:$N$301,MATCH($B1413,Vinos!$A$2:$A$301,0))),0),"Bajo mínimo: reponer","OK")))</f>
        <v/>
      </c>
      <c r="O1413" s="14" t="n"/>
      <c r="P1413" s="14" t="n"/>
      <c r="Q1413" s="20">
        <f>IF($B1413="","",IFERROR(INDEX(Vinos!$C$2:$C$301,MATCH($B1413,Vinos!$A$2:$A$301,0)),""))</f>
        <v/>
      </c>
      <c r="R1413" s="20">
        <f>IF(OR($A1413="",$A1413&lt;&gt;'Resumen del inventario'!$C$3,$N1413="",$N1413="OK"),"",IF(COUNTIFS($A$2:$A1413,$A1413,$B$2:$B1413,$B1413)=1,1,""))</f>
        <v/>
      </c>
      <c r="S1413" s="20">
        <f>IF($R1413=1,COUNTIF($R$2:$R1413,1),"")</f>
        <v/>
      </c>
    </row>
    <row r="1414">
      <c r="A1414" s="19" t="n"/>
      <c r="B1414" s="14" t="n"/>
      <c r="C1414" s="20">
        <f>IF($B1414="","",IFERROR(INDEX(Vinos!$B$2:$B$301,MATCH($B1414,Vinos!$A$2:$A$301,0)),"Código no cargado"))</f>
        <v/>
      </c>
      <c r="D1414" s="14" t="n"/>
      <c r="E1414" s="14" t="n"/>
      <c r="F1414" s="18" t="n"/>
      <c r="G1414" s="18" t="n"/>
      <c r="H1414" s="21">
        <f>IF(AND($F1414="",$G1414=""),"",N($F1414)*IFERROR(N(INDEX(Vinos!$H$2:$H$301,MATCH($B1414,Vinos!$A$2:$A$301,0))),0)+N($G1414))</f>
        <v/>
      </c>
      <c r="I1414" s="18" t="n"/>
      <c r="J1414" s="21">
        <f>IF(OR($H1414="",$I1414=""),"",$H1414-$I1414)</f>
        <v/>
      </c>
      <c r="K1414" s="16">
        <f>IF($H1414="","",IFERROR(IF(INDEX(Vinos!$J$2:$J$301,MATCH($B1414,Vinos!$A$2:$A$301,0))="","",$H1414*INDEX(Vinos!$J$2:$J$301,MATCH($B1414,Vinos!$A$2:$A$301,0))),""))</f>
        <v/>
      </c>
      <c r="L1414" s="16">
        <f>IF($H1414="","",IFERROR(IF(INDEX(Vinos!$K$2:$K$301,MATCH($B1414,Vinos!$A$2:$A$301,0))="","",$H1414*INDEX(Vinos!$K$2:$K$301,MATCH($B1414,Vinos!$A$2:$A$301,0))),""))</f>
        <v/>
      </c>
      <c r="M1414" s="21">
        <f>IF(OR($A1414="",$B1414=""),"",SUMIFS($H$2:$H$2001,$A$2:$A$2001,$A1414,$B$2:$B$2001,$B1414))</f>
        <v/>
      </c>
      <c r="N1414" s="20">
        <f>IF($M1414="","",IF($M1414&lt;=0,"Sin stock: reponer ya",IF($M1414&lt;IFERROR(N(INDEX(Vinos!$N$2:$N$301,MATCH($B1414,Vinos!$A$2:$A$301,0))),0),"Bajo mínimo: reponer","OK")))</f>
        <v/>
      </c>
      <c r="O1414" s="14" t="n"/>
      <c r="P1414" s="14" t="n"/>
      <c r="Q1414" s="20">
        <f>IF($B1414="","",IFERROR(INDEX(Vinos!$C$2:$C$301,MATCH($B1414,Vinos!$A$2:$A$301,0)),""))</f>
        <v/>
      </c>
      <c r="R1414" s="20">
        <f>IF(OR($A1414="",$A1414&lt;&gt;'Resumen del inventario'!$C$3,$N1414="",$N1414="OK"),"",IF(COUNTIFS($A$2:$A1414,$A1414,$B$2:$B1414,$B1414)=1,1,""))</f>
        <v/>
      </c>
      <c r="S1414" s="20">
        <f>IF($R1414=1,COUNTIF($R$2:$R1414,1),"")</f>
        <v/>
      </c>
    </row>
    <row r="1415">
      <c r="A1415" s="19" t="n"/>
      <c r="B1415" s="14" t="n"/>
      <c r="C1415" s="20">
        <f>IF($B1415="","",IFERROR(INDEX(Vinos!$B$2:$B$301,MATCH($B1415,Vinos!$A$2:$A$301,0)),"Código no cargado"))</f>
        <v/>
      </c>
      <c r="D1415" s="14" t="n"/>
      <c r="E1415" s="14" t="n"/>
      <c r="F1415" s="18" t="n"/>
      <c r="G1415" s="18" t="n"/>
      <c r="H1415" s="21">
        <f>IF(AND($F1415="",$G1415=""),"",N($F1415)*IFERROR(N(INDEX(Vinos!$H$2:$H$301,MATCH($B1415,Vinos!$A$2:$A$301,0))),0)+N($G1415))</f>
        <v/>
      </c>
      <c r="I1415" s="18" t="n"/>
      <c r="J1415" s="21">
        <f>IF(OR($H1415="",$I1415=""),"",$H1415-$I1415)</f>
        <v/>
      </c>
      <c r="K1415" s="16">
        <f>IF($H1415="","",IFERROR(IF(INDEX(Vinos!$J$2:$J$301,MATCH($B1415,Vinos!$A$2:$A$301,0))="","",$H1415*INDEX(Vinos!$J$2:$J$301,MATCH($B1415,Vinos!$A$2:$A$301,0))),""))</f>
        <v/>
      </c>
      <c r="L1415" s="16">
        <f>IF($H1415="","",IFERROR(IF(INDEX(Vinos!$K$2:$K$301,MATCH($B1415,Vinos!$A$2:$A$301,0))="","",$H1415*INDEX(Vinos!$K$2:$K$301,MATCH($B1415,Vinos!$A$2:$A$301,0))),""))</f>
        <v/>
      </c>
      <c r="M1415" s="21">
        <f>IF(OR($A1415="",$B1415=""),"",SUMIFS($H$2:$H$2001,$A$2:$A$2001,$A1415,$B$2:$B$2001,$B1415))</f>
        <v/>
      </c>
      <c r="N1415" s="20">
        <f>IF($M1415="","",IF($M1415&lt;=0,"Sin stock: reponer ya",IF($M1415&lt;IFERROR(N(INDEX(Vinos!$N$2:$N$301,MATCH($B1415,Vinos!$A$2:$A$301,0))),0),"Bajo mínimo: reponer","OK")))</f>
        <v/>
      </c>
      <c r="O1415" s="14" t="n"/>
      <c r="P1415" s="14" t="n"/>
      <c r="Q1415" s="20">
        <f>IF($B1415="","",IFERROR(INDEX(Vinos!$C$2:$C$301,MATCH($B1415,Vinos!$A$2:$A$301,0)),""))</f>
        <v/>
      </c>
      <c r="R1415" s="20">
        <f>IF(OR($A1415="",$A1415&lt;&gt;'Resumen del inventario'!$C$3,$N1415="",$N1415="OK"),"",IF(COUNTIFS($A$2:$A1415,$A1415,$B$2:$B1415,$B1415)=1,1,""))</f>
        <v/>
      </c>
      <c r="S1415" s="20">
        <f>IF($R1415=1,COUNTIF($R$2:$R1415,1),"")</f>
        <v/>
      </c>
    </row>
    <row r="1416">
      <c r="A1416" s="19" t="n"/>
      <c r="B1416" s="14" t="n"/>
      <c r="C1416" s="20">
        <f>IF($B1416="","",IFERROR(INDEX(Vinos!$B$2:$B$301,MATCH($B1416,Vinos!$A$2:$A$301,0)),"Código no cargado"))</f>
        <v/>
      </c>
      <c r="D1416" s="14" t="n"/>
      <c r="E1416" s="14" t="n"/>
      <c r="F1416" s="18" t="n"/>
      <c r="G1416" s="18" t="n"/>
      <c r="H1416" s="21">
        <f>IF(AND($F1416="",$G1416=""),"",N($F1416)*IFERROR(N(INDEX(Vinos!$H$2:$H$301,MATCH($B1416,Vinos!$A$2:$A$301,0))),0)+N($G1416))</f>
        <v/>
      </c>
      <c r="I1416" s="18" t="n"/>
      <c r="J1416" s="21">
        <f>IF(OR($H1416="",$I1416=""),"",$H1416-$I1416)</f>
        <v/>
      </c>
      <c r="K1416" s="16">
        <f>IF($H1416="","",IFERROR(IF(INDEX(Vinos!$J$2:$J$301,MATCH($B1416,Vinos!$A$2:$A$301,0))="","",$H1416*INDEX(Vinos!$J$2:$J$301,MATCH($B1416,Vinos!$A$2:$A$301,0))),""))</f>
        <v/>
      </c>
      <c r="L1416" s="16">
        <f>IF($H1416="","",IFERROR(IF(INDEX(Vinos!$K$2:$K$301,MATCH($B1416,Vinos!$A$2:$A$301,0))="","",$H1416*INDEX(Vinos!$K$2:$K$301,MATCH($B1416,Vinos!$A$2:$A$301,0))),""))</f>
        <v/>
      </c>
      <c r="M1416" s="21">
        <f>IF(OR($A1416="",$B1416=""),"",SUMIFS($H$2:$H$2001,$A$2:$A$2001,$A1416,$B$2:$B$2001,$B1416))</f>
        <v/>
      </c>
      <c r="N1416" s="20">
        <f>IF($M1416="","",IF($M1416&lt;=0,"Sin stock: reponer ya",IF($M1416&lt;IFERROR(N(INDEX(Vinos!$N$2:$N$301,MATCH($B1416,Vinos!$A$2:$A$301,0))),0),"Bajo mínimo: reponer","OK")))</f>
        <v/>
      </c>
      <c r="O1416" s="14" t="n"/>
      <c r="P1416" s="14" t="n"/>
      <c r="Q1416" s="20">
        <f>IF($B1416="","",IFERROR(INDEX(Vinos!$C$2:$C$301,MATCH($B1416,Vinos!$A$2:$A$301,0)),""))</f>
        <v/>
      </c>
      <c r="R1416" s="20">
        <f>IF(OR($A1416="",$A1416&lt;&gt;'Resumen del inventario'!$C$3,$N1416="",$N1416="OK"),"",IF(COUNTIFS($A$2:$A1416,$A1416,$B$2:$B1416,$B1416)=1,1,""))</f>
        <v/>
      </c>
      <c r="S1416" s="20">
        <f>IF($R1416=1,COUNTIF($R$2:$R1416,1),"")</f>
        <v/>
      </c>
    </row>
    <row r="1417">
      <c r="A1417" s="19" t="n"/>
      <c r="B1417" s="14" t="n"/>
      <c r="C1417" s="20">
        <f>IF($B1417="","",IFERROR(INDEX(Vinos!$B$2:$B$301,MATCH($B1417,Vinos!$A$2:$A$301,0)),"Código no cargado"))</f>
        <v/>
      </c>
      <c r="D1417" s="14" t="n"/>
      <c r="E1417" s="14" t="n"/>
      <c r="F1417" s="18" t="n"/>
      <c r="G1417" s="18" t="n"/>
      <c r="H1417" s="21">
        <f>IF(AND($F1417="",$G1417=""),"",N($F1417)*IFERROR(N(INDEX(Vinos!$H$2:$H$301,MATCH($B1417,Vinos!$A$2:$A$301,0))),0)+N($G1417))</f>
        <v/>
      </c>
      <c r="I1417" s="18" t="n"/>
      <c r="J1417" s="21">
        <f>IF(OR($H1417="",$I1417=""),"",$H1417-$I1417)</f>
        <v/>
      </c>
      <c r="K1417" s="16">
        <f>IF($H1417="","",IFERROR(IF(INDEX(Vinos!$J$2:$J$301,MATCH($B1417,Vinos!$A$2:$A$301,0))="","",$H1417*INDEX(Vinos!$J$2:$J$301,MATCH($B1417,Vinos!$A$2:$A$301,0))),""))</f>
        <v/>
      </c>
      <c r="L1417" s="16">
        <f>IF($H1417="","",IFERROR(IF(INDEX(Vinos!$K$2:$K$301,MATCH($B1417,Vinos!$A$2:$A$301,0))="","",$H1417*INDEX(Vinos!$K$2:$K$301,MATCH($B1417,Vinos!$A$2:$A$301,0))),""))</f>
        <v/>
      </c>
      <c r="M1417" s="21">
        <f>IF(OR($A1417="",$B1417=""),"",SUMIFS($H$2:$H$2001,$A$2:$A$2001,$A1417,$B$2:$B$2001,$B1417))</f>
        <v/>
      </c>
      <c r="N1417" s="20">
        <f>IF($M1417="","",IF($M1417&lt;=0,"Sin stock: reponer ya",IF($M1417&lt;IFERROR(N(INDEX(Vinos!$N$2:$N$301,MATCH($B1417,Vinos!$A$2:$A$301,0))),0),"Bajo mínimo: reponer","OK")))</f>
        <v/>
      </c>
      <c r="O1417" s="14" t="n"/>
      <c r="P1417" s="14" t="n"/>
      <c r="Q1417" s="20">
        <f>IF($B1417="","",IFERROR(INDEX(Vinos!$C$2:$C$301,MATCH($B1417,Vinos!$A$2:$A$301,0)),""))</f>
        <v/>
      </c>
      <c r="R1417" s="20">
        <f>IF(OR($A1417="",$A1417&lt;&gt;'Resumen del inventario'!$C$3,$N1417="",$N1417="OK"),"",IF(COUNTIFS($A$2:$A1417,$A1417,$B$2:$B1417,$B1417)=1,1,""))</f>
        <v/>
      </c>
      <c r="S1417" s="20">
        <f>IF($R1417=1,COUNTIF($R$2:$R1417,1),"")</f>
        <v/>
      </c>
    </row>
    <row r="1418">
      <c r="A1418" s="19" t="n"/>
      <c r="B1418" s="14" t="n"/>
      <c r="C1418" s="20">
        <f>IF($B1418="","",IFERROR(INDEX(Vinos!$B$2:$B$301,MATCH($B1418,Vinos!$A$2:$A$301,0)),"Código no cargado"))</f>
        <v/>
      </c>
      <c r="D1418" s="14" t="n"/>
      <c r="E1418" s="14" t="n"/>
      <c r="F1418" s="18" t="n"/>
      <c r="G1418" s="18" t="n"/>
      <c r="H1418" s="21">
        <f>IF(AND($F1418="",$G1418=""),"",N($F1418)*IFERROR(N(INDEX(Vinos!$H$2:$H$301,MATCH($B1418,Vinos!$A$2:$A$301,0))),0)+N($G1418))</f>
        <v/>
      </c>
      <c r="I1418" s="18" t="n"/>
      <c r="J1418" s="21">
        <f>IF(OR($H1418="",$I1418=""),"",$H1418-$I1418)</f>
        <v/>
      </c>
      <c r="K1418" s="16">
        <f>IF($H1418="","",IFERROR(IF(INDEX(Vinos!$J$2:$J$301,MATCH($B1418,Vinos!$A$2:$A$301,0))="","",$H1418*INDEX(Vinos!$J$2:$J$301,MATCH($B1418,Vinos!$A$2:$A$301,0))),""))</f>
        <v/>
      </c>
      <c r="L1418" s="16">
        <f>IF($H1418="","",IFERROR(IF(INDEX(Vinos!$K$2:$K$301,MATCH($B1418,Vinos!$A$2:$A$301,0))="","",$H1418*INDEX(Vinos!$K$2:$K$301,MATCH($B1418,Vinos!$A$2:$A$301,0))),""))</f>
        <v/>
      </c>
      <c r="M1418" s="21">
        <f>IF(OR($A1418="",$B1418=""),"",SUMIFS($H$2:$H$2001,$A$2:$A$2001,$A1418,$B$2:$B$2001,$B1418))</f>
        <v/>
      </c>
      <c r="N1418" s="20">
        <f>IF($M1418="","",IF($M1418&lt;=0,"Sin stock: reponer ya",IF($M1418&lt;IFERROR(N(INDEX(Vinos!$N$2:$N$301,MATCH($B1418,Vinos!$A$2:$A$301,0))),0),"Bajo mínimo: reponer","OK")))</f>
        <v/>
      </c>
      <c r="O1418" s="14" t="n"/>
      <c r="P1418" s="14" t="n"/>
      <c r="Q1418" s="20">
        <f>IF($B1418="","",IFERROR(INDEX(Vinos!$C$2:$C$301,MATCH($B1418,Vinos!$A$2:$A$301,0)),""))</f>
        <v/>
      </c>
      <c r="R1418" s="20">
        <f>IF(OR($A1418="",$A1418&lt;&gt;'Resumen del inventario'!$C$3,$N1418="",$N1418="OK"),"",IF(COUNTIFS($A$2:$A1418,$A1418,$B$2:$B1418,$B1418)=1,1,""))</f>
        <v/>
      </c>
      <c r="S1418" s="20">
        <f>IF($R1418=1,COUNTIF($R$2:$R1418,1),"")</f>
        <v/>
      </c>
    </row>
    <row r="1419">
      <c r="A1419" s="19" t="n"/>
      <c r="B1419" s="14" t="n"/>
      <c r="C1419" s="20">
        <f>IF($B1419="","",IFERROR(INDEX(Vinos!$B$2:$B$301,MATCH($B1419,Vinos!$A$2:$A$301,0)),"Código no cargado"))</f>
        <v/>
      </c>
      <c r="D1419" s="14" t="n"/>
      <c r="E1419" s="14" t="n"/>
      <c r="F1419" s="18" t="n"/>
      <c r="G1419" s="18" t="n"/>
      <c r="H1419" s="21">
        <f>IF(AND($F1419="",$G1419=""),"",N($F1419)*IFERROR(N(INDEX(Vinos!$H$2:$H$301,MATCH($B1419,Vinos!$A$2:$A$301,0))),0)+N($G1419))</f>
        <v/>
      </c>
      <c r="I1419" s="18" t="n"/>
      <c r="J1419" s="21">
        <f>IF(OR($H1419="",$I1419=""),"",$H1419-$I1419)</f>
        <v/>
      </c>
      <c r="K1419" s="16">
        <f>IF($H1419="","",IFERROR(IF(INDEX(Vinos!$J$2:$J$301,MATCH($B1419,Vinos!$A$2:$A$301,0))="","",$H1419*INDEX(Vinos!$J$2:$J$301,MATCH($B1419,Vinos!$A$2:$A$301,0))),""))</f>
        <v/>
      </c>
      <c r="L1419" s="16">
        <f>IF($H1419="","",IFERROR(IF(INDEX(Vinos!$K$2:$K$301,MATCH($B1419,Vinos!$A$2:$A$301,0))="","",$H1419*INDEX(Vinos!$K$2:$K$301,MATCH($B1419,Vinos!$A$2:$A$301,0))),""))</f>
        <v/>
      </c>
      <c r="M1419" s="21">
        <f>IF(OR($A1419="",$B1419=""),"",SUMIFS($H$2:$H$2001,$A$2:$A$2001,$A1419,$B$2:$B$2001,$B1419))</f>
        <v/>
      </c>
      <c r="N1419" s="20">
        <f>IF($M1419="","",IF($M1419&lt;=0,"Sin stock: reponer ya",IF($M1419&lt;IFERROR(N(INDEX(Vinos!$N$2:$N$301,MATCH($B1419,Vinos!$A$2:$A$301,0))),0),"Bajo mínimo: reponer","OK")))</f>
        <v/>
      </c>
      <c r="O1419" s="14" t="n"/>
      <c r="P1419" s="14" t="n"/>
      <c r="Q1419" s="20">
        <f>IF($B1419="","",IFERROR(INDEX(Vinos!$C$2:$C$301,MATCH($B1419,Vinos!$A$2:$A$301,0)),""))</f>
        <v/>
      </c>
      <c r="R1419" s="20">
        <f>IF(OR($A1419="",$A1419&lt;&gt;'Resumen del inventario'!$C$3,$N1419="",$N1419="OK"),"",IF(COUNTIFS($A$2:$A1419,$A1419,$B$2:$B1419,$B1419)=1,1,""))</f>
        <v/>
      </c>
      <c r="S1419" s="20">
        <f>IF($R1419=1,COUNTIF($R$2:$R1419,1),"")</f>
        <v/>
      </c>
    </row>
    <row r="1420">
      <c r="A1420" s="19" t="n"/>
      <c r="B1420" s="14" t="n"/>
      <c r="C1420" s="20">
        <f>IF($B1420="","",IFERROR(INDEX(Vinos!$B$2:$B$301,MATCH($B1420,Vinos!$A$2:$A$301,0)),"Código no cargado"))</f>
        <v/>
      </c>
      <c r="D1420" s="14" t="n"/>
      <c r="E1420" s="14" t="n"/>
      <c r="F1420" s="18" t="n"/>
      <c r="G1420" s="18" t="n"/>
      <c r="H1420" s="21">
        <f>IF(AND($F1420="",$G1420=""),"",N($F1420)*IFERROR(N(INDEX(Vinos!$H$2:$H$301,MATCH($B1420,Vinos!$A$2:$A$301,0))),0)+N($G1420))</f>
        <v/>
      </c>
      <c r="I1420" s="18" t="n"/>
      <c r="J1420" s="21">
        <f>IF(OR($H1420="",$I1420=""),"",$H1420-$I1420)</f>
        <v/>
      </c>
      <c r="K1420" s="16">
        <f>IF($H1420="","",IFERROR(IF(INDEX(Vinos!$J$2:$J$301,MATCH($B1420,Vinos!$A$2:$A$301,0))="","",$H1420*INDEX(Vinos!$J$2:$J$301,MATCH($B1420,Vinos!$A$2:$A$301,0))),""))</f>
        <v/>
      </c>
      <c r="L1420" s="16">
        <f>IF($H1420="","",IFERROR(IF(INDEX(Vinos!$K$2:$K$301,MATCH($B1420,Vinos!$A$2:$A$301,0))="","",$H1420*INDEX(Vinos!$K$2:$K$301,MATCH($B1420,Vinos!$A$2:$A$301,0))),""))</f>
        <v/>
      </c>
      <c r="M1420" s="21">
        <f>IF(OR($A1420="",$B1420=""),"",SUMIFS($H$2:$H$2001,$A$2:$A$2001,$A1420,$B$2:$B$2001,$B1420))</f>
        <v/>
      </c>
      <c r="N1420" s="20">
        <f>IF($M1420="","",IF($M1420&lt;=0,"Sin stock: reponer ya",IF($M1420&lt;IFERROR(N(INDEX(Vinos!$N$2:$N$301,MATCH($B1420,Vinos!$A$2:$A$301,0))),0),"Bajo mínimo: reponer","OK")))</f>
        <v/>
      </c>
      <c r="O1420" s="14" t="n"/>
      <c r="P1420" s="14" t="n"/>
      <c r="Q1420" s="20">
        <f>IF($B1420="","",IFERROR(INDEX(Vinos!$C$2:$C$301,MATCH($B1420,Vinos!$A$2:$A$301,0)),""))</f>
        <v/>
      </c>
      <c r="R1420" s="20">
        <f>IF(OR($A1420="",$A1420&lt;&gt;'Resumen del inventario'!$C$3,$N1420="",$N1420="OK"),"",IF(COUNTIFS($A$2:$A1420,$A1420,$B$2:$B1420,$B1420)=1,1,""))</f>
        <v/>
      </c>
      <c r="S1420" s="20">
        <f>IF($R1420=1,COUNTIF($R$2:$R1420,1),"")</f>
        <v/>
      </c>
    </row>
    <row r="1421">
      <c r="A1421" s="19" t="n"/>
      <c r="B1421" s="14" t="n"/>
      <c r="C1421" s="20">
        <f>IF($B1421="","",IFERROR(INDEX(Vinos!$B$2:$B$301,MATCH($B1421,Vinos!$A$2:$A$301,0)),"Código no cargado"))</f>
        <v/>
      </c>
      <c r="D1421" s="14" t="n"/>
      <c r="E1421" s="14" t="n"/>
      <c r="F1421" s="18" t="n"/>
      <c r="G1421" s="18" t="n"/>
      <c r="H1421" s="21">
        <f>IF(AND($F1421="",$G1421=""),"",N($F1421)*IFERROR(N(INDEX(Vinos!$H$2:$H$301,MATCH($B1421,Vinos!$A$2:$A$301,0))),0)+N($G1421))</f>
        <v/>
      </c>
      <c r="I1421" s="18" t="n"/>
      <c r="J1421" s="21">
        <f>IF(OR($H1421="",$I1421=""),"",$H1421-$I1421)</f>
        <v/>
      </c>
      <c r="K1421" s="16">
        <f>IF($H1421="","",IFERROR(IF(INDEX(Vinos!$J$2:$J$301,MATCH($B1421,Vinos!$A$2:$A$301,0))="","",$H1421*INDEX(Vinos!$J$2:$J$301,MATCH($B1421,Vinos!$A$2:$A$301,0))),""))</f>
        <v/>
      </c>
      <c r="L1421" s="16">
        <f>IF($H1421="","",IFERROR(IF(INDEX(Vinos!$K$2:$K$301,MATCH($B1421,Vinos!$A$2:$A$301,0))="","",$H1421*INDEX(Vinos!$K$2:$K$301,MATCH($B1421,Vinos!$A$2:$A$301,0))),""))</f>
        <v/>
      </c>
      <c r="M1421" s="21">
        <f>IF(OR($A1421="",$B1421=""),"",SUMIFS($H$2:$H$2001,$A$2:$A$2001,$A1421,$B$2:$B$2001,$B1421))</f>
        <v/>
      </c>
      <c r="N1421" s="20">
        <f>IF($M1421="","",IF($M1421&lt;=0,"Sin stock: reponer ya",IF($M1421&lt;IFERROR(N(INDEX(Vinos!$N$2:$N$301,MATCH($B1421,Vinos!$A$2:$A$301,0))),0),"Bajo mínimo: reponer","OK")))</f>
        <v/>
      </c>
      <c r="O1421" s="14" t="n"/>
      <c r="P1421" s="14" t="n"/>
      <c r="Q1421" s="20">
        <f>IF($B1421="","",IFERROR(INDEX(Vinos!$C$2:$C$301,MATCH($B1421,Vinos!$A$2:$A$301,0)),""))</f>
        <v/>
      </c>
      <c r="R1421" s="20">
        <f>IF(OR($A1421="",$A1421&lt;&gt;'Resumen del inventario'!$C$3,$N1421="",$N1421="OK"),"",IF(COUNTIFS($A$2:$A1421,$A1421,$B$2:$B1421,$B1421)=1,1,""))</f>
        <v/>
      </c>
      <c r="S1421" s="20">
        <f>IF($R1421=1,COUNTIF($R$2:$R1421,1),"")</f>
        <v/>
      </c>
    </row>
    <row r="1422">
      <c r="A1422" s="19" t="n"/>
      <c r="B1422" s="14" t="n"/>
      <c r="C1422" s="20">
        <f>IF($B1422="","",IFERROR(INDEX(Vinos!$B$2:$B$301,MATCH($B1422,Vinos!$A$2:$A$301,0)),"Código no cargado"))</f>
        <v/>
      </c>
      <c r="D1422" s="14" t="n"/>
      <c r="E1422" s="14" t="n"/>
      <c r="F1422" s="18" t="n"/>
      <c r="G1422" s="18" t="n"/>
      <c r="H1422" s="21">
        <f>IF(AND($F1422="",$G1422=""),"",N($F1422)*IFERROR(N(INDEX(Vinos!$H$2:$H$301,MATCH($B1422,Vinos!$A$2:$A$301,0))),0)+N($G1422))</f>
        <v/>
      </c>
      <c r="I1422" s="18" t="n"/>
      <c r="J1422" s="21">
        <f>IF(OR($H1422="",$I1422=""),"",$H1422-$I1422)</f>
        <v/>
      </c>
      <c r="K1422" s="16">
        <f>IF($H1422="","",IFERROR(IF(INDEX(Vinos!$J$2:$J$301,MATCH($B1422,Vinos!$A$2:$A$301,0))="","",$H1422*INDEX(Vinos!$J$2:$J$301,MATCH($B1422,Vinos!$A$2:$A$301,0))),""))</f>
        <v/>
      </c>
      <c r="L1422" s="16">
        <f>IF($H1422="","",IFERROR(IF(INDEX(Vinos!$K$2:$K$301,MATCH($B1422,Vinos!$A$2:$A$301,0))="","",$H1422*INDEX(Vinos!$K$2:$K$301,MATCH($B1422,Vinos!$A$2:$A$301,0))),""))</f>
        <v/>
      </c>
      <c r="M1422" s="21">
        <f>IF(OR($A1422="",$B1422=""),"",SUMIFS($H$2:$H$2001,$A$2:$A$2001,$A1422,$B$2:$B$2001,$B1422))</f>
        <v/>
      </c>
      <c r="N1422" s="20">
        <f>IF($M1422="","",IF($M1422&lt;=0,"Sin stock: reponer ya",IF($M1422&lt;IFERROR(N(INDEX(Vinos!$N$2:$N$301,MATCH($B1422,Vinos!$A$2:$A$301,0))),0),"Bajo mínimo: reponer","OK")))</f>
        <v/>
      </c>
      <c r="O1422" s="14" t="n"/>
      <c r="P1422" s="14" t="n"/>
      <c r="Q1422" s="20">
        <f>IF($B1422="","",IFERROR(INDEX(Vinos!$C$2:$C$301,MATCH($B1422,Vinos!$A$2:$A$301,0)),""))</f>
        <v/>
      </c>
      <c r="R1422" s="20">
        <f>IF(OR($A1422="",$A1422&lt;&gt;'Resumen del inventario'!$C$3,$N1422="",$N1422="OK"),"",IF(COUNTIFS($A$2:$A1422,$A1422,$B$2:$B1422,$B1422)=1,1,""))</f>
        <v/>
      </c>
      <c r="S1422" s="20">
        <f>IF($R1422=1,COUNTIF($R$2:$R1422,1),"")</f>
        <v/>
      </c>
    </row>
    <row r="1423">
      <c r="A1423" s="19" t="n"/>
      <c r="B1423" s="14" t="n"/>
      <c r="C1423" s="20">
        <f>IF($B1423="","",IFERROR(INDEX(Vinos!$B$2:$B$301,MATCH($B1423,Vinos!$A$2:$A$301,0)),"Código no cargado"))</f>
        <v/>
      </c>
      <c r="D1423" s="14" t="n"/>
      <c r="E1423" s="14" t="n"/>
      <c r="F1423" s="18" t="n"/>
      <c r="G1423" s="18" t="n"/>
      <c r="H1423" s="21">
        <f>IF(AND($F1423="",$G1423=""),"",N($F1423)*IFERROR(N(INDEX(Vinos!$H$2:$H$301,MATCH($B1423,Vinos!$A$2:$A$301,0))),0)+N($G1423))</f>
        <v/>
      </c>
      <c r="I1423" s="18" t="n"/>
      <c r="J1423" s="21">
        <f>IF(OR($H1423="",$I1423=""),"",$H1423-$I1423)</f>
        <v/>
      </c>
      <c r="K1423" s="16">
        <f>IF($H1423="","",IFERROR(IF(INDEX(Vinos!$J$2:$J$301,MATCH($B1423,Vinos!$A$2:$A$301,0))="","",$H1423*INDEX(Vinos!$J$2:$J$301,MATCH($B1423,Vinos!$A$2:$A$301,0))),""))</f>
        <v/>
      </c>
      <c r="L1423" s="16">
        <f>IF($H1423="","",IFERROR(IF(INDEX(Vinos!$K$2:$K$301,MATCH($B1423,Vinos!$A$2:$A$301,0))="","",$H1423*INDEX(Vinos!$K$2:$K$301,MATCH($B1423,Vinos!$A$2:$A$301,0))),""))</f>
        <v/>
      </c>
      <c r="M1423" s="21">
        <f>IF(OR($A1423="",$B1423=""),"",SUMIFS($H$2:$H$2001,$A$2:$A$2001,$A1423,$B$2:$B$2001,$B1423))</f>
        <v/>
      </c>
      <c r="N1423" s="20">
        <f>IF($M1423="","",IF($M1423&lt;=0,"Sin stock: reponer ya",IF($M1423&lt;IFERROR(N(INDEX(Vinos!$N$2:$N$301,MATCH($B1423,Vinos!$A$2:$A$301,0))),0),"Bajo mínimo: reponer","OK")))</f>
        <v/>
      </c>
      <c r="O1423" s="14" t="n"/>
      <c r="P1423" s="14" t="n"/>
      <c r="Q1423" s="20">
        <f>IF($B1423="","",IFERROR(INDEX(Vinos!$C$2:$C$301,MATCH($B1423,Vinos!$A$2:$A$301,0)),""))</f>
        <v/>
      </c>
      <c r="R1423" s="20">
        <f>IF(OR($A1423="",$A1423&lt;&gt;'Resumen del inventario'!$C$3,$N1423="",$N1423="OK"),"",IF(COUNTIFS($A$2:$A1423,$A1423,$B$2:$B1423,$B1423)=1,1,""))</f>
        <v/>
      </c>
      <c r="S1423" s="20">
        <f>IF($R1423=1,COUNTIF($R$2:$R1423,1),"")</f>
        <v/>
      </c>
    </row>
    <row r="1424">
      <c r="A1424" s="19" t="n"/>
      <c r="B1424" s="14" t="n"/>
      <c r="C1424" s="20">
        <f>IF($B1424="","",IFERROR(INDEX(Vinos!$B$2:$B$301,MATCH($B1424,Vinos!$A$2:$A$301,0)),"Código no cargado"))</f>
        <v/>
      </c>
      <c r="D1424" s="14" t="n"/>
      <c r="E1424" s="14" t="n"/>
      <c r="F1424" s="18" t="n"/>
      <c r="G1424" s="18" t="n"/>
      <c r="H1424" s="21">
        <f>IF(AND($F1424="",$G1424=""),"",N($F1424)*IFERROR(N(INDEX(Vinos!$H$2:$H$301,MATCH($B1424,Vinos!$A$2:$A$301,0))),0)+N($G1424))</f>
        <v/>
      </c>
      <c r="I1424" s="18" t="n"/>
      <c r="J1424" s="21">
        <f>IF(OR($H1424="",$I1424=""),"",$H1424-$I1424)</f>
        <v/>
      </c>
      <c r="K1424" s="16">
        <f>IF($H1424="","",IFERROR(IF(INDEX(Vinos!$J$2:$J$301,MATCH($B1424,Vinos!$A$2:$A$301,0))="","",$H1424*INDEX(Vinos!$J$2:$J$301,MATCH($B1424,Vinos!$A$2:$A$301,0))),""))</f>
        <v/>
      </c>
      <c r="L1424" s="16">
        <f>IF($H1424="","",IFERROR(IF(INDEX(Vinos!$K$2:$K$301,MATCH($B1424,Vinos!$A$2:$A$301,0))="","",$H1424*INDEX(Vinos!$K$2:$K$301,MATCH($B1424,Vinos!$A$2:$A$301,0))),""))</f>
        <v/>
      </c>
      <c r="M1424" s="21">
        <f>IF(OR($A1424="",$B1424=""),"",SUMIFS($H$2:$H$2001,$A$2:$A$2001,$A1424,$B$2:$B$2001,$B1424))</f>
        <v/>
      </c>
      <c r="N1424" s="20">
        <f>IF($M1424="","",IF($M1424&lt;=0,"Sin stock: reponer ya",IF($M1424&lt;IFERROR(N(INDEX(Vinos!$N$2:$N$301,MATCH($B1424,Vinos!$A$2:$A$301,0))),0),"Bajo mínimo: reponer","OK")))</f>
        <v/>
      </c>
      <c r="O1424" s="14" t="n"/>
      <c r="P1424" s="14" t="n"/>
      <c r="Q1424" s="20">
        <f>IF($B1424="","",IFERROR(INDEX(Vinos!$C$2:$C$301,MATCH($B1424,Vinos!$A$2:$A$301,0)),""))</f>
        <v/>
      </c>
      <c r="R1424" s="20">
        <f>IF(OR($A1424="",$A1424&lt;&gt;'Resumen del inventario'!$C$3,$N1424="",$N1424="OK"),"",IF(COUNTIFS($A$2:$A1424,$A1424,$B$2:$B1424,$B1424)=1,1,""))</f>
        <v/>
      </c>
      <c r="S1424" s="20">
        <f>IF($R1424=1,COUNTIF($R$2:$R1424,1),"")</f>
        <v/>
      </c>
    </row>
    <row r="1425">
      <c r="A1425" s="19" t="n"/>
      <c r="B1425" s="14" t="n"/>
      <c r="C1425" s="20">
        <f>IF($B1425="","",IFERROR(INDEX(Vinos!$B$2:$B$301,MATCH($B1425,Vinos!$A$2:$A$301,0)),"Código no cargado"))</f>
        <v/>
      </c>
      <c r="D1425" s="14" t="n"/>
      <c r="E1425" s="14" t="n"/>
      <c r="F1425" s="18" t="n"/>
      <c r="G1425" s="18" t="n"/>
      <c r="H1425" s="21">
        <f>IF(AND($F1425="",$G1425=""),"",N($F1425)*IFERROR(N(INDEX(Vinos!$H$2:$H$301,MATCH($B1425,Vinos!$A$2:$A$301,0))),0)+N($G1425))</f>
        <v/>
      </c>
      <c r="I1425" s="18" t="n"/>
      <c r="J1425" s="21">
        <f>IF(OR($H1425="",$I1425=""),"",$H1425-$I1425)</f>
        <v/>
      </c>
      <c r="K1425" s="16">
        <f>IF($H1425="","",IFERROR(IF(INDEX(Vinos!$J$2:$J$301,MATCH($B1425,Vinos!$A$2:$A$301,0))="","",$H1425*INDEX(Vinos!$J$2:$J$301,MATCH($B1425,Vinos!$A$2:$A$301,0))),""))</f>
        <v/>
      </c>
      <c r="L1425" s="16">
        <f>IF($H1425="","",IFERROR(IF(INDEX(Vinos!$K$2:$K$301,MATCH($B1425,Vinos!$A$2:$A$301,0))="","",$H1425*INDEX(Vinos!$K$2:$K$301,MATCH($B1425,Vinos!$A$2:$A$301,0))),""))</f>
        <v/>
      </c>
      <c r="M1425" s="21">
        <f>IF(OR($A1425="",$B1425=""),"",SUMIFS($H$2:$H$2001,$A$2:$A$2001,$A1425,$B$2:$B$2001,$B1425))</f>
        <v/>
      </c>
      <c r="N1425" s="20">
        <f>IF($M1425="","",IF($M1425&lt;=0,"Sin stock: reponer ya",IF($M1425&lt;IFERROR(N(INDEX(Vinos!$N$2:$N$301,MATCH($B1425,Vinos!$A$2:$A$301,0))),0),"Bajo mínimo: reponer","OK")))</f>
        <v/>
      </c>
      <c r="O1425" s="14" t="n"/>
      <c r="P1425" s="14" t="n"/>
      <c r="Q1425" s="20">
        <f>IF($B1425="","",IFERROR(INDEX(Vinos!$C$2:$C$301,MATCH($B1425,Vinos!$A$2:$A$301,0)),""))</f>
        <v/>
      </c>
      <c r="R1425" s="20">
        <f>IF(OR($A1425="",$A1425&lt;&gt;'Resumen del inventario'!$C$3,$N1425="",$N1425="OK"),"",IF(COUNTIFS($A$2:$A1425,$A1425,$B$2:$B1425,$B1425)=1,1,""))</f>
        <v/>
      </c>
      <c r="S1425" s="20">
        <f>IF($R1425=1,COUNTIF($R$2:$R1425,1),"")</f>
        <v/>
      </c>
    </row>
    <row r="1426">
      <c r="A1426" s="19" t="n"/>
      <c r="B1426" s="14" t="n"/>
      <c r="C1426" s="20">
        <f>IF($B1426="","",IFERROR(INDEX(Vinos!$B$2:$B$301,MATCH($B1426,Vinos!$A$2:$A$301,0)),"Código no cargado"))</f>
        <v/>
      </c>
      <c r="D1426" s="14" t="n"/>
      <c r="E1426" s="14" t="n"/>
      <c r="F1426" s="18" t="n"/>
      <c r="G1426" s="18" t="n"/>
      <c r="H1426" s="21">
        <f>IF(AND($F1426="",$G1426=""),"",N($F1426)*IFERROR(N(INDEX(Vinos!$H$2:$H$301,MATCH($B1426,Vinos!$A$2:$A$301,0))),0)+N($G1426))</f>
        <v/>
      </c>
      <c r="I1426" s="18" t="n"/>
      <c r="J1426" s="21">
        <f>IF(OR($H1426="",$I1426=""),"",$H1426-$I1426)</f>
        <v/>
      </c>
      <c r="K1426" s="16">
        <f>IF($H1426="","",IFERROR(IF(INDEX(Vinos!$J$2:$J$301,MATCH($B1426,Vinos!$A$2:$A$301,0))="","",$H1426*INDEX(Vinos!$J$2:$J$301,MATCH($B1426,Vinos!$A$2:$A$301,0))),""))</f>
        <v/>
      </c>
      <c r="L1426" s="16">
        <f>IF($H1426="","",IFERROR(IF(INDEX(Vinos!$K$2:$K$301,MATCH($B1426,Vinos!$A$2:$A$301,0))="","",$H1426*INDEX(Vinos!$K$2:$K$301,MATCH($B1426,Vinos!$A$2:$A$301,0))),""))</f>
        <v/>
      </c>
      <c r="M1426" s="21">
        <f>IF(OR($A1426="",$B1426=""),"",SUMIFS($H$2:$H$2001,$A$2:$A$2001,$A1426,$B$2:$B$2001,$B1426))</f>
        <v/>
      </c>
      <c r="N1426" s="20">
        <f>IF($M1426="","",IF($M1426&lt;=0,"Sin stock: reponer ya",IF($M1426&lt;IFERROR(N(INDEX(Vinos!$N$2:$N$301,MATCH($B1426,Vinos!$A$2:$A$301,0))),0),"Bajo mínimo: reponer","OK")))</f>
        <v/>
      </c>
      <c r="O1426" s="14" t="n"/>
      <c r="P1426" s="14" t="n"/>
      <c r="Q1426" s="20">
        <f>IF($B1426="","",IFERROR(INDEX(Vinos!$C$2:$C$301,MATCH($B1426,Vinos!$A$2:$A$301,0)),""))</f>
        <v/>
      </c>
      <c r="R1426" s="20">
        <f>IF(OR($A1426="",$A1426&lt;&gt;'Resumen del inventario'!$C$3,$N1426="",$N1426="OK"),"",IF(COUNTIFS($A$2:$A1426,$A1426,$B$2:$B1426,$B1426)=1,1,""))</f>
        <v/>
      </c>
      <c r="S1426" s="20">
        <f>IF($R1426=1,COUNTIF($R$2:$R1426,1),"")</f>
        <v/>
      </c>
    </row>
    <row r="1427">
      <c r="A1427" s="19" t="n"/>
      <c r="B1427" s="14" t="n"/>
      <c r="C1427" s="20">
        <f>IF($B1427="","",IFERROR(INDEX(Vinos!$B$2:$B$301,MATCH($B1427,Vinos!$A$2:$A$301,0)),"Código no cargado"))</f>
        <v/>
      </c>
      <c r="D1427" s="14" t="n"/>
      <c r="E1427" s="14" t="n"/>
      <c r="F1427" s="18" t="n"/>
      <c r="G1427" s="18" t="n"/>
      <c r="H1427" s="21">
        <f>IF(AND($F1427="",$G1427=""),"",N($F1427)*IFERROR(N(INDEX(Vinos!$H$2:$H$301,MATCH($B1427,Vinos!$A$2:$A$301,0))),0)+N($G1427))</f>
        <v/>
      </c>
      <c r="I1427" s="18" t="n"/>
      <c r="J1427" s="21">
        <f>IF(OR($H1427="",$I1427=""),"",$H1427-$I1427)</f>
        <v/>
      </c>
      <c r="K1427" s="16">
        <f>IF($H1427="","",IFERROR(IF(INDEX(Vinos!$J$2:$J$301,MATCH($B1427,Vinos!$A$2:$A$301,0))="","",$H1427*INDEX(Vinos!$J$2:$J$301,MATCH($B1427,Vinos!$A$2:$A$301,0))),""))</f>
        <v/>
      </c>
      <c r="L1427" s="16">
        <f>IF($H1427="","",IFERROR(IF(INDEX(Vinos!$K$2:$K$301,MATCH($B1427,Vinos!$A$2:$A$301,0))="","",$H1427*INDEX(Vinos!$K$2:$K$301,MATCH($B1427,Vinos!$A$2:$A$301,0))),""))</f>
        <v/>
      </c>
      <c r="M1427" s="21">
        <f>IF(OR($A1427="",$B1427=""),"",SUMIFS($H$2:$H$2001,$A$2:$A$2001,$A1427,$B$2:$B$2001,$B1427))</f>
        <v/>
      </c>
      <c r="N1427" s="20">
        <f>IF($M1427="","",IF($M1427&lt;=0,"Sin stock: reponer ya",IF($M1427&lt;IFERROR(N(INDEX(Vinos!$N$2:$N$301,MATCH($B1427,Vinos!$A$2:$A$301,0))),0),"Bajo mínimo: reponer","OK")))</f>
        <v/>
      </c>
      <c r="O1427" s="14" t="n"/>
      <c r="P1427" s="14" t="n"/>
      <c r="Q1427" s="20">
        <f>IF($B1427="","",IFERROR(INDEX(Vinos!$C$2:$C$301,MATCH($B1427,Vinos!$A$2:$A$301,0)),""))</f>
        <v/>
      </c>
      <c r="R1427" s="20">
        <f>IF(OR($A1427="",$A1427&lt;&gt;'Resumen del inventario'!$C$3,$N1427="",$N1427="OK"),"",IF(COUNTIFS($A$2:$A1427,$A1427,$B$2:$B1427,$B1427)=1,1,""))</f>
        <v/>
      </c>
      <c r="S1427" s="20">
        <f>IF($R1427=1,COUNTIF($R$2:$R1427,1),"")</f>
        <v/>
      </c>
    </row>
    <row r="1428">
      <c r="A1428" s="19" t="n"/>
      <c r="B1428" s="14" t="n"/>
      <c r="C1428" s="20">
        <f>IF($B1428="","",IFERROR(INDEX(Vinos!$B$2:$B$301,MATCH($B1428,Vinos!$A$2:$A$301,0)),"Código no cargado"))</f>
        <v/>
      </c>
      <c r="D1428" s="14" t="n"/>
      <c r="E1428" s="14" t="n"/>
      <c r="F1428" s="18" t="n"/>
      <c r="G1428" s="18" t="n"/>
      <c r="H1428" s="21">
        <f>IF(AND($F1428="",$G1428=""),"",N($F1428)*IFERROR(N(INDEX(Vinos!$H$2:$H$301,MATCH($B1428,Vinos!$A$2:$A$301,0))),0)+N($G1428))</f>
        <v/>
      </c>
      <c r="I1428" s="18" t="n"/>
      <c r="J1428" s="21">
        <f>IF(OR($H1428="",$I1428=""),"",$H1428-$I1428)</f>
        <v/>
      </c>
      <c r="K1428" s="16">
        <f>IF($H1428="","",IFERROR(IF(INDEX(Vinos!$J$2:$J$301,MATCH($B1428,Vinos!$A$2:$A$301,0))="","",$H1428*INDEX(Vinos!$J$2:$J$301,MATCH($B1428,Vinos!$A$2:$A$301,0))),""))</f>
        <v/>
      </c>
      <c r="L1428" s="16">
        <f>IF($H1428="","",IFERROR(IF(INDEX(Vinos!$K$2:$K$301,MATCH($B1428,Vinos!$A$2:$A$301,0))="","",$H1428*INDEX(Vinos!$K$2:$K$301,MATCH($B1428,Vinos!$A$2:$A$301,0))),""))</f>
        <v/>
      </c>
      <c r="M1428" s="21">
        <f>IF(OR($A1428="",$B1428=""),"",SUMIFS($H$2:$H$2001,$A$2:$A$2001,$A1428,$B$2:$B$2001,$B1428))</f>
        <v/>
      </c>
      <c r="N1428" s="20">
        <f>IF($M1428="","",IF($M1428&lt;=0,"Sin stock: reponer ya",IF($M1428&lt;IFERROR(N(INDEX(Vinos!$N$2:$N$301,MATCH($B1428,Vinos!$A$2:$A$301,0))),0),"Bajo mínimo: reponer","OK")))</f>
        <v/>
      </c>
      <c r="O1428" s="14" t="n"/>
      <c r="P1428" s="14" t="n"/>
      <c r="Q1428" s="20">
        <f>IF($B1428="","",IFERROR(INDEX(Vinos!$C$2:$C$301,MATCH($B1428,Vinos!$A$2:$A$301,0)),""))</f>
        <v/>
      </c>
      <c r="R1428" s="20">
        <f>IF(OR($A1428="",$A1428&lt;&gt;'Resumen del inventario'!$C$3,$N1428="",$N1428="OK"),"",IF(COUNTIFS($A$2:$A1428,$A1428,$B$2:$B1428,$B1428)=1,1,""))</f>
        <v/>
      </c>
      <c r="S1428" s="20">
        <f>IF($R1428=1,COUNTIF($R$2:$R1428,1),"")</f>
        <v/>
      </c>
    </row>
    <row r="1429">
      <c r="A1429" s="19" t="n"/>
      <c r="B1429" s="14" t="n"/>
      <c r="C1429" s="20">
        <f>IF($B1429="","",IFERROR(INDEX(Vinos!$B$2:$B$301,MATCH($B1429,Vinos!$A$2:$A$301,0)),"Código no cargado"))</f>
        <v/>
      </c>
      <c r="D1429" s="14" t="n"/>
      <c r="E1429" s="14" t="n"/>
      <c r="F1429" s="18" t="n"/>
      <c r="G1429" s="18" t="n"/>
      <c r="H1429" s="21">
        <f>IF(AND($F1429="",$G1429=""),"",N($F1429)*IFERROR(N(INDEX(Vinos!$H$2:$H$301,MATCH($B1429,Vinos!$A$2:$A$301,0))),0)+N($G1429))</f>
        <v/>
      </c>
      <c r="I1429" s="18" t="n"/>
      <c r="J1429" s="21">
        <f>IF(OR($H1429="",$I1429=""),"",$H1429-$I1429)</f>
        <v/>
      </c>
      <c r="K1429" s="16">
        <f>IF($H1429="","",IFERROR(IF(INDEX(Vinos!$J$2:$J$301,MATCH($B1429,Vinos!$A$2:$A$301,0))="","",$H1429*INDEX(Vinos!$J$2:$J$301,MATCH($B1429,Vinos!$A$2:$A$301,0))),""))</f>
        <v/>
      </c>
      <c r="L1429" s="16">
        <f>IF($H1429="","",IFERROR(IF(INDEX(Vinos!$K$2:$K$301,MATCH($B1429,Vinos!$A$2:$A$301,0))="","",$H1429*INDEX(Vinos!$K$2:$K$301,MATCH($B1429,Vinos!$A$2:$A$301,0))),""))</f>
        <v/>
      </c>
      <c r="M1429" s="21">
        <f>IF(OR($A1429="",$B1429=""),"",SUMIFS($H$2:$H$2001,$A$2:$A$2001,$A1429,$B$2:$B$2001,$B1429))</f>
        <v/>
      </c>
      <c r="N1429" s="20">
        <f>IF($M1429="","",IF($M1429&lt;=0,"Sin stock: reponer ya",IF($M1429&lt;IFERROR(N(INDEX(Vinos!$N$2:$N$301,MATCH($B1429,Vinos!$A$2:$A$301,0))),0),"Bajo mínimo: reponer","OK")))</f>
        <v/>
      </c>
      <c r="O1429" s="14" t="n"/>
      <c r="P1429" s="14" t="n"/>
      <c r="Q1429" s="20">
        <f>IF($B1429="","",IFERROR(INDEX(Vinos!$C$2:$C$301,MATCH($B1429,Vinos!$A$2:$A$301,0)),""))</f>
        <v/>
      </c>
      <c r="R1429" s="20">
        <f>IF(OR($A1429="",$A1429&lt;&gt;'Resumen del inventario'!$C$3,$N1429="",$N1429="OK"),"",IF(COUNTIFS($A$2:$A1429,$A1429,$B$2:$B1429,$B1429)=1,1,""))</f>
        <v/>
      </c>
      <c r="S1429" s="20">
        <f>IF($R1429=1,COUNTIF($R$2:$R1429,1),"")</f>
        <v/>
      </c>
    </row>
    <row r="1430">
      <c r="A1430" s="19" t="n"/>
      <c r="B1430" s="14" t="n"/>
      <c r="C1430" s="20">
        <f>IF($B1430="","",IFERROR(INDEX(Vinos!$B$2:$B$301,MATCH($B1430,Vinos!$A$2:$A$301,0)),"Código no cargado"))</f>
        <v/>
      </c>
      <c r="D1430" s="14" t="n"/>
      <c r="E1430" s="14" t="n"/>
      <c r="F1430" s="18" t="n"/>
      <c r="G1430" s="18" t="n"/>
      <c r="H1430" s="21">
        <f>IF(AND($F1430="",$G1430=""),"",N($F1430)*IFERROR(N(INDEX(Vinos!$H$2:$H$301,MATCH($B1430,Vinos!$A$2:$A$301,0))),0)+N($G1430))</f>
        <v/>
      </c>
      <c r="I1430" s="18" t="n"/>
      <c r="J1430" s="21">
        <f>IF(OR($H1430="",$I1430=""),"",$H1430-$I1430)</f>
        <v/>
      </c>
      <c r="K1430" s="16">
        <f>IF($H1430="","",IFERROR(IF(INDEX(Vinos!$J$2:$J$301,MATCH($B1430,Vinos!$A$2:$A$301,0))="","",$H1430*INDEX(Vinos!$J$2:$J$301,MATCH($B1430,Vinos!$A$2:$A$301,0))),""))</f>
        <v/>
      </c>
      <c r="L1430" s="16">
        <f>IF($H1430="","",IFERROR(IF(INDEX(Vinos!$K$2:$K$301,MATCH($B1430,Vinos!$A$2:$A$301,0))="","",$H1430*INDEX(Vinos!$K$2:$K$301,MATCH($B1430,Vinos!$A$2:$A$301,0))),""))</f>
        <v/>
      </c>
      <c r="M1430" s="21">
        <f>IF(OR($A1430="",$B1430=""),"",SUMIFS($H$2:$H$2001,$A$2:$A$2001,$A1430,$B$2:$B$2001,$B1430))</f>
        <v/>
      </c>
      <c r="N1430" s="20">
        <f>IF($M1430="","",IF($M1430&lt;=0,"Sin stock: reponer ya",IF($M1430&lt;IFERROR(N(INDEX(Vinos!$N$2:$N$301,MATCH($B1430,Vinos!$A$2:$A$301,0))),0),"Bajo mínimo: reponer","OK")))</f>
        <v/>
      </c>
      <c r="O1430" s="14" t="n"/>
      <c r="P1430" s="14" t="n"/>
      <c r="Q1430" s="20">
        <f>IF($B1430="","",IFERROR(INDEX(Vinos!$C$2:$C$301,MATCH($B1430,Vinos!$A$2:$A$301,0)),""))</f>
        <v/>
      </c>
      <c r="R1430" s="20">
        <f>IF(OR($A1430="",$A1430&lt;&gt;'Resumen del inventario'!$C$3,$N1430="",$N1430="OK"),"",IF(COUNTIFS($A$2:$A1430,$A1430,$B$2:$B1430,$B1430)=1,1,""))</f>
        <v/>
      </c>
      <c r="S1430" s="20">
        <f>IF($R1430=1,COUNTIF($R$2:$R1430,1),"")</f>
        <v/>
      </c>
    </row>
    <row r="1431">
      <c r="A1431" s="19" t="n"/>
      <c r="B1431" s="14" t="n"/>
      <c r="C1431" s="20">
        <f>IF($B1431="","",IFERROR(INDEX(Vinos!$B$2:$B$301,MATCH($B1431,Vinos!$A$2:$A$301,0)),"Código no cargado"))</f>
        <v/>
      </c>
      <c r="D1431" s="14" t="n"/>
      <c r="E1431" s="14" t="n"/>
      <c r="F1431" s="18" t="n"/>
      <c r="G1431" s="18" t="n"/>
      <c r="H1431" s="21">
        <f>IF(AND($F1431="",$G1431=""),"",N($F1431)*IFERROR(N(INDEX(Vinos!$H$2:$H$301,MATCH($B1431,Vinos!$A$2:$A$301,0))),0)+N($G1431))</f>
        <v/>
      </c>
      <c r="I1431" s="18" t="n"/>
      <c r="J1431" s="21">
        <f>IF(OR($H1431="",$I1431=""),"",$H1431-$I1431)</f>
        <v/>
      </c>
      <c r="K1431" s="16">
        <f>IF($H1431="","",IFERROR(IF(INDEX(Vinos!$J$2:$J$301,MATCH($B1431,Vinos!$A$2:$A$301,0))="","",$H1431*INDEX(Vinos!$J$2:$J$301,MATCH($B1431,Vinos!$A$2:$A$301,0))),""))</f>
        <v/>
      </c>
      <c r="L1431" s="16">
        <f>IF($H1431="","",IFERROR(IF(INDEX(Vinos!$K$2:$K$301,MATCH($B1431,Vinos!$A$2:$A$301,0))="","",$H1431*INDEX(Vinos!$K$2:$K$301,MATCH($B1431,Vinos!$A$2:$A$301,0))),""))</f>
        <v/>
      </c>
      <c r="M1431" s="21">
        <f>IF(OR($A1431="",$B1431=""),"",SUMIFS($H$2:$H$2001,$A$2:$A$2001,$A1431,$B$2:$B$2001,$B1431))</f>
        <v/>
      </c>
      <c r="N1431" s="20">
        <f>IF($M1431="","",IF($M1431&lt;=0,"Sin stock: reponer ya",IF($M1431&lt;IFERROR(N(INDEX(Vinos!$N$2:$N$301,MATCH($B1431,Vinos!$A$2:$A$301,0))),0),"Bajo mínimo: reponer","OK")))</f>
        <v/>
      </c>
      <c r="O1431" s="14" t="n"/>
      <c r="P1431" s="14" t="n"/>
      <c r="Q1431" s="20">
        <f>IF($B1431="","",IFERROR(INDEX(Vinos!$C$2:$C$301,MATCH($B1431,Vinos!$A$2:$A$301,0)),""))</f>
        <v/>
      </c>
      <c r="R1431" s="20">
        <f>IF(OR($A1431="",$A1431&lt;&gt;'Resumen del inventario'!$C$3,$N1431="",$N1431="OK"),"",IF(COUNTIFS($A$2:$A1431,$A1431,$B$2:$B1431,$B1431)=1,1,""))</f>
        <v/>
      </c>
      <c r="S1431" s="20">
        <f>IF($R1431=1,COUNTIF($R$2:$R1431,1),"")</f>
        <v/>
      </c>
    </row>
    <row r="1432">
      <c r="A1432" s="19" t="n"/>
      <c r="B1432" s="14" t="n"/>
      <c r="C1432" s="20">
        <f>IF($B1432="","",IFERROR(INDEX(Vinos!$B$2:$B$301,MATCH($B1432,Vinos!$A$2:$A$301,0)),"Código no cargado"))</f>
        <v/>
      </c>
      <c r="D1432" s="14" t="n"/>
      <c r="E1432" s="14" t="n"/>
      <c r="F1432" s="18" t="n"/>
      <c r="G1432" s="18" t="n"/>
      <c r="H1432" s="21">
        <f>IF(AND($F1432="",$G1432=""),"",N($F1432)*IFERROR(N(INDEX(Vinos!$H$2:$H$301,MATCH($B1432,Vinos!$A$2:$A$301,0))),0)+N($G1432))</f>
        <v/>
      </c>
      <c r="I1432" s="18" t="n"/>
      <c r="J1432" s="21">
        <f>IF(OR($H1432="",$I1432=""),"",$H1432-$I1432)</f>
        <v/>
      </c>
      <c r="K1432" s="16">
        <f>IF($H1432="","",IFERROR(IF(INDEX(Vinos!$J$2:$J$301,MATCH($B1432,Vinos!$A$2:$A$301,0))="","",$H1432*INDEX(Vinos!$J$2:$J$301,MATCH($B1432,Vinos!$A$2:$A$301,0))),""))</f>
        <v/>
      </c>
      <c r="L1432" s="16">
        <f>IF($H1432="","",IFERROR(IF(INDEX(Vinos!$K$2:$K$301,MATCH($B1432,Vinos!$A$2:$A$301,0))="","",$H1432*INDEX(Vinos!$K$2:$K$301,MATCH($B1432,Vinos!$A$2:$A$301,0))),""))</f>
        <v/>
      </c>
      <c r="M1432" s="21">
        <f>IF(OR($A1432="",$B1432=""),"",SUMIFS($H$2:$H$2001,$A$2:$A$2001,$A1432,$B$2:$B$2001,$B1432))</f>
        <v/>
      </c>
      <c r="N1432" s="20">
        <f>IF($M1432="","",IF($M1432&lt;=0,"Sin stock: reponer ya",IF($M1432&lt;IFERROR(N(INDEX(Vinos!$N$2:$N$301,MATCH($B1432,Vinos!$A$2:$A$301,0))),0),"Bajo mínimo: reponer","OK")))</f>
        <v/>
      </c>
      <c r="O1432" s="14" t="n"/>
      <c r="P1432" s="14" t="n"/>
      <c r="Q1432" s="20">
        <f>IF($B1432="","",IFERROR(INDEX(Vinos!$C$2:$C$301,MATCH($B1432,Vinos!$A$2:$A$301,0)),""))</f>
        <v/>
      </c>
      <c r="R1432" s="20">
        <f>IF(OR($A1432="",$A1432&lt;&gt;'Resumen del inventario'!$C$3,$N1432="",$N1432="OK"),"",IF(COUNTIFS($A$2:$A1432,$A1432,$B$2:$B1432,$B1432)=1,1,""))</f>
        <v/>
      </c>
      <c r="S1432" s="20">
        <f>IF($R1432=1,COUNTIF($R$2:$R1432,1),"")</f>
        <v/>
      </c>
    </row>
    <row r="1433">
      <c r="A1433" s="19" t="n"/>
      <c r="B1433" s="14" t="n"/>
      <c r="C1433" s="20">
        <f>IF($B1433="","",IFERROR(INDEX(Vinos!$B$2:$B$301,MATCH($B1433,Vinos!$A$2:$A$301,0)),"Código no cargado"))</f>
        <v/>
      </c>
      <c r="D1433" s="14" t="n"/>
      <c r="E1433" s="14" t="n"/>
      <c r="F1433" s="18" t="n"/>
      <c r="G1433" s="18" t="n"/>
      <c r="H1433" s="21">
        <f>IF(AND($F1433="",$G1433=""),"",N($F1433)*IFERROR(N(INDEX(Vinos!$H$2:$H$301,MATCH($B1433,Vinos!$A$2:$A$301,0))),0)+N($G1433))</f>
        <v/>
      </c>
      <c r="I1433" s="18" t="n"/>
      <c r="J1433" s="21">
        <f>IF(OR($H1433="",$I1433=""),"",$H1433-$I1433)</f>
        <v/>
      </c>
      <c r="K1433" s="16">
        <f>IF($H1433="","",IFERROR(IF(INDEX(Vinos!$J$2:$J$301,MATCH($B1433,Vinos!$A$2:$A$301,0))="","",$H1433*INDEX(Vinos!$J$2:$J$301,MATCH($B1433,Vinos!$A$2:$A$301,0))),""))</f>
        <v/>
      </c>
      <c r="L1433" s="16">
        <f>IF($H1433="","",IFERROR(IF(INDEX(Vinos!$K$2:$K$301,MATCH($B1433,Vinos!$A$2:$A$301,0))="","",$H1433*INDEX(Vinos!$K$2:$K$301,MATCH($B1433,Vinos!$A$2:$A$301,0))),""))</f>
        <v/>
      </c>
      <c r="M1433" s="21">
        <f>IF(OR($A1433="",$B1433=""),"",SUMIFS($H$2:$H$2001,$A$2:$A$2001,$A1433,$B$2:$B$2001,$B1433))</f>
        <v/>
      </c>
      <c r="N1433" s="20">
        <f>IF($M1433="","",IF($M1433&lt;=0,"Sin stock: reponer ya",IF($M1433&lt;IFERROR(N(INDEX(Vinos!$N$2:$N$301,MATCH($B1433,Vinos!$A$2:$A$301,0))),0),"Bajo mínimo: reponer","OK")))</f>
        <v/>
      </c>
      <c r="O1433" s="14" t="n"/>
      <c r="P1433" s="14" t="n"/>
      <c r="Q1433" s="20">
        <f>IF($B1433="","",IFERROR(INDEX(Vinos!$C$2:$C$301,MATCH($B1433,Vinos!$A$2:$A$301,0)),""))</f>
        <v/>
      </c>
      <c r="R1433" s="20">
        <f>IF(OR($A1433="",$A1433&lt;&gt;'Resumen del inventario'!$C$3,$N1433="",$N1433="OK"),"",IF(COUNTIFS($A$2:$A1433,$A1433,$B$2:$B1433,$B1433)=1,1,""))</f>
        <v/>
      </c>
      <c r="S1433" s="20">
        <f>IF($R1433=1,COUNTIF($R$2:$R1433,1),"")</f>
        <v/>
      </c>
    </row>
    <row r="1434">
      <c r="A1434" s="19" t="n"/>
      <c r="B1434" s="14" t="n"/>
      <c r="C1434" s="20">
        <f>IF($B1434="","",IFERROR(INDEX(Vinos!$B$2:$B$301,MATCH($B1434,Vinos!$A$2:$A$301,0)),"Código no cargado"))</f>
        <v/>
      </c>
      <c r="D1434" s="14" t="n"/>
      <c r="E1434" s="14" t="n"/>
      <c r="F1434" s="18" t="n"/>
      <c r="G1434" s="18" t="n"/>
      <c r="H1434" s="21">
        <f>IF(AND($F1434="",$G1434=""),"",N($F1434)*IFERROR(N(INDEX(Vinos!$H$2:$H$301,MATCH($B1434,Vinos!$A$2:$A$301,0))),0)+N($G1434))</f>
        <v/>
      </c>
      <c r="I1434" s="18" t="n"/>
      <c r="J1434" s="21">
        <f>IF(OR($H1434="",$I1434=""),"",$H1434-$I1434)</f>
        <v/>
      </c>
      <c r="K1434" s="16">
        <f>IF($H1434="","",IFERROR(IF(INDEX(Vinos!$J$2:$J$301,MATCH($B1434,Vinos!$A$2:$A$301,0))="","",$H1434*INDEX(Vinos!$J$2:$J$301,MATCH($B1434,Vinos!$A$2:$A$301,0))),""))</f>
        <v/>
      </c>
      <c r="L1434" s="16">
        <f>IF($H1434="","",IFERROR(IF(INDEX(Vinos!$K$2:$K$301,MATCH($B1434,Vinos!$A$2:$A$301,0))="","",$H1434*INDEX(Vinos!$K$2:$K$301,MATCH($B1434,Vinos!$A$2:$A$301,0))),""))</f>
        <v/>
      </c>
      <c r="M1434" s="21">
        <f>IF(OR($A1434="",$B1434=""),"",SUMIFS($H$2:$H$2001,$A$2:$A$2001,$A1434,$B$2:$B$2001,$B1434))</f>
        <v/>
      </c>
      <c r="N1434" s="20">
        <f>IF($M1434="","",IF($M1434&lt;=0,"Sin stock: reponer ya",IF($M1434&lt;IFERROR(N(INDEX(Vinos!$N$2:$N$301,MATCH($B1434,Vinos!$A$2:$A$301,0))),0),"Bajo mínimo: reponer","OK")))</f>
        <v/>
      </c>
      <c r="O1434" s="14" t="n"/>
      <c r="P1434" s="14" t="n"/>
      <c r="Q1434" s="20">
        <f>IF($B1434="","",IFERROR(INDEX(Vinos!$C$2:$C$301,MATCH($B1434,Vinos!$A$2:$A$301,0)),""))</f>
        <v/>
      </c>
      <c r="R1434" s="20">
        <f>IF(OR($A1434="",$A1434&lt;&gt;'Resumen del inventario'!$C$3,$N1434="",$N1434="OK"),"",IF(COUNTIFS($A$2:$A1434,$A1434,$B$2:$B1434,$B1434)=1,1,""))</f>
        <v/>
      </c>
      <c r="S1434" s="20">
        <f>IF($R1434=1,COUNTIF($R$2:$R1434,1),"")</f>
        <v/>
      </c>
    </row>
    <row r="1435">
      <c r="A1435" s="19" t="n"/>
      <c r="B1435" s="14" t="n"/>
      <c r="C1435" s="20">
        <f>IF($B1435="","",IFERROR(INDEX(Vinos!$B$2:$B$301,MATCH($B1435,Vinos!$A$2:$A$301,0)),"Código no cargado"))</f>
        <v/>
      </c>
      <c r="D1435" s="14" t="n"/>
      <c r="E1435" s="14" t="n"/>
      <c r="F1435" s="18" t="n"/>
      <c r="G1435" s="18" t="n"/>
      <c r="H1435" s="21">
        <f>IF(AND($F1435="",$G1435=""),"",N($F1435)*IFERROR(N(INDEX(Vinos!$H$2:$H$301,MATCH($B1435,Vinos!$A$2:$A$301,0))),0)+N($G1435))</f>
        <v/>
      </c>
      <c r="I1435" s="18" t="n"/>
      <c r="J1435" s="21">
        <f>IF(OR($H1435="",$I1435=""),"",$H1435-$I1435)</f>
        <v/>
      </c>
      <c r="K1435" s="16">
        <f>IF($H1435="","",IFERROR(IF(INDEX(Vinos!$J$2:$J$301,MATCH($B1435,Vinos!$A$2:$A$301,0))="","",$H1435*INDEX(Vinos!$J$2:$J$301,MATCH($B1435,Vinos!$A$2:$A$301,0))),""))</f>
        <v/>
      </c>
      <c r="L1435" s="16">
        <f>IF($H1435="","",IFERROR(IF(INDEX(Vinos!$K$2:$K$301,MATCH($B1435,Vinos!$A$2:$A$301,0))="","",$H1435*INDEX(Vinos!$K$2:$K$301,MATCH($B1435,Vinos!$A$2:$A$301,0))),""))</f>
        <v/>
      </c>
      <c r="M1435" s="21">
        <f>IF(OR($A1435="",$B1435=""),"",SUMIFS($H$2:$H$2001,$A$2:$A$2001,$A1435,$B$2:$B$2001,$B1435))</f>
        <v/>
      </c>
      <c r="N1435" s="20">
        <f>IF($M1435="","",IF($M1435&lt;=0,"Sin stock: reponer ya",IF($M1435&lt;IFERROR(N(INDEX(Vinos!$N$2:$N$301,MATCH($B1435,Vinos!$A$2:$A$301,0))),0),"Bajo mínimo: reponer","OK")))</f>
        <v/>
      </c>
      <c r="O1435" s="14" t="n"/>
      <c r="P1435" s="14" t="n"/>
      <c r="Q1435" s="20">
        <f>IF($B1435="","",IFERROR(INDEX(Vinos!$C$2:$C$301,MATCH($B1435,Vinos!$A$2:$A$301,0)),""))</f>
        <v/>
      </c>
      <c r="R1435" s="20">
        <f>IF(OR($A1435="",$A1435&lt;&gt;'Resumen del inventario'!$C$3,$N1435="",$N1435="OK"),"",IF(COUNTIFS($A$2:$A1435,$A1435,$B$2:$B1435,$B1435)=1,1,""))</f>
        <v/>
      </c>
      <c r="S1435" s="20">
        <f>IF($R1435=1,COUNTIF($R$2:$R1435,1),"")</f>
        <v/>
      </c>
    </row>
    <row r="1436">
      <c r="A1436" s="19" t="n"/>
      <c r="B1436" s="14" t="n"/>
      <c r="C1436" s="20">
        <f>IF($B1436="","",IFERROR(INDEX(Vinos!$B$2:$B$301,MATCH($B1436,Vinos!$A$2:$A$301,0)),"Código no cargado"))</f>
        <v/>
      </c>
      <c r="D1436" s="14" t="n"/>
      <c r="E1436" s="14" t="n"/>
      <c r="F1436" s="18" t="n"/>
      <c r="G1436" s="18" t="n"/>
      <c r="H1436" s="21">
        <f>IF(AND($F1436="",$G1436=""),"",N($F1436)*IFERROR(N(INDEX(Vinos!$H$2:$H$301,MATCH($B1436,Vinos!$A$2:$A$301,0))),0)+N($G1436))</f>
        <v/>
      </c>
      <c r="I1436" s="18" t="n"/>
      <c r="J1436" s="21">
        <f>IF(OR($H1436="",$I1436=""),"",$H1436-$I1436)</f>
        <v/>
      </c>
      <c r="K1436" s="16">
        <f>IF($H1436="","",IFERROR(IF(INDEX(Vinos!$J$2:$J$301,MATCH($B1436,Vinos!$A$2:$A$301,0))="","",$H1436*INDEX(Vinos!$J$2:$J$301,MATCH($B1436,Vinos!$A$2:$A$301,0))),""))</f>
        <v/>
      </c>
      <c r="L1436" s="16">
        <f>IF($H1436="","",IFERROR(IF(INDEX(Vinos!$K$2:$K$301,MATCH($B1436,Vinos!$A$2:$A$301,0))="","",$H1436*INDEX(Vinos!$K$2:$K$301,MATCH($B1436,Vinos!$A$2:$A$301,0))),""))</f>
        <v/>
      </c>
      <c r="M1436" s="21">
        <f>IF(OR($A1436="",$B1436=""),"",SUMIFS($H$2:$H$2001,$A$2:$A$2001,$A1436,$B$2:$B$2001,$B1436))</f>
        <v/>
      </c>
      <c r="N1436" s="20">
        <f>IF($M1436="","",IF($M1436&lt;=0,"Sin stock: reponer ya",IF($M1436&lt;IFERROR(N(INDEX(Vinos!$N$2:$N$301,MATCH($B1436,Vinos!$A$2:$A$301,0))),0),"Bajo mínimo: reponer","OK")))</f>
        <v/>
      </c>
      <c r="O1436" s="14" t="n"/>
      <c r="P1436" s="14" t="n"/>
      <c r="Q1436" s="20">
        <f>IF($B1436="","",IFERROR(INDEX(Vinos!$C$2:$C$301,MATCH($B1436,Vinos!$A$2:$A$301,0)),""))</f>
        <v/>
      </c>
      <c r="R1436" s="20">
        <f>IF(OR($A1436="",$A1436&lt;&gt;'Resumen del inventario'!$C$3,$N1436="",$N1436="OK"),"",IF(COUNTIFS($A$2:$A1436,$A1436,$B$2:$B1436,$B1436)=1,1,""))</f>
        <v/>
      </c>
      <c r="S1436" s="20">
        <f>IF($R1436=1,COUNTIF($R$2:$R1436,1),"")</f>
        <v/>
      </c>
    </row>
    <row r="1437">
      <c r="A1437" s="19" t="n"/>
      <c r="B1437" s="14" t="n"/>
      <c r="C1437" s="20">
        <f>IF($B1437="","",IFERROR(INDEX(Vinos!$B$2:$B$301,MATCH($B1437,Vinos!$A$2:$A$301,0)),"Código no cargado"))</f>
        <v/>
      </c>
      <c r="D1437" s="14" t="n"/>
      <c r="E1437" s="14" t="n"/>
      <c r="F1437" s="18" t="n"/>
      <c r="G1437" s="18" t="n"/>
      <c r="H1437" s="21">
        <f>IF(AND($F1437="",$G1437=""),"",N($F1437)*IFERROR(N(INDEX(Vinos!$H$2:$H$301,MATCH($B1437,Vinos!$A$2:$A$301,0))),0)+N($G1437))</f>
        <v/>
      </c>
      <c r="I1437" s="18" t="n"/>
      <c r="J1437" s="21">
        <f>IF(OR($H1437="",$I1437=""),"",$H1437-$I1437)</f>
        <v/>
      </c>
      <c r="K1437" s="16">
        <f>IF($H1437="","",IFERROR(IF(INDEX(Vinos!$J$2:$J$301,MATCH($B1437,Vinos!$A$2:$A$301,0))="","",$H1437*INDEX(Vinos!$J$2:$J$301,MATCH($B1437,Vinos!$A$2:$A$301,0))),""))</f>
        <v/>
      </c>
      <c r="L1437" s="16">
        <f>IF($H1437="","",IFERROR(IF(INDEX(Vinos!$K$2:$K$301,MATCH($B1437,Vinos!$A$2:$A$301,0))="","",$H1437*INDEX(Vinos!$K$2:$K$301,MATCH($B1437,Vinos!$A$2:$A$301,0))),""))</f>
        <v/>
      </c>
      <c r="M1437" s="21">
        <f>IF(OR($A1437="",$B1437=""),"",SUMIFS($H$2:$H$2001,$A$2:$A$2001,$A1437,$B$2:$B$2001,$B1437))</f>
        <v/>
      </c>
      <c r="N1437" s="20">
        <f>IF($M1437="","",IF($M1437&lt;=0,"Sin stock: reponer ya",IF($M1437&lt;IFERROR(N(INDEX(Vinos!$N$2:$N$301,MATCH($B1437,Vinos!$A$2:$A$301,0))),0),"Bajo mínimo: reponer","OK")))</f>
        <v/>
      </c>
      <c r="O1437" s="14" t="n"/>
      <c r="P1437" s="14" t="n"/>
      <c r="Q1437" s="20">
        <f>IF($B1437="","",IFERROR(INDEX(Vinos!$C$2:$C$301,MATCH($B1437,Vinos!$A$2:$A$301,0)),""))</f>
        <v/>
      </c>
      <c r="R1437" s="20">
        <f>IF(OR($A1437="",$A1437&lt;&gt;'Resumen del inventario'!$C$3,$N1437="",$N1437="OK"),"",IF(COUNTIFS($A$2:$A1437,$A1437,$B$2:$B1437,$B1437)=1,1,""))</f>
        <v/>
      </c>
      <c r="S1437" s="20">
        <f>IF($R1437=1,COUNTIF($R$2:$R1437,1),"")</f>
        <v/>
      </c>
    </row>
    <row r="1438">
      <c r="A1438" s="19" t="n"/>
      <c r="B1438" s="14" t="n"/>
      <c r="C1438" s="20">
        <f>IF($B1438="","",IFERROR(INDEX(Vinos!$B$2:$B$301,MATCH($B1438,Vinos!$A$2:$A$301,0)),"Código no cargado"))</f>
        <v/>
      </c>
      <c r="D1438" s="14" t="n"/>
      <c r="E1438" s="14" t="n"/>
      <c r="F1438" s="18" t="n"/>
      <c r="G1438" s="18" t="n"/>
      <c r="H1438" s="21">
        <f>IF(AND($F1438="",$G1438=""),"",N($F1438)*IFERROR(N(INDEX(Vinos!$H$2:$H$301,MATCH($B1438,Vinos!$A$2:$A$301,0))),0)+N($G1438))</f>
        <v/>
      </c>
      <c r="I1438" s="18" t="n"/>
      <c r="J1438" s="21">
        <f>IF(OR($H1438="",$I1438=""),"",$H1438-$I1438)</f>
        <v/>
      </c>
      <c r="K1438" s="16">
        <f>IF($H1438="","",IFERROR(IF(INDEX(Vinos!$J$2:$J$301,MATCH($B1438,Vinos!$A$2:$A$301,0))="","",$H1438*INDEX(Vinos!$J$2:$J$301,MATCH($B1438,Vinos!$A$2:$A$301,0))),""))</f>
        <v/>
      </c>
      <c r="L1438" s="16">
        <f>IF($H1438="","",IFERROR(IF(INDEX(Vinos!$K$2:$K$301,MATCH($B1438,Vinos!$A$2:$A$301,0))="","",$H1438*INDEX(Vinos!$K$2:$K$301,MATCH($B1438,Vinos!$A$2:$A$301,0))),""))</f>
        <v/>
      </c>
      <c r="M1438" s="21">
        <f>IF(OR($A1438="",$B1438=""),"",SUMIFS($H$2:$H$2001,$A$2:$A$2001,$A1438,$B$2:$B$2001,$B1438))</f>
        <v/>
      </c>
      <c r="N1438" s="20">
        <f>IF($M1438="","",IF($M1438&lt;=0,"Sin stock: reponer ya",IF($M1438&lt;IFERROR(N(INDEX(Vinos!$N$2:$N$301,MATCH($B1438,Vinos!$A$2:$A$301,0))),0),"Bajo mínimo: reponer","OK")))</f>
        <v/>
      </c>
      <c r="O1438" s="14" t="n"/>
      <c r="P1438" s="14" t="n"/>
      <c r="Q1438" s="20">
        <f>IF($B1438="","",IFERROR(INDEX(Vinos!$C$2:$C$301,MATCH($B1438,Vinos!$A$2:$A$301,0)),""))</f>
        <v/>
      </c>
      <c r="R1438" s="20">
        <f>IF(OR($A1438="",$A1438&lt;&gt;'Resumen del inventario'!$C$3,$N1438="",$N1438="OK"),"",IF(COUNTIFS($A$2:$A1438,$A1438,$B$2:$B1438,$B1438)=1,1,""))</f>
        <v/>
      </c>
      <c r="S1438" s="20">
        <f>IF($R1438=1,COUNTIF($R$2:$R1438,1),"")</f>
        <v/>
      </c>
    </row>
    <row r="1439">
      <c r="A1439" s="19" t="n"/>
      <c r="B1439" s="14" t="n"/>
      <c r="C1439" s="20">
        <f>IF($B1439="","",IFERROR(INDEX(Vinos!$B$2:$B$301,MATCH($B1439,Vinos!$A$2:$A$301,0)),"Código no cargado"))</f>
        <v/>
      </c>
      <c r="D1439" s="14" t="n"/>
      <c r="E1439" s="14" t="n"/>
      <c r="F1439" s="18" t="n"/>
      <c r="G1439" s="18" t="n"/>
      <c r="H1439" s="21">
        <f>IF(AND($F1439="",$G1439=""),"",N($F1439)*IFERROR(N(INDEX(Vinos!$H$2:$H$301,MATCH($B1439,Vinos!$A$2:$A$301,0))),0)+N($G1439))</f>
        <v/>
      </c>
      <c r="I1439" s="18" t="n"/>
      <c r="J1439" s="21">
        <f>IF(OR($H1439="",$I1439=""),"",$H1439-$I1439)</f>
        <v/>
      </c>
      <c r="K1439" s="16">
        <f>IF($H1439="","",IFERROR(IF(INDEX(Vinos!$J$2:$J$301,MATCH($B1439,Vinos!$A$2:$A$301,0))="","",$H1439*INDEX(Vinos!$J$2:$J$301,MATCH($B1439,Vinos!$A$2:$A$301,0))),""))</f>
        <v/>
      </c>
      <c r="L1439" s="16">
        <f>IF($H1439="","",IFERROR(IF(INDEX(Vinos!$K$2:$K$301,MATCH($B1439,Vinos!$A$2:$A$301,0))="","",$H1439*INDEX(Vinos!$K$2:$K$301,MATCH($B1439,Vinos!$A$2:$A$301,0))),""))</f>
        <v/>
      </c>
      <c r="M1439" s="21">
        <f>IF(OR($A1439="",$B1439=""),"",SUMIFS($H$2:$H$2001,$A$2:$A$2001,$A1439,$B$2:$B$2001,$B1439))</f>
        <v/>
      </c>
      <c r="N1439" s="20">
        <f>IF($M1439="","",IF($M1439&lt;=0,"Sin stock: reponer ya",IF($M1439&lt;IFERROR(N(INDEX(Vinos!$N$2:$N$301,MATCH($B1439,Vinos!$A$2:$A$301,0))),0),"Bajo mínimo: reponer","OK")))</f>
        <v/>
      </c>
      <c r="O1439" s="14" t="n"/>
      <c r="P1439" s="14" t="n"/>
      <c r="Q1439" s="20">
        <f>IF($B1439="","",IFERROR(INDEX(Vinos!$C$2:$C$301,MATCH($B1439,Vinos!$A$2:$A$301,0)),""))</f>
        <v/>
      </c>
      <c r="R1439" s="20">
        <f>IF(OR($A1439="",$A1439&lt;&gt;'Resumen del inventario'!$C$3,$N1439="",$N1439="OK"),"",IF(COUNTIFS($A$2:$A1439,$A1439,$B$2:$B1439,$B1439)=1,1,""))</f>
        <v/>
      </c>
      <c r="S1439" s="20">
        <f>IF($R1439=1,COUNTIF($R$2:$R1439,1),"")</f>
        <v/>
      </c>
    </row>
    <row r="1440">
      <c r="A1440" s="19" t="n"/>
      <c r="B1440" s="14" t="n"/>
      <c r="C1440" s="20">
        <f>IF($B1440="","",IFERROR(INDEX(Vinos!$B$2:$B$301,MATCH($B1440,Vinos!$A$2:$A$301,0)),"Código no cargado"))</f>
        <v/>
      </c>
      <c r="D1440" s="14" t="n"/>
      <c r="E1440" s="14" t="n"/>
      <c r="F1440" s="18" t="n"/>
      <c r="G1440" s="18" t="n"/>
      <c r="H1440" s="21">
        <f>IF(AND($F1440="",$G1440=""),"",N($F1440)*IFERROR(N(INDEX(Vinos!$H$2:$H$301,MATCH($B1440,Vinos!$A$2:$A$301,0))),0)+N($G1440))</f>
        <v/>
      </c>
      <c r="I1440" s="18" t="n"/>
      <c r="J1440" s="21">
        <f>IF(OR($H1440="",$I1440=""),"",$H1440-$I1440)</f>
        <v/>
      </c>
      <c r="K1440" s="16">
        <f>IF($H1440="","",IFERROR(IF(INDEX(Vinos!$J$2:$J$301,MATCH($B1440,Vinos!$A$2:$A$301,0))="","",$H1440*INDEX(Vinos!$J$2:$J$301,MATCH($B1440,Vinos!$A$2:$A$301,0))),""))</f>
        <v/>
      </c>
      <c r="L1440" s="16">
        <f>IF($H1440="","",IFERROR(IF(INDEX(Vinos!$K$2:$K$301,MATCH($B1440,Vinos!$A$2:$A$301,0))="","",$H1440*INDEX(Vinos!$K$2:$K$301,MATCH($B1440,Vinos!$A$2:$A$301,0))),""))</f>
        <v/>
      </c>
      <c r="M1440" s="21">
        <f>IF(OR($A1440="",$B1440=""),"",SUMIFS($H$2:$H$2001,$A$2:$A$2001,$A1440,$B$2:$B$2001,$B1440))</f>
        <v/>
      </c>
      <c r="N1440" s="20">
        <f>IF($M1440="","",IF($M1440&lt;=0,"Sin stock: reponer ya",IF($M1440&lt;IFERROR(N(INDEX(Vinos!$N$2:$N$301,MATCH($B1440,Vinos!$A$2:$A$301,0))),0),"Bajo mínimo: reponer","OK")))</f>
        <v/>
      </c>
      <c r="O1440" s="14" t="n"/>
      <c r="P1440" s="14" t="n"/>
      <c r="Q1440" s="20">
        <f>IF($B1440="","",IFERROR(INDEX(Vinos!$C$2:$C$301,MATCH($B1440,Vinos!$A$2:$A$301,0)),""))</f>
        <v/>
      </c>
      <c r="R1440" s="20">
        <f>IF(OR($A1440="",$A1440&lt;&gt;'Resumen del inventario'!$C$3,$N1440="",$N1440="OK"),"",IF(COUNTIFS($A$2:$A1440,$A1440,$B$2:$B1440,$B1440)=1,1,""))</f>
        <v/>
      </c>
      <c r="S1440" s="20">
        <f>IF($R1440=1,COUNTIF($R$2:$R1440,1),"")</f>
        <v/>
      </c>
    </row>
    <row r="1441">
      <c r="A1441" s="19" t="n"/>
      <c r="B1441" s="14" t="n"/>
      <c r="C1441" s="20">
        <f>IF($B1441="","",IFERROR(INDEX(Vinos!$B$2:$B$301,MATCH($B1441,Vinos!$A$2:$A$301,0)),"Código no cargado"))</f>
        <v/>
      </c>
      <c r="D1441" s="14" t="n"/>
      <c r="E1441" s="14" t="n"/>
      <c r="F1441" s="18" t="n"/>
      <c r="G1441" s="18" t="n"/>
      <c r="H1441" s="21">
        <f>IF(AND($F1441="",$G1441=""),"",N($F1441)*IFERROR(N(INDEX(Vinos!$H$2:$H$301,MATCH($B1441,Vinos!$A$2:$A$301,0))),0)+N($G1441))</f>
        <v/>
      </c>
      <c r="I1441" s="18" t="n"/>
      <c r="J1441" s="21">
        <f>IF(OR($H1441="",$I1441=""),"",$H1441-$I1441)</f>
        <v/>
      </c>
      <c r="K1441" s="16">
        <f>IF($H1441="","",IFERROR(IF(INDEX(Vinos!$J$2:$J$301,MATCH($B1441,Vinos!$A$2:$A$301,0))="","",$H1441*INDEX(Vinos!$J$2:$J$301,MATCH($B1441,Vinos!$A$2:$A$301,0))),""))</f>
        <v/>
      </c>
      <c r="L1441" s="16">
        <f>IF($H1441="","",IFERROR(IF(INDEX(Vinos!$K$2:$K$301,MATCH($B1441,Vinos!$A$2:$A$301,0))="","",$H1441*INDEX(Vinos!$K$2:$K$301,MATCH($B1441,Vinos!$A$2:$A$301,0))),""))</f>
        <v/>
      </c>
      <c r="M1441" s="21">
        <f>IF(OR($A1441="",$B1441=""),"",SUMIFS($H$2:$H$2001,$A$2:$A$2001,$A1441,$B$2:$B$2001,$B1441))</f>
        <v/>
      </c>
      <c r="N1441" s="20">
        <f>IF($M1441="","",IF($M1441&lt;=0,"Sin stock: reponer ya",IF($M1441&lt;IFERROR(N(INDEX(Vinos!$N$2:$N$301,MATCH($B1441,Vinos!$A$2:$A$301,0))),0),"Bajo mínimo: reponer","OK")))</f>
        <v/>
      </c>
      <c r="O1441" s="14" t="n"/>
      <c r="P1441" s="14" t="n"/>
      <c r="Q1441" s="20">
        <f>IF($B1441="","",IFERROR(INDEX(Vinos!$C$2:$C$301,MATCH($B1441,Vinos!$A$2:$A$301,0)),""))</f>
        <v/>
      </c>
      <c r="R1441" s="20">
        <f>IF(OR($A1441="",$A1441&lt;&gt;'Resumen del inventario'!$C$3,$N1441="",$N1441="OK"),"",IF(COUNTIFS($A$2:$A1441,$A1441,$B$2:$B1441,$B1441)=1,1,""))</f>
        <v/>
      </c>
      <c r="S1441" s="20">
        <f>IF($R1441=1,COUNTIF($R$2:$R1441,1),"")</f>
        <v/>
      </c>
    </row>
    <row r="1442">
      <c r="A1442" s="19" t="n"/>
      <c r="B1442" s="14" t="n"/>
      <c r="C1442" s="20">
        <f>IF($B1442="","",IFERROR(INDEX(Vinos!$B$2:$B$301,MATCH($B1442,Vinos!$A$2:$A$301,0)),"Código no cargado"))</f>
        <v/>
      </c>
      <c r="D1442" s="14" t="n"/>
      <c r="E1442" s="14" t="n"/>
      <c r="F1442" s="18" t="n"/>
      <c r="G1442" s="18" t="n"/>
      <c r="H1442" s="21">
        <f>IF(AND($F1442="",$G1442=""),"",N($F1442)*IFERROR(N(INDEX(Vinos!$H$2:$H$301,MATCH($B1442,Vinos!$A$2:$A$301,0))),0)+N($G1442))</f>
        <v/>
      </c>
      <c r="I1442" s="18" t="n"/>
      <c r="J1442" s="21">
        <f>IF(OR($H1442="",$I1442=""),"",$H1442-$I1442)</f>
        <v/>
      </c>
      <c r="K1442" s="16">
        <f>IF($H1442="","",IFERROR(IF(INDEX(Vinos!$J$2:$J$301,MATCH($B1442,Vinos!$A$2:$A$301,0))="","",$H1442*INDEX(Vinos!$J$2:$J$301,MATCH($B1442,Vinos!$A$2:$A$301,0))),""))</f>
        <v/>
      </c>
      <c r="L1442" s="16">
        <f>IF($H1442="","",IFERROR(IF(INDEX(Vinos!$K$2:$K$301,MATCH($B1442,Vinos!$A$2:$A$301,0))="","",$H1442*INDEX(Vinos!$K$2:$K$301,MATCH($B1442,Vinos!$A$2:$A$301,0))),""))</f>
        <v/>
      </c>
      <c r="M1442" s="21">
        <f>IF(OR($A1442="",$B1442=""),"",SUMIFS($H$2:$H$2001,$A$2:$A$2001,$A1442,$B$2:$B$2001,$B1442))</f>
        <v/>
      </c>
      <c r="N1442" s="20">
        <f>IF($M1442="","",IF($M1442&lt;=0,"Sin stock: reponer ya",IF($M1442&lt;IFERROR(N(INDEX(Vinos!$N$2:$N$301,MATCH($B1442,Vinos!$A$2:$A$301,0))),0),"Bajo mínimo: reponer","OK")))</f>
        <v/>
      </c>
      <c r="O1442" s="14" t="n"/>
      <c r="P1442" s="14" t="n"/>
      <c r="Q1442" s="20">
        <f>IF($B1442="","",IFERROR(INDEX(Vinos!$C$2:$C$301,MATCH($B1442,Vinos!$A$2:$A$301,0)),""))</f>
        <v/>
      </c>
      <c r="R1442" s="20">
        <f>IF(OR($A1442="",$A1442&lt;&gt;'Resumen del inventario'!$C$3,$N1442="",$N1442="OK"),"",IF(COUNTIFS($A$2:$A1442,$A1442,$B$2:$B1442,$B1442)=1,1,""))</f>
        <v/>
      </c>
      <c r="S1442" s="20">
        <f>IF($R1442=1,COUNTIF($R$2:$R1442,1),"")</f>
        <v/>
      </c>
    </row>
    <row r="1443">
      <c r="A1443" s="19" t="n"/>
      <c r="B1443" s="14" t="n"/>
      <c r="C1443" s="20">
        <f>IF($B1443="","",IFERROR(INDEX(Vinos!$B$2:$B$301,MATCH($B1443,Vinos!$A$2:$A$301,0)),"Código no cargado"))</f>
        <v/>
      </c>
      <c r="D1443" s="14" t="n"/>
      <c r="E1443" s="14" t="n"/>
      <c r="F1443" s="18" t="n"/>
      <c r="G1443" s="18" t="n"/>
      <c r="H1443" s="21">
        <f>IF(AND($F1443="",$G1443=""),"",N($F1443)*IFERROR(N(INDEX(Vinos!$H$2:$H$301,MATCH($B1443,Vinos!$A$2:$A$301,0))),0)+N($G1443))</f>
        <v/>
      </c>
      <c r="I1443" s="18" t="n"/>
      <c r="J1443" s="21">
        <f>IF(OR($H1443="",$I1443=""),"",$H1443-$I1443)</f>
        <v/>
      </c>
      <c r="K1443" s="16">
        <f>IF($H1443="","",IFERROR(IF(INDEX(Vinos!$J$2:$J$301,MATCH($B1443,Vinos!$A$2:$A$301,0))="","",$H1443*INDEX(Vinos!$J$2:$J$301,MATCH($B1443,Vinos!$A$2:$A$301,0))),""))</f>
        <v/>
      </c>
      <c r="L1443" s="16">
        <f>IF($H1443="","",IFERROR(IF(INDEX(Vinos!$K$2:$K$301,MATCH($B1443,Vinos!$A$2:$A$301,0))="","",$H1443*INDEX(Vinos!$K$2:$K$301,MATCH($B1443,Vinos!$A$2:$A$301,0))),""))</f>
        <v/>
      </c>
      <c r="M1443" s="21">
        <f>IF(OR($A1443="",$B1443=""),"",SUMIFS($H$2:$H$2001,$A$2:$A$2001,$A1443,$B$2:$B$2001,$B1443))</f>
        <v/>
      </c>
      <c r="N1443" s="20">
        <f>IF($M1443="","",IF($M1443&lt;=0,"Sin stock: reponer ya",IF($M1443&lt;IFERROR(N(INDEX(Vinos!$N$2:$N$301,MATCH($B1443,Vinos!$A$2:$A$301,0))),0),"Bajo mínimo: reponer","OK")))</f>
        <v/>
      </c>
      <c r="O1443" s="14" t="n"/>
      <c r="P1443" s="14" t="n"/>
      <c r="Q1443" s="20">
        <f>IF($B1443="","",IFERROR(INDEX(Vinos!$C$2:$C$301,MATCH($B1443,Vinos!$A$2:$A$301,0)),""))</f>
        <v/>
      </c>
      <c r="R1443" s="20">
        <f>IF(OR($A1443="",$A1443&lt;&gt;'Resumen del inventario'!$C$3,$N1443="",$N1443="OK"),"",IF(COUNTIFS($A$2:$A1443,$A1443,$B$2:$B1443,$B1443)=1,1,""))</f>
        <v/>
      </c>
      <c r="S1443" s="20">
        <f>IF($R1443=1,COUNTIF($R$2:$R1443,1),"")</f>
        <v/>
      </c>
    </row>
    <row r="1444">
      <c r="A1444" s="19" t="n"/>
      <c r="B1444" s="14" t="n"/>
      <c r="C1444" s="20">
        <f>IF($B1444="","",IFERROR(INDEX(Vinos!$B$2:$B$301,MATCH($B1444,Vinos!$A$2:$A$301,0)),"Código no cargado"))</f>
        <v/>
      </c>
      <c r="D1444" s="14" t="n"/>
      <c r="E1444" s="14" t="n"/>
      <c r="F1444" s="18" t="n"/>
      <c r="G1444" s="18" t="n"/>
      <c r="H1444" s="21">
        <f>IF(AND($F1444="",$G1444=""),"",N($F1444)*IFERROR(N(INDEX(Vinos!$H$2:$H$301,MATCH($B1444,Vinos!$A$2:$A$301,0))),0)+N($G1444))</f>
        <v/>
      </c>
      <c r="I1444" s="18" t="n"/>
      <c r="J1444" s="21">
        <f>IF(OR($H1444="",$I1444=""),"",$H1444-$I1444)</f>
        <v/>
      </c>
      <c r="K1444" s="16">
        <f>IF($H1444="","",IFERROR(IF(INDEX(Vinos!$J$2:$J$301,MATCH($B1444,Vinos!$A$2:$A$301,0))="","",$H1444*INDEX(Vinos!$J$2:$J$301,MATCH($B1444,Vinos!$A$2:$A$301,0))),""))</f>
        <v/>
      </c>
      <c r="L1444" s="16">
        <f>IF($H1444="","",IFERROR(IF(INDEX(Vinos!$K$2:$K$301,MATCH($B1444,Vinos!$A$2:$A$301,0))="","",$H1444*INDEX(Vinos!$K$2:$K$301,MATCH($B1444,Vinos!$A$2:$A$301,0))),""))</f>
        <v/>
      </c>
      <c r="M1444" s="21">
        <f>IF(OR($A1444="",$B1444=""),"",SUMIFS($H$2:$H$2001,$A$2:$A$2001,$A1444,$B$2:$B$2001,$B1444))</f>
        <v/>
      </c>
      <c r="N1444" s="20">
        <f>IF($M1444="","",IF($M1444&lt;=0,"Sin stock: reponer ya",IF($M1444&lt;IFERROR(N(INDEX(Vinos!$N$2:$N$301,MATCH($B1444,Vinos!$A$2:$A$301,0))),0),"Bajo mínimo: reponer","OK")))</f>
        <v/>
      </c>
      <c r="O1444" s="14" t="n"/>
      <c r="P1444" s="14" t="n"/>
      <c r="Q1444" s="20">
        <f>IF($B1444="","",IFERROR(INDEX(Vinos!$C$2:$C$301,MATCH($B1444,Vinos!$A$2:$A$301,0)),""))</f>
        <v/>
      </c>
      <c r="R1444" s="20">
        <f>IF(OR($A1444="",$A1444&lt;&gt;'Resumen del inventario'!$C$3,$N1444="",$N1444="OK"),"",IF(COUNTIFS($A$2:$A1444,$A1444,$B$2:$B1444,$B1444)=1,1,""))</f>
        <v/>
      </c>
      <c r="S1444" s="20">
        <f>IF($R1444=1,COUNTIF($R$2:$R1444,1),"")</f>
        <v/>
      </c>
    </row>
    <row r="1445">
      <c r="A1445" s="19" t="n"/>
      <c r="B1445" s="14" t="n"/>
      <c r="C1445" s="20">
        <f>IF($B1445="","",IFERROR(INDEX(Vinos!$B$2:$B$301,MATCH($B1445,Vinos!$A$2:$A$301,0)),"Código no cargado"))</f>
        <v/>
      </c>
      <c r="D1445" s="14" t="n"/>
      <c r="E1445" s="14" t="n"/>
      <c r="F1445" s="18" t="n"/>
      <c r="G1445" s="18" t="n"/>
      <c r="H1445" s="21">
        <f>IF(AND($F1445="",$G1445=""),"",N($F1445)*IFERROR(N(INDEX(Vinos!$H$2:$H$301,MATCH($B1445,Vinos!$A$2:$A$301,0))),0)+N($G1445))</f>
        <v/>
      </c>
      <c r="I1445" s="18" t="n"/>
      <c r="J1445" s="21">
        <f>IF(OR($H1445="",$I1445=""),"",$H1445-$I1445)</f>
        <v/>
      </c>
      <c r="K1445" s="16">
        <f>IF($H1445="","",IFERROR(IF(INDEX(Vinos!$J$2:$J$301,MATCH($B1445,Vinos!$A$2:$A$301,0))="","",$H1445*INDEX(Vinos!$J$2:$J$301,MATCH($B1445,Vinos!$A$2:$A$301,0))),""))</f>
        <v/>
      </c>
      <c r="L1445" s="16">
        <f>IF($H1445="","",IFERROR(IF(INDEX(Vinos!$K$2:$K$301,MATCH($B1445,Vinos!$A$2:$A$301,0))="","",$H1445*INDEX(Vinos!$K$2:$K$301,MATCH($B1445,Vinos!$A$2:$A$301,0))),""))</f>
        <v/>
      </c>
      <c r="M1445" s="21">
        <f>IF(OR($A1445="",$B1445=""),"",SUMIFS($H$2:$H$2001,$A$2:$A$2001,$A1445,$B$2:$B$2001,$B1445))</f>
        <v/>
      </c>
      <c r="N1445" s="20">
        <f>IF($M1445="","",IF($M1445&lt;=0,"Sin stock: reponer ya",IF($M1445&lt;IFERROR(N(INDEX(Vinos!$N$2:$N$301,MATCH($B1445,Vinos!$A$2:$A$301,0))),0),"Bajo mínimo: reponer","OK")))</f>
        <v/>
      </c>
      <c r="O1445" s="14" t="n"/>
      <c r="P1445" s="14" t="n"/>
      <c r="Q1445" s="20">
        <f>IF($B1445="","",IFERROR(INDEX(Vinos!$C$2:$C$301,MATCH($B1445,Vinos!$A$2:$A$301,0)),""))</f>
        <v/>
      </c>
      <c r="R1445" s="20">
        <f>IF(OR($A1445="",$A1445&lt;&gt;'Resumen del inventario'!$C$3,$N1445="",$N1445="OK"),"",IF(COUNTIFS($A$2:$A1445,$A1445,$B$2:$B1445,$B1445)=1,1,""))</f>
        <v/>
      </c>
      <c r="S1445" s="20">
        <f>IF($R1445=1,COUNTIF($R$2:$R1445,1),"")</f>
        <v/>
      </c>
    </row>
    <row r="1446">
      <c r="A1446" s="19" t="n"/>
      <c r="B1446" s="14" t="n"/>
      <c r="C1446" s="20">
        <f>IF($B1446="","",IFERROR(INDEX(Vinos!$B$2:$B$301,MATCH($B1446,Vinos!$A$2:$A$301,0)),"Código no cargado"))</f>
        <v/>
      </c>
      <c r="D1446" s="14" t="n"/>
      <c r="E1446" s="14" t="n"/>
      <c r="F1446" s="18" t="n"/>
      <c r="G1446" s="18" t="n"/>
      <c r="H1446" s="21">
        <f>IF(AND($F1446="",$G1446=""),"",N($F1446)*IFERROR(N(INDEX(Vinos!$H$2:$H$301,MATCH($B1446,Vinos!$A$2:$A$301,0))),0)+N($G1446))</f>
        <v/>
      </c>
      <c r="I1446" s="18" t="n"/>
      <c r="J1446" s="21">
        <f>IF(OR($H1446="",$I1446=""),"",$H1446-$I1446)</f>
        <v/>
      </c>
      <c r="K1446" s="16">
        <f>IF($H1446="","",IFERROR(IF(INDEX(Vinos!$J$2:$J$301,MATCH($B1446,Vinos!$A$2:$A$301,0))="","",$H1446*INDEX(Vinos!$J$2:$J$301,MATCH($B1446,Vinos!$A$2:$A$301,0))),""))</f>
        <v/>
      </c>
      <c r="L1446" s="16">
        <f>IF($H1446="","",IFERROR(IF(INDEX(Vinos!$K$2:$K$301,MATCH($B1446,Vinos!$A$2:$A$301,0))="","",$H1446*INDEX(Vinos!$K$2:$K$301,MATCH($B1446,Vinos!$A$2:$A$301,0))),""))</f>
        <v/>
      </c>
      <c r="M1446" s="21">
        <f>IF(OR($A1446="",$B1446=""),"",SUMIFS($H$2:$H$2001,$A$2:$A$2001,$A1446,$B$2:$B$2001,$B1446))</f>
        <v/>
      </c>
      <c r="N1446" s="20">
        <f>IF($M1446="","",IF($M1446&lt;=0,"Sin stock: reponer ya",IF($M1446&lt;IFERROR(N(INDEX(Vinos!$N$2:$N$301,MATCH($B1446,Vinos!$A$2:$A$301,0))),0),"Bajo mínimo: reponer","OK")))</f>
        <v/>
      </c>
      <c r="O1446" s="14" t="n"/>
      <c r="P1446" s="14" t="n"/>
      <c r="Q1446" s="20">
        <f>IF($B1446="","",IFERROR(INDEX(Vinos!$C$2:$C$301,MATCH($B1446,Vinos!$A$2:$A$301,0)),""))</f>
        <v/>
      </c>
      <c r="R1446" s="20">
        <f>IF(OR($A1446="",$A1446&lt;&gt;'Resumen del inventario'!$C$3,$N1446="",$N1446="OK"),"",IF(COUNTIFS($A$2:$A1446,$A1446,$B$2:$B1446,$B1446)=1,1,""))</f>
        <v/>
      </c>
      <c r="S1446" s="20">
        <f>IF($R1446=1,COUNTIF($R$2:$R1446,1),"")</f>
        <v/>
      </c>
    </row>
    <row r="1447">
      <c r="A1447" s="19" t="n"/>
      <c r="B1447" s="14" t="n"/>
      <c r="C1447" s="20">
        <f>IF($B1447="","",IFERROR(INDEX(Vinos!$B$2:$B$301,MATCH($B1447,Vinos!$A$2:$A$301,0)),"Código no cargado"))</f>
        <v/>
      </c>
      <c r="D1447" s="14" t="n"/>
      <c r="E1447" s="14" t="n"/>
      <c r="F1447" s="18" t="n"/>
      <c r="G1447" s="18" t="n"/>
      <c r="H1447" s="21">
        <f>IF(AND($F1447="",$G1447=""),"",N($F1447)*IFERROR(N(INDEX(Vinos!$H$2:$H$301,MATCH($B1447,Vinos!$A$2:$A$301,0))),0)+N($G1447))</f>
        <v/>
      </c>
      <c r="I1447" s="18" t="n"/>
      <c r="J1447" s="21">
        <f>IF(OR($H1447="",$I1447=""),"",$H1447-$I1447)</f>
        <v/>
      </c>
      <c r="K1447" s="16">
        <f>IF($H1447="","",IFERROR(IF(INDEX(Vinos!$J$2:$J$301,MATCH($B1447,Vinos!$A$2:$A$301,0))="","",$H1447*INDEX(Vinos!$J$2:$J$301,MATCH($B1447,Vinos!$A$2:$A$301,0))),""))</f>
        <v/>
      </c>
      <c r="L1447" s="16">
        <f>IF($H1447="","",IFERROR(IF(INDEX(Vinos!$K$2:$K$301,MATCH($B1447,Vinos!$A$2:$A$301,0))="","",$H1447*INDEX(Vinos!$K$2:$K$301,MATCH($B1447,Vinos!$A$2:$A$301,0))),""))</f>
        <v/>
      </c>
      <c r="M1447" s="21">
        <f>IF(OR($A1447="",$B1447=""),"",SUMIFS($H$2:$H$2001,$A$2:$A$2001,$A1447,$B$2:$B$2001,$B1447))</f>
        <v/>
      </c>
      <c r="N1447" s="20">
        <f>IF($M1447="","",IF($M1447&lt;=0,"Sin stock: reponer ya",IF($M1447&lt;IFERROR(N(INDEX(Vinos!$N$2:$N$301,MATCH($B1447,Vinos!$A$2:$A$301,0))),0),"Bajo mínimo: reponer","OK")))</f>
        <v/>
      </c>
      <c r="O1447" s="14" t="n"/>
      <c r="P1447" s="14" t="n"/>
      <c r="Q1447" s="20">
        <f>IF($B1447="","",IFERROR(INDEX(Vinos!$C$2:$C$301,MATCH($B1447,Vinos!$A$2:$A$301,0)),""))</f>
        <v/>
      </c>
      <c r="R1447" s="20">
        <f>IF(OR($A1447="",$A1447&lt;&gt;'Resumen del inventario'!$C$3,$N1447="",$N1447="OK"),"",IF(COUNTIFS($A$2:$A1447,$A1447,$B$2:$B1447,$B1447)=1,1,""))</f>
        <v/>
      </c>
      <c r="S1447" s="20">
        <f>IF($R1447=1,COUNTIF($R$2:$R1447,1),"")</f>
        <v/>
      </c>
    </row>
    <row r="1448">
      <c r="A1448" s="19" t="n"/>
      <c r="B1448" s="14" t="n"/>
      <c r="C1448" s="20">
        <f>IF($B1448="","",IFERROR(INDEX(Vinos!$B$2:$B$301,MATCH($B1448,Vinos!$A$2:$A$301,0)),"Código no cargado"))</f>
        <v/>
      </c>
      <c r="D1448" s="14" t="n"/>
      <c r="E1448" s="14" t="n"/>
      <c r="F1448" s="18" t="n"/>
      <c r="G1448" s="18" t="n"/>
      <c r="H1448" s="21">
        <f>IF(AND($F1448="",$G1448=""),"",N($F1448)*IFERROR(N(INDEX(Vinos!$H$2:$H$301,MATCH($B1448,Vinos!$A$2:$A$301,0))),0)+N($G1448))</f>
        <v/>
      </c>
      <c r="I1448" s="18" t="n"/>
      <c r="J1448" s="21">
        <f>IF(OR($H1448="",$I1448=""),"",$H1448-$I1448)</f>
        <v/>
      </c>
      <c r="K1448" s="16">
        <f>IF($H1448="","",IFERROR(IF(INDEX(Vinos!$J$2:$J$301,MATCH($B1448,Vinos!$A$2:$A$301,0))="","",$H1448*INDEX(Vinos!$J$2:$J$301,MATCH($B1448,Vinos!$A$2:$A$301,0))),""))</f>
        <v/>
      </c>
      <c r="L1448" s="16">
        <f>IF($H1448="","",IFERROR(IF(INDEX(Vinos!$K$2:$K$301,MATCH($B1448,Vinos!$A$2:$A$301,0))="","",$H1448*INDEX(Vinos!$K$2:$K$301,MATCH($B1448,Vinos!$A$2:$A$301,0))),""))</f>
        <v/>
      </c>
      <c r="M1448" s="21">
        <f>IF(OR($A1448="",$B1448=""),"",SUMIFS($H$2:$H$2001,$A$2:$A$2001,$A1448,$B$2:$B$2001,$B1448))</f>
        <v/>
      </c>
      <c r="N1448" s="20">
        <f>IF($M1448="","",IF($M1448&lt;=0,"Sin stock: reponer ya",IF($M1448&lt;IFERROR(N(INDEX(Vinos!$N$2:$N$301,MATCH($B1448,Vinos!$A$2:$A$301,0))),0),"Bajo mínimo: reponer","OK")))</f>
        <v/>
      </c>
      <c r="O1448" s="14" t="n"/>
      <c r="P1448" s="14" t="n"/>
      <c r="Q1448" s="20">
        <f>IF($B1448="","",IFERROR(INDEX(Vinos!$C$2:$C$301,MATCH($B1448,Vinos!$A$2:$A$301,0)),""))</f>
        <v/>
      </c>
      <c r="R1448" s="20">
        <f>IF(OR($A1448="",$A1448&lt;&gt;'Resumen del inventario'!$C$3,$N1448="",$N1448="OK"),"",IF(COUNTIFS($A$2:$A1448,$A1448,$B$2:$B1448,$B1448)=1,1,""))</f>
        <v/>
      </c>
      <c r="S1448" s="20">
        <f>IF($R1448=1,COUNTIF($R$2:$R1448,1),"")</f>
        <v/>
      </c>
    </row>
    <row r="1449">
      <c r="A1449" s="19" t="n"/>
      <c r="B1449" s="14" t="n"/>
      <c r="C1449" s="20">
        <f>IF($B1449="","",IFERROR(INDEX(Vinos!$B$2:$B$301,MATCH($B1449,Vinos!$A$2:$A$301,0)),"Código no cargado"))</f>
        <v/>
      </c>
      <c r="D1449" s="14" t="n"/>
      <c r="E1449" s="14" t="n"/>
      <c r="F1449" s="18" t="n"/>
      <c r="G1449" s="18" t="n"/>
      <c r="H1449" s="21">
        <f>IF(AND($F1449="",$G1449=""),"",N($F1449)*IFERROR(N(INDEX(Vinos!$H$2:$H$301,MATCH($B1449,Vinos!$A$2:$A$301,0))),0)+N($G1449))</f>
        <v/>
      </c>
      <c r="I1449" s="18" t="n"/>
      <c r="J1449" s="21">
        <f>IF(OR($H1449="",$I1449=""),"",$H1449-$I1449)</f>
        <v/>
      </c>
      <c r="K1449" s="16">
        <f>IF($H1449="","",IFERROR(IF(INDEX(Vinos!$J$2:$J$301,MATCH($B1449,Vinos!$A$2:$A$301,0))="","",$H1449*INDEX(Vinos!$J$2:$J$301,MATCH($B1449,Vinos!$A$2:$A$301,0))),""))</f>
        <v/>
      </c>
      <c r="L1449" s="16">
        <f>IF($H1449="","",IFERROR(IF(INDEX(Vinos!$K$2:$K$301,MATCH($B1449,Vinos!$A$2:$A$301,0))="","",$H1449*INDEX(Vinos!$K$2:$K$301,MATCH($B1449,Vinos!$A$2:$A$301,0))),""))</f>
        <v/>
      </c>
      <c r="M1449" s="21">
        <f>IF(OR($A1449="",$B1449=""),"",SUMIFS($H$2:$H$2001,$A$2:$A$2001,$A1449,$B$2:$B$2001,$B1449))</f>
        <v/>
      </c>
      <c r="N1449" s="20">
        <f>IF($M1449="","",IF($M1449&lt;=0,"Sin stock: reponer ya",IF($M1449&lt;IFERROR(N(INDEX(Vinos!$N$2:$N$301,MATCH($B1449,Vinos!$A$2:$A$301,0))),0),"Bajo mínimo: reponer","OK")))</f>
        <v/>
      </c>
      <c r="O1449" s="14" t="n"/>
      <c r="P1449" s="14" t="n"/>
      <c r="Q1449" s="20">
        <f>IF($B1449="","",IFERROR(INDEX(Vinos!$C$2:$C$301,MATCH($B1449,Vinos!$A$2:$A$301,0)),""))</f>
        <v/>
      </c>
      <c r="R1449" s="20">
        <f>IF(OR($A1449="",$A1449&lt;&gt;'Resumen del inventario'!$C$3,$N1449="",$N1449="OK"),"",IF(COUNTIFS($A$2:$A1449,$A1449,$B$2:$B1449,$B1449)=1,1,""))</f>
        <v/>
      </c>
      <c r="S1449" s="20">
        <f>IF($R1449=1,COUNTIF($R$2:$R1449,1),"")</f>
        <v/>
      </c>
    </row>
    <row r="1450">
      <c r="A1450" s="19" t="n"/>
      <c r="B1450" s="14" t="n"/>
      <c r="C1450" s="20">
        <f>IF($B1450="","",IFERROR(INDEX(Vinos!$B$2:$B$301,MATCH($B1450,Vinos!$A$2:$A$301,0)),"Código no cargado"))</f>
        <v/>
      </c>
      <c r="D1450" s="14" t="n"/>
      <c r="E1450" s="14" t="n"/>
      <c r="F1450" s="18" t="n"/>
      <c r="G1450" s="18" t="n"/>
      <c r="H1450" s="21">
        <f>IF(AND($F1450="",$G1450=""),"",N($F1450)*IFERROR(N(INDEX(Vinos!$H$2:$H$301,MATCH($B1450,Vinos!$A$2:$A$301,0))),0)+N($G1450))</f>
        <v/>
      </c>
      <c r="I1450" s="18" t="n"/>
      <c r="J1450" s="21">
        <f>IF(OR($H1450="",$I1450=""),"",$H1450-$I1450)</f>
        <v/>
      </c>
      <c r="K1450" s="16">
        <f>IF($H1450="","",IFERROR(IF(INDEX(Vinos!$J$2:$J$301,MATCH($B1450,Vinos!$A$2:$A$301,0))="","",$H1450*INDEX(Vinos!$J$2:$J$301,MATCH($B1450,Vinos!$A$2:$A$301,0))),""))</f>
        <v/>
      </c>
      <c r="L1450" s="16">
        <f>IF($H1450="","",IFERROR(IF(INDEX(Vinos!$K$2:$K$301,MATCH($B1450,Vinos!$A$2:$A$301,0))="","",$H1450*INDEX(Vinos!$K$2:$K$301,MATCH($B1450,Vinos!$A$2:$A$301,0))),""))</f>
        <v/>
      </c>
      <c r="M1450" s="21">
        <f>IF(OR($A1450="",$B1450=""),"",SUMIFS($H$2:$H$2001,$A$2:$A$2001,$A1450,$B$2:$B$2001,$B1450))</f>
        <v/>
      </c>
      <c r="N1450" s="20">
        <f>IF($M1450="","",IF($M1450&lt;=0,"Sin stock: reponer ya",IF($M1450&lt;IFERROR(N(INDEX(Vinos!$N$2:$N$301,MATCH($B1450,Vinos!$A$2:$A$301,0))),0),"Bajo mínimo: reponer","OK")))</f>
        <v/>
      </c>
      <c r="O1450" s="14" t="n"/>
      <c r="P1450" s="14" t="n"/>
      <c r="Q1450" s="20">
        <f>IF($B1450="","",IFERROR(INDEX(Vinos!$C$2:$C$301,MATCH($B1450,Vinos!$A$2:$A$301,0)),""))</f>
        <v/>
      </c>
      <c r="R1450" s="20">
        <f>IF(OR($A1450="",$A1450&lt;&gt;'Resumen del inventario'!$C$3,$N1450="",$N1450="OK"),"",IF(COUNTIFS($A$2:$A1450,$A1450,$B$2:$B1450,$B1450)=1,1,""))</f>
        <v/>
      </c>
      <c r="S1450" s="20">
        <f>IF($R1450=1,COUNTIF($R$2:$R1450,1),"")</f>
        <v/>
      </c>
    </row>
    <row r="1451">
      <c r="A1451" s="19" t="n"/>
      <c r="B1451" s="14" t="n"/>
      <c r="C1451" s="20">
        <f>IF($B1451="","",IFERROR(INDEX(Vinos!$B$2:$B$301,MATCH($B1451,Vinos!$A$2:$A$301,0)),"Código no cargado"))</f>
        <v/>
      </c>
      <c r="D1451" s="14" t="n"/>
      <c r="E1451" s="14" t="n"/>
      <c r="F1451" s="18" t="n"/>
      <c r="G1451" s="18" t="n"/>
      <c r="H1451" s="21">
        <f>IF(AND($F1451="",$G1451=""),"",N($F1451)*IFERROR(N(INDEX(Vinos!$H$2:$H$301,MATCH($B1451,Vinos!$A$2:$A$301,0))),0)+N($G1451))</f>
        <v/>
      </c>
      <c r="I1451" s="18" t="n"/>
      <c r="J1451" s="21">
        <f>IF(OR($H1451="",$I1451=""),"",$H1451-$I1451)</f>
        <v/>
      </c>
      <c r="K1451" s="16">
        <f>IF($H1451="","",IFERROR(IF(INDEX(Vinos!$J$2:$J$301,MATCH($B1451,Vinos!$A$2:$A$301,0))="","",$H1451*INDEX(Vinos!$J$2:$J$301,MATCH($B1451,Vinos!$A$2:$A$301,0))),""))</f>
        <v/>
      </c>
      <c r="L1451" s="16">
        <f>IF($H1451="","",IFERROR(IF(INDEX(Vinos!$K$2:$K$301,MATCH($B1451,Vinos!$A$2:$A$301,0))="","",$H1451*INDEX(Vinos!$K$2:$K$301,MATCH($B1451,Vinos!$A$2:$A$301,0))),""))</f>
        <v/>
      </c>
      <c r="M1451" s="21">
        <f>IF(OR($A1451="",$B1451=""),"",SUMIFS($H$2:$H$2001,$A$2:$A$2001,$A1451,$B$2:$B$2001,$B1451))</f>
        <v/>
      </c>
      <c r="N1451" s="20">
        <f>IF($M1451="","",IF($M1451&lt;=0,"Sin stock: reponer ya",IF($M1451&lt;IFERROR(N(INDEX(Vinos!$N$2:$N$301,MATCH($B1451,Vinos!$A$2:$A$301,0))),0),"Bajo mínimo: reponer","OK")))</f>
        <v/>
      </c>
      <c r="O1451" s="14" t="n"/>
      <c r="P1451" s="14" t="n"/>
      <c r="Q1451" s="20">
        <f>IF($B1451="","",IFERROR(INDEX(Vinos!$C$2:$C$301,MATCH($B1451,Vinos!$A$2:$A$301,0)),""))</f>
        <v/>
      </c>
      <c r="R1451" s="20">
        <f>IF(OR($A1451="",$A1451&lt;&gt;'Resumen del inventario'!$C$3,$N1451="",$N1451="OK"),"",IF(COUNTIFS($A$2:$A1451,$A1451,$B$2:$B1451,$B1451)=1,1,""))</f>
        <v/>
      </c>
      <c r="S1451" s="20">
        <f>IF($R1451=1,COUNTIF($R$2:$R1451,1),"")</f>
        <v/>
      </c>
    </row>
    <row r="1452">
      <c r="A1452" s="19" t="n"/>
      <c r="B1452" s="14" t="n"/>
      <c r="C1452" s="20">
        <f>IF($B1452="","",IFERROR(INDEX(Vinos!$B$2:$B$301,MATCH($B1452,Vinos!$A$2:$A$301,0)),"Código no cargado"))</f>
        <v/>
      </c>
      <c r="D1452" s="14" t="n"/>
      <c r="E1452" s="14" t="n"/>
      <c r="F1452" s="18" t="n"/>
      <c r="G1452" s="18" t="n"/>
      <c r="H1452" s="21">
        <f>IF(AND($F1452="",$G1452=""),"",N($F1452)*IFERROR(N(INDEX(Vinos!$H$2:$H$301,MATCH($B1452,Vinos!$A$2:$A$301,0))),0)+N($G1452))</f>
        <v/>
      </c>
      <c r="I1452" s="18" t="n"/>
      <c r="J1452" s="21">
        <f>IF(OR($H1452="",$I1452=""),"",$H1452-$I1452)</f>
        <v/>
      </c>
      <c r="K1452" s="16">
        <f>IF($H1452="","",IFERROR(IF(INDEX(Vinos!$J$2:$J$301,MATCH($B1452,Vinos!$A$2:$A$301,0))="","",$H1452*INDEX(Vinos!$J$2:$J$301,MATCH($B1452,Vinos!$A$2:$A$301,0))),""))</f>
        <v/>
      </c>
      <c r="L1452" s="16">
        <f>IF($H1452="","",IFERROR(IF(INDEX(Vinos!$K$2:$K$301,MATCH($B1452,Vinos!$A$2:$A$301,0))="","",$H1452*INDEX(Vinos!$K$2:$K$301,MATCH($B1452,Vinos!$A$2:$A$301,0))),""))</f>
        <v/>
      </c>
      <c r="M1452" s="21">
        <f>IF(OR($A1452="",$B1452=""),"",SUMIFS($H$2:$H$2001,$A$2:$A$2001,$A1452,$B$2:$B$2001,$B1452))</f>
        <v/>
      </c>
      <c r="N1452" s="20">
        <f>IF($M1452="","",IF($M1452&lt;=0,"Sin stock: reponer ya",IF($M1452&lt;IFERROR(N(INDEX(Vinos!$N$2:$N$301,MATCH($B1452,Vinos!$A$2:$A$301,0))),0),"Bajo mínimo: reponer","OK")))</f>
        <v/>
      </c>
      <c r="O1452" s="14" t="n"/>
      <c r="P1452" s="14" t="n"/>
      <c r="Q1452" s="20">
        <f>IF($B1452="","",IFERROR(INDEX(Vinos!$C$2:$C$301,MATCH($B1452,Vinos!$A$2:$A$301,0)),""))</f>
        <v/>
      </c>
      <c r="R1452" s="20">
        <f>IF(OR($A1452="",$A1452&lt;&gt;'Resumen del inventario'!$C$3,$N1452="",$N1452="OK"),"",IF(COUNTIFS($A$2:$A1452,$A1452,$B$2:$B1452,$B1452)=1,1,""))</f>
        <v/>
      </c>
      <c r="S1452" s="20">
        <f>IF($R1452=1,COUNTIF($R$2:$R1452,1),"")</f>
        <v/>
      </c>
    </row>
    <row r="1453">
      <c r="A1453" s="19" t="n"/>
      <c r="B1453" s="14" t="n"/>
      <c r="C1453" s="20">
        <f>IF($B1453="","",IFERROR(INDEX(Vinos!$B$2:$B$301,MATCH($B1453,Vinos!$A$2:$A$301,0)),"Código no cargado"))</f>
        <v/>
      </c>
      <c r="D1453" s="14" t="n"/>
      <c r="E1453" s="14" t="n"/>
      <c r="F1453" s="18" t="n"/>
      <c r="G1453" s="18" t="n"/>
      <c r="H1453" s="21">
        <f>IF(AND($F1453="",$G1453=""),"",N($F1453)*IFERROR(N(INDEX(Vinos!$H$2:$H$301,MATCH($B1453,Vinos!$A$2:$A$301,0))),0)+N($G1453))</f>
        <v/>
      </c>
      <c r="I1453" s="18" t="n"/>
      <c r="J1453" s="21">
        <f>IF(OR($H1453="",$I1453=""),"",$H1453-$I1453)</f>
        <v/>
      </c>
      <c r="K1453" s="16">
        <f>IF($H1453="","",IFERROR(IF(INDEX(Vinos!$J$2:$J$301,MATCH($B1453,Vinos!$A$2:$A$301,0))="","",$H1453*INDEX(Vinos!$J$2:$J$301,MATCH($B1453,Vinos!$A$2:$A$301,0))),""))</f>
        <v/>
      </c>
      <c r="L1453" s="16">
        <f>IF($H1453="","",IFERROR(IF(INDEX(Vinos!$K$2:$K$301,MATCH($B1453,Vinos!$A$2:$A$301,0))="","",$H1453*INDEX(Vinos!$K$2:$K$301,MATCH($B1453,Vinos!$A$2:$A$301,0))),""))</f>
        <v/>
      </c>
      <c r="M1453" s="21">
        <f>IF(OR($A1453="",$B1453=""),"",SUMIFS($H$2:$H$2001,$A$2:$A$2001,$A1453,$B$2:$B$2001,$B1453))</f>
        <v/>
      </c>
      <c r="N1453" s="20">
        <f>IF($M1453="","",IF($M1453&lt;=0,"Sin stock: reponer ya",IF($M1453&lt;IFERROR(N(INDEX(Vinos!$N$2:$N$301,MATCH($B1453,Vinos!$A$2:$A$301,0))),0),"Bajo mínimo: reponer","OK")))</f>
        <v/>
      </c>
      <c r="O1453" s="14" t="n"/>
      <c r="P1453" s="14" t="n"/>
      <c r="Q1453" s="20">
        <f>IF($B1453="","",IFERROR(INDEX(Vinos!$C$2:$C$301,MATCH($B1453,Vinos!$A$2:$A$301,0)),""))</f>
        <v/>
      </c>
      <c r="R1453" s="20">
        <f>IF(OR($A1453="",$A1453&lt;&gt;'Resumen del inventario'!$C$3,$N1453="",$N1453="OK"),"",IF(COUNTIFS($A$2:$A1453,$A1453,$B$2:$B1453,$B1453)=1,1,""))</f>
        <v/>
      </c>
      <c r="S1453" s="20">
        <f>IF($R1453=1,COUNTIF($R$2:$R1453,1),"")</f>
        <v/>
      </c>
    </row>
    <row r="1454">
      <c r="A1454" s="19" t="n"/>
      <c r="B1454" s="14" t="n"/>
      <c r="C1454" s="20">
        <f>IF($B1454="","",IFERROR(INDEX(Vinos!$B$2:$B$301,MATCH($B1454,Vinos!$A$2:$A$301,0)),"Código no cargado"))</f>
        <v/>
      </c>
      <c r="D1454" s="14" t="n"/>
      <c r="E1454" s="14" t="n"/>
      <c r="F1454" s="18" t="n"/>
      <c r="G1454" s="18" t="n"/>
      <c r="H1454" s="21">
        <f>IF(AND($F1454="",$G1454=""),"",N($F1454)*IFERROR(N(INDEX(Vinos!$H$2:$H$301,MATCH($B1454,Vinos!$A$2:$A$301,0))),0)+N($G1454))</f>
        <v/>
      </c>
      <c r="I1454" s="18" t="n"/>
      <c r="J1454" s="21">
        <f>IF(OR($H1454="",$I1454=""),"",$H1454-$I1454)</f>
        <v/>
      </c>
      <c r="K1454" s="16">
        <f>IF($H1454="","",IFERROR(IF(INDEX(Vinos!$J$2:$J$301,MATCH($B1454,Vinos!$A$2:$A$301,0))="","",$H1454*INDEX(Vinos!$J$2:$J$301,MATCH($B1454,Vinos!$A$2:$A$301,0))),""))</f>
        <v/>
      </c>
      <c r="L1454" s="16">
        <f>IF($H1454="","",IFERROR(IF(INDEX(Vinos!$K$2:$K$301,MATCH($B1454,Vinos!$A$2:$A$301,0))="","",$H1454*INDEX(Vinos!$K$2:$K$301,MATCH($B1454,Vinos!$A$2:$A$301,0))),""))</f>
        <v/>
      </c>
      <c r="M1454" s="21">
        <f>IF(OR($A1454="",$B1454=""),"",SUMIFS($H$2:$H$2001,$A$2:$A$2001,$A1454,$B$2:$B$2001,$B1454))</f>
        <v/>
      </c>
      <c r="N1454" s="20">
        <f>IF($M1454="","",IF($M1454&lt;=0,"Sin stock: reponer ya",IF($M1454&lt;IFERROR(N(INDEX(Vinos!$N$2:$N$301,MATCH($B1454,Vinos!$A$2:$A$301,0))),0),"Bajo mínimo: reponer","OK")))</f>
        <v/>
      </c>
      <c r="O1454" s="14" t="n"/>
      <c r="P1454" s="14" t="n"/>
      <c r="Q1454" s="20">
        <f>IF($B1454="","",IFERROR(INDEX(Vinos!$C$2:$C$301,MATCH($B1454,Vinos!$A$2:$A$301,0)),""))</f>
        <v/>
      </c>
      <c r="R1454" s="20">
        <f>IF(OR($A1454="",$A1454&lt;&gt;'Resumen del inventario'!$C$3,$N1454="",$N1454="OK"),"",IF(COUNTIFS($A$2:$A1454,$A1454,$B$2:$B1454,$B1454)=1,1,""))</f>
        <v/>
      </c>
      <c r="S1454" s="20">
        <f>IF($R1454=1,COUNTIF($R$2:$R1454,1),"")</f>
        <v/>
      </c>
    </row>
    <row r="1455">
      <c r="A1455" s="19" t="n"/>
      <c r="B1455" s="14" t="n"/>
      <c r="C1455" s="20">
        <f>IF($B1455="","",IFERROR(INDEX(Vinos!$B$2:$B$301,MATCH($B1455,Vinos!$A$2:$A$301,0)),"Código no cargado"))</f>
        <v/>
      </c>
      <c r="D1455" s="14" t="n"/>
      <c r="E1455" s="14" t="n"/>
      <c r="F1455" s="18" t="n"/>
      <c r="G1455" s="18" t="n"/>
      <c r="H1455" s="21">
        <f>IF(AND($F1455="",$G1455=""),"",N($F1455)*IFERROR(N(INDEX(Vinos!$H$2:$H$301,MATCH($B1455,Vinos!$A$2:$A$301,0))),0)+N($G1455))</f>
        <v/>
      </c>
      <c r="I1455" s="18" t="n"/>
      <c r="J1455" s="21">
        <f>IF(OR($H1455="",$I1455=""),"",$H1455-$I1455)</f>
        <v/>
      </c>
      <c r="K1455" s="16">
        <f>IF($H1455="","",IFERROR(IF(INDEX(Vinos!$J$2:$J$301,MATCH($B1455,Vinos!$A$2:$A$301,0))="","",$H1455*INDEX(Vinos!$J$2:$J$301,MATCH($B1455,Vinos!$A$2:$A$301,0))),""))</f>
        <v/>
      </c>
      <c r="L1455" s="16">
        <f>IF($H1455="","",IFERROR(IF(INDEX(Vinos!$K$2:$K$301,MATCH($B1455,Vinos!$A$2:$A$301,0))="","",$H1455*INDEX(Vinos!$K$2:$K$301,MATCH($B1455,Vinos!$A$2:$A$301,0))),""))</f>
        <v/>
      </c>
      <c r="M1455" s="21">
        <f>IF(OR($A1455="",$B1455=""),"",SUMIFS($H$2:$H$2001,$A$2:$A$2001,$A1455,$B$2:$B$2001,$B1455))</f>
        <v/>
      </c>
      <c r="N1455" s="20">
        <f>IF($M1455="","",IF($M1455&lt;=0,"Sin stock: reponer ya",IF($M1455&lt;IFERROR(N(INDEX(Vinos!$N$2:$N$301,MATCH($B1455,Vinos!$A$2:$A$301,0))),0),"Bajo mínimo: reponer","OK")))</f>
        <v/>
      </c>
      <c r="O1455" s="14" t="n"/>
      <c r="P1455" s="14" t="n"/>
      <c r="Q1455" s="20">
        <f>IF($B1455="","",IFERROR(INDEX(Vinos!$C$2:$C$301,MATCH($B1455,Vinos!$A$2:$A$301,0)),""))</f>
        <v/>
      </c>
      <c r="R1455" s="20">
        <f>IF(OR($A1455="",$A1455&lt;&gt;'Resumen del inventario'!$C$3,$N1455="",$N1455="OK"),"",IF(COUNTIFS($A$2:$A1455,$A1455,$B$2:$B1455,$B1455)=1,1,""))</f>
        <v/>
      </c>
      <c r="S1455" s="20">
        <f>IF($R1455=1,COUNTIF($R$2:$R1455,1),"")</f>
        <v/>
      </c>
    </row>
    <row r="1456">
      <c r="A1456" s="19" t="n"/>
      <c r="B1456" s="14" t="n"/>
      <c r="C1456" s="20">
        <f>IF($B1456="","",IFERROR(INDEX(Vinos!$B$2:$B$301,MATCH($B1456,Vinos!$A$2:$A$301,0)),"Código no cargado"))</f>
        <v/>
      </c>
      <c r="D1456" s="14" t="n"/>
      <c r="E1456" s="14" t="n"/>
      <c r="F1456" s="18" t="n"/>
      <c r="G1456" s="18" t="n"/>
      <c r="H1456" s="21">
        <f>IF(AND($F1456="",$G1456=""),"",N($F1456)*IFERROR(N(INDEX(Vinos!$H$2:$H$301,MATCH($B1456,Vinos!$A$2:$A$301,0))),0)+N($G1456))</f>
        <v/>
      </c>
      <c r="I1456" s="18" t="n"/>
      <c r="J1456" s="21">
        <f>IF(OR($H1456="",$I1456=""),"",$H1456-$I1456)</f>
        <v/>
      </c>
      <c r="K1456" s="16">
        <f>IF($H1456="","",IFERROR(IF(INDEX(Vinos!$J$2:$J$301,MATCH($B1456,Vinos!$A$2:$A$301,0))="","",$H1456*INDEX(Vinos!$J$2:$J$301,MATCH($B1456,Vinos!$A$2:$A$301,0))),""))</f>
        <v/>
      </c>
      <c r="L1456" s="16">
        <f>IF($H1456="","",IFERROR(IF(INDEX(Vinos!$K$2:$K$301,MATCH($B1456,Vinos!$A$2:$A$301,0))="","",$H1456*INDEX(Vinos!$K$2:$K$301,MATCH($B1456,Vinos!$A$2:$A$301,0))),""))</f>
        <v/>
      </c>
      <c r="M1456" s="21">
        <f>IF(OR($A1456="",$B1456=""),"",SUMIFS($H$2:$H$2001,$A$2:$A$2001,$A1456,$B$2:$B$2001,$B1456))</f>
        <v/>
      </c>
      <c r="N1456" s="20">
        <f>IF($M1456="","",IF($M1456&lt;=0,"Sin stock: reponer ya",IF($M1456&lt;IFERROR(N(INDEX(Vinos!$N$2:$N$301,MATCH($B1456,Vinos!$A$2:$A$301,0))),0),"Bajo mínimo: reponer","OK")))</f>
        <v/>
      </c>
      <c r="O1456" s="14" t="n"/>
      <c r="P1456" s="14" t="n"/>
      <c r="Q1456" s="20">
        <f>IF($B1456="","",IFERROR(INDEX(Vinos!$C$2:$C$301,MATCH($B1456,Vinos!$A$2:$A$301,0)),""))</f>
        <v/>
      </c>
      <c r="R1456" s="20">
        <f>IF(OR($A1456="",$A1456&lt;&gt;'Resumen del inventario'!$C$3,$N1456="",$N1456="OK"),"",IF(COUNTIFS($A$2:$A1456,$A1456,$B$2:$B1456,$B1456)=1,1,""))</f>
        <v/>
      </c>
      <c r="S1456" s="20">
        <f>IF($R1456=1,COUNTIF($R$2:$R1456,1),"")</f>
        <v/>
      </c>
    </row>
    <row r="1457">
      <c r="A1457" s="19" t="n"/>
      <c r="B1457" s="14" t="n"/>
      <c r="C1457" s="20">
        <f>IF($B1457="","",IFERROR(INDEX(Vinos!$B$2:$B$301,MATCH($B1457,Vinos!$A$2:$A$301,0)),"Código no cargado"))</f>
        <v/>
      </c>
      <c r="D1457" s="14" t="n"/>
      <c r="E1457" s="14" t="n"/>
      <c r="F1457" s="18" t="n"/>
      <c r="G1457" s="18" t="n"/>
      <c r="H1457" s="21">
        <f>IF(AND($F1457="",$G1457=""),"",N($F1457)*IFERROR(N(INDEX(Vinos!$H$2:$H$301,MATCH($B1457,Vinos!$A$2:$A$301,0))),0)+N($G1457))</f>
        <v/>
      </c>
      <c r="I1457" s="18" t="n"/>
      <c r="J1457" s="21">
        <f>IF(OR($H1457="",$I1457=""),"",$H1457-$I1457)</f>
        <v/>
      </c>
      <c r="K1457" s="16">
        <f>IF($H1457="","",IFERROR(IF(INDEX(Vinos!$J$2:$J$301,MATCH($B1457,Vinos!$A$2:$A$301,0))="","",$H1457*INDEX(Vinos!$J$2:$J$301,MATCH($B1457,Vinos!$A$2:$A$301,0))),""))</f>
        <v/>
      </c>
      <c r="L1457" s="16">
        <f>IF($H1457="","",IFERROR(IF(INDEX(Vinos!$K$2:$K$301,MATCH($B1457,Vinos!$A$2:$A$301,0))="","",$H1457*INDEX(Vinos!$K$2:$K$301,MATCH($B1457,Vinos!$A$2:$A$301,0))),""))</f>
        <v/>
      </c>
      <c r="M1457" s="21">
        <f>IF(OR($A1457="",$B1457=""),"",SUMIFS($H$2:$H$2001,$A$2:$A$2001,$A1457,$B$2:$B$2001,$B1457))</f>
        <v/>
      </c>
      <c r="N1457" s="20">
        <f>IF($M1457="","",IF($M1457&lt;=0,"Sin stock: reponer ya",IF($M1457&lt;IFERROR(N(INDEX(Vinos!$N$2:$N$301,MATCH($B1457,Vinos!$A$2:$A$301,0))),0),"Bajo mínimo: reponer","OK")))</f>
        <v/>
      </c>
      <c r="O1457" s="14" t="n"/>
      <c r="P1457" s="14" t="n"/>
      <c r="Q1457" s="20">
        <f>IF($B1457="","",IFERROR(INDEX(Vinos!$C$2:$C$301,MATCH($B1457,Vinos!$A$2:$A$301,0)),""))</f>
        <v/>
      </c>
      <c r="R1457" s="20">
        <f>IF(OR($A1457="",$A1457&lt;&gt;'Resumen del inventario'!$C$3,$N1457="",$N1457="OK"),"",IF(COUNTIFS($A$2:$A1457,$A1457,$B$2:$B1457,$B1457)=1,1,""))</f>
        <v/>
      </c>
      <c r="S1457" s="20">
        <f>IF($R1457=1,COUNTIF($R$2:$R1457,1),"")</f>
        <v/>
      </c>
    </row>
    <row r="1458">
      <c r="A1458" s="19" t="n"/>
      <c r="B1458" s="14" t="n"/>
      <c r="C1458" s="20">
        <f>IF($B1458="","",IFERROR(INDEX(Vinos!$B$2:$B$301,MATCH($B1458,Vinos!$A$2:$A$301,0)),"Código no cargado"))</f>
        <v/>
      </c>
      <c r="D1458" s="14" t="n"/>
      <c r="E1458" s="14" t="n"/>
      <c r="F1458" s="18" t="n"/>
      <c r="G1458" s="18" t="n"/>
      <c r="H1458" s="21">
        <f>IF(AND($F1458="",$G1458=""),"",N($F1458)*IFERROR(N(INDEX(Vinos!$H$2:$H$301,MATCH($B1458,Vinos!$A$2:$A$301,0))),0)+N($G1458))</f>
        <v/>
      </c>
      <c r="I1458" s="18" t="n"/>
      <c r="J1458" s="21">
        <f>IF(OR($H1458="",$I1458=""),"",$H1458-$I1458)</f>
        <v/>
      </c>
      <c r="K1458" s="16">
        <f>IF($H1458="","",IFERROR(IF(INDEX(Vinos!$J$2:$J$301,MATCH($B1458,Vinos!$A$2:$A$301,0))="","",$H1458*INDEX(Vinos!$J$2:$J$301,MATCH($B1458,Vinos!$A$2:$A$301,0))),""))</f>
        <v/>
      </c>
      <c r="L1458" s="16">
        <f>IF($H1458="","",IFERROR(IF(INDEX(Vinos!$K$2:$K$301,MATCH($B1458,Vinos!$A$2:$A$301,0))="","",$H1458*INDEX(Vinos!$K$2:$K$301,MATCH($B1458,Vinos!$A$2:$A$301,0))),""))</f>
        <v/>
      </c>
      <c r="M1458" s="21">
        <f>IF(OR($A1458="",$B1458=""),"",SUMIFS($H$2:$H$2001,$A$2:$A$2001,$A1458,$B$2:$B$2001,$B1458))</f>
        <v/>
      </c>
      <c r="N1458" s="20">
        <f>IF($M1458="","",IF($M1458&lt;=0,"Sin stock: reponer ya",IF($M1458&lt;IFERROR(N(INDEX(Vinos!$N$2:$N$301,MATCH($B1458,Vinos!$A$2:$A$301,0))),0),"Bajo mínimo: reponer","OK")))</f>
        <v/>
      </c>
      <c r="O1458" s="14" t="n"/>
      <c r="P1458" s="14" t="n"/>
      <c r="Q1458" s="20">
        <f>IF($B1458="","",IFERROR(INDEX(Vinos!$C$2:$C$301,MATCH($B1458,Vinos!$A$2:$A$301,0)),""))</f>
        <v/>
      </c>
      <c r="R1458" s="20">
        <f>IF(OR($A1458="",$A1458&lt;&gt;'Resumen del inventario'!$C$3,$N1458="",$N1458="OK"),"",IF(COUNTIFS($A$2:$A1458,$A1458,$B$2:$B1458,$B1458)=1,1,""))</f>
        <v/>
      </c>
      <c r="S1458" s="20">
        <f>IF($R1458=1,COUNTIF($R$2:$R1458,1),"")</f>
        <v/>
      </c>
    </row>
    <row r="1459">
      <c r="A1459" s="19" t="n"/>
      <c r="B1459" s="14" t="n"/>
      <c r="C1459" s="20">
        <f>IF($B1459="","",IFERROR(INDEX(Vinos!$B$2:$B$301,MATCH($B1459,Vinos!$A$2:$A$301,0)),"Código no cargado"))</f>
        <v/>
      </c>
      <c r="D1459" s="14" t="n"/>
      <c r="E1459" s="14" t="n"/>
      <c r="F1459" s="18" t="n"/>
      <c r="G1459" s="18" t="n"/>
      <c r="H1459" s="21">
        <f>IF(AND($F1459="",$G1459=""),"",N($F1459)*IFERROR(N(INDEX(Vinos!$H$2:$H$301,MATCH($B1459,Vinos!$A$2:$A$301,0))),0)+N($G1459))</f>
        <v/>
      </c>
      <c r="I1459" s="18" t="n"/>
      <c r="J1459" s="21">
        <f>IF(OR($H1459="",$I1459=""),"",$H1459-$I1459)</f>
        <v/>
      </c>
      <c r="K1459" s="16">
        <f>IF($H1459="","",IFERROR(IF(INDEX(Vinos!$J$2:$J$301,MATCH($B1459,Vinos!$A$2:$A$301,0))="","",$H1459*INDEX(Vinos!$J$2:$J$301,MATCH($B1459,Vinos!$A$2:$A$301,0))),""))</f>
        <v/>
      </c>
      <c r="L1459" s="16">
        <f>IF($H1459="","",IFERROR(IF(INDEX(Vinos!$K$2:$K$301,MATCH($B1459,Vinos!$A$2:$A$301,0))="","",$H1459*INDEX(Vinos!$K$2:$K$301,MATCH($B1459,Vinos!$A$2:$A$301,0))),""))</f>
        <v/>
      </c>
      <c r="M1459" s="21">
        <f>IF(OR($A1459="",$B1459=""),"",SUMIFS($H$2:$H$2001,$A$2:$A$2001,$A1459,$B$2:$B$2001,$B1459))</f>
        <v/>
      </c>
      <c r="N1459" s="20">
        <f>IF($M1459="","",IF($M1459&lt;=0,"Sin stock: reponer ya",IF($M1459&lt;IFERROR(N(INDEX(Vinos!$N$2:$N$301,MATCH($B1459,Vinos!$A$2:$A$301,0))),0),"Bajo mínimo: reponer","OK")))</f>
        <v/>
      </c>
      <c r="O1459" s="14" t="n"/>
      <c r="P1459" s="14" t="n"/>
      <c r="Q1459" s="20">
        <f>IF($B1459="","",IFERROR(INDEX(Vinos!$C$2:$C$301,MATCH($B1459,Vinos!$A$2:$A$301,0)),""))</f>
        <v/>
      </c>
      <c r="R1459" s="20">
        <f>IF(OR($A1459="",$A1459&lt;&gt;'Resumen del inventario'!$C$3,$N1459="",$N1459="OK"),"",IF(COUNTIFS($A$2:$A1459,$A1459,$B$2:$B1459,$B1459)=1,1,""))</f>
        <v/>
      </c>
      <c r="S1459" s="20">
        <f>IF($R1459=1,COUNTIF($R$2:$R1459,1),"")</f>
        <v/>
      </c>
    </row>
    <row r="1460">
      <c r="A1460" s="19" t="n"/>
      <c r="B1460" s="14" t="n"/>
      <c r="C1460" s="20">
        <f>IF($B1460="","",IFERROR(INDEX(Vinos!$B$2:$B$301,MATCH($B1460,Vinos!$A$2:$A$301,0)),"Código no cargado"))</f>
        <v/>
      </c>
      <c r="D1460" s="14" t="n"/>
      <c r="E1460" s="14" t="n"/>
      <c r="F1460" s="18" t="n"/>
      <c r="G1460" s="18" t="n"/>
      <c r="H1460" s="21">
        <f>IF(AND($F1460="",$G1460=""),"",N($F1460)*IFERROR(N(INDEX(Vinos!$H$2:$H$301,MATCH($B1460,Vinos!$A$2:$A$301,0))),0)+N($G1460))</f>
        <v/>
      </c>
      <c r="I1460" s="18" t="n"/>
      <c r="J1460" s="21">
        <f>IF(OR($H1460="",$I1460=""),"",$H1460-$I1460)</f>
        <v/>
      </c>
      <c r="K1460" s="16">
        <f>IF($H1460="","",IFERROR(IF(INDEX(Vinos!$J$2:$J$301,MATCH($B1460,Vinos!$A$2:$A$301,0))="","",$H1460*INDEX(Vinos!$J$2:$J$301,MATCH($B1460,Vinos!$A$2:$A$301,0))),""))</f>
        <v/>
      </c>
      <c r="L1460" s="16">
        <f>IF($H1460="","",IFERROR(IF(INDEX(Vinos!$K$2:$K$301,MATCH($B1460,Vinos!$A$2:$A$301,0))="","",$H1460*INDEX(Vinos!$K$2:$K$301,MATCH($B1460,Vinos!$A$2:$A$301,0))),""))</f>
        <v/>
      </c>
      <c r="M1460" s="21">
        <f>IF(OR($A1460="",$B1460=""),"",SUMIFS($H$2:$H$2001,$A$2:$A$2001,$A1460,$B$2:$B$2001,$B1460))</f>
        <v/>
      </c>
      <c r="N1460" s="20">
        <f>IF($M1460="","",IF($M1460&lt;=0,"Sin stock: reponer ya",IF($M1460&lt;IFERROR(N(INDEX(Vinos!$N$2:$N$301,MATCH($B1460,Vinos!$A$2:$A$301,0))),0),"Bajo mínimo: reponer","OK")))</f>
        <v/>
      </c>
      <c r="O1460" s="14" t="n"/>
      <c r="P1460" s="14" t="n"/>
      <c r="Q1460" s="20">
        <f>IF($B1460="","",IFERROR(INDEX(Vinos!$C$2:$C$301,MATCH($B1460,Vinos!$A$2:$A$301,0)),""))</f>
        <v/>
      </c>
      <c r="R1460" s="20">
        <f>IF(OR($A1460="",$A1460&lt;&gt;'Resumen del inventario'!$C$3,$N1460="",$N1460="OK"),"",IF(COUNTIFS($A$2:$A1460,$A1460,$B$2:$B1460,$B1460)=1,1,""))</f>
        <v/>
      </c>
      <c r="S1460" s="20">
        <f>IF($R1460=1,COUNTIF($R$2:$R1460,1),"")</f>
        <v/>
      </c>
    </row>
    <row r="1461">
      <c r="A1461" s="19" t="n"/>
      <c r="B1461" s="14" t="n"/>
      <c r="C1461" s="20">
        <f>IF($B1461="","",IFERROR(INDEX(Vinos!$B$2:$B$301,MATCH($B1461,Vinos!$A$2:$A$301,0)),"Código no cargado"))</f>
        <v/>
      </c>
      <c r="D1461" s="14" t="n"/>
      <c r="E1461" s="14" t="n"/>
      <c r="F1461" s="18" t="n"/>
      <c r="G1461" s="18" t="n"/>
      <c r="H1461" s="21">
        <f>IF(AND($F1461="",$G1461=""),"",N($F1461)*IFERROR(N(INDEX(Vinos!$H$2:$H$301,MATCH($B1461,Vinos!$A$2:$A$301,0))),0)+N($G1461))</f>
        <v/>
      </c>
      <c r="I1461" s="18" t="n"/>
      <c r="J1461" s="21">
        <f>IF(OR($H1461="",$I1461=""),"",$H1461-$I1461)</f>
        <v/>
      </c>
      <c r="K1461" s="16">
        <f>IF($H1461="","",IFERROR(IF(INDEX(Vinos!$J$2:$J$301,MATCH($B1461,Vinos!$A$2:$A$301,0))="","",$H1461*INDEX(Vinos!$J$2:$J$301,MATCH($B1461,Vinos!$A$2:$A$301,0))),""))</f>
        <v/>
      </c>
      <c r="L1461" s="16">
        <f>IF($H1461="","",IFERROR(IF(INDEX(Vinos!$K$2:$K$301,MATCH($B1461,Vinos!$A$2:$A$301,0))="","",$H1461*INDEX(Vinos!$K$2:$K$301,MATCH($B1461,Vinos!$A$2:$A$301,0))),""))</f>
        <v/>
      </c>
      <c r="M1461" s="21">
        <f>IF(OR($A1461="",$B1461=""),"",SUMIFS($H$2:$H$2001,$A$2:$A$2001,$A1461,$B$2:$B$2001,$B1461))</f>
        <v/>
      </c>
      <c r="N1461" s="20">
        <f>IF($M1461="","",IF($M1461&lt;=0,"Sin stock: reponer ya",IF($M1461&lt;IFERROR(N(INDEX(Vinos!$N$2:$N$301,MATCH($B1461,Vinos!$A$2:$A$301,0))),0),"Bajo mínimo: reponer","OK")))</f>
        <v/>
      </c>
      <c r="O1461" s="14" t="n"/>
      <c r="P1461" s="14" t="n"/>
      <c r="Q1461" s="20">
        <f>IF($B1461="","",IFERROR(INDEX(Vinos!$C$2:$C$301,MATCH($B1461,Vinos!$A$2:$A$301,0)),""))</f>
        <v/>
      </c>
      <c r="R1461" s="20">
        <f>IF(OR($A1461="",$A1461&lt;&gt;'Resumen del inventario'!$C$3,$N1461="",$N1461="OK"),"",IF(COUNTIFS($A$2:$A1461,$A1461,$B$2:$B1461,$B1461)=1,1,""))</f>
        <v/>
      </c>
      <c r="S1461" s="20">
        <f>IF($R1461=1,COUNTIF($R$2:$R1461,1),"")</f>
        <v/>
      </c>
    </row>
    <row r="1462">
      <c r="A1462" s="19" t="n"/>
      <c r="B1462" s="14" t="n"/>
      <c r="C1462" s="20">
        <f>IF($B1462="","",IFERROR(INDEX(Vinos!$B$2:$B$301,MATCH($B1462,Vinos!$A$2:$A$301,0)),"Código no cargado"))</f>
        <v/>
      </c>
      <c r="D1462" s="14" t="n"/>
      <c r="E1462" s="14" t="n"/>
      <c r="F1462" s="18" t="n"/>
      <c r="G1462" s="18" t="n"/>
      <c r="H1462" s="21">
        <f>IF(AND($F1462="",$G1462=""),"",N($F1462)*IFERROR(N(INDEX(Vinos!$H$2:$H$301,MATCH($B1462,Vinos!$A$2:$A$301,0))),0)+N($G1462))</f>
        <v/>
      </c>
      <c r="I1462" s="18" t="n"/>
      <c r="J1462" s="21">
        <f>IF(OR($H1462="",$I1462=""),"",$H1462-$I1462)</f>
        <v/>
      </c>
      <c r="K1462" s="16">
        <f>IF($H1462="","",IFERROR(IF(INDEX(Vinos!$J$2:$J$301,MATCH($B1462,Vinos!$A$2:$A$301,0))="","",$H1462*INDEX(Vinos!$J$2:$J$301,MATCH($B1462,Vinos!$A$2:$A$301,0))),""))</f>
        <v/>
      </c>
      <c r="L1462" s="16">
        <f>IF($H1462="","",IFERROR(IF(INDEX(Vinos!$K$2:$K$301,MATCH($B1462,Vinos!$A$2:$A$301,0))="","",$H1462*INDEX(Vinos!$K$2:$K$301,MATCH($B1462,Vinos!$A$2:$A$301,0))),""))</f>
        <v/>
      </c>
      <c r="M1462" s="21">
        <f>IF(OR($A1462="",$B1462=""),"",SUMIFS($H$2:$H$2001,$A$2:$A$2001,$A1462,$B$2:$B$2001,$B1462))</f>
        <v/>
      </c>
      <c r="N1462" s="20">
        <f>IF($M1462="","",IF($M1462&lt;=0,"Sin stock: reponer ya",IF($M1462&lt;IFERROR(N(INDEX(Vinos!$N$2:$N$301,MATCH($B1462,Vinos!$A$2:$A$301,0))),0),"Bajo mínimo: reponer","OK")))</f>
        <v/>
      </c>
      <c r="O1462" s="14" t="n"/>
      <c r="P1462" s="14" t="n"/>
      <c r="Q1462" s="20">
        <f>IF($B1462="","",IFERROR(INDEX(Vinos!$C$2:$C$301,MATCH($B1462,Vinos!$A$2:$A$301,0)),""))</f>
        <v/>
      </c>
      <c r="R1462" s="20">
        <f>IF(OR($A1462="",$A1462&lt;&gt;'Resumen del inventario'!$C$3,$N1462="",$N1462="OK"),"",IF(COUNTIFS($A$2:$A1462,$A1462,$B$2:$B1462,$B1462)=1,1,""))</f>
        <v/>
      </c>
      <c r="S1462" s="20">
        <f>IF($R1462=1,COUNTIF($R$2:$R1462,1),"")</f>
        <v/>
      </c>
    </row>
    <row r="1463">
      <c r="A1463" s="19" t="n"/>
      <c r="B1463" s="14" t="n"/>
      <c r="C1463" s="20">
        <f>IF($B1463="","",IFERROR(INDEX(Vinos!$B$2:$B$301,MATCH($B1463,Vinos!$A$2:$A$301,0)),"Código no cargado"))</f>
        <v/>
      </c>
      <c r="D1463" s="14" t="n"/>
      <c r="E1463" s="14" t="n"/>
      <c r="F1463" s="18" t="n"/>
      <c r="G1463" s="18" t="n"/>
      <c r="H1463" s="21">
        <f>IF(AND($F1463="",$G1463=""),"",N($F1463)*IFERROR(N(INDEX(Vinos!$H$2:$H$301,MATCH($B1463,Vinos!$A$2:$A$301,0))),0)+N($G1463))</f>
        <v/>
      </c>
      <c r="I1463" s="18" t="n"/>
      <c r="J1463" s="21">
        <f>IF(OR($H1463="",$I1463=""),"",$H1463-$I1463)</f>
        <v/>
      </c>
      <c r="K1463" s="16">
        <f>IF($H1463="","",IFERROR(IF(INDEX(Vinos!$J$2:$J$301,MATCH($B1463,Vinos!$A$2:$A$301,0))="","",$H1463*INDEX(Vinos!$J$2:$J$301,MATCH($B1463,Vinos!$A$2:$A$301,0))),""))</f>
        <v/>
      </c>
      <c r="L1463" s="16">
        <f>IF($H1463="","",IFERROR(IF(INDEX(Vinos!$K$2:$K$301,MATCH($B1463,Vinos!$A$2:$A$301,0))="","",$H1463*INDEX(Vinos!$K$2:$K$301,MATCH($B1463,Vinos!$A$2:$A$301,0))),""))</f>
        <v/>
      </c>
      <c r="M1463" s="21">
        <f>IF(OR($A1463="",$B1463=""),"",SUMIFS($H$2:$H$2001,$A$2:$A$2001,$A1463,$B$2:$B$2001,$B1463))</f>
        <v/>
      </c>
      <c r="N1463" s="20">
        <f>IF($M1463="","",IF($M1463&lt;=0,"Sin stock: reponer ya",IF($M1463&lt;IFERROR(N(INDEX(Vinos!$N$2:$N$301,MATCH($B1463,Vinos!$A$2:$A$301,0))),0),"Bajo mínimo: reponer","OK")))</f>
        <v/>
      </c>
      <c r="O1463" s="14" t="n"/>
      <c r="P1463" s="14" t="n"/>
      <c r="Q1463" s="20">
        <f>IF($B1463="","",IFERROR(INDEX(Vinos!$C$2:$C$301,MATCH($B1463,Vinos!$A$2:$A$301,0)),""))</f>
        <v/>
      </c>
      <c r="R1463" s="20">
        <f>IF(OR($A1463="",$A1463&lt;&gt;'Resumen del inventario'!$C$3,$N1463="",$N1463="OK"),"",IF(COUNTIFS($A$2:$A1463,$A1463,$B$2:$B1463,$B1463)=1,1,""))</f>
        <v/>
      </c>
      <c r="S1463" s="20">
        <f>IF($R1463=1,COUNTIF($R$2:$R1463,1),"")</f>
        <v/>
      </c>
    </row>
    <row r="1464">
      <c r="A1464" s="19" t="n"/>
      <c r="B1464" s="14" t="n"/>
      <c r="C1464" s="20">
        <f>IF($B1464="","",IFERROR(INDEX(Vinos!$B$2:$B$301,MATCH($B1464,Vinos!$A$2:$A$301,0)),"Código no cargado"))</f>
        <v/>
      </c>
      <c r="D1464" s="14" t="n"/>
      <c r="E1464" s="14" t="n"/>
      <c r="F1464" s="18" t="n"/>
      <c r="G1464" s="18" t="n"/>
      <c r="H1464" s="21">
        <f>IF(AND($F1464="",$G1464=""),"",N($F1464)*IFERROR(N(INDEX(Vinos!$H$2:$H$301,MATCH($B1464,Vinos!$A$2:$A$301,0))),0)+N($G1464))</f>
        <v/>
      </c>
      <c r="I1464" s="18" t="n"/>
      <c r="J1464" s="21">
        <f>IF(OR($H1464="",$I1464=""),"",$H1464-$I1464)</f>
        <v/>
      </c>
      <c r="K1464" s="16">
        <f>IF($H1464="","",IFERROR(IF(INDEX(Vinos!$J$2:$J$301,MATCH($B1464,Vinos!$A$2:$A$301,0))="","",$H1464*INDEX(Vinos!$J$2:$J$301,MATCH($B1464,Vinos!$A$2:$A$301,0))),""))</f>
        <v/>
      </c>
      <c r="L1464" s="16">
        <f>IF($H1464="","",IFERROR(IF(INDEX(Vinos!$K$2:$K$301,MATCH($B1464,Vinos!$A$2:$A$301,0))="","",$H1464*INDEX(Vinos!$K$2:$K$301,MATCH($B1464,Vinos!$A$2:$A$301,0))),""))</f>
        <v/>
      </c>
      <c r="M1464" s="21">
        <f>IF(OR($A1464="",$B1464=""),"",SUMIFS($H$2:$H$2001,$A$2:$A$2001,$A1464,$B$2:$B$2001,$B1464))</f>
        <v/>
      </c>
      <c r="N1464" s="20">
        <f>IF($M1464="","",IF($M1464&lt;=0,"Sin stock: reponer ya",IF($M1464&lt;IFERROR(N(INDEX(Vinos!$N$2:$N$301,MATCH($B1464,Vinos!$A$2:$A$301,0))),0),"Bajo mínimo: reponer","OK")))</f>
        <v/>
      </c>
      <c r="O1464" s="14" t="n"/>
      <c r="P1464" s="14" t="n"/>
      <c r="Q1464" s="20">
        <f>IF($B1464="","",IFERROR(INDEX(Vinos!$C$2:$C$301,MATCH($B1464,Vinos!$A$2:$A$301,0)),""))</f>
        <v/>
      </c>
      <c r="R1464" s="20">
        <f>IF(OR($A1464="",$A1464&lt;&gt;'Resumen del inventario'!$C$3,$N1464="",$N1464="OK"),"",IF(COUNTIFS($A$2:$A1464,$A1464,$B$2:$B1464,$B1464)=1,1,""))</f>
        <v/>
      </c>
      <c r="S1464" s="20">
        <f>IF($R1464=1,COUNTIF($R$2:$R1464,1),"")</f>
        <v/>
      </c>
    </row>
    <row r="1465">
      <c r="A1465" s="19" t="n"/>
      <c r="B1465" s="14" t="n"/>
      <c r="C1465" s="20">
        <f>IF($B1465="","",IFERROR(INDEX(Vinos!$B$2:$B$301,MATCH($B1465,Vinos!$A$2:$A$301,0)),"Código no cargado"))</f>
        <v/>
      </c>
      <c r="D1465" s="14" t="n"/>
      <c r="E1465" s="14" t="n"/>
      <c r="F1465" s="18" t="n"/>
      <c r="G1465" s="18" t="n"/>
      <c r="H1465" s="21">
        <f>IF(AND($F1465="",$G1465=""),"",N($F1465)*IFERROR(N(INDEX(Vinos!$H$2:$H$301,MATCH($B1465,Vinos!$A$2:$A$301,0))),0)+N($G1465))</f>
        <v/>
      </c>
      <c r="I1465" s="18" t="n"/>
      <c r="J1465" s="21">
        <f>IF(OR($H1465="",$I1465=""),"",$H1465-$I1465)</f>
        <v/>
      </c>
      <c r="K1465" s="16">
        <f>IF($H1465="","",IFERROR(IF(INDEX(Vinos!$J$2:$J$301,MATCH($B1465,Vinos!$A$2:$A$301,0))="","",$H1465*INDEX(Vinos!$J$2:$J$301,MATCH($B1465,Vinos!$A$2:$A$301,0))),""))</f>
        <v/>
      </c>
      <c r="L1465" s="16">
        <f>IF($H1465="","",IFERROR(IF(INDEX(Vinos!$K$2:$K$301,MATCH($B1465,Vinos!$A$2:$A$301,0))="","",$H1465*INDEX(Vinos!$K$2:$K$301,MATCH($B1465,Vinos!$A$2:$A$301,0))),""))</f>
        <v/>
      </c>
      <c r="M1465" s="21">
        <f>IF(OR($A1465="",$B1465=""),"",SUMIFS($H$2:$H$2001,$A$2:$A$2001,$A1465,$B$2:$B$2001,$B1465))</f>
        <v/>
      </c>
      <c r="N1465" s="20">
        <f>IF($M1465="","",IF($M1465&lt;=0,"Sin stock: reponer ya",IF($M1465&lt;IFERROR(N(INDEX(Vinos!$N$2:$N$301,MATCH($B1465,Vinos!$A$2:$A$301,0))),0),"Bajo mínimo: reponer","OK")))</f>
        <v/>
      </c>
      <c r="O1465" s="14" t="n"/>
      <c r="P1465" s="14" t="n"/>
      <c r="Q1465" s="20">
        <f>IF($B1465="","",IFERROR(INDEX(Vinos!$C$2:$C$301,MATCH($B1465,Vinos!$A$2:$A$301,0)),""))</f>
        <v/>
      </c>
      <c r="R1465" s="20">
        <f>IF(OR($A1465="",$A1465&lt;&gt;'Resumen del inventario'!$C$3,$N1465="",$N1465="OK"),"",IF(COUNTIFS($A$2:$A1465,$A1465,$B$2:$B1465,$B1465)=1,1,""))</f>
        <v/>
      </c>
      <c r="S1465" s="20">
        <f>IF($R1465=1,COUNTIF($R$2:$R1465,1),"")</f>
        <v/>
      </c>
    </row>
    <row r="1466">
      <c r="A1466" s="19" t="n"/>
      <c r="B1466" s="14" t="n"/>
      <c r="C1466" s="20">
        <f>IF($B1466="","",IFERROR(INDEX(Vinos!$B$2:$B$301,MATCH($B1466,Vinos!$A$2:$A$301,0)),"Código no cargado"))</f>
        <v/>
      </c>
      <c r="D1466" s="14" t="n"/>
      <c r="E1466" s="14" t="n"/>
      <c r="F1466" s="18" t="n"/>
      <c r="G1466" s="18" t="n"/>
      <c r="H1466" s="21">
        <f>IF(AND($F1466="",$G1466=""),"",N($F1466)*IFERROR(N(INDEX(Vinos!$H$2:$H$301,MATCH($B1466,Vinos!$A$2:$A$301,0))),0)+N($G1466))</f>
        <v/>
      </c>
      <c r="I1466" s="18" t="n"/>
      <c r="J1466" s="21">
        <f>IF(OR($H1466="",$I1466=""),"",$H1466-$I1466)</f>
        <v/>
      </c>
      <c r="K1466" s="16">
        <f>IF($H1466="","",IFERROR(IF(INDEX(Vinos!$J$2:$J$301,MATCH($B1466,Vinos!$A$2:$A$301,0))="","",$H1466*INDEX(Vinos!$J$2:$J$301,MATCH($B1466,Vinos!$A$2:$A$301,0))),""))</f>
        <v/>
      </c>
      <c r="L1466" s="16">
        <f>IF($H1466="","",IFERROR(IF(INDEX(Vinos!$K$2:$K$301,MATCH($B1466,Vinos!$A$2:$A$301,0))="","",$H1466*INDEX(Vinos!$K$2:$K$301,MATCH($B1466,Vinos!$A$2:$A$301,0))),""))</f>
        <v/>
      </c>
      <c r="M1466" s="21">
        <f>IF(OR($A1466="",$B1466=""),"",SUMIFS($H$2:$H$2001,$A$2:$A$2001,$A1466,$B$2:$B$2001,$B1466))</f>
        <v/>
      </c>
      <c r="N1466" s="20">
        <f>IF($M1466="","",IF($M1466&lt;=0,"Sin stock: reponer ya",IF($M1466&lt;IFERROR(N(INDEX(Vinos!$N$2:$N$301,MATCH($B1466,Vinos!$A$2:$A$301,0))),0),"Bajo mínimo: reponer","OK")))</f>
        <v/>
      </c>
      <c r="O1466" s="14" t="n"/>
      <c r="P1466" s="14" t="n"/>
      <c r="Q1466" s="20">
        <f>IF($B1466="","",IFERROR(INDEX(Vinos!$C$2:$C$301,MATCH($B1466,Vinos!$A$2:$A$301,0)),""))</f>
        <v/>
      </c>
      <c r="R1466" s="20">
        <f>IF(OR($A1466="",$A1466&lt;&gt;'Resumen del inventario'!$C$3,$N1466="",$N1466="OK"),"",IF(COUNTIFS($A$2:$A1466,$A1466,$B$2:$B1466,$B1466)=1,1,""))</f>
        <v/>
      </c>
      <c r="S1466" s="20">
        <f>IF($R1466=1,COUNTIF($R$2:$R1466,1),"")</f>
        <v/>
      </c>
    </row>
    <row r="1467">
      <c r="A1467" s="19" t="n"/>
      <c r="B1467" s="14" t="n"/>
      <c r="C1467" s="20">
        <f>IF($B1467="","",IFERROR(INDEX(Vinos!$B$2:$B$301,MATCH($B1467,Vinos!$A$2:$A$301,0)),"Código no cargado"))</f>
        <v/>
      </c>
      <c r="D1467" s="14" t="n"/>
      <c r="E1467" s="14" t="n"/>
      <c r="F1467" s="18" t="n"/>
      <c r="G1467" s="18" t="n"/>
      <c r="H1467" s="21">
        <f>IF(AND($F1467="",$G1467=""),"",N($F1467)*IFERROR(N(INDEX(Vinos!$H$2:$H$301,MATCH($B1467,Vinos!$A$2:$A$301,0))),0)+N($G1467))</f>
        <v/>
      </c>
      <c r="I1467" s="18" t="n"/>
      <c r="J1467" s="21">
        <f>IF(OR($H1467="",$I1467=""),"",$H1467-$I1467)</f>
        <v/>
      </c>
      <c r="K1467" s="16">
        <f>IF($H1467="","",IFERROR(IF(INDEX(Vinos!$J$2:$J$301,MATCH($B1467,Vinos!$A$2:$A$301,0))="","",$H1467*INDEX(Vinos!$J$2:$J$301,MATCH($B1467,Vinos!$A$2:$A$301,0))),""))</f>
        <v/>
      </c>
      <c r="L1467" s="16">
        <f>IF($H1467="","",IFERROR(IF(INDEX(Vinos!$K$2:$K$301,MATCH($B1467,Vinos!$A$2:$A$301,0))="","",$H1467*INDEX(Vinos!$K$2:$K$301,MATCH($B1467,Vinos!$A$2:$A$301,0))),""))</f>
        <v/>
      </c>
      <c r="M1467" s="21">
        <f>IF(OR($A1467="",$B1467=""),"",SUMIFS($H$2:$H$2001,$A$2:$A$2001,$A1467,$B$2:$B$2001,$B1467))</f>
        <v/>
      </c>
      <c r="N1467" s="20">
        <f>IF($M1467="","",IF($M1467&lt;=0,"Sin stock: reponer ya",IF($M1467&lt;IFERROR(N(INDEX(Vinos!$N$2:$N$301,MATCH($B1467,Vinos!$A$2:$A$301,0))),0),"Bajo mínimo: reponer","OK")))</f>
        <v/>
      </c>
      <c r="O1467" s="14" t="n"/>
      <c r="P1467" s="14" t="n"/>
      <c r="Q1467" s="20">
        <f>IF($B1467="","",IFERROR(INDEX(Vinos!$C$2:$C$301,MATCH($B1467,Vinos!$A$2:$A$301,0)),""))</f>
        <v/>
      </c>
      <c r="R1467" s="20">
        <f>IF(OR($A1467="",$A1467&lt;&gt;'Resumen del inventario'!$C$3,$N1467="",$N1467="OK"),"",IF(COUNTIFS($A$2:$A1467,$A1467,$B$2:$B1467,$B1467)=1,1,""))</f>
        <v/>
      </c>
      <c r="S1467" s="20">
        <f>IF($R1467=1,COUNTIF($R$2:$R1467,1),"")</f>
        <v/>
      </c>
    </row>
    <row r="1468">
      <c r="A1468" s="19" t="n"/>
      <c r="B1468" s="14" t="n"/>
      <c r="C1468" s="20">
        <f>IF($B1468="","",IFERROR(INDEX(Vinos!$B$2:$B$301,MATCH($B1468,Vinos!$A$2:$A$301,0)),"Código no cargado"))</f>
        <v/>
      </c>
      <c r="D1468" s="14" t="n"/>
      <c r="E1468" s="14" t="n"/>
      <c r="F1468" s="18" t="n"/>
      <c r="G1468" s="18" t="n"/>
      <c r="H1468" s="21">
        <f>IF(AND($F1468="",$G1468=""),"",N($F1468)*IFERROR(N(INDEX(Vinos!$H$2:$H$301,MATCH($B1468,Vinos!$A$2:$A$301,0))),0)+N($G1468))</f>
        <v/>
      </c>
      <c r="I1468" s="18" t="n"/>
      <c r="J1468" s="21">
        <f>IF(OR($H1468="",$I1468=""),"",$H1468-$I1468)</f>
        <v/>
      </c>
      <c r="K1468" s="16">
        <f>IF($H1468="","",IFERROR(IF(INDEX(Vinos!$J$2:$J$301,MATCH($B1468,Vinos!$A$2:$A$301,0))="","",$H1468*INDEX(Vinos!$J$2:$J$301,MATCH($B1468,Vinos!$A$2:$A$301,0))),""))</f>
        <v/>
      </c>
      <c r="L1468" s="16">
        <f>IF($H1468="","",IFERROR(IF(INDEX(Vinos!$K$2:$K$301,MATCH($B1468,Vinos!$A$2:$A$301,0))="","",$H1468*INDEX(Vinos!$K$2:$K$301,MATCH($B1468,Vinos!$A$2:$A$301,0))),""))</f>
        <v/>
      </c>
      <c r="M1468" s="21">
        <f>IF(OR($A1468="",$B1468=""),"",SUMIFS($H$2:$H$2001,$A$2:$A$2001,$A1468,$B$2:$B$2001,$B1468))</f>
        <v/>
      </c>
      <c r="N1468" s="20">
        <f>IF($M1468="","",IF($M1468&lt;=0,"Sin stock: reponer ya",IF($M1468&lt;IFERROR(N(INDEX(Vinos!$N$2:$N$301,MATCH($B1468,Vinos!$A$2:$A$301,0))),0),"Bajo mínimo: reponer","OK")))</f>
        <v/>
      </c>
      <c r="O1468" s="14" t="n"/>
      <c r="P1468" s="14" t="n"/>
      <c r="Q1468" s="20">
        <f>IF($B1468="","",IFERROR(INDEX(Vinos!$C$2:$C$301,MATCH($B1468,Vinos!$A$2:$A$301,0)),""))</f>
        <v/>
      </c>
      <c r="R1468" s="20">
        <f>IF(OR($A1468="",$A1468&lt;&gt;'Resumen del inventario'!$C$3,$N1468="",$N1468="OK"),"",IF(COUNTIFS($A$2:$A1468,$A1468,$B$2:$B1468,$B1468)=1,1,""))</f>
        <v/>
      </c>
      <c r="S1468" s="20">
        <f>IF($R1468=1,COUNTIF($R$2:$R1468,1),"")</f>
        <v/>
      </c>
    </row>
    <row r="1469">
      <c r="A1469" s="19" t="n"/>
      <c r="B1469" s="14" t="n"/>
      <c r="C1469" s="20">
        <f>IF($B1469="","",IFERROR(INDEX(Vinos!$B$2:$B$301,MATCH($B1469,Vinos!$A$2:$A$301,0)),"Código no cargado"))</f>
        <v/>
      </c>
      <c r="D1469" s="14" t="n"/>
      <c r="E1469" s="14" t="n"/>
      <c r="F1469" s="18" t="n"/>
      <c r="G1469" s="18" t="n"/>
      <c r="H1469" s="21">
        <f>IF(AND($F1469="",$G1469=""),"",N($F1469)*IFERROR(N(INDEX(Vinos!$H$2:$H$301,MATCH($B1469,Vinos!$A$2:$A$301,0))),0)+N($G1469))</f>
        <v/>
      </c>
      <c r="I1469" s="18" t="n"/>
      <c r="J1469" s="21">
        <f>IF(OR($H1469="",$I1469=""),"",$H1469-$I1469)</f>
        <v/>
      </c>
      <c r="K1469" s="16">
        <f>IF($H1469="","",IFERROR(IF(INDEX(Vinos!$J$2:$J$301,MATCH($B1469,Vinos!$A$2:$A$301,0))="","",$H1469*INDEX(Vinos!$J$2:$J$301,MATCH($B1469,Vinos!$A$2:$A$301,0))),""))</f>
        <v/>
      </c>
      <c r="L1469" s="16">
        <f>IF($H1469="","",IFERROR(IF(INDEX(Vinos!$K$2:$K$301,MATCH($B1469,Vinos!$A$2:$A$301,0))="","",$H1469*INDEX(Vinos!$K$2:$K$301,MATCH($B1469,Vinos!$A$2:$A$301,0))),""))</f>
        <v/>
      </c>
      <c r="M1469" s="21">
        <f>IF(OR($A1469="",$B1469=""),"",SUMIFS($H$2:$H$2001,$A$2:$A$2001,$A1469,$B$2:$B$2001,$B1469))</f>
        <v/>
      </c>
      <c r="N1469" s="20">
        <f>IF($M1469="","",IF($M1469&lt;=0,"Sin stock: reponer ya",IF($M1469&lt;IFERROR(N(INDEX(Vinos!$N$2:$N$301,MATCH($B1469,Vinos!$A$2:$A$301,0))),0),"Bajo mínimo: reponer","OK")))</f>
        <v/>
      </c>
      <c r="O1469" s="14" t="n"/>
      <c r="P1469" s="14" t="n"/>
      <c r="Q1469" s="20">
        <f>IF($B1469="","",IFERROR(INDEX(Vinos!$C$2:$C$301,MATCH($B1469,Vinos!$A$2:$A$301,0)),""))</f>
        <v/>
      </c>
      <c r="R1469" s="20">
        <f>IF(OR($A1469="",$A1469&lt;&gt;'Resumen del inventario'!$C$3,$N1469="",$N1469="OK"),"",IF(COUNTIFS($A$2:$A1469,$A1469,$B$2:$B1469,$B1469)=1,1,""))</f>
        <v/>
      </c>
      <c r="S1469" s="20">
        <f>IF($R1469=1,COUNTIF($R$2:$R1469,1),"")</f>
        <v/>
      </c>
    </row>
    <row r="1470">
      <c r="A1470" s="19" t="n"/>
      <c r="B1470" s="14" t="n"/>
      <c r="C1470" s="20">
        <f>IF($B1470="","",IFERROR(INDEX(Vinos!$B$2:$B$301,MATCH($B1470,Vinos!$A$2:$A$301,0)),"Código no cargado"))</f>
        <v/>
      </c>
      <c r="D1470" s="14" t="n"/>
      <c r="E1470" s="14" t="n"/>
      <c r="F1470" s="18" t="n"/>
      <c r="G1470" s="18" t="n"/>
      <c r="H1470" s="21">
        <f>IF(AND($F1470="",$G1470=""),"",N($F1470)*IFERROR(N(INDEX(Vinos!$H$2:$H$301,MATCH($B1470,Vinos!$A$2:$A$301,0))),0)+N($G1470))</f>
        <v/>
      </c>
      <c r="I1470" s="18" t="n"/>
      <c r="J1470" s="21">
        <f>IF(OR($H1470="",$I1470=""),"",$H1470-$I1470)</f>
        <v/>
      </c>
      <c r="K1470" s="16">
        <f>IF($H1470="","",IFERROR(IF(INDEX(Vinos!$J$2:$J$301,MATCH($B1470,Vinos!$A$2:$A$301,0))="","",$H1470*INDEX(Vinos!$J$2:$J$301,MATCH($B1470,Vinos!$A$2:$A$301,0))),""))</f>
        <v/>
      </c>
      <c r="L1470" s="16">
        <f>IF($H1470="","",IFERROR(IF(INDEX(Vinos!$K$2:$K$301,MATCH($B1470,Vinos!$A$2:$A$301,0))="","",$H1470*INDEX(Vinos!$K$2:$K$301,MATCH($B1470,Vinos!$A$2:$A$301,0))),""))</f>
        <v/>
      </c>
      <c r="M1470" s="21">
        <f>IF(OR($A1470="",$B1470=""),"",SUMIFS($H$2:$H$2001,$A$2:$A$2001,$A1470,$B$2:$B$2001,$B1470))</f>
        <v/>
      </c>
      <c r="N1470" s="20">
        <f>IF($M1470="","",IF($M1470&lt;=0,"Sin stock: reponer ya",IF($M1470&lt;IFERROR(N(INDEX(Vinos!$N$2:$N$301,MATCH($B1470,Vinos!$A$2:$A$301,0))),0),"Bajo mínimo: reponer","OK")))</f>
        <v/>
      </c>
      <c r="O1470" s="14" t="n"/>
      <c r="P1470" s="14" t="n"/>
      <c r="Q1470" s="20">
        <f>IF($B1470="","",IFERROR(INDEX(Vinos!$C$2:$C$301,MATCH($B1470,Vinos!$A$2:$A$301,0)),""))</f>
        <v/>
      </c>
      <c r="R1470" s="20">
        <f>IF(OR($A1470="",$A1470&lt;&gt;'Resumen del inventario'!$C$3,$N1470="",$N1470="OK"),"",IF(COUNTIFS($A$2:$A1470,$A1470,$B$2:$B1470,$B1470)=1,1,""))</f>
        <v/>
      </c>
      <c r="S1470" s="20">
        <f>IF($R1470=1,COUNTIF($R$2:$R1470,1),"")</f>
        <v/>
      </c>
    </row>
    <row r="1471">
      <c r="A1471" s="19" t="n"/>
      <c r="B1471" s="14" t="n"/>
      <c r="C1471" s="20">
        <f>IF($B1471="","",IFERROR(INDEX(Vinos!$B$2:$B$301,MATCH($B1471,Vinos!$A$2:$A$301,0)),"Código no cargado"))</f>
        <v/>
      </c>
      <c r="D1471" s="14" t="n"/>
      <c r="E1471" s="14" t="n"/>
      <c r="F1471" s="18" t="n"/>
      <c r="G1471" s="18" t="n"/>
      <c r="H1471" s="21">
        <f>IF(AND($F1471="",$G1471=""),"",N($F1471)*IFERROR(N(INDEX(Vinos!$H$2:$H$301,MATCH($B1471,Vinos!$A$2:$A$301,0))),0)+N($G1471))</f>
        <v/>
      </c>
      <c r="I1471" s="18" t="n"/>
      <c r="J1471" s="21">
        <f>IF(OR($H1471="",$I1471=""),"",$H1471-$I1471)</f>
        <v/>
      </c>
      <c r="K1471" s="16">
        <f>IF($H1471="","",IFERROR(IF(INDEX(Vinos!$J$2:$J$301,MATCH($B1471,Vinos!$A$2:$A$301,0))="","",$H1471*INDEX(Vinos!$J$2:$J$301,MATCH($B1471,Vinos!$A$2:$A$301,0))),""))</f>
        <v/>
      </c>
      <c r="L1471" s="16">
        <f>IF($H1471="","",IFERROR(IF(INDEX(Vinos!$K$2:$K$301,MATCH($B1471,Vinos!$A$2:$A$301,0))="","",$H1471*INDEX(Vinos!$K$2:$K$301,MATCH($B1471,Vinos!$A$2:$A$301,0))),""))</f>
        <v/>
      </c>
      <c r="M1471" s="21">
        <f>IF(OR($A1471="",$B1471=""),"",SUMIFS($H$2:$H$2001,$A$2:$A$2001,$A1471,$B$2:$B$2001,$B1471))</f>
        <v/>
      </c>
      <c r="N1471" s="20">
        <f>IF($M1471="","",IF($M1471&lt;=0,"Sin stock: reponer ya",IF($M1471&lt;IFERROR(N(INDEX(Vinos!$N$2:$N$301,MATCH($B1471,Vinos!$A$2:$A$301,0))),0),"Bajo mínimo: reponer","OK")))</f>
        <v/>
      </c>
      <c r="O1471" s="14" t="n"/>
      <c r="P1471" s="14" t="n"/>
      <c r="Q1471" s="20">
        <f>IF($B1471="","",IFERROR(INDEX(Vinos!$C$2:$C$301,MATCH($B1471,Vinos!$A$2:$A$301,0)),""))</f>
        <v/>
      </c>
      <c r="R1471" s="20">
        <f>IF(OR($A1471="",$A1471&lt;&gt;'Resumen del inventario'!$C$3,$N1471="",$N1471="OK"),"",IF(COUNTIFS($A$2:$A1471,$A1471,$B$2:$B1471,$B1471)=1,1,""))</f>
        <v/>
      </c>
      <c r="S1471" s="20">
        <f>IF($R1471=1,COUNTIF($R$2:$R1471,1),"")</f>
        <v/>
      </c>
    </row>
    <row r="1472">
      <c r="A1472" s="19" t="n"/>
      <c r="B1472" s="14" t="n"/>
      <c r="C1472" s="20">
        <f>IF($B1472="","",IFERROR(INDEX(Vinos!$B$2:$B$301,MATCH($B1472,Vinos!$A$2:$A$301,0)),"Código no cargado"))</f>
        <v/>
      </c>
      <c r="D1472" s="14" t="n"/>
      <c r="E1472" s="14" t="n"/>
      <c r="F1472" s="18" t="n"/>
      <c r="G1472" s="18" t="n"/>
      <c r="H1472" s="21">
        <f>IF(AND($F1472="",$G1472=""),"",N($F1472)*IFERROR(N(INDEX(Vinos!$H$2:$H$301,MATCH($B1472,Vinos!$A$2:$A$301,0))),0)+N($G1472))</f>
        <v/>
      </c>
      <c r="I1472" s="18" t="n"/>
      <c r="J1472" s="21">
        <f>IF(OR($H1472="",$I1472=""),"",$H1472-$I1472)</f>
        <v/>
      </c>
      <c r="K1472" s="16">
        <f>IF($H1472="","",IFERROR(IF(INDEX(Vinos!$J$2:$J$301,MATCH($B1472,Vinos!$A$2:$A$301,0))="","",$H1472*INDEX(Vinos!$J$2:$J$301,MATCH($B1472,Vinos!$A$2:$A$301,0))),""))</f>
        <v/>
      </c>
      <c r="L1472" s="16">
        <f>IF($H1472="","",IFERROR(IF(INDEX(Vinos!$K$2:$K$301,MATCH($B1472,Vinos!$A$2:$A$301,0))="","",$H1472*INDEX(Vinos!$K$2:$K$301,MATCH($B1472,Vinos!$A$2:$A$301,0))),""))</f>
        <v/>
      </c>
      <c r="M1472" s="21">
        <f>IF(OR($A1472="",$B1472=""),"",SUMIFS($H$2:$H$2001,$A$2:$A$2001,$A1472,$B$2:$B$2001,$B1472))</f>
        <v/>
      </c>
      <c r="N1472" s="20">
        <f>IF($M1472="","",IF($M1472&lt;=0,"Sin stock: reponer ya",IF($M1472&lt;IFERROR(N(INDEX(Vinos!$N$2:$N$301,MATCH($B1472,Vinos!$A$2:$A$301,0))),0),"Bajo mínimo: reponer","OK")))</f>
        <v/>
      </c>
      <c r="O1472" s="14" t="n"/>
      <c r="P1472" s="14" t="n"/>
      <c r="Q1472" s="20">
        <f>IF($B1472="","",IFERROR(INDEX(Vinos!$C$2:$C$301,MATCH($B1472,Vinos!$A$2:$A$301,0)),""))</f>
        <v/>
      </c>
      <c r="R1472" s="20">
        <f>IF(OR($A1472="",$A1472&lt;&gt;'Resumen del inventario'!$C$3,$N1472="",$N1472="OK"),"",IF(COUNTIFS($A$2:$A1472,$A1472,$B$2:$B1472,$B1472)=1,1,""))</f>
        <v/>
      </c>
      <c r="S1472" s="20">
        <f>IF($R1472=1,COUNTIF($R$2:$R1472,1),"")</f>
        <v/>
      </c>
    </row>
    <row r="1473">
      <c r="A1473" s="19" t="n"/>
      <c r="B1473" s="14" t="n"/>
      <c r="C1473" s="20">
        <f>IF($B1473="","",IFERROR(INDEX(Vinos!$B$2:$B$301,MATCH($B1473,Vinos!$A$2:$A$301,0)),"Código no cargado"))</f>
        <v/>
      </c>
      <c r="D1473" s="14" t="n"/>
      <c r="E1473" s="14" t="n"/>
      <c r="F1473" s="18" t="n"/>
      <c r="G1473" s="18" t="n"/>
      <c r="H1473" s="21">
        <f>IF(AND($F1473="",$G1473=""),"",N($F1473)*IFERROR(N(INDEX(Vinos!$H$2:$H$301,MATCH($B1473,Vinos!$A$2:$A$301,0))),0)+N($G1473))</f>
        <v/>
      </c>
      <c r="I1473" s="18" t="n"/>
      <c r="J1473" s="21">
        <f>IF(OR($H1473="",$I1473=""),"",$H1473-$I1473)</f>
        <v/>
      </c>
      <c r="K1473" s="16">
        <f>IF($H1473="","",IFERROR(IF(INDEX(Vinos!$J$2:$J$301,MATCH($B1473,Vinos!$A$2:$A$301,0))="","",$H1473*INDEX(Vinos!$J$2:$J$301,MATCH($B1473,Vinos!$A$2:$A$301,0))),""))</f>
        <v/>
      </c>
      <c r="L1473" s="16">
        <f>IF($H1473="","",IFERROR(IF(INDEX(Vinos!$K$2:$K$301,MATCH($B1473,Vinos!$A$2:$A$301,0))="","",$H1473*INDEX(Vinos!$K$2:$K$301,MATCH($B1473,Vinos!$A$2:$A$301,0))),""))</f>
        <v/>
      </c>
      <c r="M1473" s="21">
        <f>IF(OR($A1473="",$B1473=""),"",SUMIFS($H$2:$H$2001,$A$2:$A$2001,$A1473,$B$2:$B$2001,$B1473))</f>
        <v/>
      </c>
      <c r="N1473" s="20">
        <f>IF($M1473="","",IF($M1473&lt;=0,"Sin stock: reponer ya",IF($M1473&lt;IFERROR(N(INDEX(Vinos!$N$2:$N$301,MATCH($B1473,Vinos!$A$2:$A$301,0))),0),"Bajo mínimo: reponer","OK")))</f>
        <v/>
      </c>
      <c r="O1473" s="14" t="n"/>
      <c r="P1473" s="14" t="n"/>
      <c r="Q1473" s="20">
        <f>IF($B1473="","",IFERROR(INDEX(Vinos!$C$2:$C$301,MATCH($B1473,Vinos!$A$2:$A$301,0)),""))</f>
        <v/>
      </c>
      <c r="R1473" s="20">
        <f>IF(OR($A1473="",$A1473&lt;&gt;'Resumen del inventario'!$C$3,$N1473="",$N1473="OK"),"",IF(COUNTIFS($A$2:$A1473,$A1473,$B$2:$B1473,$B1473)=1,1,""))</f>
        <v/>
      </c>
      <c r="S1473" s="20">
        <f>IF($R1473=1,COUNTIF($R$2:$R1473,1),"")</f>
        <v/>
      </c>
    </row>
    <row r="1474">
      <c r="A1474" s="19" t="n"/>
      <c r="B1474" s="14" t="n"/>
      <c r="C1474" s="20">
        <f>IF($B1474="","",IFERROR(INDEX(Vinos!$B$2:$B$301,MATCH($B1474,Vinos!$A$2:$A$301,0)),"Código no cargado"))</f>
        <v/>
      </c>
      <c r="D1474" s="14" t="n"/>
      <c r="E1474" s="14" t="n"/>
      <c r="F1474" s="18" t="n"/>
      <c r="G1474" s="18" t="n"/>
      <c r="H1474" s="21">
        <f>IF(AND($F1474="",$G1474=""),"",N($F1474)*IFERROR(N(INDEX(Vinos!$H$2:$H$301,MATCH($B1474,Vinos!$A$2:$A$301,0))),0)+N($G1474))</f>
        <v/>
      </c>
      <c r="I1474" s="18" t="n"/>
      <c r="J1474" s="21">
        <f>IF(OR($H1474="",$I1474=""),"",$H1474-$I1474)</f>
        <v/>
      </c>
      <c r="K1474" s="16">
        <f>IF($H1474="","",IFERROR(IF(INDEX(Vinos!$J$2:$J$301,MATCH($B1474,Vinos!$A$2:$A$301,0))="","",$H1474*INDEX(Vinos!$J$2:$J$301,MATCH($B1474,Vinos!$A$2:$A$301,0))),""))</f>
        <v/>
      </c>
      <c r="L1474" s="16">
        <f>IF($H1474="","",IFERROR(IF(INDEX(Vinos!$K$2:$K$301,MATCH($B1474,Vinos!$A$2:$A$301,0))="","",$H1474*INDEX(Vinos!$K$2:$K$301,MATCH($B1474,Vinos!$A$2:$A$301,0))),""))</f>
        <v/>
      </c>
      <c r="M1474" s="21">
        <f>IF(OR($A1474="",$B1474=""),"",SUMIFS($H$2:$H$2001,$A$2:$A$2001,$A1474,$B$2:$B$2001,$B1474))</f>
        <v/>
      </c>
      <c r="N1474" s="20">
        <f>IF($M1474="","",IF($M1474&lt;=0,"Sin stock: reponer ya",IF($M1474&lt;IFERROR(N(INDEX(Vinos!$N$2:$N$301,MATCH($B1474,Vinos!$A$2:$A$301,0))),0),"Bajo mínimo: reponer","OK")))</f>
        <v/>
      </c>
      <c r="O1474" s="14" t="n"/>
      <c r="P1474" s="14" t="n"/>
      <c r="Q1474" s="20">
        <f>IF($B1474="","",IFERROR(INDEX(Vinos!$C$2:$C$301,MATCH($B1474,Vinos!$A$2:$A$301,0)),""))</f>
        <v/>
      </c>
      <c r="R1474" s="20">
        <f>IF(OR($A1474="",$A1474&lt;&gt;'Resumen del inventario'!$C$3,$N1474="",$N1474="OK"),"",IF(COUNTIFS($A$2:$A1474,$A1474,$B$2:$B1474,$B1474)=1,1,""))</f>
        <v/>
      </c>
      <c r="S1474" s="20">
        <f>IF($R1474=1,COUNTIF($R$2:$R1474,1),"")</f>
        <v/>
      </c>
    </row>
    <row r="1475">
      <c r="A1475" s="19" t="n"/>
      <c r="B1475" s="14" t="n"/>
      <c r="C1475" s="20">
        <f>IF($B1475="","",IFERROR(INDEX(Vinos!$B$2:$B$301,MATCH($B1475,Vinos!$A$2:$A$301,0)),"Código no cargado"))</f>
        <v/>
      </c>
      <c r="D1475" s="14" t="n"/>
      <c r="E1475" s="14" t="n"/>
      <c r="F1475" s="18" t="n"/>
      <c r="G1475" s="18" t="n"/>
      <c r="H1475" s="21">
        <f>IF(AND($F1475="",$G1475=""),"",N($F1475)*IFERROR(N(INDEX(Vinos!$H$2:$H$301,MATCH($B1475,Vinos!$A$2:$A$301,0))),0)+N($G1475))</f>
        <v/>
      </c>
      <c r="I1475" s="18" t="n"/>
      <c r="J1475" s="21">
        <f>IF(OR($H1475="",$I1475=""),"",$H1475-$I1475)</f>
        <v/>
      </c>
      <c r="K1475" s="16">
        <f>IF($H1475="","",IFERROR(IF(INDEX(Vinos!$J$2:$J$301,MATCH($B1475,Vinos!$A$2:$A$301,0))="","",$H1475*INDEX(Vinos!$J$2:$J$301,MATCH($B1475,Vinos!$A$2:$A$301,0))),""))</f>
        <v/>
      </c>
      <c r="L1475" s="16">
        <f>IF($H1475="","",IFERROR(IF(INDEX(Vinos!$K$2:$K$301,MATCH($B1475,Vinos!$A$2:$A$301,0))="","",$H1475*INDEX(Vinos!$K$2:$K$301,MATCH($B1475,Vinos!$A$2:$A$301,0))),""))</f>
        <v/>
      </c>
      <c r="M1475" s="21">
        <f>IF(OR($A1475="",$B1475=""),"",SUMIFS($H$2:$H$2001,$A$2:$A$2001,$A1475,$B$2:$B$2001,$B1475))</f>
        <v/>
      </c>
      <c r="N1475" s="20">
        <f>IF($M1475="","",IF($M1475&lt;=0,"Sin stock: reponer ya",IF($M1475&lt;IFERROR(N(INDEX(Vinos!$N$2:$N$301,MATCH($B1475,Vinos!$A$2:$A$301,0))),0),"Bajo mínimo: reponer","OK")))</f>
        <v/>
      </c>
      <c r="O1475" s="14" t="n"/>
      <c r="P1475" s="14" t="n"/>
      <c r="Q1475" s="20">
        <f>IF($B1475="","",IFERROR(INDEX(Vinos!$C$2:$C$301,MATCH($B1475,Vinos!$A$2:$A$301,0)),""))</f>
        <v/>
      </c>
      <c r="R1475" s="20">
        <f>IF(OR($A1475="",$A1475&lt;&gt;'Resumen del inventario'!$C$3,$N1475="",$N1475="OK"),"",IF(COUNTIFS($A$2:$A1475,$A1475,$B$2:$B1475,$B1475)=1,1,""))</f>
        <v/>
      </c>
      <c r="S1475" s="20">
        <f>IF($R1475=1,COUNTIF($R$2:$R1475,1),"")</f>
        <v/>
      </c>
    </row>
    <row r="1476">
      <c r="A1476" s="19" t="n"/>
      <c r="B1476" s="14" t="n"/>
      <c r="C1476" s="20">
        <f>IF($B1476="","",IFERROR(INDEX(Vinos!$B$2:$B$301,MATCH($B1476,Vinos!$A$2:$A$301,0)),"Código no cargado"))</f>
        <v/>
      </c>
      <c r="D1476" s="14" t="n"/>
      <c r="E1476" s="14" t="n"/>
      <c r="F1476" s="18" t="n"/>
      <c r="G1476" s="18" t="n"/>
      <c r="H1476" s="21">
        <f>IF(AND($F1476="",$G1476=""),"",N($F1476)*IFERROR(N(INDEX(Vinos!$H$2:$H$301,MATCH($B1476,Vinos!$A$2:$A$301,0))),0)+N($G1476))</f>
        <v/>
      </c>
      <c r="I1476" s="18" t="n"/>
      <c r="J1476" s="21">
        <f>IF(OR($H1476="",$I1476=""),"",$H1476-$I1476)</f>
        <v/>
      </c>
      <c r="K1476" s="16">
        <f>IF($H1476="","",IFERROR(IF(INDEX(Vinos!$J$2:$J$301,MATCH($B1476,Vinos!$A$2:$A$301,0))="","",$H1476*INDEX(Vinos!$J$2:$J$301,MATCH($B1476,Vinos!$A$2:$A$301,0))),""))</f>
        <v/>
      </c>
      <c r="L1476" s="16">
        <f>IF($H1476="","",IFERROR(IF(INDEX(Vinos!$K$2:$K$301,MATCH($B1476,Vinos!$A$2:$A$301,0))="","",$H1476*INDEX(Vinos!$K$2:$K$301,MATCH($B1476,Vinos!$A$2:$A$301,0))),""))</f>
        <v/>
      </c>
      <c r="M1476" s="21">
        <f>IF(OR($A1476="",$B1476=""),"",SUMIFS($H$2:$H$2001,$A$2:$A$2001,$A1476,$B$2:$B$2001,$B1476))</f>
        <v/>
      </c>
      <c r="N1476" s="20">
        <f>IF($M1476="","",IF($M1476&lt;=0,"Sin stock: reponer ya",IF($M1476&lt;IFERROR(N(INDEX(Vinos!$N$2:$N$301,MATCH($B1476,Vinos!$A$2:$A$301,0))),0),"Bajo mínimo: reponer","OK")))</f>
        <v/>
      </c>
      <c r="O1476" s="14" t="n"/>
      <c r="P1476" s="14" t="n"/>
      <c r="Q1476" s="20">
        <f>IF($B1476="","",IFERROR(INDEX(Vinos!$C$2:$C$301,MATCH($B1476,Vinos!$A$2:$A$301,0)),""))</f>
        <v/>
      </c>
      <c r="R1476" s="20">
        <f>IF(OR($A1476="",$A1476&lt;&gt;'Resumen del inventario'!$C$3,$N1476="",$N1476="OK"),"",IF(COUNTIFS($A$2:$A1476,$A1476,$B$2:$B1476,$B1476)=1,1,""))</f>
        <v/>
      </c>
      <c r="S1476" s="20">
        <f>IF($R1476=1,COUNTIF($R$2:$R1476,1),"")</f>
        <v/>
      </c>
    </row>
    <row r="1477">
      <c r="A1477" s="19" t="n"/>
      <c r="B1477" s="14" t="n"/>
      <c r="C1477" s="20">
        <f>IF($B1477="","",IFERROR(INDEX(Vinos!$B$2:$B$301,MATCH($B1477,Vinos!$A$2:$A$301,0)),"Código no cargado"))</f>
        <v/>
      </c>
      <c r="D1477" s="14" t="n"/>
      <c r="E1477" s="14" t="n"/>
      <c r="F1477" s="18" t="n"/>
      <c r="G1477" s="18" t="n"/>
      <c r="H1477" s="21">
        <f>IF(AND($F1477="",$G1477=""),"",N($F1477)*IFERROR(N(INDEX(Vinos!$H$2:$H$301,MATCH($B1477,Vinos!$A$2:$A$301,0))),0)+N($G1477))</f>
        <v/>
      </c>
      <c r="I1477" s="18" t="n"/>
      <c r="J1477" s="21">
        <f>IF(OR($H1477="",$I1477=""),"",$H1477-$I1477)</f>
        <v/>
      </c>
      <c r="K1477" s="16">
        <f>IF($H1477="","",IFERROR(IF(INDEX(Vinos!$J$2:$J$301,MATCH($B1477,Vinos!$A$2:$A$301,0))="","",$H1477*INDEX(Vinos!$J$2:$J$301,MATCH($B1477,Vinos!$A$2:$A$301,0))),""))</f>
        <v/>
      </c>
      <c r="L1477" s="16">
        <f>IF($H1477="","",IFERROR(IF(INDEX(Vinos!$K$2:$K$301,MATCH($B1477,Vinos!$A$2:$A$301,0))="","",$H1477*INDEX(Vinos!$K$2:$K$301,MATCH($B1477,Vinos!$A$2:$A$301,0))),""))</f>
        <v/>
      </c>
      <c r="M1477" s="21">
        <f>IF(OR($A1477="",$B1477=""),"",SUMIFS($H$2:$H$2001,$A$2:$A$2001,$A1477,$B$2:$B$2001,$B1477))</f>
        <v/>
      </c>
      <c r="N1477" s="20">
        <f>IF($M1477="","",IF($M1477&lt;=0,"Sin stock: reponer ya",IF($M1477&lt;IFERROR(N(INDEX(Vinos!$N$2:$N$301,MATCH($B1477,Vinos!$A$2:$A$301,0))),0),"Bajo mínimo: reponer","OK")))</f>
        <v/>
      </c>
      <c r="O1477" s="14" t="n"/>
      <c r="P1477" s="14" t="n"/>
      <c r="Q1477" s="20">
        <f>IF($B1477="","",IFERROR(INDEX(Vinos!$C$2:$C$301,MATCH($B1477,Vinos!$A$2:$A$301,0)),""))</f>
        <v/>
      </c>
      <c r="R1477" s="20">
        <f>IF(OR($A1477="",$A1477&lt;&gt;'Resumen del inventario'!$C$3,$N1477="",$N1477="OK"),"",IF(COUNTIFS($A$2:$A1477,$A1477,$B$2:$B1477,$B1477)=1,1,""))</f>
        <v/>
      </c>
      <c r="S1477" s="20">
        <f>IF($R1477=1,COUNTIF($R$2:$R1477,1),"")</f>
        <v/>
      </c>
    </row>
    <row r="1478">
      <c r="A1478" s="19" t="n"/>
      <c r="B1478" s="14" t="n"/>
      <c r="C1478" s="20">
        <f>IF($B1478="","",IFERROR(INDEX(Vinos!$B$2:$B$301,MATCH($B1478,Vinos!$A$2:$A$301,0)),"Código no cargado"))</f>
        <v/>
      </c>
      <c r="D1478" s="14" t="n"/>
      <c r="E1478" s="14" t="n"/>
      <c r="F1478" s="18" t="n"/>
      <c r="G1478" s="18" t="n"/>
      <c r="H1478" s="21">
        <f>IF(AND($F1478="",$G1478=""),"",N($F1478)*IFERROR(N(INDEX(Vinos!$H$2:$H$301,MATCH($B1478,Vinos!$A$2:$A$301,0))),0)+N($G1478))</f>
        <v/>
      </c>
      <c r="I1478" s="18" t="n"/>
      <c r="J1478" s="21">
        <f>IF(OR($H1478="",$I1478=""),"",$H1478-$I1478)</f>
        <v/>
      </c>
      <c r="K1478" s="16">
        <f>IF($H1478="","",IFERROR(IF(INDEX(Vinos!$J$2:$J$301,MATCH($B1478,Vinos!$A$2:$A$301,0))="","",$H1478*INDEX(Vinos!$J$2:$J$301,MATCH($B1478,Vinos!$A$2:$A$301,0))),""))</f>
        <v/>
      </c>
      <c r="L1478" s="16">
        <f>IF($H1478="","",IFERROR(IF(INDEX(Vinos!$K$2:$K$301,MATCH($B1478,Vinos!$A$2:$A$301,0))="","",$H1478*INDEX(Vinos!$K$2:$K$301,MATCH($B1478,Vinos!$A$2:$A$301,0))),""))</f>
        <v/>
      </c>
      <c r="M1478" s="21">
        <f>IF(OR($A1478="",$B1478=""),"",SUMIFS($H$2:$H$2001,$A$2:$A$2001,$A1478,$B$2:$B$2001,$B1478))</f>
        <v/>
      </c>
      <c r="N1478" s="20">
        <f>IF($M1478="","",IF($M1478&lt;=0,"Sin stock: reponer ya",IF($M1478&lt;IFERROR(N(INDEX(Vinos!$N$2:$N$301,MATCH($B1478,Vinos!$A$2:$A$301,0))),0),"Bajo mínimo: reponer","OK")))</f>
        <v/>
      </c>
      <c r="O1478" s="14" t="n"/>
      <c r="P1478" s="14" t="n"/>
      <c r="Q1478" s="20">
        <f>IF($B1478="","",IFERROR(INDEX(Vinos!$C$2:$C$301,MATCH($B1478,Vinos!$A$2:$A$301,0)),""))</f>
        <v/>
      </c>
      <c r="R1478" s="20">
        <f>IF(OR($A1478="",$A1478&lt;&gt;'Resumen del inventario'!$C$3,$N1478="",$N1478="OK"),"",IF(COUNTIFS($A$2:$A1478,$A1478,$B$2:$B1478,$B1478)=1,1,""))</f>
        <v/>
      </c>
      <c r="S1478" s="20">
        <f>IF($R1478=1,COUNTIF($R$2:$R1478,1),"")</f>
        <v/>
      </c>
    </row>
    <row r="1479">
      <c r="A1479" s="19" t="n"/>
      <c r="B1479" s="14" t="n"/>
      <c r="C1479" s="20">
        <f>IF($B1479="","",IFERROR(INDEX(Vinos!$B$2:$B$301,MATCH($B1479,Vinos!$A$2:$A$301,0)),"Código no cargado"))</f>
        <v/>
      </c>
      <c r="D1479" s="14" t="n"/>
      <c r="E1479" s="14" t="n"/>
      <c r="F1479" s="18" t="n"/>
      <c r="G1479" s="18" t="n"/>
      <c r="H1479" s="21">
        <f>IF(AND($F1479="",$G1479=""),"",N($F1479)*IFERROR(N(INDEX(Vinos!$H$2:$H$301,MATCH($B1479,Vinos!$A$2:$A$301,0))),0)+N($G1479))</f>
        <v/>
      </c>
      <c r="I1479" s="18" t="n"/>
      <c r="J1479" s="21">
        <f>IF(OR($H1479="",$I1479=""),"",$H1479-$I1479)</f>
        <v/>
      </c>
      <c r="K1479" s="16">
        <f>IF($H1479="","",IFERROR(IF(INDEX(Vinos!$J$2:$J$301,MATCH($B1479,Vinos!$A$2:$A$301,0))="","",$H1479*INDEX(Vinos!$J$2:$J$301,MATCH($B1479,Vinos!$A$2:$A$301,0))),""))</f>
        <v/>
      </c>
      <c r="L1479" s="16">
        <f>IF($H1479="","",IFERROR(IF(INDEX(Vinos!$K$2:$K$301,MATCH($B1479,Vinos!$A$2:$A$301,0))="","",$H1479*INDEX(Vinos!$K$2:$K$301,MATCH($B1479,Vinos!$A$2:$A$301,0))),""))</f>
        <v/>
      </c>
      <c r="M1479" s="21">
        <f>IF(OR($A1479="",$B1479=""),"",SUMIFS($H$2:$H$2001,$A$2:$A$2001,$A1479,$B$2:$B$2001,$B1479))</f>
        <v/>
      </c>
      <c r="N1479" s="20">
        <f>IF($M1479="","",IF($M1479&lt;=0,"Sin stock: reponer ya",IF($M1479&lt;IFERROR(N(INDEX(Vinos!$N$2:$N$301,MATCH($B1479,Vinos!$A$2:$A$301,0))),0),"Bajo mínimo: reponer","OK")))</f>
        <v/>
      </c>
      <c r="O1479" s="14" t="n"/>
      <c r="P1479" s="14" t="n"/>
      <c r="Q1479" s="20">
        <f>IF($B1479="","",IFERROR(INDEX(Vinos!$C$2:$C$301,MATCH($B1479,Vinos!$A$2:$A$301,0)),""))</f>
        <v/>
      </c>
      <c r="R1479" s="20">
        <f>IF(OR($A1479="",$A1479&lt;&gt;'Resumen del inventario'!$C$3,$N1479="",$N1479="OK"),"",IF(COUNTIFS($A$2:$A1479,$A1479,$B$2:$B1479,$B1479)=1,1,""))</f>
        <v/>
      </c>
      <c r="S1479" s="20">
        <f>IF($R1479=1,COUNTIF($R$2:$R1479,1),"")</f>
        <v/>
      </c>
    </row>
    <row r="1480">
      <c r="A1480" s="19" t="n"/>
      <c r="B1480" s="14" t="n"/>
      <c r="C1480" s="20">
        <f>IF($B1480="","",IFERROR(INDEX(Vinos!$B$2:$B$301,MATCH($B1480,Vinos!$A$2:$A$301,0)),"Código no cargado"))</f>
        <v/>
      </c>
      <c r="D1480" s="14" t="n"/>
      <c r="E1480" s="14" t="n"/>
      <c r="F1480" s="18" t="n"/>
      <c r="G1480" s="18" t="n"/>
      <c r="H1480" s="21">
        <f>IF(AND($F1480="",$G1480=""),"",N($F1480)*IFERROR(N(INDEX(Vinos!$H$2:$H$301,MATCH($B1480,Vinos!$A$2:$A$301,0))),0)+N($G1480))</f>
        <v/>
      </c>
      <c r="I1480" s="18" t="n"/>
      <c r="J1480" s="21">
        <f>IF(OR($H1480="",$I1480=""),"",$H1480-$I1480)</f>
        <v/>
      </c>
      <c r="K1480" s="16">
        <f>IF($H1480="","",IFERROR(IF(INDEX(Vinos!$J$2:$J$301,MATCH($B1480,Vinos!$A$2:$A$301,0))="","",$H1480*INDEX(Vinos!$J$2:$J$301,MATCH($B1480,Vinos!$A$2:$A$301,0))),""))</f>
        <v/>
      </c>
      <c r="L1480" s="16">
        <f>IF($H1480="","",IFERROR(IF(INDEX(Vinos!$K$2:$K$301,MATCH($B1480,Vinos!$A$2:$A$301,0))="","",$H1480*INDEX(Vinos!$K$2:$K$301,MATCH($B1480,Vinos!$A$2:$A$301,0))),""))</f>
        <v/>
      </c>
      <c r="M1480" s="21">
        <f>IF(OR($A1480="",$B1480=""),"",SUMIFS($H$2:$H$2001,$A$2:$A$2001,$A1480,$B$2:$B$2001,$B1480))</f>
        <v/>
      </c>
      <c r="N1480" s="20">
        <f>IF($M1480="","",IF($M1480&lt;=0,"Sin stock: reponer ya",IF($M1480&lt;IFERROR(N(INDEX(Vinos!$N$2:$N$301,MATCH($B1480,Vinos!$A$2:$A$301,0))),0),"Bajo mínimo: reponer","OK")))</f>
        <v/>
      </c>
      <c r="O1480" s="14" t="n"/>
      <c r="P1480" s="14" t="n"/>
      <c r="Q1480" s="20">
        <f>IF($B1480="","",IFERROR(INDEX(Vinos!$C$2:$C$301,MATCH($B1480,Vinos!$A$2:$A$301,0)),""))</f>
        <v/>
      </c>
      <c r="R1480" s="20">
        <f>IF(OR($A1480="",$A1480&lt;&gt;'Resumen del inventario'!$C$3,$N1480="",$N1480="OK"),"",IF(COUNTIFS($A$2:$A1480,$A1480,$B$2:$B1480,$B1480)=1,1,""))</f>
        <v/>
      </c>
      <c r="S1480" s="20">
        <f>IF($R1480=1,COUNTIF($R$2:$R1480,1),"")</f>
        <v/>
      </c>
    </row>
    <row r="1481">
      <c r="A1481" s="19" t="n"/>
      <c r="B1481" s="14" t="n"/>
      <c r="C1481" s="20">
        <f>IF($B1481="","",IFERROR(INDEX(Vinos!$B$2:$B$301,MATCH($B1481,Vinos!$A$2:$A$301,0)),"Código no cargado"))</f>
        <v/>
      </c>
      <c r="D1481" s="14" t="n"/>
      <c r="E1481" s="14" t="n"/>
      <c r="F1481" s="18" t="n"/>
      <c r="G1481" s="18" t="n"/>
      <c r="H1481" s="21">
        <f>IF(AND($F1481="",$G1481=""),"",N($F1481)*IFERROR(N(INDEX(Vinos!$H$2:$H$301,MATCH($B1481,Vinos!$A$2:$A$301,0))),0)+N($G1481))</f>
        <v/>
      </c>
      <c r="I1481" s="18" t="n"/>
      <c r="J1481" s="21">
        <f>IF(OR($H1481="",$I1481=""),"",$H1481-$I1481)</f>
        <v/>
      </c>
      <c r="K1481" s="16">
        <f>IF($H1481="","",IFERROR(IF(INDEX(Vinos!$J$2:$J$301,MATCH($B1481,Vinos!$A$2:$A$301,0))="","",$H1481*INDEX(Vinos!$J$2:$J$301,MATCH($B1481,Vinos!$A$2:$A$301,0))),""))</f>
        <v/>
      </c>
      <c r="L1481" s="16">
        <f>IF($H1481="","",IFERROR(IF(INDEX(Vinos!$K$2:$K$301,MATCH($B1481,Vinos!$A$2:$A$301,0))="","",$H1481*INDEX(Vinos!$K$2:$K$301,MATCH($B1481,Vinos!$A$2:$A$301,0))),""))</f>
        <v/>
      </c>
      <c r="M1481" s="21">
        <f>IF(OR($A1481="",$B1481=""),"",SUMIFS($H$2:$H$2001,$A$2:$A$2001,$A1481,$B$2:$B$2001,$B1481))</f>
        <v/>
      </c>
      <c r="N1481" s="20">
        <f>IF($M1481="","",IF($M1481&lt;=0,"Sin stock: reponer ya",IF($M1481&lt;IFERROR(N(INDEX(Vinos!$N$2:$N$301,MATCH($B1481,Vinos!$A$2:$A$301,0))),0),"Bajo mínimo: reponer","OK")))</f>
        <v/>
      </c>
      <c r="O1481" s="14" t="n"/>
      <c r="P1481" s="14" t="n"/>
      <c r="Q1481" s="20">
        <f>IF($B1481="","",IFERROR(INDEX(Vinos!$C$2:$C$301,MATCH($B1481,Vinos!$A$2:$A$301,0)),""))</f>
        <v/>
      </c>
      <c r="R1481" s="20">
        <f>IF(OR($A1481="",$A1481&lt;&gt;'Resumen del inventario'!$C$3,$N1481="",$N1481="OK"),"",IF(COUNTIFS($A$2:$A1481,$A1481,$B$2:$B1481,$B1481)=1,1,""))</f>
        <v/>
      </c>
      <c r="S1481" s="20">
        <f>IF($R1481=1,COUNTIF($R$2:$R1481,1),"")</f>
        <v/>
      </c>
    </row>
    <row r="1482">
      <c r="A1482" s="19" t="n"/>
      <c r="B1482" s="14" t="n"/>
      <c r="C1482" s="20">
        <f>IF($B1482="","",IFERROR(INDEX(Vinos!$B$2:$B$301,MATCH($B1482,Vinos!$A$2:$A$301,0)),"Código no cargado"))</f>
        <v/>
      </c>
      <c r="D1482" s="14" t="n"/>
      <c r="E1482" s="14" t="n"/>
      <c r="F1482" s="18" t="n"/>
      <c r="G1482" s="18" t="n"/>
      <c r="H1482" s="21">
        <f>IF(AND($F1482="",$G1482=""),"",N($F1482)*IFERROR(N(INDEX(Vinos!$H$2:$H$301,MATCH($B1482,Vinos!$A$2:$A$301,0))),0)+N($G1482))</f>
        <v/>
      </c>
      <c r="I1482" s="18" t="n"/>
      <c r="J1482" s="21">
        <f>IF(OR($H1482="",$I1482=""),"",$H1482-$I1482)</f>
        <v/>
      </c>
      <c r="K1482" s="16">
        <f>IF($H1482="","",IFERROR(IF(INDEX(Vinos!$J$2:$J$301,MATCH($B1482,Vinos!$A$2:$A$301,0))="","",$H1482*INDEX(Vinos!$J$2:$J$301,MATCH($B1482,Vinos!$A$2:$A$301,0))),""))</f>
        <v/>
      </c>
      <c r="L1482" s="16">
        <f>IF($H1482="","",IFERROR(IF(INDEX(Vinos!$K$2:$K$301,MATCH($B1482,Vinos!$A$2:$A$301,0))="","",$H1482*INDEX(Vinos!$K$2:$K$301,MATCH($B1482,Vinos!$A$2:$A$301,0))),""))</f>
        <v/>
      </c>
      <c r="M1482" s="21">
        <f>IF(OR($A1482="",$B1482=""),"",SUMIFS($H$2:$H$2001,$A$2:$A$2001,$A1482,$B$2:$B$2001,$B1482))</f>
        <v/>
      </c>
      <c r="N1482" s="20">
        <f>IF($M1482="","",IF($M1482&lt;=0,"Sin stock: reponer ya",IF($M1482&lt;IFERROR(N(INDEX(Vinos!$N$2:$N$301,MATCH($B1482,Vinos!$A$2:$A$301,0))),0),"Bajo mínimo: reponer","OK")))</f>
        <v/>
      </c>
      <c r="O1482" s="14" t="n"/>
      <c r="P1482" s="14" t="n"/>
      <c r="Q1482" s="20">
        <f>IF($B1482="","",IFERROR(INDEX(Vinos!$C$2:$C$301,MATCH($B1482,Vinos!$A$2:$A$301,0)),""))</f>
        <v/>
      </c>
      <c r="R1482" s="20">
        <f>IF(OR($A1482="",$A1482&lt;&gt;'Resumen del inventario'!$C$3,$N1482="",$N1482="OK"),"",IF(COUNTIFS($A$2:$A1482,$A1482,$B$2:$B1482,$B1482)=1,1,""))</f>
        <v/>
      </c>
      <c r="S1482" s="20">
        <f>IF($R1482=1,COUNTIF($R$2:$R1482,1),"")</f>
        <v/>
      </c>
    </row>
    <row r="1483">
      <c r="A1483" s="19" t="n"/>
      <c r="B1483" s="14" t="n"/>
      <c r="C1483" s="20">
        <f>IF($B1483="","",IFERROR(INDEX(Vinos!$B$2:$B$301,MATCH($B1483,Vinos!$A$2:$A$301,0)),"Código no cargado"))</f>
        <v/>
      </c>
      <c r="D1483" s="14" t="n"/>
      <c r="E1483" s="14" t="n"/>
      <c r="F1483" s="18" t="n"/>
      <c r="G1483" s="18" t="n"/>
      <c r="H1483" s="21">
        <f>IF(AND($F1483="",$G1483=""),"",N($F1483)*IFERROR(N(INDEX(Vinos!$H$2:$H$301,MATCH($B1483,Vinos!$A$2:$A$301,0))),0)+N($G1483))</f>
        <v/>
      </c>
      <c r="I1483" s="18" t="n"/>
      <c r="J1483" s="21">
        <f>IF(OR($H1483="",$I1483=""),"",$H1483-$I1483)</f>
        <v/>
      </c>
      <c r="K1483" s="16">
        <f>IF($H1483="","",IFERROR(IF(INDEX(Vinos!$J$2:$J$301,MATCH($B1483,Vinos!$A$2:$A$301,0))="","",$H1483*INDEX(Vinos!$J$2:$J$301,MATCH($B1483,Vinos!$A$2:$A$301,0))),""))</f>
        <v/>
      </c>
      <c r="L1483" s="16">
        <f>IF($H1483="","",IFERROR(IF(INDEX(Vinos!$K$2:$K$301,MATCH($B1483,Vinos!$A$2:$A$301,0))="","",$H1483*INDEX(Vinos!$K$2:$K$301,MATCH($B1483,Vinos!$A$2:$A$301,0))),""))</f>
        <v/>
      </c>
      <c r="M1483" s="21">
        <f>IF(OR($A1483="",$B1483=""),"",SUMIFS($H$2:$H$2001,$A$2:$A$2001,$A1483,$B$2:$B$2001,$B1483))</f>
        <v/>
      </c>
      <c r="N1483" s="20">
        <f>IF($M1483="","",IF($M1483&lt;=0,"Sin stock: reponer ya",IF($M1483&lt;IFERROR(N(INDEX(Vinos!$N$2:$N$301,MATCH($B1483,Vinos!$A$2:$A$301,0))),0),"Bajo mínimo: reponer","OK")))</f>
        <v/>
      </c>
      <c r="O1483" s="14" t="n"/>
      <c r="P1483" s="14" t="n"/>
      <c r="Q1483" s="20">
        <f>IF($B1483="","",IFERROR(INDEX(Vinos!$C$2:$C$301,MATCH($B1483,Vinos!$A$2:$A$301,0)),""))</f>
        <v/>
      </c>
      <c r="R1483" s="20">
        <f>IF(OR($A1483="",$A1483&lt;&gt;'Resumen del inventario'!$C$3,$N1483="",$N1483="OK"),"",IF(COUNTIFS($A$2:$A1483,$A1483,$B$2:$B1483,$B1483)=1,1,""))</f>
        <v/>
      </c>
      <c r="S1483" s="20">
        <f>IF($R1483=1,COUNTIF($R$2:$R1483,1),"")</f>
        <v/>
      </c>
    </row>
    <row r="1484">
      <c r="A1484" s="19" t="n"/>
      <c r="B1484" s="14" t="n"/>
      <c r="C1484" s="20">
        <f>IF($B1484="","",IFERROR(INDEX(Vinos!$B$2:$B$301,MATCH($B1484,Vinos!$A$2:$A$301,0)),"Código no cargado"))</f>
        <v/>
      </c>
      <c r="D1484" s="14" t="n"/>
      <c r="E1484" s="14" t="n"/>
      <c r="F1484" s="18" t="n"/>
      <c r="G1484" s="18" t="n"/>
      <c r="H1484" s="21">
        <f>IF(AND($F1484="",$G1484=""),"",N($F1484)*IFERROR(N(INDEX(Vinos!$H$2:$H$301,MATCH($B1484,Vinos!$A$2:$A$301,0))),0)+N($G1484))</f>
        <v/>
      </c>
      <c r="I1484" s="18" t="n"/>
      <c r="J1484" s="21">
        <f>IF(OR($H1484="",$I1484=""),"",$H1484-$I1484)</f>
        <v/>
      </c>
      <c r="K1484" s="16">
        <f>IF($H1484="","",IFERROR(IF(INDEX(Vinos!$J$2:$J$301,MATCH($B1484,Vinos!$A$2:$A$301,0))="","",$H1484*INDEX(Vinos!$J$2:$J$301,MATCH($B1484,Vinos!$A$2:$A$301,0))),""))</f>
        <v/>
      </c>
      <c r="L1484" s="16">
        <f>IF($H1484="","",IFERROR(IF(INDEX(Vinos!$K$2:$K$301,MATCH($B1484,Vinos!$A$2:$A$301,0))="","",$H1484*INDEX(Vinos!$K$2:$K$301,MATCH($B1484,Vinos!$A$2:$A$301,0))),""))</f>
        <v/>
      </c>
      <c r="M1484" s="21">
        <f>IF(OR($A1484="",$B1484=""),"",SUMIFS($H$2:$H$2001,$A$2:$A$2001,$A1484,$B$2:$B$2001,$B1484))</f>
        <v/>
      </c>
      <c r="N1484" s="20">
        <f>IF($M1484="","",IF($M1484&lt;=0,"Sin stock: reponer ya",IF($M1484&lt;IFERROR(N(INDEX(Vinos!$N$2:$N$301,MATCH($B1484,Vinos!$A$2:$A$301,0))),0),"Bajo mínimo: reponer","OK")))</f>
        <v/>
      </c>
      <c r="O1484" s="14" t="n"/>
      <c r="P1484" s="14" t="n"/>
      <c r="Q1484" s="20">
        <f>IF($B1484="","",IFERROR(INDEX(Vinos!$C$2:$C$301,MATCH($B1484,Vinos!$A$2:$A$301,0)),""))</f>
        <v/>
      </c>
      <c r="R1484" s="20">
        <f>IF(OR($A1484="",$A1484&lt;&gt;'Resumen del inventario'!$C$3,$N1484="",$N1484="OK"),"",IF(COUNTIFS($A$2:$A1484,$A1484,$B$2:$B1484,$B1484)=1,1,""))</f>
        <v/>
      </c>
      <c r="S1484" s="20">
        <f>IF($R1484=1,COUNTIF($R$2:$R1484,1),"")</f>
        <v/>
      </c>
    </row>
    <row r="1485">
      <c r="A1485" s="19" t="n"/>
      <c r="B1485" s="14" t="n"/>
      <c r="C1485" s="20">
        <f>IF($B1485="","",IFERROR(INDEX(Vinos!$B$2:$B$301,MATCH($B1485,Vinos!$A$2:$A$301,0)),"Código no cargado"))</f>
        <v/>
      </c>
      <c r="D1485" s="14" t="n"/>
      <c r="E1485" s="14" t="n"/>
      <c r="F1485" s="18" t="n"/>
      <c r="G1485" s="18" t="n"/>
      <c r="H1485" s="21">
        <f>IF(AND($F1485="",$G1485=""),"",N($F1485)*IFERROR(N(INDEX(Vinos!$H$2:$H$301,MATCH($B1485,Vinos!$A$2:$A$301,0))),0)+N($G1485))</f>
        <v/>
      </c>
      <c r="I1485" s="18" t="n"/>
      <c r="J1485" s="21">
        <f>IF(OR($H1485="",$I1485=""),"",$H1485-$I1485)</f>
        <v/>
      </c>
      <c r="K1485" s="16">
        <f>IF($H1485="","",IFERROR(IF(INDEX(Vinos!$J$2:$J$301,MATCH($B1485,Vinos!$A$2:$A$301,0))="","",$H1485*INDEX(Vinos!$J$2:$J$301,MATCH($B1485,Vinos!$A$2:$A$301,0))),""))</f>
        <v/>
      </c>
      <c r="L1485" s="16">
        <f>IF($H1485="","",IFERROR(IF(INDEX(Vinos!$K$2:$K$301,MATCH($B1485,Vinos!$A$2:$A$301,0))="","",$H1485*INDEX(Vinos!$K$2:$K$301,MATCH($B1485,Vinos!$A$2:$A$301,0))),""))</f>
        <v/>
      </c>
      <c r="M1485" s="21">
        <f>IF(OR($A1485="",$B1485=""),"",SUMIFS($H$2:$H$2001,$A$2:$A$2001,$A1485,$B$2:$B$2001,$B1485))</f>
        <v/>
      </c>
      <c r="N1485" s="20">
        <f>IF($M1485="","",IF($M1485&lt;=0,"Sin stock: reponer ya",IF($M1485&lt;IFERROR(N(INDEX(Vinos!$N$2:$N$301,MATCH($B1485,Vinos!$A$2:$A$301,0))),0),"Bajo mínimo: reponer","OK")))</f>
        <v/>
      </c>
      <c r="O1485" s="14" t="n"/>
      <c r="P1485" s="14" t="n"/>
      <c r="Q1485" s="20">
        <f>IF($B1485="","",IFERROR(INDEX(Vinos!$C$2:$C$301,MATCH($B1485,Vinos!$A$2:$A$301,0)),""))</f>
        <v/>
      </c>
      <c r="R1485" s="20">
        <f>IF(OR($A1485="",$A1485&lt;&gt;'Resumen del inventario'!$C$3,$N1485="",$N1485="OK"),"",IF(COUNTIFS($A$2:$A1485,$A1485,$B$2:$B1485,$B1485)=1,1,""))</f>
        <v/>
      </c>
      <c r="S1485" s="20">
        <f>IF($R1485=1,COUNTIF($R$2:$R1485,1),"")</f>
        <v/>
      </c>
    </row>
    <row r="1486">
      <c r="A1486" s="19" t="n"/>
      <c r="B1486" s="14" t="n"/>
      <c r="C1486" s="20">
        <f>IF($B1486="","",IFERROR(INDEX(Vinos!$B$2:$B$301,MATCH($B1486,Vinos!$A$2:$A$301,0)),"Código no cargado"))</f>
        <v/>
      </c>
      <c r="D1486" s="14" t="n"/>
      <c r="E1486" s="14" t="n"/>
      <c r="F1486" s="18" t="n"/>
      <c r="G1486" s="18" t="n"/>
      <c r="H1486" s="21">
        <f>IF(AND($F1486="",$G1486=""),"",N($F1486)*IFERROR(N(INDEX(Vinos!$H$2:$H$301,MATCH($B1486,Vinos!$A$2:$A$301,0))),0)+N($G1486))</f>
        <v/>
      </c>
      <c r="I1486" s="18" t="n"/>
      <c r="J1486" s="21">
        <f>IF(OR($H1486="",$I1486=""),"",$H1486-$I1486)</f>
        <v/>
      </c>
      <c r="K1486" s="16">
        <f>IF($H1486="","",IFERROR(IF(INDEX(Vinos!$J$2:$J$301,MATCH($B1486,Vinos!$A$2:$A$301,0))="","",$H1486*INDEX(Vinos!$J$2:$J$301,MATCH($B1486,Vinos!$A$2:$A$301,0))),""))</f>
        <v/>
      </c>
      <c r="L1486" s="16">
        <f>IF($H1486="","",IFERROR(IF(INDEX(Vinos!$K$2:$K$301,MATCH($B1486,Vinos!$A$2:$A$301,0))="","",$H1486*INDEX(Vinos!$K$2:$K$301,MATCH($B1486,Vinos!$A$2:$A$301,0))),""))</f>
        <v/>
      </c>
      <c r="M1486" s="21">
        <f>IF(OR($A1486="",$B1486=""),"",SUMIFS($H$2:$H$2001,$A$2:$A$2001,$A1486,$B$2:$B$2001,$B1486))</f>
        <v/>
      </c>
      <c r="N1486" s="20">
        <f>IF($M1486="","",IF($M1486&lt;=0,"Sin stock: reponer ya",IF($M1486&lt;IFERROR(N(INDEX(Vinos!$N$2:$N$301,MATCH($B1486,Vinos!$A$2:$A$301,0))),0),"Bajo mínimo: reponer","OK")))</f>
        <v/>
      </c>
      <c r="O1486" s="14" t="n"/>
      <c r="P1486" s="14" t="n"/>
      <c r="Q1486" s="20">
        <f>IF($B1486="","",IFERROR(INDEX(Vinos!$C$2:$C$301,MATCH($B1486,Vinos!$A$2:$A$301,0)),""))</f>
        <v/>
      </c>
      <c r="R1486" s="20">
        <f>IF(OR($A1486="",$A1486&lt;&gt;'Resumen del inventario'!$C$3,$N1486="",$N1486="OK"),"",IF(COUNTIFS($A$2:$A1486,$A1486,$B$2:$B1486,$B1486)=1,1,""))</f>
        <v/>
      </c>
      <c r="S1486" s="20">
        <f>IF($R1486=1,COUNTIF($R$2:$R1486,1),"")</f>
        <v/>
      </c>
    </row>
    <row r="1487">
      <c r="A1487" s="19" t="n"/>
      <c r="B1487" s="14" t="n"/>
      <c r="C1487" s="20">
        <f>IF($B1487="","",IFERROR(INDEX(Vinos!$B$2:$B$301,MATCH($B1487,Vinos!$A$2:$A$301,0)),"Código no cargado"))</f>
        <v/>
      </c>
      <c r="D1487" s="14" t="n"/>
      <c r="E1487" s="14" t="n"/>
      <c r="F1487" s="18" t="n"/>
      <c r="G1487" s="18" t="n"/>
      <c r="H1487" s="21">
        <f>IF(AND($F1487="",$G1487=""),"",N($F1487)*IFERROR(N(INDEX(Vinos!$H$2:$H$301,MATCH($B1487,Vinos!$A$2:$A$301,0))),0)+N($G1487))</f>
        <v/>
      </c>
      <c r="I1487" s="18" t="n"/>
      <c r="J1487" s="21">
        <f>IF(OR($H1487="",$I1487=""),"",$H1487-$I1487)</f>
        <v/>
      </c>
      <c r="K1487" s="16">
        <f>IF($H1487="","",IFERROR(IF(INDEX(Vinos!$J$2:$J$301,MATCH($B1487,Vinos!$A$2:$A$301,0))="","",$H1487*INDEX(Vinos!$J$2:$J$301,MATCH($B1487,Vinos!$A$2:$A$301,0))),""))</f>
        <v/>
      </c>
      <c r="L1487" s="16">
        <f>IF($H1487="","",IFERROR(IF(INDEX(Vinos!$K$2:$K$301,MATCH($B1487,Vinos!$A$2:$A$301,0))="","",$H1487*INDEX(Vinos!$K$2:$K$301,MATCH($B1487,Vinos!$A$2:$A$301,0))),""))</f>
        <v/>
      </c>
      <c r="M1487" s="21">
        <f>IF(OR($A1487="",$B1487=""),"",SUMIFS($H$2:$H$2001,$A$2:$A$2001,$A1487,$B$2:$B$2001,$B1487))</f>
        <v/>
      </c>
      <c r="N1487" s="20">
        <f>IF($M1487="","",IF($M1487&lt;=0,"Sin stock: reponer ya",IF($M1487&lt;IFERROR(N(INDEX(Vinos!$N$2:$N$301,MATCH($B1487,Vinos!$A$2:$A$301,0))),0),"Bajo mínimo: reponer","OK")))</f>
        <v/>
      </c>
      <c r="O1487" s="14" t="n"/>
      <c r="P1487" s="14" t="n"/>
      <c r="Q1487" s="20">
        <f>IF($B1487="","",IFERROR(INDEX(Vinos!$C$2:$C$301,MATCH($B1487,Vinos!$A$2:$A$301,0)),""))</f>
        <v/>
      </c>
      <c r="R1487" s="20">
        <f>IF(OR($A1487="",$A1487&lt;&gt;'Resumen del inventario'!$C$3,$N1487="",$N1487="OK"),"",IF(COUNTIFS($A$2:$A1487,$A1487,$B$2:$B1487,$B1487)=1,1,""))</f>
        <v/>
      </c>
      <c r="S1487" s="20">
        <f>IF($R1487=1,COUNTIF($R$2:$R1487,1),"")</f>
        <v/>
      </c>
    </row>
    <row r="1488">
      <c r="A1488" s="19" t="n"/>
      <c r="B1488" s="14" t="n"/>
      <c r="C1488" s="20">
        <f>IF($B1488="","",IFERROR(INDEX(Vinos!$B$2:$B$301,MATCH($B1488,Vinos!$A$2:$A$301,0)),"Código no cargado"))</f>
        <v/>
      </c>
      <c r="D1488" s="14" t="n"/>
      <c r="E1488" s="14" t="n"/>
      <c r="F1488" s="18" t="n"/>
      <c r="G1488" s="18" t="n"/>
      <c r="H1488" s="21">
        <f>IF(AND($F1488="",$G1488=""),"",N($F1488)*IFERROR(N(INDEX(Vinos!$H$2:$H$301,MATCH($B1488,Vinos!$A$2:$A$301,0))),0)+N($G1488))</f>
        <v/>
      </c>
      <c r="I1488" s="18" t="n"/>
      <c r="J1488" s="21">
        <f>IF(OR($H1488="",$I1488=""),"",$H1488-$I1488)</f>
        <v/>
      </c>
      <c r="K1488" s="16">
        <f>IF($H1488="","",IFERROR(IF(INDEX(Vinos!$J$2:$J$301,MATCH($B1488,Vinos!$A$2:$A$301,0))="","",$H1488*INDEX(Vinos!$J$2:$J$301,MATCH($B1488,Vinos!$A$2:$A$301,0))),""))</f>
        <v/>
      </c>
      <c r="L1488" s="16">
        <f>IF($H1488="","",IFERROR(IF(INDEX(Vinos!$K$2:$K$301,MATCH($B1488,Vinos!$A$2:$A$301,0))="","",$H1488*INDEX(Vinos!$K$2:$K$301,MATCH($B1488,Vinos!$A$2:$A$301,0))),""))</f>
        <v/>
      </c>
      <c r="M1488" s="21">
        <f>IF(OR($A1488="",$B1488=""),"",SUMIFS($H$2:$H$2001,$A$2:$A$2001,$A1488,$B$2:$B$2001,$B1488))</f>
        <v/>
      </c>
      <c r="N1488" s="20">
        <f>IF($M1488="","",IF($M1488&lt;=0,"Sin stock: reponer ya",IF($M1488&lt;IFERROR(N(INDEX(Vinos!$N$2:$N$301,MATCH($B1488,Vinos!$A$2:$A$301,0))),0),"Bajo mínimo: reponer","OK")))</f>
        <v/>
      </c>
      <c r="O1488" s="14" t="n"/>
      <c r="P1488" s="14" t="n"/>
      <c r="Q1488" s="20">
        <f>IF($B1488="","",IFERROR(INDEX(Vinos!$C$2:$C$301,MATCH($B1488,Vinos!$A$2:$A$301,0)),""))</f>
        <v/>
      </c>
      <c r="R1488" s="20">
        <f>IF(OR($A1488="",$A1488&lt;&gt;'Resumen del inventario'!$C$3,$N1488="",$N1488="OK"),"",IF(COUNTIFS($A$2:$A1488,$A1488,$B$2:$B1488,$B1488)=1,1,""))</f>
        <v/>
      </c>
      <c r="S1488" s="20">
        <f>IF($R1488=1,COUNTIF($R$2:$R1488,1),"")</f>
        <v/>
      </c>
    </row>
    <row r="1489">
      <c r="A1489" s="19" t="n"/>
      <c r="B1489" s="14" t="n"/>
      <c r="C1489" s="20">
        <f>IF($B1489="","",IFERROR(INDEX(Vinos!$B$2:$B$301,MATCH($B1489,Vinos!$A$2:$A$301,0)),"Código no cargado"))</f>
        <v/>
      </c>
      <c r="D1489" s="14" t="n"/>
      <c r="E1489" s="14" t="n"/>
      <c r="F1489" s="18" t="n"/>
      <c r="G1489" s="18" t="n"/>
      <c r="H1489" s="21">
        <f>IF(AND($F1489="",$G1489=""),"",N($F1489)*IFERROR(N(INDEX(Vinos!$H$2:$H$301,MATCH($B1489,Vinos!$A$2:$A$301,0))),0)+N($G1489))</f>
        <v/>
      </c>
      <c r="I1489" s="18" t="n"/>
      <c r="J1489" s="21">
        <f>IF(OR($H1489="",$I1489=""),"",$H1489-$I1489)</f>
        <v/>
      </c>
      <c r="K1489" s="16">
        <f>IF($H1489="","",IFERROR(IF(INDEX(Vinos!$J$2:$J$301,MATCH($B1489,Vinos!$A$2:$A$301,0))="","",$H1489*INDEX(Vinos!$J$2:$J$301,MATCH($B1489,Vinos!$A$2:$A$301,0))),""))</f>
        <v/>
      </c>
      <c r="L1489" s="16">
        <f>IF($H1489="","",IFERROR(IF(INDEX(Vinos!$K$2:$K$301,MATCH($B1489,Vinos!$A$2:$A$301,0))="","",$H1489*INDEX(Vinos!$K$2:$K$301,MATCH($B1489,Vinos!$A$2:$A$301,0))),""))</f>
        <v/>
      </c>
      <c r="M1489" s="21">
        <f>IF(OR($A1489="",$B1489=""),"",SUMIFS($H$2:$H$2001,$A$2:$A$2001,$A1489,$B$2:$B$2001,$B1489))</f>
        <v/>
      </c>
      <c r="N1489" s="20">
        <f>IF($M1489="","",IF($M1489&lt;=0,"Sin stock: reponer ya",IF($M1489&lt;IFERROR(N(INDEX(Vinos!$N$2:$N$301,MATCH($B1489,Vinos!$A$2:$A$301,0))),0),"Bajo mínimo: reponer","OK")))</f>
        <v/>
      </c>
      <c r="O1489" s="14" t="n"/>
      <c r="P1489" s="14" t="n"/>
      <c r="Q1489" s="20">
        <f>IF($B1489="","",IFERROR(INDEX(Vinos!$C$2:$C$301,MATCH($B1489,Vinos!$A$2:$A$301,0)),""))</f>
        <v/>
      </c>
      <c r="R1489" s="20">
        <f>IF(OR($A1489="",$A1489&lt;&gt;'Resumen del inventario'!$C$3,$N1489="",$N1489="OK"),"",IF(COUNTIFS($A$2:$A1489,$A1489,$B$2:$B1489,$B1489)=1,1,""))</f>
        <v/>
      </c>
      <c r="S1489" s="20">
        <f>IF($R1489=1,COUNTIF($R$2:$R1489,1),"")</f>
        <v/>
      </c>
    </row>
    <row r="1490">
      <c r="A1490" s="19" t="n"/>
      <c r="B1490" s="14" t="n"/>
      <c r="C1490" s="20">
        <f>IF($B1490="","",IFERROR(INDEX(Vinos!$B$2:$B$301,MATCH($B1490,Vinos!$A$2:$A$301,0)),"Código no cargado"))</f>
        <v/>
      </c>
      <c r="D1490" s="14" t="n"/>
      <c r="E1490" s="14" t="n"/>
      <c r="F1490" s="18" t="n"/>
      <c r="G1490" s="18" t="n"/>
      <c r="H1490" s="21">
        <f>IF(AND($F1490="",$G1490=""),"",N($F1490)*IFERROR(N(INDEX(Vinos!$H$2:$H$301,MATCH($B1490,Vinos!$A$2:$A$301,0))),0)+N($G1490))</f>
        <v/>
      </c>
      <c r="I1490" s="18" t="n"/>
      <c r="J1490" s="21">
        <f>IF(OR($H1490="",$I1490=""),"",$H1490-$I1490)</f>
        <v/>
      </c>
      <c r="K1490" s="16">
        <f>IF($H1490="","",IFERROR(IF(INDEX(Vinos!$J$2:$J$301,MATCH($B1490,Vinos!$A$2:$A$301,0))="","",$H1490*INDEX(Vinos!$J$2:$J$301,MATCH($B1490,Vinos!$A$2:$A$301,0))),""))</f>
        <v/>
      </c>
      <c r="L1490" s="16">
        <f>IF($H1490="","",IFERROR(IF(INDEX(Vinos!$K$2:$K$301,MATCH($B1490,Vinos!$A$2:$A$301,0))="","",$H1490*INDEX(Vinos!$K$2:$K$301,MATCH($B1490,Vinos!$A$2:$A$301,0))),""))</f>
        <v/>
      </c>
      <c r="M1490" s="21">
        <f>IF(OR($A1490="",$B1490=""),"",SUMIFS($H$2:$H$2001,$A$2:$A$2001,$A1490,$B$2:$B$2001,$B1490))</f>
        <v/>
      </c>
      <c r="N1490" s="20">
        <f>IF($M1490="","",IF($M1490&lt;=0,"Sin stock: reponer ya",IF($M1490&lt;IFERROR(N(INDEX(Vinos!$N$2:$N$301,MATCH($B1490,Vinos!$A$2:$A$301,0))),0),"Bajo mínimo: reponer","OK")))</f>
        <v/>
      </c>
      <c r="O1490" s="14" t="n"/>
      <c r="P1490" s="14" t="n"/>
      <c r="Q1490" s="20">
        <f>IF($B1490="","",IFERROR(INDEX(Vinos!$C$2:$C$301,MATCH($B1490,Vinos!$A$2:$A$301,0)),""))</f>
        <v/>
      </c>
      <c r="R1490" s="20">
        <f>IF(OR($A1490="",$A1490&lt;&gt;'Resumen del inventario'!$C$3,$N1490="",$N1490="OK"),"",IF(COUNTIFS($A$2:$A1490,$A1490,$B$2:$B1490,$B1490)=1,1,""))</f>
        <v/>
      </c>
      <c r="S1490" s="20">
        <f>IF($R1490=1,COUNTIF($R$2:$R1490,1),"")</f>
        <v/>
      </c>
    </row>
    <row r="1491">
      <c r="A1491" s="19" t="n"/>
      <c r="B1491" s="14" t="n"/>
      <c r="C1491" s="20">
        <f>IF($B1491="","",IFERROR(INDEX(Vinos!$B$2:$B$301,MATCH($B1491,Vinos!$A$2:$A$301,0)),"Código no cargado"))</f>
        <v/>
      </c>
      <c r="D1491" s="14" t="n"/>
      <c r="E1491" s="14" t="n"/>
      <c r="F1491" s="18" t="n"/>
      <c r="G1491" s="18" t="n"/>
      <c r="H1491" s="21">
        <f>IF(AND($F1491="",$G1491=""),"",N($F1491)*IFERROR(N(INDEX(Vinos!$H$2:$H$301,MATCH($B1491,Vinos!$A$2:$A$301,0))),0)+N($G1491))</f>
        <v/>
      </c>
      <c r="I1491" s="18" t="n"/>
      <c r="J1491" s="21">
        <f>IF(OR($H1491="",$I1491=""),"",$H1491-$I1491)</f>
        <v/>
      </c>
      <c r="K1491" s="16">
        <f>IF($H1491="","",IFERROR(IF(INDEX(Vinos!$J$2:$J$301,MATCH($B1491,Vinos!$A$2:$A$301,0))="","",$H1491*INDEX(Vinos!$J$2:$J$301,MATCH($B1491,Vinos!$A$2:$A$301,0))),""))</f>
        <v/>
      </c>
      <c r="L1491" s="16">
        <f>IF($H1491="","",IFERROR(IF(INDEX(Vinos!$K$2:$K$301,MATCH($B1491,Vinos!$A$2:$A$301,0))="","",$H1491*INDEX(Vinos!$K$2:$K$301,MATCH($B1491,Vinos!$A$2:$A$301,0))),""))</f>
        <v/>
      </c>
      <c r="M1491" s="21">
        <f>IF(OR($A1491="",$B1491=""),"",SUMIFS($H$2:$H$2001,$A$2:$A$2001,$A1491,$B$2:$B$2001,$B1491))</f>
        <v/>
      </c>
      <c r="N1491" s="20">
        <f>IF($M1491="","",IF($M1491&lt;=0,"Sin stock: reponer ya",IF($M1491&lt;IFERROR(N(INDEX(Vinos!$N$2:$N$301,MATCH($B1491,Vinos!$A$2:$A$301,0))),0),"Bajo mínimo: reponer","OK")))</f>
        <v/>
      </c>
      <c r="O1491" s="14" t="n"/>
      <c r="P1491" s="14" t="n"/>
      <c r="Q1491" s="20">
        <f>IF($B1491="","",IFERROR(INDEX(Vinos!$C$2:$C$301,MATCH($B1491,Vinos!$A$2:$A$301,0)),""))</f>
        <v/>
      </c>
      <c r="R1491" s="20">
        <f>IF(OR($A1491="",$A1491&lt;&gt;'Resumen del inventario'!$C$3,$N1491="",$N1491="OK"),"",IF(COUNTIFS($A$2:$A1491,$A1491,$B$2:$B1491,$B1491)=1,1,""))</f>
        <v/>
      </c>
      <c r="S1491" s="20">
        <f>IF($R1491=1,COUNTIF($R$2:$R1491,1),"")</f>
        <v/>
      </c>
    </row>
    <row r="1492">
      <c r="A1492" s="19" t="n"/>
      <c r="B1492" s="14" t="n"/>
      <c r="C1492" s="20">
        <f>IF($B1492="","",IFERROR(INDEX(Vinos!$B$2:$B$301,MATCH($B1492,Vinos!$A$2:$A$301,0)),"Código no cargado"))</f>
        <v/>
      </c>
      <c r="D1492" s="14" t="n"/>
      <c r="E1492" s="14" t="n"/>
      <c r="F1492" s="18" t="n"/>
      <c r="G1492" s="18" t="n"/>
      <c r="H1492" s="21">
        <f>IF(AND($F1492="",$G1492=""),"",N($F1492)*IFERROR(N(INDEX(Vinos!$H$2:$H$301,MATCH($B1492,Vinos!$A$2:$A$301,0))),0)+N($G1492))</f>
        <v/>
      </c>
      <c r="I1492" s="18" t="n"/>
      <c r="J1492" s="21">
        <f>IF(OR($H1492="",$I1492=""),"",$H1492-$I1492)</f>
        <v/>
      </c>
      <c r="K1492" s="16">
        <f>IF($H1492="","",IFERROR(IF(INDEX(Vinos!$J$2:$J$301,MATCH($B1492,Vinos!$A$2:$A$301,0))="","",$H1492*INDEX(Vinos!$J$2:$J$301,MATCH($B1492,Vinos!$A$2:$A$301,0))),""))</f>
        <v/>
      </c>
      <c r="L1492" s="16">
        <f>IF($H1492="","",IFERROR(IF(INDEX(Vinos!$K$2:$K$301,MATCH($B1492,Vinos!$A$2:$A$301,0))="","",$H1492*INDEX(Vinos!$K$2:$K$301,MATCH($B1492,Vinos!$A$2:$A$301,0))),""))</f>
        <v/>
      </c>
      <c r="M1492" s="21">
        <f>IF(OR($A1492="",$B1492=""),"",SUMIFS($H$2:$H$2001,$A$2:$A$2001,$A1492,$B$2:$B$2001,$B1492))</f>
        <v/>
      </c>
      <c r="N1492" s="20">
        <f>IF($M1492="","",IF($M1492&lt;=0,"Sin stock: reponer ya",IF($M1492&lt;IFERROR(N(INDEX(Vinos!$N$2:$N$301,MATCH($B1492,Vinos!$A$2:$A$301,0))),0),"Bajo mínimo: reponer","OK")))</f>
        <v/>
      </c>
      <c r="O1492" s="14" t="n"/>
      <c r="P1492" s="14" t="n"/>
      <c r="Q1492" s="20">
        <f>IF($B1492="","",IFERROR(INDEX(Vinos!$C$2:$C$301,MATCH($B1492,Vinos!$A$2:$A$301,0)),""))</f>
        <v/>
      </c>
      <c r="R1492" s="20">
        <f>IF(OR($A1492="",$A1492&lt;&gt;'Resumen del inventario'!$C$3,$N1492="",$N1492="OK"),"",IF(COUNTIFS($A$2:$A1492,$A1492,$B$2:$B1492,$B1492)=1,1,""))</f>
        <v/>
      </c>
      <c r="S1492" s="20">
        <f>IF($R1492=1,COUNTIF($R$2:$R1492,1),"")</f>
        <v/>
      </c>
    </row>
    <row r="1493">
      <c r="A1493" s="19" t="n"/>
      <c r="B1493" s="14" t="n"/>
      <c r="C1493" s="20">
        <f>IF($B1493="","",IFERROR(INDEX(Vinos!$B$2:$B$301,MATCH($B1493,Vinos!$A$2:$A$301,0)),"Código no cargado"))</f>
        <v/>
      </c>
      <c r="D1493" s="14" t="n"/>
      <c r="E1493" s="14" t="n"/>
      <c r="F1493" s="18" t="n"/>
      <c r="G1493" s="18" t="n"/>
      <c r="H1493" s="21">
        <f>IF(AND($F1493="",$G1493=""),"",N($F1493)*IFERROR(N(INDEX(Vinos!$H$2:$H$301,MATCH($B1493,Vinos!$A$2:$A$301,0))),0)+N($G1493))</f>
        <v/>
      </c>
      <c r="I1493" s="18" t="n"/>
      <c r="J1493" s="21">
        <f>IF(OR($H1493="",$I1493=""),"",$H1493-$I1493)</f>
        <v/>
      </c>
      <c r="K1493" s="16">
        <f>IF($H1493="","",IFERROR(IF(INDEX(Vinos!$J$2:$J$301,MATCH($B1493,Vinos!$A$2:$A$301,0))="","",$H1493*INDEX(Vinos!$J$2:$J$301,MATCH($B1493,Vinos!$A$2:$A$301,0))),""))</f>
        <v/>
      </c>
      <c r="L1493" s="16">
        <f>IF($H1493="","",IFERROR(IF(INDEX(Vinos!$K$2:$K$301,MATCH($B1493,Vinos!$A$2:$A$301,0))="","",$H1493*INDEX(Vinos!$K$2:$K$301,MATCH($B1493,Vinos!$A$2:$A$301,0))),""))</f>
        <v/>
      </c>
      <c r="M1493" s="21">
        <f>IF(OR($A1493="",$B1493=""),"",SUMIFS($H$2:$H$2001,$A$2:$A$2001,$A1493,$B$2:$B$2001,$B1493))</f>
        <v/>
      </c>
      <c r="N1493" s="20">
        <f>IF($M1493="","",IF($M1493&lt;=0,"Sin stock: reponer ya",IF($M1493&lt;IFERROR(N(INDEX(Vinos!$N$2:$N$301,MATCH($B1493,Vinos!$A$2:$A$301,0))),0),"Bajo mínimo: reponer","OK")))</f>
        <v/>
      </c>
      <c r="O1493" s="14" t="n"/>
      <c r="P1493" s="14" t="n"/>
      <c r="Q1493" s="20">
        <f>IF($B1493="","",IFERROR(INDEX(Vinos!$C$2:$C$301,MATCH($B1493,Vinos!$A$2:$A$301,0)),""))</f>
        <v/>
      </c>
      <c r="R1493" s="20">
        <f>IF(OR($A1493="",$A1493&lt;&gt;'Resumen del inventario'!$C$3,$N1493="",$N1493="OK"),"",IF(COUNTIFS($A$2:$A1493,$A1493,$B$2:$B1493,$B1493)=1,1,""))</f>
        <v/>
      </c>
      <c r="S1493" s="20">
        <f>IF($R1493=1,COUNTIF($R$2:$R1493,1),"")</f>
        <v/>
      </c>
    </row>
    <row r="1494">
      <c r="A1494" s="19" t="n"/>
      <c r="B1494" s="14" t="n"/>
      <c r="C1494" s="20">
        <f>IF($B1494="","",IFERROR(INDEX(Vinos!$B$2:$B$301,MATCH($B1494,Vinos!$A$2:$A$301,0)),"Código no cargado"))</f>
        <v/>
      </c>
      <c r="D1494" s="14" t="n"/>
      <c r="E1494" s="14" t="n"/>
      <c r="F1494" s="18" t="n"/>
      <c r="G1494" s="18" t="n"/>
      <c r="H1494" s="21">
        <f>IF(AND($F1494="",$G1494=""),"",N($F1494)*IFERROR(N(INDEX(Vinos!$H$2:$H$301,MATCH($B1494,Vinos!$A$2:$A$301,0))),0)+N($G1494))</f>
        <v/>
      </c>
      <c r="I1494" s="18" t="n"/>
      <c r="J1494" s="21">
        <f>IF(OR($H1494="",$I1494=""),"",$H1494-$I1494)</f>
        <v/>
      </c>
      <c r="K1494" s="16">
        <f>IF($H1494="","",IFERROR(IF(INDEX(Vinos!$J$2:$J$301,MATCH($B1494,Vinos!$A$2:$A$301,0))="","",$H1494*INDEX(Vinos!$J$2:$J$301,MATCH($B1494,Vinos!$A$2:$A$301,0))),""))</f>
        <v/>
      </c>
      <c r="L1494" s="16">
        <f>IF($H1494="","",IFERROR(IF(INDEX(Vinos!$K$2:$K$301,MATCH($B1494,Vinos!$A$2:$A$301,0))="","",$H1494*INDEX(Vinos!$K$2:$K$301,MATCH($B1494,Vinos!$A$2:$A$301,0))),""))</f>
        <v/>
      </c>
      <c r="M1494" s="21">
        <f>IF(OR($A1494="",$B1494=""),"",SUMIFS($H$2:$H$2001,$A$2:$A$2001,$A1494,$B$2:$B$2001,$B1494))</f>
        <v/>
      </c>
      <c r="N1494" s="20">
        <f>IF($M1494="","",IF($M1494&lt;=0,"Sin stock: reponer ya",IF($M1494&lt;IFERROR(N(INDEX(Vinos!$N$2:$N$301,MATCH($B1494,Vinos!$A$2:$A$301,0))),0),"Bajo mínimo: reponer","OK")))</f>
        <v/>
      </c>
      <c r="O1494" s="14" t="n"/>
      <c r="P1494" s="14" t="n"/>
      <c r="Q1494" s="20">
        <f>IF($B1494="","",IFERROR(INDEX(Vinos!$C$2:$C$301,MATCH($B1494,Vinos!$A$2:$A$301,0)),""))</f>
        <v/>
      </c>
      <c r="R1494" s="20">
        <f>IF(OR($A1494="",$A1494&lt;&gt;'Resumen del inventario'!$C$3,$N1494="",$N1494="OK"),"",IF(COUNTIFS($A$2:$A1494,$A1494,$B$2:$B1494,$B1494)=1,1,""))</f>
        <v/>
      </c>
      <c r="S1494" s="20">
        <f>IF($R1494=1,COUNTIF($R$2:$R1494,1),"")</f>
        <v/>
      </c>
    </row>
    <row r="1495">
      <c r="A1495" s="19" t="n"/>
      <c r="B1495" s="14" t="n"/>
      <c r="C1495" s="20">
        <f>IF($B1495="","",IFERROR(INDEX(Vinos!$B$2:$B$301,MATCH($B1495,Vinos!$A$2:$A$301,0)),"Código no cargado"))</f>
        <v/>
      </c>
      <c r="D1495" s="14" t="n"/>
      <c r="E1495" s="14" t="n"/>
      <c r="F1495" s="18" t="n"/>
      <c r="G1495" s="18" t="n"/>
      <c r="H1495" s="21">
        <f>IF(AND($F1495="",$G1495=""),"",N($F1495)*IFERROR(N(INDEX(Vinos!$H$2:$H$301,MATCH($B1495,Vinos!$A$2:$A$301,0))),0)+N($G1495))</f>
        <v/>
      </c>
      <c r="I1495" s="18" t="n"/>
      <c r="J1495" s="21">
        <f>IF(OR($H1495="",$I1495=""),"",$H1495-$I1495)</f>
        <v/>
      </c>
      <c r="K1495" s="16">
        <f>IF($H1495="","",IFERROR(IF(INDEX(Vinos!$J$2:$J$301,MATCH($B1495,Vinos!$A$2:$A$301,0))="","",$H1495*INDEX(Vinos!$J$2:$J$301,MATCH($B1495,Vinos!$A$2:$A$301,0))),""))</f>
        <v/>
      </c>
      <c r="L1495" s="16">
        <f>IF($H1495="","",IFERROR(IF(INDEX(Vinos!$K$2:$K$301,MATCH($B1495,Vinos!$A$2:$A$301,0))="","",$H1495*INDEX(Vinos!$K$2:$K$301,MATCH($B1495,Vinos!$A$2:$A$301,0))),""))</f>
        <v/>
      </c>
      <c r="M1495" s="21">
        <f>IF(OR($A1495="",$B1495=""),"",SUMIFS($H$2:$H$2001,$A$2:$A$2001,$A1495,$B$2:$B$2001,$B1495))</f>
        <v/>
      </c>
      <c r="N1495" s="20">
        <f>IF($M1495="","",IF($M1495&lt;=0,"Sin stock: reponer ya",IF($M1495&lt;IFERROR(N(INDEX(Vinos!$N$2:$N$301,MATCH($B1495,Vinos!$A$2:$A$301,0))),0),"Bajo mínimo: reponer","OK")))</f>
        <v/>
      </c>
      <c r="O1495" s="14" t="n"/>
      <c r="P1495" s="14" t="n"/>
      <c r="Q1495" s="20">
        <f>IF($B1495="","",IFERROR(INDEX(Vinos!$C$2:$C$301,MATCH($B1495,Vinos!$A$2:$A$301,0)),""))</f>
        <v/>
      </c>
      <c r="R1495" s="20">
        <f>IF(OR($A1495="",$A1495&lt;&gt;'Resumen del inventario'!$C$3,$N1495="",$N1495="OK"),"",IF(COUNTIFS($A$2:$A1495,$A1495,$B$2:$B1495,$B1495)=1,1,""))</f>
        <v/>
      </c>
      <c r="S1495" s="20">
        <f>IF($R1495=1,COUNTIF($R$2:$R1495,1),"")</f>
        <v/>
      </c>
    </row>
    <row r="1496">
      <c r="A1496" s="19" t="n"/>
      <c r="B1496" s="14" t="n"/>
      <c r="C1496" s="20">
        <f>IF($B1496="","",IFERROR(INDEX(Vinos!$B$2:$B$301,MATCH($B1496,Vinos!$A$2:$A$301,0)),"Código no cargado"))</f>
        <v/>
      </c>
      <c r="D1496" s="14" t="n"/>
      <c r="E1496" s="14" t="n"/>
      <c r="F1496" s="18" t="n"/>
      <c r="G1496" s="18" t="n"/>
      <c r="H1496" s="21">
        <f>IF(AND($F1496="",$G1496=""),"",N($F1496)*IFERROR(N(INDEX(Vinos!$H$2:$H$301,MATCH($B1496,Vinos!$A$2:$A$301,0))),0)+N($G1496))</f>
        <v/>
      </c>
      <c r="I1496" s="18" t="n"/>
      <c r="J1496" s="21">
        <f>IF(OR($H1496="",$I1496=""),"",$H1496-$I1496)</f>
        <v/>
      </c>
      <c r="K1496" s="16">
        <f>IF($H1496="","",IFERROR(IF(INDEX(Vinos!$J$2:$J$301,MATCH($B1496,Vinos!$A$2:$A$301,0))="","",$H1496*INDEX(Vinos!$J$2:$J$301,MATCH($B1496,Vinos!$A$2:$A$301,0))),""))</f>
        <v/>
      </c>
      <c r="L1496" s="16">
        <f>IF($H1496="","",IFERROR(IF(INDEX(Vinos!$K$2:$K$301,MATCH($B1496,Vinos!$A$2:$A$301,0))="","",$H1496*INDEX(Vinos!$K$2:$K$301,MATCH($B1496,Vinos!$A$2:$A$301,0))),""))</f>
        <v/>
      </c>
      <c r="M1496" s="21">
        <f>IF(OR($A1496="",$B1496=""),"",SUMIFS($H$2:$H$2001,$A$2:$A$2001,$A1496,$B$2:$B$2001,$B1496))</f>
        <v/>
      </c>
      <c r="N1496" s="20">
        <f>IF($M1496="","",IF($M1496&lt;=0,"Sin stock: reponer ya",IF($M1496&lt;IFERROR(N(INDEX(Vinos!$N$2:$N$301,MATCH($B1496,Vinos!$A$2:$A$301,0))),0),"Bajo mínimo: reponer","OK")))</f>
        <v/>
      </c>
      <c r="O1496" s="14" t="n"/>
      <c r="P1496" s="14" t="n"/>
      <c r="Q1496" s="20">
        <f>IF($B1496="","",IFERROR(INDEX(Vinos!$C$2:$C$301,MATCH($B1496,Vinos!$A$2:$A$301,0)),""))</f>
        <v/>
      </c>
      <c r="R1496" s="20">
        <f>IF(OR($A1496="",$A1496&lt;&gt;'Resumen del inventario'!$C$3,$N1496="",$N1496="OK"),"",IF(COUNTIFS($A$2:$A1496,$A1496,$B$2:$B1496,$B1496)=1,1,""))</f>
        <v/>
      </c>
      <c r="S1496" s="20">
        <f>IF($R1496=1,COUNTIF($R$2:$R1496,1),"")</f>
        <v/>
      </c>
    </row>
    <row r="1497">
      <c r="A1497" s="19" t="n"/>
      <c r="B1497" s="14" t="n"/>
      <c r="C1497" s="20">
        <f>IF($B1497="","",IFERROR(INDEX(Vinos!$B$2:$B$301,MATCH($B1497,Vinos!$A$2:$A$301,0)),"Código no cargado"))</f>
        <v/>
      </c>
      <c r="D1497" s="14" t="n"/>
      <c r="E1497" s="14" t="n"/>
      <c r="F1497" s="18" t="n"/>
      <c r="G1497" s="18" t="n"/>
      <c r="H1497" s="21">
        <f>IF(AND($F1497="",$G1497=""),"",N($F1497)*IFERROR(N(INDEX(Vinos!$H$2:$H$301,MATCH($B1497,Vinos!$A$2:$A$301,0))),0)+N($G1497))</f>
        <v/>
      </c>
      <c r="I1497" s="18" t="n"/>
      <c r="J1497" s="21">
        <f>IF(OR($H1497="",$I1497=""),"",$H1497-$I1497)</f>
        <v/>
      </c>
      <c r="K1497" s="16">
        <f>IF($H1497="","",IFERROR(IF(INDEX(Vinos!$J$2:$J$301,MATCH($B1497,Vinos!$A$2:$A$301,0))="","",$H1497*INDEX(Vinos!$J$2:$J$301,MATCH($B1497,Vinos!$A$2:$A$301,0))),""))</f>
        <v/>
      </c>
      <c r="L1497" s="16">
        <f>IF($H1497="","",IFERROR(IF(INDEX(Vinos!$K$2:$K$301,MATCH($B1497,Vinos!$A$2:$A$301,0))="","",$H1497*INDEX(Vinos!$K$2:$K$301,MATCH($B1497,Vinos!$A$2:$A$301,0))),""))</f>
        <v/>
      </c>
      <c r="M1497" s="21">
        <f>IF(OR($A1497="",$B1497=""),"",SUMIFS($H$2:$H$2001,$A$2:$A$2001,$A1497,$B$2:$B$2001,$B1497))</f>
        <v/>
      </c>
      <c r="N1497" s="20">
        <f>IF($M1497="","",IF($M1497&lt;=0,"Sin stock: reponer ya",IF($M1497&lt;IFERROR(N(INDEX(Vinos!$N$2:$N$301,MATCH($B1497,Vinos!$A$2:$A$301,0))),0),"Bajo mínimo: reponer","OK")))</f>
        <v/>
      </c>
      <c r="O1497" s="14" t="n"/>
      <c r="P1497" s="14" t="n"/>
      <c r="Q1497" s="20">
        <f>IF($B1497="","",IFERROR(INDEX(Vinos!$C$2:$C$301,MATCH($B1497,Vinos!$A$2:$A$301,0)),""))</f>
        <v/>
      </c>
      <c r="R1497" s="20">
        <f>IF(OR($A1497="",$A1497&lt;&gt;'Resumen del inventario'!$C$3,$N1497="",$N1497="OK"),"",IF(COUNTIFS($A$2:$A1497,$A1497,$B$2:$B1497,$B1497)=1,1,""))</f>
        <v/>
      </c>
      <c r="S1497" s="20">
        <f>IF($R1497=1,COUNTIF($R$2:$R1497,1),"")</f>
        <v/>
      </c>
    </row>
    <row r="1498">
      <c r="A1498" s="19" t="n"/>
      <c r="B1498" s="14" t="n"/>
      <c r="C1498" s="20">
        <f>IF($B1498="","",IFERROR(INDEX(Vinos!$B$2:$B$301,MATCH($B1498,Vinos!$A$2:$A$301,0)),"Código no cargado"))</f>
        <v/>
      </c>
      <c r="D1498" s="14" t="n"/>
      <c r="E1498" s="14" t="n"/>
      <c r="F1498" s="18" t="n"/>
      <c r="G1498" s="18" t="n"/>
      <c r="H1498" s="21">
        <f>IF(AND($F1498="",$G1498=""),"",N($F1498)*IFERROR(N(INDEX(Vinos!$H$2:$H$301,MATCH($B1498,Vinos!$A$2:$A$301,0))),0)+N($G1498))</f>
        <v/>
      </c>
      <c r="I1498" s="18" t="n"/>
      <c r="J1498" s="21">
        <f>IF(OR($H1498="",$I1498=""),"",$H1498-$I1498)</f>
        <v/>
      </c>
      <c r="K1498" s="16">
        <f>IF($H1498="","",IFERROR(IF(INDEX(Vinos!$J$2:$J$301,MATCH($B1498,Vinos!$A$2:$A$301,0))="","",$H1498*INDEX(Vinos!$J$2:$J$301,MATCH($B1498,Vinos!$A$2:$A$301,0))),""))</f>
        <v/>
      </c>
      <c r="L1498" s="16">
        <f>IF($H1498="","",IFERROR(IF(INDEX(Vinos!$K$2:$K$301,MATCH($B1498,Vinos!$A$2:$A$301,0))="","",$H1498*INDEX(Vinos!$K$2:$K$301,MATCH($B1498,Vinos!$A$2:$A$301,0))),""))</f>
        <v/>
      </c>
      <c r="M1498" s="21">
        <f>IF(OR($A1498="",$B1498=""),"",SUMIFS($H$2:$H$2001,$A$2:$A$2001,$A1498,$B$2:$B$2001,$B1498))</f>
        <v/>
      </c>
      <c r="N1498" s="20">
        <f>IF($M1498="","",IF($M1498&lt;=0,"Sin stock: reponer ya",IF($M1498&lt;IFERROR(N(INDEX(Vinos!$N$2:$N$301,MATCH($B1498,Vinos!$A$2:$A$301,0))),0),"Bajo mínimo: reponer","OK")))</f>
        <v/>
      </c>
      <c r="O1498" s="14" t="n"/>
      <c r="P1498" s="14" t="n"/>
      <c r="Q1498" s="20">
        <f>IF($B1498="","",IFERROR(INDEX(Vinos!$C$2:$C$301,MATCH($B1498,Vinos!$A$2:$A$301,0)),""))</f>
        <v/>
      </c>
      <c r="R1498" s="20">
        <f>IF(OR($A1498="",$A1498&lt;&gt;'Resumen del inventario'!$C$3,$N1498="",$N1498="OK"),"",IF(COUNTIFS($A$2:$A1498,$A1498,$B$2:$B1498,$B1498)=1,1,""))</f>
        <v/>
      </c>
      <c r="S1498" s="20">
        <f>IF($R1498=1,COUNTIF($R$2:$R1498,1),"")</f>
        <v/>
      </c>
    </row>
    <row r="1499">
      <c r="A1499" s="19" t="n"/>
      <c r="B1499" s="14" t="n"/>
      <c r="C1499" s="20">
        <f>IF($B1499="","",IFERROR(INDEX(Vinos!$B$2:$B$301,MATCH($B1499,Vinos!$A$2:$A$301,0)),"Código no cargado"))</f>
        <v/>
      </c>
      <c r="D1499" s="14" t="n"/>
      <c r="E1499" s="14" t="n"/>
      <c r="F1499" s="18" t="n"/>
      <c r="G1499" s="18" t="n"/>
      <c r="H1499" s="21">
        <f>IF(AND($F1499="",$G1499=""),"",N($F1499)*IFERROR(N(INDEX(Vinos!$H$2:$H$301,MATCH($B1499,Vinos!$A$2:$A$301,0))),0)+N($G1499))</f>
        <v/>
      </c>
      <c r="I1499" s="18" t="n"/>
      <c r="J1499" s="21">
        <f>IF(OR($H1499="",$I1499=""),"",$H1499-$I1499)</f>
        <v/>
      </c>
      <c r="K1499" s="16">
        <f>IF($H1499="","",IFERROR(IF(INDEX(Vinos!$J$2:$J$301,MATCH($B1499,Vinos!$A$2:$A$301,0))="","",$H1499*INDEX(Vinos!$J$2:$J$301,MATCH($B1499,Vinos!$A$2:$A$301,0))),""))</f>
        <v/>
      </c>
      <c r="L1499" s="16">
        <f>IF($H1499="","",IFERROR(IF(INDEX(Vinos!$K$2:$K$301,MATCH($B1499,Vinos!$A$2:$A$301,0))="","",$H1499*INDEX(Vinos!$K$2:$K$301,MATCH($B1499,Vinos!$A$2:$A$301,0))),""))</f>
        <v/>
      </c>
      <c r="M1499" s="21">
        <f>IF(OR($A1499="",$B1499=""),"",SUMIFS($H$2:$H$2001,$A$2:$A$2001,$A1499,$B$2:$B$2001,$B1499))</f>
        <v/>
      </c>
      <c r="N1499" s="20">
        <f>IF($M1499="","",IF($M1499&lt;=0,"Sin stock: reponer ya",IF($M1499&lt;IFERROR(N(INDEX(Vinos!$N$2:$N$301,MATCH($B1499,Vinos!$A$2:$A$301,0))),0),"Bajo mínimo: reponer","OK")))</f>
        <v/>
      </c>
      <c r="O1499" s="14" t="n"/>
      <c r="P1499" s="14" t="n"/>
      <c r="Q1499" s="20">
        <f>IF($B1499="","",IFERROR(INDEX(Vinos!$C$2:$C$301,MATCH($B1499,Vinos!$A$2:$A$301,0)),""))</f>
        <v/>
      </c>
      <c r="R1499" s="20">
        <f>IF(OR($A1499="",$A1499&lt;&gt;'Resumen del inventario'!$C$3,$N1499="",$N1499="OK"),"",IF(COUNTIFS($A$2:$A1499,$A1499,$B$2:$B1499,$B1499)=1,1,""))</f>
        <v/>
      </c>
      <c r="S1499" s="20">
        <f>IF($R1499=1,COUNTIF($R$2:$R1499,1),"")</f>
        <v/>
      </c>
    </row>
    <row r="1500">
      <c r="A1500" s="19" t="n"/>
      <c r="B1500" s="14" t="n"/>
      <c r="C1500" s="20">
        <f>IF($B1500="","",IFERROR(INDEX(Vinos!$B$2:$B$301,MATCH($B1500,Vinos!$A$2:$A$301,0)),"Código no cargado"))</f>
        <v/>
      </c>
      <c r="D1500" s="14" t="n"/>
      <c r="E1500" s="14" t="n"/>
      <c r="F1500" s="18" t="n"/>
      <c r="G1500" s="18" t="n"/>
      <c r="H1500" s="21">
        <f>IF(AND($F1500="",$G1500=""),"",N($F1500)*IFERROR(N(INDEX(Vinos!$H$2:$H$301,MATCH($B1500,Vinos!$A$2:$A$301,0))),0)+N($G1500))</f>
        <v/>
      </c>
      <c r="I1500" s="18" t="n"/>
      <c r="J1500" s="21">
        <f>IF(OR($H1500="",$I1500=""),"",$H1500-$I1500)</f>
        <v/>
      </c>
      <c r="K1500" s="16">
        <f>IF($H1500="","",IFERROR(IF(INDEX(Vinos!$J$2:$J$301,MATCH($B1500,Vinos!$A$2:$A$301,0))="","",$H1500*INDEX(Vinos!$J$2:$J$301,MATCH($B1500,Vinos!$A$2:$A$301,0))),""))</f>
        <v/>
      </c>
      <c r="L1500" s="16">
        <f>IF($H1500="","",IFERROR(IF(INDEX(Vinos!$K$2:$K$301,MATCH($B1500,Vinos!$A$2:$A$301,0))="","",$H1500*INDEX(Vinos!$K$2:$K$301,MATCH($B1500,Vinos!$A$2:$A$301,0))),""))</f>
        <v/>
      </c>
      <c r="M1500" s="21">
        <f>IF(OR($A1500="",$B1500=""),"",SUMIFS($H$2:$H$2001,$A$2:$A$2001,$A1500,$B$2:$B$2001,$B1500))</f>
        <v/>
      </c>
      <c r="N1500" s="20">
        <f>IF($M1500="","",IF($M1500&lt;=0,"Sin stock: reponer ya",IF($M1500&lt;IFERROR(N(INDEX(Vinos!$N$2:$N$301,MATCH($B1500,Vinos!$A$2:$A$301,0))),0),"Bajo mínimo: reponer","OK")))</f>
        <v/>
      </c>
      <c r="O1500" s="14" t="n"/>
      <c r="P1500" s="14" t="n"/>
      <c r="Q1500" s="20">
        <f>IF($B1500="","",IFERROR(INDEX(Vinos!$C$2:$C$301,MATCH($B1500,Vinos!$A$2:$A$301,0)),""))</f>
        <v/>
      </c>
      <c r="R1500" s="20">
        <f>IF(OR($A1500="",$A1500&lt;&gt;'Resumen del inventario'!$C$3,$N1500="",$N1500="OK"),"",IF(COUNTIFS($A$2:$A1500,$A1500,$B$2:$B1500,$B1500)=1,1,""))</f>
        <v/>
      </c>
      <c r="S1500" s="20">
        <f>IF($R1500=1,COUNTIF($R$2:$R1500,1),"")</f>
        <v/>
      </c>
    </row>
    <row r="1501">
      <c r="A1501" s="19" t="n"/>
      <c r="B1501" s="14" t="n"/>
      <c r="C1501" s="20">
        <f>IF($B1501="","",IFERROR(INDEX(Vinos!$B$2:$B$301,MATCH($B1501,Vinos!$A$2:$A$301,0)),"Código no cargado"))</f>
        <v/>
      </c>
      <c r="D1501" s="14" t="n"/>
      <c r="E1501" s="14" t="n"/>
      <c r="F1501" s="18" t="n"/>
      <c r="G1501" s="18" t="n"/>
      <c r="H1501" s="21">
        <f>IF(AND($F1501="",$G1501=""),"",N($F1501)*IFERROR(N(INDEX(Vinos!$H$2:$H$301,MATCH($B1501,Vinos!$A$2:$A$301,0))),0)+N($G1501))</f>
        <v/>
      </c>
      <c r="I1501" s="18" t="n"/>
      <c r="J1501" s="21">
        <f>IF(OR($H1501="",$I1501=""),"",$H1501-$I1501)</f>
        <v/>
      </c>
      <c r="K1501" s="16">
        <f>IF($H1501="","",IFERROR(IF(INDEX(Vinos!$J$2:$J$301,MATCH($B1501,Vinos!$A$2:$A$301,0))="","",$H1501*INDEX(Vinos!$J$2:$J$301,MATCH($B1501,Vinos!$A$2:$A$301,0))),""))</f>
        <v/>
      </c>
      <c r="L1501" s="16">
        <f>IF($H1501="","",IFERROR(IF(INDEX(Vinos!$K$2:$K$301,MATCH($B1501,Vinos!$A$2:$A$301,0))="","",$H1501*INDEX(Vinos!$K$2:$K$301,MATCH($B1501,Vinos!$A$2:$A$301,0))),""))</f>
        <v/>
      </c>
      <c r="M1501" s="21">
        <f>IF(OR($A1501="",$B1501=""),"",SUMIFS($H$2:$H$2001,$A$2:$A$2001,$A1501,$B$2:$B$2001,$B1501))</f>
        <v/>
      </c>
      <c r="N1501" s="20">
        <f>IF($M1501="","",IF($M1501&lt;=0,"Sin stock: reponer ya",IF($M1501&lt;IFERROR(N(INDEX(Vinos!$N$2:$N$301,MATCH($B1501,Vinos!$A$2:$A$301,0))),0),"Bajo mínimo: reponer","OK")))</f>
        <v/>
      </c>
      <c r="O1501" s="14" t="n"/>
      <c r="P1501" s="14" t="n"/>
      <c r="Q1501" s="20">
        <f>IF($B1501="","",IFERROR(INDEX(Vinos!$C$2:$C$301,MATCH($B1501,Vinos!$A$2:$A$301,0)),""))</f>
        <v/>
      </c>
      <c r="R1501" s="20">
        <f>IF(OR($A1501="",$A1501&lt;&gt;'Resumen del inventario'!$C$3,$N1501="",$N1501="OK"),"",IF(COUNTIFS($A$2:$A1501,$A1501,$B$2:$B1501,$B1501)=1,1,""))</f>
        <v/>
      </c>
      <c r="S1501" s="20">
        <f>IF($R1501=1,COUNTIF($R$2:$R1501,1),"")</f>
        <v/>
      </c>
    </row>
    <row r="1502">
      <c r="A1502" s="19" t="n"/>
      <c r="B1502" s="14" t="n"/>
      <c r="C1502" s="20">
        <f>IF($B1502="","",IFERROR(INDEX(Vinos!$B$2:$B$301,MATCH($B1502,Vinos!$A$2:$A$301,0)),"Código no cargado"))</f>
        <v/>
      </c>
      <c r="D1502" s="14" t="n"/>
      <c r="E1502" s="14" t="n"/>
      <c r="F1502" s="18" t="n"/>
      <c r="G1502" s="18" t="n"/>
      <c r="H1502" s="21">
        <f>IF(AND($F1502="",$G1502=""),"",N($F1502)*IFERROR(N(INDEX(Vinos!$H$2:$H$301,MATCH($B1502,Vinos!$A$2:$A$301,0))),0)+N($G1502))</f>
        <v/>
      </c>
      <c r="I1502" s="18" t="n"/>
      <c r="J1502" s="21">
        <f>IF(OR($H1502="",$I1502=""),"",$H1502-$I1502)</f>
        <v/>
      </c>
      <c r="K1502" s="16">
        <f>IF($H1502="","",IFERROR(IF(INDEX(Vinos!$J$2:$J$301,MATCH($B1502,Vinos!$A$2:$A$301,0))="","",$H1502*INDEX(Vinos!$J$2:$J$301,MATCH($B1502,Vinos!$A$2:$A$301,0))),""))</f>
        <v/>
      </c>
      <c r="L1502" s="16">
        <f>IF($H1502="","",IFERROR(IF(INDEX(Vinos!$K$2:$K$301,MATCH($B1502,Vinos!$A$2:$A$301,0))="","",$H1502*INDEX(Vinos!$K$2:$K$301,MATCH($B1502,Vinos!$A$2:$A$301,0))),""))</f>
        <v/>
      </c>
      <c r="M1502" s="21">
        <f>IF(OR($A1502="",$B1502=""),"",SUMIFS($H$2:$H$2001,$A$2:$A$2001,$A1502,$B$2:$B$2001,$B1502))</f>
        <v/>
      </c>
      <c r="N1502" s="20">
        <f>IF($M1502="","",IF($M1502&lt;=0,"Sin stock: reponer ya",IF($M1502&lt;IFERROR(N(INDEX(Vinos!$N$2:$N$301,MATCH($B1502,Vinos!$A$2:$A$301,0))),0),"Bajo mínimo: reponer","OK")))</f>
        <v/>
      </c>
      <c r="O1502" s="14" t="n"/>
      <c r="P1502" s="14" t="n"/>
      <c r="Q1502" s="20">
        <f>IF($B1502="","",IFERROR(INDEX(Vinos!$C$2:$C$301,MATCH($B1502,Vinos!$A$2:$A$301,0)),""))</f>
        <v/>
      </c>
      <c r="R1502" s="20">
        <f>IF(OR($A1502="",$A1502&lt;&gt;'Resumen del inventario'!$C$3,$N1502="",$N1502="OK"),"",IF(COUNTIFS($A$2:$A1502,$A1502,$B$2:$B1502,$B1502)=1,1,""))</f>
        <v/>
      </c>
      <c r="S1502" s="20">
        <f>IF($R1502=1,COUNTIF($R$2:$R1502,1),"")</f>
        <v/>
      </c>
    </row>
    <row r="1503">
      <c r="A1503" s="19" t="n"/>
      <c r="B1503" s="14" t="n"/>
      <c r="C1503" s="20">
        <f>IF($B1503="","",IFERROR(INDEX(Vinos!$B$2:$B$301,MATCH($B1503,Vinos!$A$2:$A$301,0)),"Código no cargado"))</f>
        <v/>
      </c>
      <c r="D1503" s="14" t="n"/>
      <c r="E1503" s="14" t="n"/>
      <c r="F1503" s="18" t="n"/>
      <c r="G1503" s="18" t="n"/>
      <c r="H1503" s="21">
        <f>IF(AND($F1503="",$G1503=""),"",N($F1503)*IFERROR(N(INDEX(Vinos!$H$2:$H$301,MATCH($B1503,Vinos!$A$2:$A$301,0))),0)+N($G1503))</f>
        <v/>
      </c>
      <c r="I1503" s="18" t="n"/>
      <c r="J1503" s="21">
        <f>IF(OR($H1503="",$I1503=""),"",$H1503-$I1503)</f>
        <v/>
      </c>
      <c r="K1503" s="16">
        <f>IF($H1503="","",IFERROR(IF(INDEX(Vinos!$J$2:$J$301,MATCH($B1503,Vinos!$A$2:$A$301,0))="","",$H1503*INDEX(Vinos!$J$2:$J$301,MATCH($B1503,Vinos!$A$2:$A$301,0))),""))</f>
        <v/>
      </c>
      <c r="L1503" s="16">
        <f>IF($H1503="","",IFERROR(IF(INDEX(Vinos!$K$2:$K$301,MATCH($B1503,Vinos!$A$2:$A$301,0))="","",$H1503*INDEX(Vinos!$K$2:$K$301,MATCH($B1503,Vinos!$A$2:$A$301,0))),""))</f>
        <v/>
      </c>
      <c r="M1503" s="21">
        <f>IF(OR($A1503="",$B1503=""),"",SUMIFS($H$2:$H$2001,$A$2:$A$2001,$A1503,$B$2:$B$2001,$B1503))</f>
        <v/>
      </c>
      <c r="N1503" s="20">
        <f>IF($M1503="","",IF($M1503&lt;=0,"Sin stock: reponer ya",IF($M1503&lt;IFERROR(N(INDEX(Vinos!$N$2:$N$301,MATCH($B1503,Vinos!$A$2:$A$301,0))),0),"Bajo mínimo: reponer","OK")))</f>
        <v/>
      </c>
      <c r="O1503" s="14" t="n"/>
      <c r="P1503" s="14" t="n"/>
      <c r="Q1503" s="20">
        <f>IF($B1503="","",IFERROR(INDEX(Vinos!$C$2:$C$301,MATCH($B1503,Vinos!$A$2:$A$301,0)),""))</f>
        <v/>
      </c>
      <c r="R1503" s="20">
        <f>IF(OR($A1503="",$A1503&lt;&gt;'Resumen del inventario'!$C$3,$N1503="",$N1503="OK"),"",IF(COUNTIFS($A$2:$A1503,$A1503,$B$2:$B1503,$B1503)=1,1,""))</f>
        <v/>
      </c>
      <c r="S1503" s="20">
        <f>IF($R1503=1,COUNTIF($R$2:$R1503,1),"")</f>
        <v/>
      </c>
    </row>
    <row r="1504">
      <c r="A1504" s="19" t="n"/>
      <c r="B1504" s="14" t="n"/>
      <c r="C1504" s="20">
        <f>IF($B1504="","",IFERROR(INDEX(Vinos!$B$2:$B$301,MATCH($B1504,Vinos!$A$2:$A$301,0)),"Código no cargado"))</f>
        <v/>
      </c>
      <c r="D1504" s="14" t="n"/>
      <c r="E1504" s="14" t="n"/>
      <c r="F1504" s="18" t="n"/>
      <c r="G1504" s="18" t="n"/>
      <c r="H1504" s="21">
        <f>IF(AND($F1504="",$G1504=""),"",N($F1504)*IFERROR(N(INDEX(Vinos!$H$2:$H$301,MATCH($B1504,Vinos!$A$2:$A$301,0))),0)+N($G1504))</f>
        <v/>
      </c>
      <c r="I1504" s="18" t="n"/>
      <c r="J1504" s="21">
        <f>IF(OR($H1504="",$I1504=""),"",$H1504-$I1504)</f>
        <v/>
      </c>
      <c r="K1504" s="16">
        <f>IF($H1504="","",IFERROR(IF(INDEX(Vinos!$J$2:$J$301,MATCH($B1504,Vinos!$A$2:$A$301,0))="","",$H1504*INDEX(Vinos!$J$2:$J$301,MATCH($B1504,Vinos!$A$2:$A$301,0))),""))</f>
        <v/>
      </c>
      <c r="L1504" s="16">
        <f>IF($H1504="","",IFERROR(IF(INDEX(Vinos!$K$2:$K$301,MATCH($B1504,Vinos!$A$2:$A$301,0))="","",$H1504*INDEX(Vinos!$K$2:$K$301,MATCH($B1504,Vinos!$A$2:$A$301,0))),""))</f>
        <v/>
      </c>
      <c r="M1504" s="21">
        <f>IF(OR($A1504="",$B1504=""),"",SUMIFS($H$2:$H$2001,$A$2:$A$2001,$A1504,$B$2:$B$2001,$B1504))</f>
        <v/>
      </c>
      <c r="N1504" s="20">
        <f>IF($M1504="","",IF($M1504&lt;=0,"Sin stock: reponer ya",IF($M1504&lt;IFERROR(N(INDEX(Vinos!$N$2:$N$301,MATCH($B1504,Vinos!$A$2:$A$301,0))),0),"Bajo mínimo: reponer","OK")))</f>
        <v/>
      </c>
      <c r="O1504" s="14" t="n"/>
      <c r="P1504" s="14" t="n"/>
      <c r="Q1504" s="20">
        <f>IF($B1504="","",IFERROR(INDEX(Vinos!$C$2:$C$301,MATCH($B1504,Vinos!$A$2:$A$301,0)),""))</f>
        <v/>
      </c>
      <c r="R1504" s="20">
        <f>IF(OR($A1504="",$A1504&lt;&gt;'Resumen del inventario'!$C$3,$N1504="",$N1504="OK"),"",IF(COUNTIFS($A$2:$A1504,$A1504,$B$2:$B1504,$B1504)=1,1,""))</f>
        <v/>
      </c>
      <c r="S1504" s="20">
        <f>IF($R1504=1,COUNTIF($R$2:$R1504,1),"")</f>
        <v/>
      </c>
    </row>
    <row r="1505">
      <c r="A1505" s="19" t="n"/>
      <c r="B1505" s="14" t="n"/>
      <c r="C1505" s="20">
        <f>IF($B1505="","",IFERROR(INDEX(Vinos!$B$2:$B$301,MATCH($B1505,Vinos!$A$2:$A$301,0)),"Código no cargado"))</f>
        <v/>
      </c>
      <c r="D1505" s="14" t="n"/>
      <c r="E1505" s="14" t="n"/>
      <c r="F1505" s="18" t="n"/>
      <c r="G1505" s="18" t="n"/>
      <c r="H1505" s="21">
        <f>IF(AND($F1505="",$G1505=""),"",N($F1505)*IFERROR(N(INDEX(Vinos!$H$2:$H$301,MATCH($B1505,Vinos!$A$2:$A$301,0))),0)+N($G1505))</f>
        <v/>
      </c>
      <c r="I1505" s="18" t="n"/>
      <c r="J1505" s="21">
        <f>IF(OR($H1505="",$I1505=""),"",$H1505-$I1505)</f>
        <v/>
      </c>
      <c r="K1505" s="16">
        <f>IF($H1505="","",IFERROR(IF(INDEX(Vinos!$J$2:$J$301,MATCH($B1505,Vinos!$A$2:$A$301,0))="","",$H1505*INDEX(Vinos!$J$2:$J$301,MATCH($B1505,Vinos!$A$2:$A$301,0))),""))</f>
        <v/>
      </c>
      <c r="L1505" s="16">
        <f>IF($H1505="","",IFERROR(IF(INDEX(Vinos!$K$2:$K$301,MATCH($B1505,Vinos!$A$2:$A$301,0))="","",$H1505*INDEX(Vinos!$K$2:$K$301,MATCH($B1505,Vinos!$A$2:$A$301,0))),""))</f>
        <v/>
      </c>
      <c r="M1505" s="21">
        <f>IF(OR($A1505="",$B1505=""),"",SUMIFS($H$2:$H$2001,$A$2:$A$2001,$A1505,$B$2:$B$2001,$B1505))</f>
        <v/>
      </c>
      <c r="N1505" s="20">
        <f>IF($M1505="","",IF($M1505&lt;=0,"Sin stock: reponer ya",IF($M1505&lt;IFERROR(N(INDEX(Vinos!$N$2:$N$301,MATCH($B1505,Vinos!$A$2:$A$301,0))),0),"Bajo mínimo: reponer","OK")))</f>
        <v/>
      </c>
      <c r="O1505" s="14" t="n"/>
      <c r="P1505" s="14" t="n"/>
      <c r="Q1505" s="20">
        <f>IF($B1505="","",IFERROR(INDEX(Vinos!$C$2:$C$301,MATCH($B1505,Vinos!$A$2:$A$301,0)),""))</f>
        <v/>
      </c>
      <c r="R1505" s="20">
        <f>IF(OR($A1505="",$A1505&lt;&gt;'Resumen del inventario'!$C$3,$N1505="",$N1505="OK"),"",IF(COUNTIFS($A$2:$A1505,$A1505,$B$2:$B1505,$B1505)=1,1,""))</f>
        <v/>
      </c>
      <c r="S1505" s="20">
        <f>IF($R1505=1,COUNTIF($R$2:$R1505,1),"")</f>
        <v/>
      </c>
    </row>
    <row r="1506">
      <c r="A1506" s="19" t="n"/>
      <c r="B1506" s="14" t="n"/>
      <c r="C1506" s="20">
        <f>IF($B1506="","",IFERROR(INDEX(Vinos!$B$2:$B$301,MATCH($B1506,Vinos!$A$2:$A$301,0)),"Código no cargado"))</f>
        <v/>
      </c>
      <c r="D1506" s="14" t="n"/>
      <c r="E1506" s="14" t="n"/>
      <c r="F1506" s="18" t="n"/>
      <c r="G1506" s="18" t="n"/>
      <c r="H1506" s="21">
        <f>IF(AND($F1506="",$G1506=""),"",N($F1506)*IFERROR(N(INDEX(Vinos!$H$2:$H$301,MATCH($B1506,Vinos!$A$2:$A$301,0))),0)+N($G1506))</f>
        <v/>
      </c>
      <c r="I1506" s="18" t="n"/>
      <c r="J1506" s="21">
        <f>IF(OR($H1506="",$I1506=""),"",$H1506-$I1506)</f>
        <v/>
      </c>
      <c r="K1506" s="16">
        <f>IF($H1506="","",IFERROR(IF(INDEX(Vinos!$J$2:$J$301,MATCH($B1506,Vinos!$A$2:$A$301,0))="","",$H1506*INDEX(Vinos!$J$2:$J$301,MATCH($B1506,Vinos!$A$2:$A$301,0))),""))</f>
        <v/>
      </c>
      <c r="L1506" s="16">
        <f>IF($H1506="","",IFERROR(IF(INDEX(Vinos!$K$2:$K$301,MATCH($B1506,Vinos!$A$2:$A$301,0))="","",$H1506*INDEX(Vinos!$K$2:$K$301,MATCH($B1506,Vinos!$A$2:$A$301,0))),""))</f>
        <v/>
      </c>
      <c r="M1506" s="21">
        <f>IF(OR($A1506="",$B1506=""),"",SUMIFS($H$2:$H$2001,$A$2:$A$2001,$A1506,$B$2:$B$2001,$B1506))</f>
        <v/>
      </c>
      <c r="N1506" s="20">
        <f>IF($M1506="","",IF($M1506&lt;=0,"Sin stock: reponer ya",IF($M1506&lt;IFERROR(N(INDEX(Vinos!$N$2:$N$301,MATCH($B1506,Vinos!$A$2:$A$301,0))),0),"Bajo mínimo: reponer","OK")))</f>
        <v/>
      </c>
      <c r="O1506" s="14" t="n"/>
      <c r="P1506" s="14" t="n"/>
      <c r="Q1506" s="20">
        <f>IF($B1506="","",IFERROR(INDEX(Vinos!$C$2:$C$301,MATCH($B1506,Vinos!$A$2:$A$301,0)),""))</f>
        <v/>
      </c>
      <c r="R1506" s="20">
        <f>IF(OR($A1506="",$A1506&lt;&gt;'Resumen del inventario'!$C$3,$N1506="",$N1506="OK"),"",IF(COUNTIFS($A$2:$A1506,$A1506,$B$2:$B1506,$B1506)=1,1,""))</f>
        <v/>
      </c>
      <c r="S1506" s="20">
        <f>IF($R1506=1,COUNTIF($R$2:$R1506,1),"")</f>
        <v/>
      </c>
    </row>
    <row r="1507">
      <c r="A1507" s="19" t="n"/>
      <c r="B1507" s="14" t="n"/>
      <c r="C1507" s="20">
        <f>IF($B1507="","",IFERROR(INDEX(Vinos!$B$2:$B$301,MATCH($B1507,Vinos!$A$2:$A$301,0)),"Código no cargado"))</f>
        <v/>
      </c>
      <c r="D1507" s="14" t="n"/>
      <c r="E1507" s="14" t="n"/>
      <c r="F1507" s="18" t="n"/>
      <c r="G1507" s="18" t="n"/>
      <c r="H1507" s="21">
        <f>IF(AND($F1507="",$G1507=""),"",N($F1507)*IFERROR(N(INDEX(Vinos!$H$2:$H$301,MATCH($B1507,Vinos!$A$2:$A$301,0))),0)+N($G1507))</f>
        <v/>
      </c>
      <c r="I1507" s="18" t="n"/>
      <c r="J1507" s="21">
        <f>IF(OR($H1507="",$I1507=""),"",$H1507-$I1507)</f>
        <v/>
      </c>
      <c r="K1507" s="16">
        <f>IF($H1507="","",IFERROR(IF(INDEX(Vinos!$J$2:$J$301,MATCH($B1507,Vinos!$A$2:$A$301,0))="","",$H1507*INDEX(Vinos!$J$2:$J$301,MATCH($B1507,Vinos!$A$2:$A$301,0))),""))</f>
        <v/>
      </c>
      <c r="L1507" s="16">
        <f>IF($H1507="","",IFERROR(IF(INDEX(Vinos!$K$2:$K$301,MATCH($B1507,Vinos!$A$2:$A$301,0))="","",$H1507*INDEX(Vinos!$K$2:$K$301,MATCH($B1507,Vinos!$A$2:$A$301,0))),""))</f>
        <v/>
      </c>
      <c r="M1507" s="21">
        <f>IF(OR($A1507="",$B1507=""),"",SUMIFS($H$2:$H$2001,$A$2:$A$2001,$A1507,$B$2:$B$2001,$B1507))</f>
        <v/>
      </c>
      <c r="N1507" s="20">
        <f>IF($M1507="","",IF($M1507&lt;=0,"Sin stock: reponer ya",IF($M1507&lt;IFERROR(N(INDEX(Vinos!$N$2:$N$301,MATCH($B1507,Vinos!$A$2:$A$301,0))),0),"Bajo mínimo: reponer","OK")))</f>
        <v/>
      </c>
      <c r="O1507" s="14" t="n"/>
      <c r="P1507" s="14" t="n"/>
      <c r="Q1507" s="20">
        <f>IF($B1507="","",IFERROR(INDEX(Vinos!$C$2:$C$301,MATCH($B1507,Vinos!$A$2:$A$301,0)),""))</f>
        <v/>
      </c>
      <c r="R1507" s="20">
        <f>IF(OR($A1507="",$A1507&lt;&gt;'Resumen del inventario'!$C$3,$N1507="",$N1507="OK"),"",IF(COUNTIFS($A$2:$A1507,$A1507,$B$2:$B1507,$B1507)=1,1,""))</f>
        <v/>
      </c>
      <c r="S1507" s="20">
        <f>IF($R1507=1,COUNTIF($R$2:$R1507,1),"")</f>
        <v/>
      </c>
    </row>
    <row r="1508">
      <c r="A1508" s="19" t="n"/>
      <c r="B1508" s="14" t="n"/>
      <c r="C1508" s="20">
        <f>IF($B1508="","",IFERROR(INDEX(Vinos!$B$2:$B$301,MATCH($B1508,Vinos!$A$2:$A$301,0)),"Código no cargado"))</f>
        <v/>
      </c>
      <c r="D1508" s="14" t="n"/>
      <c r="E1508" s="14" t="n"/>
      <c r="F1508" s="18" t="n"/>
      <c r="G1508" s="18" t="n"/>
      <c r="H1508" s="21">
        <f>IF(AND($F1508="",$G1508=""),"",N($F1508)*IFERROR(N(INDEX(Vinos!$H$2:$H$301,MATCH($B1508,Vinos!$A$2:$A$301,0))),0)+N($G1508))</f>
        <v/>
      </c>
      <c r="I1508" s="18" t="n"/>
      <c r="J1508" s="21">
        <f>IF(OR($H1508="",$I1508=""),"",$H1508-$I1508)</f>
        <v/>
      </c>
      <c r="K1508" s="16">
        <f>IF($H1508="","",IFERROR(IF(INDEX(Vinos!$J$2:$J$301,MATCH($B1508,Vinos!$A$2:$A$301,0))="","",$H1508*INDEX(Vinos!$J$2:$J$301,MATCH($B1508,Vinos!$A$2:$A$301,0))),""))</f>
        <v/>
      </c>
      <c r="L1508" s="16">
        <f>IF($H1508="","",IFERROR(IF(INDEX(Vinos!$K$2:$K$301,MATCH($B1508,Vinos!$A$2:$A$301,0))="","",$H1508*INDEX(Vinos!$K$2:$K$301,MATCH($B1508,Vinos!$A$2:$A$301,0))),""))</f>
        <v/>
      </c>
      <c r="M1508" s="21">
        <f>IF(OR($A1508="",$B1508=""),"",SUMIFS($H$2:$H$2001,$A$2:$A$2001,$A1508,$B$2:$B$2001,$B1508))</f>
        <v/>
      </c>
      <c r="N1508" s="20">
        <f>IF($M1508="","",IF($M1508&lt;=0,"Sin stock: reponer ya",IF($M1508&lt;IFERROR(N(INDEX(Vinos!$N$2:$N$301,MATCH($B1508,Vinos!$A$2:$A$301,0))),0),"Bajo mínimo: reponer","OK")))</f>
        <v/>
      </c>
      <c r="O1508" s="14" t="n"/>
      <c r="P1508" s="14" t="n"/>
      <c r="Q1508" s="20">
        <f>IF($B1508="","",IFERROR(INDEX(Vinos!$C$2:$C$301,MATCH($B1508,Vinos!$A$2:$A$301,0)),""))</f>
        <v/>
      </c>
      <c r="R1508" s="20">
        <f>IF(OR($A1508="",$A1508&lt;&gt;'Resumen del inventario'!$C$3,$N1508="",$N1508="OK"),"",IF(COUNTIFS($A$2:$A1508,$A1508,$B$2:$B1508,$B1508)=1,1,""))</f>
        <v/>
      </c>
      <c r="S1508" s="20">
        <f>IF($R1508=1,COUNTIF($R$2:$R1508,1),"")</f>
        <v/>
      </c>
    </row>
    <row r="1509">
      <c r="A1509" s="19" t="n"/>
      <c r="B1509" s="14" t="n"/>
      <c r="C1509" s="20">
        <f>IF($B1509="","",IFERROR(INDEX(Vinos!$B$2:$B$301,MATCH($B1509,Vinos!$A$2:$A$301,0)),"Código no cargado"))</f>
        <v/>
      </c>
      <c r="D1509" s="14" t="n"/>
      <c r="E1509" s="14" t="n"/>
      <c r="F1509" s="18" t="n"/>
      <c r="G1509" s="18" t="n"/>
      <c r="H1509" s="21">
        <f>IF(AND($F1509="",$G1509=""),"",N($F1509)*IFERROR(N(INDEX(Vinos!$H$2:$H$301,MATCH($B1509,Vinos!$A$2:$A$301,0))),0)+N($G1509))</f>
        <v/>
      </c>
      <c r="I1509" s="18" t="n"/>
      <c r="J1509" s="21">
        <f>IF(OR($H1509="",$I1509=""),"",$H1509-$I1509)</f>
        <v/>
      </c>
      <c r="K1509" s="16">
        <f>IF($H1509="","",IFERROR(IF(INDEX(Vinos!$J$2:$J$301,MATCH($B1509,Vinos!$A$2:$A$301,0))="","",$H1509*INDEX(Vinos!$J$2:$J$301,MATCH($B1509,Vinos!$A$2:$A$301,0))),""))</f>
        <v/>
      </c>
      <c r="L1509" s="16">
        <f>IF($H1509="","",IFERROR(IF(INDEX(Vinos!$K$2:$K$301,MATCH($B1509,Vinos!$A$2:$A$301,0))="","",$H1509*INDEX(Vinos!$K$2:$K$301,MATCH($B1509,Vinos!$A$2:$A$301,0))),""))</f>
        <v/>
      </c>
      <c r="M1509" s="21">
        <f>IF(OR($A1509="",$B1509=""),"",SUMIFS($H$2:$H$2001,$A$2:$A$2001,$A1509,$B$2:$B$2001,$B1509))</f>
        <v/>
      </c>
      <c r="N1509" s="20">
        <f>IF($M1509="","",IF($M1509&lt;=0,"Sin stock: reponer ya",IF($M1509&lt;IFERROR(N(INDEX(Vinos!$N$2:$N$301,MATCH($B1509,Vinos!$A$2:$A$301,0))),0),"Bajo mínimo: reponer","OK")))</f>
        <v/>
      </c>
      <c r="O1509" s="14" t="n"/>
      <c r="P1509" s="14" t="n"/>
      <c r="Q1509" s="20">
        <f>IF($B1509="","",IFERROR(INDEX(Vinos!$C$2:$C$301,MATCH($B1509,Vinos!$A$2:$A$301,0)),""))</f>
        <v/>
      </c>
      <c r="R1509" s="20">
        <f>IF(OR($A1509="",$A1509&lt;&gt;'Resumen del inventario'!$C$3,$N1509="",$N1509="OK"),"",IF(COUNTIFS($A$2:$A1509,$A1509,$B$2:$B1509,$B1509)=1,1,""))</f>
        <v/>
      </c>
      <c r="S1509" s="20">
        <f>IF($R1509=1,COUNTIF($R$2:$R1509,1),"")</f>
        <v/>
      </c>
    </row>
    <row r="1510">
      <c r="A1510" s="19" t="n"/>
      <c r="B1510" s="14" t="n"/>
      <c r="C1510" s="20">
        <f>IF($B1510="","",IFERROR(INDEX(Vinos!$B$2:$B$301,MATCH($B1510,Vinos!$A$2:$A$301,0)),"Código no cargado"))</f>
        <v/>
      </c>
      <c r="D1510" s="14" t="n"/>
      <c r="E1510" s="14" t="n"/>
      <c r="F1510" s="18" t="n"/>
      <c r="G1510" s="18" t="n"/>
      <c r="H1510" s="21">
        <f>IF(AND($F1510="",$G1510=""),"",N($F1510)*IFERROR(N(INDEX(Vinos!$H$2:$H$301,MATCH($B1510,Vinos!$A$2:$A$301,0))),0)+N($G1510))</f>
        <v/>
      </c>
      <c r="I1510" s="18" t="n"/>
      <c r="J1510" s="21">
        <f>IF(OR($H1510="",$I1510=""),"",$H1510-$I1510)</f>
        <v/>
      </c>
      <c r="K1510" s="16">
        <f>IF($H1510="","",IFERROR(IF(INDEX(Vinos!$J$2:$J$301,MATCH($B1510,Vinos!$A$2:$A$301,0))="","",$H1510*INDEX(Vinos!$J$2:$J$301,MATCH($B1510,Vinos!$A$2:$A$301,0))),""))</f>
        <v/>
      </c>
      <c r="L1510" s="16">
        <f>IF($H1510="","",IFERROR(IF(INDEX(Vinos!$K$2:$K$301,MATCH($B1510,Vinos!$A$2:$A$301,0))="","",$H1510*INDEX(Vinos!$K$2:$K$301,MATCH($B1510,Vinos!$A$2:$A$301,0))),""))</f>
        <v/>
      </c>
      <c r="M1510" s="21">
        <f>IF(OR($A1510="",$B1510=""),"",SUMIFS($H$2:$H$2001,$A$2:$A$2001,$A1510,$B$2:$B$2001,$B1510))</f>
        <v/>
      </c>
      <c r="N1510" s="20">
        <f>IF($M1510="","",IF($M1510&lt;=0,"Sin stock: reponer ya",IF($M1510&lt;IFERROR(N(INDEX(Vinos!$N$2:$N$301,MATCH($B1510,Vinos!$A$2:$A$301,0))),0),"Bajo mínimo: reponer","OK")))</f>
        <v/>
      </c>
      <c r="O1510" s="14" t="n"/>
      <c r="P1510" s="14" t="n"/>
      <c r="Q1510" s="20">
        <f>IF($B1510="","",IFERROR(INDEX(Vinos!$C$2:$C$301,MATCH($B1510,Vinos!$A$2:$A$301,0)),""))</f>
        <v/>
      </c>
      <c r="R1510" s="20">
        <f>IF(OR($A1510="",$A1510&lt;&gt;'Resumen del inventario'!$C$3,$N1510="",$N1510="OK"),"",IF(COUNTIFS($A$2:$A1510,$A1510,$B$2:$B1510,$B1510)=1,1,""))</f>
        <v/>
      </c>
      <c r="S1510" s="20">
        <f>IF($R1510=1,COUNTIF($R$2:$R1510,1),"")</f>
        <v/>
      </c>
    </row>
    <row r="1511">
      <c r="A1511" s="19" t="n"/>
      <c r="B1511" s="14" t="n"/>
      <c r="C1511" s="20">
        <f>IF($B1511="","",IFERROR(INDEX(Vinos!$B$2:$B$301,MATCH($B1511,Vinos!$A$2:$A$301,0)),"Código no cargado"))</f>
        <v/>
      </c>
      <c r="D1511" s="14" t="n"/>
      <c r="E1511" s="14" t="n"/>
      <c r="F1511" s="18" t="n"/>
      <c r="G1511" s="18" t="n"/>
      <c r="H1511" s="21">
        <f>IF(AND($F1511="",$G1511=""),"",N($F1511)*IFERROR(N(INDEX(Vinos!$H$2:$H$301,MATCH($B1511,Vinos!$A$2:$A$301,0))),0)+N($G1511))</f>
        <v/>
      </c>
      <c r="I1511" s="18" t="n"/>
      <c r="J1511" s="21">
        <f>IF(OR($H1511="",$I1511=""),"",$H1511-$I1511)</f>
        <v/>
      </c>
      <c r="K1511" s="16">
        <f>IF($H1511="","",IFERROR(IF(INDEX(Vinos!$J$2:$J$301,MATCH($B1511,Vinos!$A$2:$A$301,0))="","",$H1511*INDEX(Vinos!$J$2:$J$301,MATCH($B1511,Vinos!$A$2:$A$301,0))),""))</f>
        <v/>
      </c>
      <c r="L1511" s="16">
        <f>IF($H1511="","",IFERROR(IF(INDEX(Vinos!$K$2:$K$301,MATCH($B1511,Vinos!$A$2:$A$301,0))="","",$H1511*INDEX(Vinos!$K$2:$K$301,MATCH($B1511,Vinos!$A$2:$A$301,0))),""))</f>
        <v/>
      </c>
      <c r="M1511" s="21">
        <f>IF(OR($A1511="",$B1511=""),"",SUMIFS($H$2:$H$2001,$A$2:$A$2001,$A1511,$B$2:$B$2001,$B1511))</f>
        <v/>
      </c>
      <c r="N1511" s="20">
        <f>IF($M1511="","",IF($M1511&lt;=0,"Sin stock: reponer ya",IF($M1511&lt;IFERROR(N(INDEX(Vinos!$N$2:$N$301,MATCH($B1511,Vinos!$A$2:$A$301,0))),0),"Bajo mínimo: reponer","OK")))</f>
        <v/>
      </c>
      <c r="O1511" s="14" t="n"/>
      <c r="P1511" s="14" t="n"/>
      <c r="Q1511" s="20">
        <f>IF($B1511="","",IFERROR(INDEX(Vinos!$C$2:$C$301,MATCH($B1511,Vinos!$A$2:$A$301,0)),""))</f>
        <v/>
      </c>
      <c r="R1511" s="20">
        <f>IF(OR($A1511="",$A1511&lt;&gt;'Resumen del inventario'!$C$3,$N1511="",$N1511="OK"),"",IF(COUNTIFS($A$2:$A1511,$A1511,$B$2:$B1511,$B1511)=1,1,""))</f>
        <v/>
      </c>
      <c r="S1511" s="20">
        <f>IF($R1511=1,COUNTIF($R$2:$R1511,1),"")</f>
        <v/>
      </c>
    </row>
    <row r="1512">
      <c r="A1512" s="19" t="n"/>
      <c r="B1512" s="14" t="n"/>
      <c r="C1512" s="20">
        <f>IF($B1512="","",IFERROR(INDEX(Vinos!$B$2:$B$301,MATCH($B1512,Vinos!$A$2:$A$301,0)),"Código no cargado"))</f>
        <v/>
      </c>
      <c r="D1512" s="14" t="n"/>
      <c r="E1512" s="14" t="n"/>
      <c r="F1512" s="18" t="n"/>
      <c r="G1512" s="18" t="n"/>
      <c r="H1512" s="21">
        <f>IF(AND($F1512="",$G1512=""),"",N($F1512)*IFERROR(N(INDEX(Vinos!$H$2:$H$301,MATCH($B1512,Vinos!$A$2:$A$301,0))),0)+N($G1512))</f>
        <v/>
      </c>
      <c r="I1512" s="18" t="n"/>
      <c r="J1512" s="21">
        <f>IF(OR($H1512="",$I1512=""),"",$H1512-$I1512)</f>
        <v/>
      </c>
      <c r="K1512" s="16">
        <f>IF($H1512="","",IFERROR(IF(INDEX(Vinos!$J$2:$J$301,MATCH($B1512,Vinos!$A$2:$A$301,0))="","",$H1512*INDEX(Vinos!$J$2:$J$301,MATCH($B1512,Vinos!$A$2:$A$301,0))),""))</f>
        <v/>
      </c>
      <c r="L1512" s="16">
        <f>IF($H1512="","",IFERROR(IF(INDEX(Vinos!$K$2:$K$301,MATCH($B1512,Vinos!$A$2:$A$301,0))="","",$H1512*INDEX(Vinos!$K$2:$K$301,MATCH($B1512,Vinos!$A$2:$A$301,0))),""))</f>
        <v/>
      </c>
      <c r="M1512" s="21">
        <f>IF(OR($A1512="",$B1512=""),"",SUMIFS($H$2:$H$2001,$A$2:$A$2001,$A1512,$B$2:$B$2001,$B1512))</f>
        <v/>
      </c>
      <c r="N1512" s="20">
        <f>IF($M1512="","",IF($M1512&lt;=0,"Sin stock: reponer ya",IF($M1512&lt;IFERROR(N(INDEX(Vinos!$N$2:$N$301,MATCH($B1512,Vinos!$A$2:$A$301,0))),0),"Bajo mínimo: reponer","OK")))</f>
        <v/>
      </c>
      <c r="O1512" s="14" t="n"/>
      <c r="P1512" s="14" t="n"/>
      <c r="Q1512" s="20">
        <f>IF($B1512="","",IFERROR(INDEX(Vinos!$C$2:$C$301,MATCH($B1512,Vinos!$A$2:$A$301,0)),""))</f>
        <v/>
      </c>
      <c r="R1512" s="20">
        <f>IF(OR($A1512="",$A1512&lt;&gt;'Resumen del inventario'!$C$3,$N1512="",$N1512="OK"),"",IF(COUNTIFS($A$2:$A1512,$A1512,$B$2:$B1512,$B1512)=1,1,""))</f>
        <v/>
      </c>
      <c r="S1512" s="20">
        <f>IF($R1512=1,COUNTIF($R$2:$R1512,1),"")</f>
        <v/>
      </c>
    </row>
    <row r="1513">
      <c r="A1513" s="19" t="n"/>
      <c r="B1513" s="14" t="n"/>
      <c r="C1513" s="20">
        <f>IF($B1513="","",IFERROR(INDEX(Vinos!$B$2:$B$301,MATCH($B1513,Vinos!$A$2:$A$301,0)),"Código no cargado"))</f>
        <v/>
      </c>
      <c r="D1513" s="14" t="n"/>
      <c r="E1513" s="14" t="n"/>
      <c r="F1513" s="18" t="n"/>
      <c r="G1513" s="18" t="n"/>
      <c r="H1513" s="21">
        <f>IF(AND($F1513="",$G1513=""),"",N($F1513)*IFERROR(N(INDEX(Vinos!$H$2:$H$301,MATCH($B1513,Vinos!$A$2:$A$301,0))),0)+N($G1513))</f>
        <v/>
      </c>
      <c r="I1513" s="18" t="n"/>
      <c r="J1513" s="21">
        <f>IF(OR($H1513="",$I1513=""),"",$H1513-$I1513)</f>
        <v/>
      </c>
      <c r="K1513" s="16">
        <f>IF($H1513="","",IFERROR(IF(INDEX(Vinos!$J$2:$J$301,MATCH($B1513,Vinos!$A$2:$A$301,0))="","",$H1513*INDEX(Vinos!$J$2:$J$301,MATCH($B1513,Vinos!$A$2:$A$301,0))),""))</f>
        <v/>
      </c>
      <c r="L1513" s="16">
        <f>IF($H1513="","",IFERROR(IF(INDEX(Vinos!$K$2:$K$301,MATCH($B1513,Vinos!$A$2:$A$301,0))="","",$H1513*INDEX(Vinos!$K$2:$K$301,MATCH($B1513,Vinos!$A$2:$A$301,0))),""))</f>
        <v/>
      </c>
      <c r="M1513" s="21">
        <f>IF(OR($A1513="",$B1513=""),"",SUMIFS($H$2:$H$2001,$A$2:$A$2001,$A1513,$B$2:$B$2001,$B1513))</f>
        <v/>
      </c>
      <c r="N1513" s="20">
        <f>IF($M1513="","",IF($M1513&lt;=0,"Sin stock: reponer ya",IF($M1513&lt;IFERROR(N(INDEX(Vinos!$N$2:$N$301,MATCH($B1513,Vinos!$A$2:$A$301,0))),0),"Bajo mínimo: reponer","OK")))</f>
        <v/>
      </c>
      <c r="O1513" s="14" t="n"/>
      <c r="P1513" s="14" t="n"/>
      <c r="Q1513" s="20">
        <f>IF($B1513="","",IFERROR(INDEX(Vinos!$C$2:$C$301,MATCH($B1513,Vinos!$A$2:$A$301,0)),""))</f>
        <v/>
      </c>
      <c r="R1513" s="20">
        <f>IF(OR($A1513="",$A1513&lt;&gt;'Resumen del inventario'!$C$3,$N1513="",$N1513="OK"),"",IF(COUNTIFS($A$2:$A1513,$A1513,$B$2:$B1513,$B1513)=1,1,""))</f>
        <v/>
      </c>
      <c r="S1513" s="20">
        <f>IF($R1513=1,COUNTIF($R$2:$R1513,1),"")</f>
        <v/>
      </c>
    </row>
    <row r="1514">
      <c r="A1514" s="19" t="n"/>
      <c r="B1514" s="14" t="n"/>
      <c r="C1514" s="20">
        <f>IF($B1514="","",IFERROR(INDEX(Vinos!$B$2:$B$301,MATCH($B1514,Vinos!$A$2:$A$301,0)),"Código no cargado"))</f>
        <v/>
      </c>
      <c r="D1514" s="14" t="n"/>
      <c r="E1514" s="14" t="n"/>
      <c r="F1514" s="18" t="n"/>
      <c r="G1514" s="18" t="n"/>
      <c r="H1514" s="21">
        <f>IF(AND($F1514="",$G1514=""),"",N($F1514)*IFERROR(N(INDEX(Vinos!$H$2:$H$301,MATCH($B1514,Vinos!$A$2:$A$301,0))),0)+N($G1514))</f>
        <v/>
      </c>
      <c r="I1514" s="18" t="n"/>
      <c r="J1514" s="21">
        <f>IF(OR($H1514="",$I1514=""),"",$H1514-$I1514)</f>
        <v/>
      </c>
      <c r="K1514" s="16">
        <f>IF($H1514="","",IFERROR(IF(INDEX(Vinos!$J$2:$J$301,MATCH($B1514,Vinos!$A$2:$A$301,0))="","",$H1514*INDEX(Vinos!$J$2:$J$301,MATCH($B1514,Vinos!$A$2:$A$301,0))),""))</f>
        <v/>
      </c>
      <c r="L1514" s="16">
        <f>IF($H1514="","",IFERROR(IF(INDEX(Vinos!$K$2:$K$301,MATCH($B1514,Vinos!$A$2:$A$301,0))="","",$H1514*INDEX(Vinos!$K$2:$K$301,MATCH($B1514,Vinos!$A$2:$A$301,0))),""))</f>
        <v/>
      </c>
      <c r="M1514" s="21">
        <f>IF(OR($A1514="",$B1514=""),"",SUMIFS($H$2:$H$2001,$A$2:$A$2001,$A1514,$B$2:$B$2001,$B1514))</f>
        <v/>
      </c>
      <c r="N1514" s="20">
        <f>IF($M1514="","",IF($M1514&lt;=0,"Sin stock: reponer ya",IF($M1514&lt;IFERROR(N(INDEX(Vinos!$N$2:$N$301,MATCH($B1514,Vinos!$A$2:$A$301,0))),0),"Bajo mínimo: reponer","OK")))</f>
        <v/>
      </c>
      <c r="O1514" s="14" t="n"/>
      <c r="P1514" s="14" t="n"/>
      <c r="Q1514" s="20">
        <f>IF($B1514="","",IFERROR(INDEX(Vinos!$C$2:$C$301,MATCH($B1514,Vinos!$A$2:$A$301,0)),""))</f>
        <v/>
      </c>
      <c r="R1514" s="20">
        <f>IF(OR($A1514="",$A1514&lt;&gt;'Resumen del inventario'!$C$3,$N1514="",$N1514="OK"),"",IF(COUNTIFS($A$2:$A1514,$A1514,$B$2:$B1514,$B1514)=1,1,""))</f>
        <v/>
      </c>
      <c r="S1514" s="20">
        <f>IF($R1514=1,COUNTIF($R$2:$R1514,1),"")</f>
        <v/>
      </c>
    </row>
    <row r="1515">
      <c r="A1515" s="19" t="n"/>
      <c r="B1515" s="14" t="n"/>
      <c r="C1515" s="20">
        <f>IF($B1515="","",IFERROR(INDEX(Vinos!$B$2:$B$301,MATCH($B1515,Vinos!$A$2:$A$301,0)),"Código no cargado"))</f>
        <v/>
      </c>
      <c r="D1515" s="14" t="n"/>
      <c r="E1515" s="14" t="n"/>
      <c r="F1515" s="18" t="n"/>
      <c r="G1515" s="18" t="n"/>
      <c r="H1515" s="21">
        <f>IF(AND($F1515="",$G1515=""),"",N($F1515)*IFERROR(N(INDEX(Vinos!$H$2:$H$301,MATCH($B1515,Vinos!$A$2:$A$301,0))),0)+N($G1515))</f>
        <v/>
      </c>
      <c r="I1515" s="18" t="n"/>
      <c r="J1515" s="21">
        <f>IF(OR($H1515="",$I1515=""),"",$H1515-$I1515)</f>
        <v/>
      </c>
      <c r="K1515" s="16">
        <f>IF($H1515="","",IFERROR(IF(INDEX(Vinos!$J$2:$J$301,MATCH($B1515,Vinos!$A$2:$A$301,0))="","",$H1515*INDEX(Vinos!$J$2:$J$301,MATCH($B1515,Vinos!$A$2:$A$301,0))),""))</f>
        <v/>
      </c>
      <c r="L1515" s="16">
        <f>IF($H1515="","",IFERROR(IF(INDEX(Vinos!$K$2:$K$301,MATCH($B1515,Vinos!$A$2:$A$301,0))="","",$H1515*INDEX(Vinos!$K$2:$K$301,MATCH($B1515,Vinos!$A$2:$A$301,0))),""))</f>
        <v/>
      </c>
      <c r="M1515" s="21">
        <f>IF(OR($A1515="",$B1515=""),"",SUMIFS($H$2:$H$2001,$A$2:$A$2001,$A1515,$B$2:$B$2001,$B1515))</f>
        <v/>
      </c>
      <c r="N1515" s="20">
        <f>IF($M1515="","",IF($M1515&lt;=0,"Sin stock: reponer ya",IF($M1515&lt;IFERROR(N(INDEX(Vinos!$N$2:$N$301,MATCH($B1515,Vinos!$A$2:$A$301,0))),0),"Bajo mínimo: reponer","OK")))</f>
        <v/>
      </c>
      <c r="O1515" s="14" t="n"/>
      <c r="P1515" s="14" t="n"/>
      <c r="Q1515" s="20">
        <f>IF($B1515="","",IFERROR(INDEX(Vinos!$C$2:$C$301,MATCH($B1515,Vinos!$A$2:$A$301,0)),""))</f>
        <v/>
      </c>
      <c r="R1515" s="20">
        <f>IF(OR($A1515="",$A1515&lt;&gt;'Resumen del inventario'!$C$3,$N1515="",$N1515="OK"),"",IF(COUNTIFS($A$2:$A1515,$A1515,$B$2:$B1515,$B1515)=1,1,""))</f>
        <v/>
      </c>
      <c r="S1515" s="20">
        <f>IF($R1515=1,COUNTIF($R$2:$R1515,1),"")</f>
        <v/>
      </c>
    </row>
    <row r="1516">
      <c r="A1516" s="19" t="n"/>
      <c r="B1516" s="14" t="n"/>
      <c r="C1516" s="20">
        <f>IF($B1516="","",IFERROR(INDEX(Vinos!$B$2:$B$301,MATCH($B1516,Vinos!$A$2:$A$301,0)),"Código no cargado"))</f>
        <v/>
      </c>
      <c r="D1516" s="14" t="n"/>
      <c r="E1516" s="14" t="n"/>
      <c r="F1516" s="18" t="n"/>
      <c r="G1516" s="18" t="n"/>
      <c r="H1516" s="21">
        <f>IF(AND($F1516="",$G1516=""),"",N($F1516)*IFERROR(N(INDEX(Vinos!$H$2:$H$301,MATCH($B1516,Vinos!$A$2:$A$301,0))),0)+N($G1516))</f>
        <v/>
      </c>
      <c r="I1516" s="18" t="n"/>
      <c r="J1516" s="21">
        <f>IF(OR($H1516="",$I1516=""),"",$H1516-$I1516)</f>
        <v/>
      </c>
      <c r="K1516" s="16">
        <f>IF($H1516="","",IFERROR(IF(INDEX(Vinos!$J$2:$J$301,MATCH($B1516,Vinos!$A$2:$A$301,0))="","",$H1516*INDEX(Vinos!$J$2:$J$301,MATCH($B1516,Vinos!$A$2:$A$301,0))),""))</f>
        <v/>
      </c>
      <c r="L1516" s="16">
        <f>IF($H1516="","",IFERROR(IF(INDEX(Vinos!$K$2:$K$301,MATCH($B1516,Vinos!$A$2:$A$301,0))="","",$H1516*INDEX(Vinos!$K$2:$K$301,MATCH($B1516,Vinos!$A$2:$A$301,0))),""))</f>
        <v/>
      </c>
      <c r="M1516" s="21">
        <f>IF(OR($A1516="",$B1516=""),"",SUMIFS($H$2:$H$2001,$A$2:$A$2001,$A1516,$B$2:$B$2001,$B1516))</f>
        <v/>
      </c>
      <c r="N1516" s="20">
        <f>IF($M1516="","",IF($M1516&lt;=0,"Sin stock: reponer ya",IF($M1516&lt;IFERROR(N(INDEX(Vinos!$N$2:$N$301,MATCH($B1516,Vinos!$A$2:$A$301,0))),0),"Bajo mínimo: reponer","OK")))</f>
        <v/>
      </c>
      <c r="O1516" s="14" t="n"/>
      <c r="P1516" s="14" t="n"/>
      <c r="Q1516" s="20">
        <f>IF($B1516="","",IFERROR(INDEX(Vinos!$C$2:$C$301,MATCH($B1516,Vinos!$A$2:$A$301,0)),""))</f>
        <v/>
      </c>
      <c r="R1516" s="20">
        <f>IF(OR($A1516="",$A1516&lt;&gt;'Resumen del inventario'!$C$3,$N1516="",$N1516="OK"),"",IF(COUNTIFS($A$2:$A1516,$A1516,$B$2:$B1516,$B1516)=1,1,""))</f>
        <v/>
      </c>
      <c r="S1516" s="20">
        <f>IF($R1516=1,COUNTIF($R$2:$R1516,1),"")</f>
        <v/>
      </c>
    </row>
    <row r="1517">
      <c r="A1517" s="19" t="n"/>
      <c r="B1517" s="14" t="n"/>
      <c r="C1517" s="20">
        <f>IF($B1517="","",IFERROR(INDEX(Vinos!$B$2:$B$301,MATCH($B1517,Vinos!$A$2:$A$301,0)),"Código no cargado"))</f>
        <v/>
      </c>
      <c r="D1517" s="14" t="n"/>
      <c r="E1517" s="14" t="n"/>
      <c r="F1517" s="18" t="n"/>
      <c r="G1517" s="18" t="n"/>
      <c r="H1517" s="21">
        <f>IF(AND($F1517="",$G1517=""),"",N($F1517)*IFERROR(N(INDEX(Vinos!$H$2:$H$301,MATCH($B1517,Vinos!$A$2:$A$301,0))),0)+N($G1517))</f>
        <v/>
      </c>
      <c r="I1517" s="18" t="n"/>
      <c r="J1517" s="21">
        <f>IF(OR($H1517="",$I1517=""),"",$H1517-$I1517)</f>
        <v/>
      </c>
      <c r="K1517" s="16">
        <f>IF($H1517="","",IFERROR(IF(INDEX(Vinos!$J$2:$J$301,MATCH($B1517,Vinos!$A$2:$A$301,0))="","",$H1517*INDEX(Vinos!$J$2:$J$301,MATCH($B1517,Vinos!$A$2:$A$301,0))),""))</f>
        <v/>
      </c>
      <c r="L1517" s="16">
        <f>IF($H1517="","",IFERROR(IF(INDEX(Vinos!$K$2:$K$301,MATCH($B1517,Vinos!$A$2:$A$301,0))="","",$H1517*INDEX(Vinos!$K$2:$K$301,MATCH($B1517,Vinos!$A$2:$A$301,0))),""))</f>
        <v/>
      </c>
      <c r="M1517" s="21">
        <f>IF(OR($A1517="",$B1517=""),"",SUMIFS($H$2:$H$2001,$A$2:$A$2001,$A1517,$B$2:$B$2001,$B1517))</f>
        <v/>
      </c>
      <c r="N1517" s="20">
        <f>IF($M1517="","",IF($M1517&lt;=0,"Sin stock: reponer ya",IF($M1517&lt;IFERROR(N(INDEX(Vinos!$N$2:$N$301,MATCH($B1517,Vinos!$A$2:$A$301,0))),0),"Bajo mínimo: reponer","OK")))</f>
        <v/>
      </c>
      <c r="O1517" s="14" t="n"/>
      <c r="P1517" s="14" t="n"/>
      <c r="Q1517" s="20">
        <f>IF($B1517="","",IFERROR(INDEX(Vinos!$C$2:$C$301,MATCH($B1517,Vinos!$A$2:$A$301,0)),""))</f>
        <v/>
      </c>
      <c r="R1517" s="20">
        <f>IF(OR($A1517="",$A1517&lt;&gt;'Resumen del inventario'!$C$3,$N1517="",$N1517="OK"),"",IF(COUNTIFS($A$2:$A1517,$A1517,$B$2:$B1517,$B1517)=1,1,""))</f>
        <v/>
      </c>
      <c r="S1517" s="20">
        <f>IF($R1517=1,COUNTIF($R$2:$R1517,1),"")</f>
        <v/>
      </c>
    </row>
    <row r="1518">
      <c r="A1518" s="19" t="n"/>
      <c r="B1518" s="14" t="n"/>
      <c r="C1518" s="20">
        <f>IF($B1518="","",IFERROR(INDEX(Vinos!$B$2:$B$301,MATCH($B1518,Vinos!$A$2:$A$301,0)),"Código no cargado"))</f>
        <v/>
      </c>
      <c r="D1518" s="14" t="n"/>
      <c r="E1518" s="14" t="n"/>
      <c r="F1518" s="18" t="n"/>
      <c r="G1518" s="18" t="n"/>
      <c r="H1518" s="21">
        <f>IF(AND($F1518="",$G1518=""),"",N($F1518)*IFERROR(N(INDEX(Vinos!$H$2:$H$301,MATCH($B1518,Vinos!$A$2:$A$301,0))),0)+N($G1518))</f>
        <v/>
      </c>
      <c r="I1518" s="18" t="n"/>
      <c r="J1518" s="21">
        <f>IF(OR($H1518="",$I1518=""),"",$H1518-$I1518)</f>
        <v/>
      </c>
      <c r="K1518" s="16">
        <f>IF($H1518="","",IFERROR(IF(INDEX(Vinos!$J$2:$J$301,MATCH($B1518,Vinos!$A$2:$A$301,0))="","",$H1518*INDEX(Vinos!$J$2:$J$301,MATCH($B1518,Vinos!$A$2:$A$301,0))),""))</f>
        <v/>
      </c>
      <c r="L1518" s="16">
        <f>IF($H1518="","",IFERROR(IF(INDEX(Vinos!$K$2:$K$301,MATCH($B1518,Vinos!$A$2:$A$301,0))="","",$H1518*INDEX(Vinos!$K$2:$K$301,MATCH($B1518,Vinos!$A$2:$A$301,0))),""))</f>
        <v/>
      </c>
      <c r="M1518" s="21">
        <f>IF(OR($A1518="",$B1518=""),"",SUMIFS($H$2:$H$2001,$A$2:$A$2001,$A1518,$B$2:$B$2001,$B1518))</f>
        <v/>
      </c>
      <c r="N1518" s="20">
        <f>IF($M1518="","",IF($M1518&lt;=0,"Sin stock: reponer ya",IF($M1518&lt;IFERROR(N(INDEX(Vinos!$N$2:$N$301,MATCH($B1518,Vinos!$A$2:$A$301,0))),0),"Bajo mínimo: reponer","OK")))</f>
        <v/>
      </c>
      <c r="O1518" s="14" t="n"/>
      <c r="P1518" s="14" t="n"/>
      <c r="Q1518" s="20">
        <f>IF($B1518="","",IFERROR(INDEX(Vinos!$C$2:$C$301,MATCH($B1518,Vinos!$A$2:$A$301,0)),""))</f>
        <v/>
      </c>
      <c r="R1518" s="20">
        <f>IF(OR($A1518="",$A1518&lt;&gt;'Resumen del inventario'!$C$3,$N1518="",$N1518="OK"),"",IF(COUNTIFS($A$2:$A1518,$A1518,$B$2:$B1518,$B1518)=1,1,""))</f>
        <v/>
      </c>
      <c r="S1518" s="20">
        <f>IF($R1518=1,COUNTIF($R$2:$R1518,1),"")</f>
        <v/>
      </c>
    </row>
    <row r="1519">
      <c r="A1519" s="19" t="n"/>
      <c r="B1519" s="14" t="n"/>
      <c r="C1519" s="20">
        <f>IF($B1519="","",IFERROR(INDEX(Vinos!$B$2:$B$301,MATCH($B1519,Vinos!$A$2:$A$301,0)),"Código no cargado"))</f>
        <v/>
      </c>
      <c r="D1519" s="14" t="n"/>
      <c r="E1519" s="14" t="n"/>
      <c r="F1519" s="18" t="n"/>
      <c r="G1519" s="18" t="n"/>
      <c r="H1519" s="21">
        <f>IF(AND($F1519="",$G1519=""),"",N($F1519)*IFERROR(N(INDEX(Vinos!$H$2:$H$301,MATCH($B1519,Vinos!$A$2:$A$301,0))),0)+N($G1519))</f>
        <v/>
      </c>
      <c r="I1519" s="18" t="n"/>
      <c r="J1519" s="21">
        <f>IF(OR($H1519="",$I1519=""),"",$H1519-$I1519)</f>
        <v/>
      </c>
      <c r="K1519" s="16">
        <f>IF($H1519="","",IFERROR(IF(INDEX(Vinos!$J$2:$J$301,MATCH($B1519,Vinos!$A$2:$A$301,0))="","",$H1519*INDEX(Vinos!$J$2:$J$301,MATCH($B1519,Vinos!$A$2:$A$301,0))),""))</f>
        <v/>
      </c>
      <c r="L1519" s="16">
        <f>IF($H1519="","",IFERROR(IF(INDEX(Vinos!$K$2:$K$301,MATCH($B1519,Vinos!$A$2:$A$301,0))="","",$H1519*INDEX(Vinos!$K$2:$K$301,MATCH($B1519,Vinos!$A$2:$A$301,0))),""))</f>
        <v/>
      </c>
      <c r="M1519" s="21">
        <f>IF(OR($A1519="",$B1519=""),"",SUMIFS($H$2:$H$2001,$A$2:$A$2001,$A1519,$B$2:$B$2001,$B1519))</f>
        <v/>
      </c>
      <c r="N1519" s="20">
        <f>IF($M1519="","",IF($M1519&lt;=0,"Sin stock: reponer ya",IF($M1519&lt;IFERROR(N(INDEX(Vinos!$N$2:$N$301,MATCH($B1519,Vinos!$A$2:$A$301,0))),0),"Bajo mínimo: reponer","OK")))</f>
        <v/>
      </c>
      <c r="O1519" s="14" t="n"/>
      <c r="P1519" s="14" t="n"/>
      <c r="Q1519" s="20">
        <f>IF($B1519="","",IFERROR(INDEX(Vinos!$C$2:$C$301,MATCH($B1519,Vinos!$A$2:$A$301,0)),""))</f>
        <v/>
      </c>
      <c r="R1519" s="20">
        <f>IF(OR($A1519="",$A1519&lt;&gt;'Resumen del inventario'!$C$3,$N1519="",$N1519="OK"),"",IF(COUNTIFS($A$2:$A1519,$A1519,$B$2:$B1519,$B1519)=1,1,""))</f>
        <v/>
      </c>
      <c r="S1519" s="20">
        <f>IF($R1519=1,COUNTIF($R$2:$R1519,1),"")</f>
        <v/>
      </c>
    </row>
    <row r="1520">
      <c r="A1520" s="19" t="n"/>
      <c r="B1520" s="14" t="n"/>
      <c r="C1520" s="20">
        <f>IF($B1520="","",IFERROR(INDEX(Vinos!$B$2:$B$301,MATCH($B1520,Vinos!$A$2:$A$301,0)),"Código no cargado"))</f>
        <v/>
      </c>
      <c r="D1520" s="14" t="n"/>
      <c r="E1520" s="14" t="n"/>
      <c r="F1520" s="18" t="n"/>
      <c r="G1520" s="18" t="n"/>
      <c r="H1520" s="21">
        <f>IF(AND($F1520="",$G1520=""),"",N($F1520)*IFERROR(N(INDEX(Vinos!$H$2:$H$301,MATCH($B1520,Vinos!$A$2:$A$301,0))),0)+N($G1520))</f>
        <v/>
      </c>
      <c r="I1520" s="18" t="n"/>
      <c r="J1520" s="21">
        <f>IF(OR($H1520="",$I1520=""),"",$H1520-$I1520)</f>
        <v/>
      </c>
      <c r="K1520" s="16">
        <f>IF($H1520="","",IFERROR(IF(INDEX(Vinos!$J$2:$J$301,MATCH($B1520,Vinos!$A$2:$A$301,0))="","",$H1520*INDEX(Vinos!$J$2:$J$301,MATCH($B1520,Vinos!$A$2:$A$301,0))),""))</f>
        <v/>
      </c>
      <c r="L1520" s="16">
        <f>IF($H1520="","",IFERROR(IF(INDEX(Vinos!$K$2:$K$301,MATCH($B1520,Vinos!$A$2:$A$301,0))="","",$H1520*INDEX(Vinos!$K$2:$K$301,MATCH($B1520,Vinos!$A$2:$A$301,0))),""))</f>
        <v/>
      </c>
      <c r="M1520" s="21">
        <f>IF(OR($A1520="",$B1520=""),"",SUMIFS($H$2:$H$2001,$A$2:$A$2001,$A1520,$B$2:$B$2001,$B1520))</f>
        <v/>
      </c>
      <c r="N1520" s="20">
        <f>IF($M1520="","",IF($M1520&lt;=0,"Sin stock: reponer ya",IF($M1520&lt;IFERROR(N(INDEX(Vinos!$N$2:$N$301,MATCH($B1520,Vinos!$A$2:$A$301,0))),0),"Bajo mínimo: reponer","OK")))</f>
        <v/>
      </c>
      <c r="O1520" s="14" t="n"/>
      <c r="P1520" s="14" t="n"/>
      <c r="Q1520" s="20">
        <f>IF($B1520="","",IFERROR(INDEX(Vinos!$C$2:$C$301,MATCH($B1520,Vinos!$A$2:$A$301,0)),""))</f>
        <v/>
      </c>
      <c r="R1520" s="20">
        <f>IF(OR($A1520="",$A1520&lt;&gt;'Resumen del inventario'!$C$3,$N1520="",$N1520="OK"),"",IF(COUNTIFS($A$2:$A1520,$A1520,$B$2:$B1520,$B1520)=1,1,""))</f>
        <v/>
      </c>
      <c r="S1520" s="20">
        <f>IF($R1520=1,COUNTIF($R$2:$R1520,1),"")</f>
        <v/>
      </c>
    </row>
    <row r="1521">
      <c r="A1521" s="19" t="n"/>
      <c r="B1521" s="14" t="n"/>
      <c r="C1521" s="20">
        <f>IF($B1521="","",IFERROR(INDEX(Vinos!$B$2:$B$301,MATCH($B1521,Vinos!$A$2:$A$301,0)),"Código no cargado"))</f>
        <v/>
      </c>
      <c r="D1521" s="14" t="n"/>
      <c r="E1521" s="14" t="n"/>
      <c r="F1521" s="18" t="n"/>
      <c r="G1521" s="18" t="n"/>
      <c r="H1521" s="21">
        <f>IF(AND($F1521="",$G1521=""),"",N($F1521)*IFERROR(N(INDEX(Vinos!$H$2:$H$301,MATCH($B1521,Vinos!$A$2:$A$301,0))),0)+N($G1521))</f>
        <v/>
      </c>
      <c r="I1521" s="18" t="n"/>
      <c r="J1521" s="21">
        <f>IF(OR($H1521="",$I1521=""),"",$H1521-$I1521)</f>
        <v/>
      </c>
      <c r="K1521" s="16">
        <f>IF($H1521="","",IFERROR(IF(INDEX(Vinos!$J$2:$J$301,MATCH($B1521,Vinos!$A$2:$A$301,0))="","",$H1521*INDEX(Vinos!$J$2:$J$301,MATCH($B1521,Vinos!$A$2:$A$301,0))),""))</f>
        <v/>
      </c>
      <c r="L1521" s="16">
        <f>IF($H1521="","",IFERROR(IF(INDEX(Vinos!$K$2:$K$301,MATCH($B1521,Vinos!$A$2:$A$301,0))="","",$H1521*INDEX(Vinos!$K$2:$K$301,MATCH($B1521,Vinos!$A$2:$A$301,0))),""))</f>
        <v/>
      </c>
      <c r="M1521" s="21">
        <f>IF(OR($A1521="",$B1521=""),"",SUMIFS($H$2:$H$2001,$A$2:$A$2001,$A1521,$B$2:$B$2001,$B1521))</f>
        <v/>
      </c>
      <c r="N1521" s="20">
        <f>IF($M1521="","",IF($M1521&lt;=0,"Sin stock: reponer ya",IF($M1521&lt;IFERROR(N(INDEX(Vinos!$N$2:$N$301,MATCH($B1521,Vinos!$A$2:$A$301,0))),0),"Bajo mínimo: reponer","OK")))</f>
        <v/>
      </c>
      <c r="O1521" s="14" t="n"/>
      <c r="P1521" s="14" t="n"/>
      <c r="Q1521" s="20">
        <f>IF($B1521="","",IFERROR(INDEX(Vinos!$C$2:$C$301,MATCH($B1521,Vinos!$A$2:$A$301,0)),""))</f>
        <v/>
      </c>
      <c r="R1521" s="20">
        <f>IF(OR($A1521="",$A1521&lt;&gt;'Resumen del inventario'!$C$3,$N1521="",$N1521="OK"),"",IF(COUNTIFS($A$2:$A1521,$A1521,$B$2:$B1521,$B1521)=1,1,""))</f>
        <v/>
      </c>
      <c r="S1521" s="20">
        <f>IF($R1521=1,COUNTIF($R$2:$R1521,1),"")</f>
        <v/>
      </c>
    </row>
    <row r="1522">
      <c r="A1522" s="19" t="n"/>
      <c r="B1522" s="14" t="n"/>
      <c r="C1522" s="20">
        <f>IF($B1522="","",IFERROR(INDEX(Vinos!$B$2:$B$301,MATCH($B1522,Vinos!$A$2:$A$301,0)),"Código no cargado"))</f>
        <v/>
      </c>
      <c r="D1522" s="14" t="n"/>
      <c r="E1522" s="14" t="n"/>
      <c r="F1522" s="18" t="n"/>
      <c r="G1522" s="18" t="n"/>
      <c r="H1522" s="21">
        <f>IF(AND($F1522="",$G1522=""),"",N($F1522)*IFERROR(N(INDEX(Vinos!$H$2:$H$301,MATCH($B1522,Vinos!$A$2:$A$301,0))),0)+N($G1522))</f>
        <v/>
      </c>
      <c r="I1522" s="18" t="n"/>
      <c r="J1522" s="21">
        <f>IF(OR($H1522="",$I1522=""),"",$H1522-$I1522)</f>
        <v/>
      </c>
      <c r="K1522" s="16">
        <f>IF($H1522="","",IFERROR(IF(INDEX(Vinos!$J$2:$J$301,MATCH($B1522,Vinos!$A$2:$A$301,0))="","",$H1522*INDEX(Vinos!$J$2:$J$301,MATCH($B1522,Vinos!$A$2:$A$301,0))),""))</f>
        <v/>
      </c>
      <c r="L1522" s="16">
        <f>IF($H1522="","",IFERROR(IF(INDEX(Vinos!$K$2:$K$301,MATCH($B1522,Vinos!$A$2:$A$301,0))="","",$H1522*INDEX(Vinos!$K$2:$K$301,MATCH($B1522,Vinos!$A$2:$A$301,0))),""))</f>
        <v/>
      </c>
      <c r="M1522" s="21">
        <f>IF(OR($A1522="",$B1522=""),"",SUMIFS($H$2:$H$2001,$A$2:$A$2001,$A1522,$B$2:$B$2001,$B1522))</f>
        <v/>
      </c>
      <c r="N1522" s="20">
        <f>IF($M1522="","",IF($M1522&lt;=0,"Sin stock: reponer ya",IF($M1522&lt;IFERROR(N(INDEX(Vinos!$N$2:$N$301,MATCH($B1522,Vinos!$A$2:$A$301,0))),0),"Bajo mínimo: reponer","OK")))</f>
        <v/>
      </c>
      <c r="O1522" s="14" t="n"/>
      <c r="P1522" s="14" t="n"/>
      <c r="Q1522" s="20">
        <f>IF($B1522="","",IFERROR(INDEX(Vinos!$C$2:$C$301,MATCH($B1522,Vinos!$A$2:$A$301,0)),""))</f>
        <v/>
      </c>
      <c r="R1522" s="20">
        <f>IF(OR($A1522="",$A1522&lt;&gt;'Resumen del inventario'!$C$3,$N1522="",$N1522="OK"),"",IF(COUNTIFS($A$2:$A1522,$A1522,$B$2:$B1522,$B1522)=1,1,""))</f>
        <v/>
      </c>
      <c r="S1522" s="20">
        <f>IF($R1522=1,COUNTIF($R$2:$R1522,1),"")</f>
        <v/>
      </c>
    </row>
    <row r="1523">
      <c r="A1523" s="19" t="n"/>
      <c r="B1523" s="14" t="n"/>
      <c r="C1523" s="20">
        <f>IF($B1523="","",IFERROR(INDEX(Vinos!$B$2:$B$301,MATCH($B1523,Vinos!$A$2:$A$301,0)),"Código no cargado"))</f>
        <v/>
      </c>
      <c r="D1523" s="14" t="n"/>
      <c r="E1523" s="14" t="n"/>
      <c r="F1523" s="18" t="n"/>
      <c r="G1523" s="18" t="n"/>
      <c r="H1523" s="21">
        <f>IF(AND($F1523="",$G1523=""),"",N($F1523)*IFERROR(N(INDEX(Vinos!$H$2:$H$301,MATCH($B1523,Vinos!$A$2:$A$301,0))),0)+N($G1523))</f>
        <v/>
      </c>
      <c r="I1523" s="18" t="n"/>
      <c r="J1523" s="21">
        <f>IF(OR($H1523="",$I1523=""),"",$H1523-$I1523)</f>
        <v/>
      </c>
      <c r="K1523" s="16">
        <f>IF($H1523="","",IFERROR(IF(INDEX(Vinos!$J$2:$J$301,MATCH($B1523,Vinos!$A$2:$A$301,0))="","",$H1523*INDEX(Vinos!$J$2:$J$301,MATCH($B1523,Vinos!$A$2:$A$301,0))),""))</f>
        <v/>
      </c>
      <c r="L1523" s="16">
        <f>IF($H1523="","",IFERROR(IF(INDEX(Vinos!$K$2:$K$301,MATCH($B1523,Vinos!$A$2:$A$301,0))="","",$H1523*INDEX(Vinos!$K$2:$K$301,MATCH($B1523,Vinos!$A$2:$A$301,0))),""))</f>
        <v/>
      </c>
      <c r="M1523" s="21">
        <f>IF(OR($A1523="",$B1523=""),"",SUMIFS($H$2:$H$2001,$A$2:$A$2001,$A1523,$B$2:$B$2001,$B1523))</f>
        <v/>
      </c>
      <c r="N1523" s="20">
        <f>IF($M1523="","",IF($M1523&lt;=0,"Sin stock: reponer ya",IF($M1523&lt;IFERROR(N(INDEX(Vinos!$N$2:$N$301,MATCH($B1523,Vinos!$A$2:$A$301,0))),0),"Bajo mínimo: reponer","OK")))</f>
        <v/>
      </c>
      <c r="O1523" s="14" t="n"/>
      <c r="P1523" s="14" t="n"/>
      <c r="Q1523" s="20">
        <f>IF($B1523="","",IFERROR(INDEX(Vinos!$C$2:$C$301,MATCH($B1523,Vinos!$A$2:$A$301,0)),""))</f>
        <v/>
      </c>
      <c r="R1523" s="20">
        <f>IF(OR($A1523="",$A1523&lt;&gt;'Resumen del inventario'!$C$3,$N1523="",$N1523="OK"),"",IF(COUNTIFS($A$2:$A1523,$A1523,$B$2:$B1523,$B1523)=1,1,""))</f>
        <v/>
      </c>
      <c r="S1523" s="20">
        <f>IF($R1523=1,COUNTIF($R$2:$R1523,1),"")</f>
        <v/>
      </c>
    </row>
    <row r="1524">
      <c r="A1524" s="19" t="n"/>
      <c r="B1524" s="14" t="n"/>
      <c r="C1524" s="20">
        <f>IF($B1524="","",IFERROR(INDEX(Vinos!$B$2:$B$301,MATCH($B1524,Vinos!$A$2:$A$301,0)),"Código no cargado"))</f>
        <v/>
      </c>
      <c r="D1524" s="14" t="n"/>
      <c r="E1524" s="14" t="n"/>
      <c r="F1524" s="18" t="n"/>
      <c r="G1524" s="18" t="n"/>
      <c r="H1524" s="21">
        <f>IF(AND($F1524="",$G1524=""),"",N($F1524)*IFERROR(N(INDEX(Vinos!$H$2:$H$301,MATCH($B1524,Vinos!$A$2:$A$301,0))),0)+N($G1524))</f>
        <v/>
      </c>
      <c r="I1524" s="18" t="n"/>
      <c r="J1524" s="21">
        <f>IF(OR($H1524="",$I1524=""),"",$H1524-$I1524)</f>
        <v/>
      </c>
      <c r="K1524" s="16">
        <f>IF($H1524="","",IFERROR(IF(INDEX(Vinos!$J$2:$J$301,MATCH($B1524,Vinos!$A$2:$A$301,0))="","",$H1524*INDEX(Vinos!$J$2:$J$301,MATCH($B1524,Vinos!$A$2:$A$301,0))),""))</f>
        <v/>
      </c>
      <c r="L1524" s="16">
        <f>IF($H1524="","",IFERROR(IF(INDEX(Vinos!$K$2:$K$301,MATCH($B1524,Vinos!$A$2:$A$301,0))="","",$H1524*INDEX(Vinos!$K$2:$K$301,MATCH($B1524,Vinos!$A$2:$A$301,0))),""))</f>
        <v/>
      </c>
      <c r="M1524" s="21">
        <f>IF(OR($A1524="",$B1524=""),"",SUMIFS($H$2:$H$2001,$A$2:$A$2001,$A1524,$B$2:$B$2001,$B1524))</f>
        <v/>
      </c>
      <c r="N1524" s="20">
        <f>IF($M1524="","",IF($M1524&lt;=0,"Sin stock: reponer ya",IF($M1524&lt;IFERROR(N(INDEX(Vinos!$N$2:$N$301,MATCH($B1524,Vinos!$A$2:$A$301,0))),0),"Bajo mínimo: reponer","OK")))</f>
        <v/>
      </c>
      <c r="O1524" s="14" t="n"/>
      <c r="P1524" s="14" t="n"/>
      <c r="Q1524" s="20">
        <f>IF($B1524="","",IFERROR(INDEX(Vinos!$C$2:$C$301,MATCH($B1524,Vinos!$A$2:$A$301,0)),""))</f>
        <v/>
      </c>
      <c r="R1524" s="20">
        <f>IF(OR($A1524="",$A1524&lt;&gt;'Resumen del inventario'!$C$3,$N1524="",$N1524="OK"),"",IF(COUNTIFS($A$2:$A1524,$A1524,$B$2:$B1524,$B1524)=1,1,""))</f>
        <v/>
      </c>
      <c r="S1524" s="20">
        <f>IF($R1524=1,COUNTIF($R$2:$R1524,1),"")</f>
        <v/>
      </c>
    </row>
    <row r="1525">
      <c r="A1525" s="19" t="n"/>
      <c r="B1525" s="14" t="n"/>
      <c r="C1525" s="20">
        <f>IF($B1525="","",IFERROR(INDEX(Vinos!$B$2:$B$301,MATCH($B1525,Vinos!$A$2:$A$301,0)),"Código no cargado"))</f>
        <v/>
      </c>
      <c r="D1525" s="14" t="n"/>
      <c r="E1525" s="14" t="n"/>
      <c r="F1525" s="18" t="n"/>
      <c r="G1525" s="18" t="n"/>
      <c r="H1525" s="21">
        <f>IF(AND($F1525="",$G1525=""),"",N($F1525)*IFERROR(N(INDEX(Vinos!$H$2:$H$301,MATCH($B1525,Vinos!$A$2:$A$301,0))),0)+N($G1525))</f>
        <v/>
      </c>
      <c r="I1525" s="18" t="n"/>
      <c r="J1525" s="21">
        <f>IF(OR($H1525="",$I1525=""),"",$H1525-$I1525)</f>
        <v/>
      </c>
      <c r="K1525" s="16">
        <f>IF($H1525="","",IFERROR(IF(INDEX(Vinos!$J$2:$J$301,MATCH($B1525,Vinos!$A$2:$A$301,0))="","",$H1525*INDEX(Vinos!$J$2:$J$301,MATCH($B1525,Vinos!$A$2:$A$301,0))),""))</f>
        <v/>
      </c>
      <c r="L1525" s="16">
        <f>IF($H1525="","",IFERROR(IF(INDEX(Vinos!$K$2:$K$301,MATCH($B1525,Vinos!$A$2:$A$301,0))="","",$H1525*INDEX(Vinos!$K$2:$K$301,MATCH($B1525,Vinos!$A$2:$A$301,0))),""))</f>
        <v/>
      </c>
      <c r="M1525" s="21">
        <f>IF(OR($A1525="",$B1525=""),"",SUMIFS($H$2:$H$2001,$A$2:$A$2001,$A1525,$B$2:$B$2001,$B1525))</f>
        <v/>
      </c>
      <c r="N1525" s="20">
        <f>IF($M1525="","",IF($M1525&lt;=0,"Sin stock: reponer ya",IF($M1525&lt;IFERROR(N(INDEX(Vinos!$N$2:$N$301,MATCH($B1525,Vinos!$A$2:$A$301,0))),0),"Bajo mínimo: reponer","OK")))</f>
        <v/>
      </c>
      <c r="O1525" s="14" t="n"/>
      <c r="P1525" s="14" t="n"/>
      <c r="Q1525" s="20">
        <f>IF($B1525="","",IFERROR(INDEX(Vinos!$C$2:$C$301,MATCH($B1525,Vinos!$A$2:$A$301,0)),""))</f>
        <v/>
      </c>
      <c r="R1525" s="20">
        <f>IF(OR($A1525="",$A1525&lt;&gt;'Resumen del inventario'!$C$3,$N1525="",$N1525="OK"),"",IF(COUNTIFS($A$2:$A1525,$A1525,$B$2:$B1525,$B1525)=1,1,""))</f>
        <v/>
      </c>
      <c r="S1525" s="20">
        <f>IF($R1525=1,COUNTIF($R$2:$R1525,1),"")</f>
        <v/>
      </c>
    </row>
    <row r="1526">
      <c r="A1526" s="19" t="n"/>
      <c r="B1526" s="14" t="n"/>
      <c r="C1526" s="20">
        <f>IF($B1526="","",IFERROR(INDEX(Vinos!$B$2:$B$301,MATCH($B1526,Vinos!$A$2:$A$301,0)),"Código no cargado"))</f>
        <v/>
      </c>
      <c r="D1526" s="14" t="n"/>
      <c r="E1526" s="14" t="n"/>
      <c r="F1526" s="18" t="n"/>
      <c r="G1526" s="18" t="n"/>
      <c r="H1526" s="21">
        <f>IF(AND($F1526="",$G1526=""),"",N($F1526)*IFERROR(N(INDEX(Vinos!$H$2:$H$301,MATCH($B1526,Vinos!$A$2:$A$301,0))),0)+N($G1526))</f>
        <v/>
      </c>
      <c r="I1526" s="18" t="n"/>
      <c r="J1526" s="21">
        <f>IF(OR($H1526="",$I1526=""),"",$H1526-$I1526)</f>
        <v/>
      </c>
      <c r="K1526" s="16">
        <f>IF($H1526="","",IFERROR(IF(INDEX(Vinos!$J$2:$J$301,MATCH($B1526,Vinos!$A$2:$A$301,0))="","",$H1526*INDEX(Vinos!$J$2:$J$301,MATCH($B1526,Vinos!$A$2:$A$301,0))),""))</f>
        <v/>
      </c>
      <c r="L1526" s="16">
        <f>IF($H1526="","",IFERROR(IF(INDEX(Vinos!$K$2:$K$301,MATCH($B1526,Vinos!$A$2:$A$301,0))="","",$H1526*INDEX(Vinos!$K$2:$K$301,MATCH($B1526,Vinos!$A$2:$A$301,0))),""))</f>
        <v/>
      </c>
      <c r="M1526" s="21">
        <f>IF(OR($A1526="",$B1526=""),"",SUMIFS($H$2:$H$2001,$A$2:$A$2001,$A1526,$B$2:$B$2001,$B1526))</f>
        <v/>
      </c>
      <c r="N1526" s="20">
        <f>IF($M1526="","",IF($M1526&lt;=0,"Sin stock: reponer ya",IF($M1526&lt;IFERROR(N(INDEX(Vinos!$N$2:$N$301,MATCH($B1526,Vinos!$A$2:$A$301,0))),0),"Bajo mínimo: reponer","OK")))</f>
        <v/>
      </c>
      <c r="O1526" s="14" t="n"/>
      <c r="P1526" s="14" t="n"/>
      <c r="Q1526" s="20">
        <f>IF($B1526="","",IFERROR(INDEX(Vinos!$C$2:$C$301,MATCH($B1526,Vinos!$A$2:$A$301,0)),""))</f>
        <v/>
      </c>
      <c r="R1526" s="20">
        <f>IF(OR($A1526="",$A1526&lt;&gt;'Resumen del inventario'!$C$3,$N1526="",$N1526="OK"),"",IF(COUNTIFS($A$2:$A1526,$A1526,$B$2:$B1526,$B1526)=1,1,""))</f>
        <v/>
      </c>
      <c r="S1526" s="20">
        <f>IF($R1526=1,COUNTIF($R$2:$R1526,1),"")</f>
        <v/>
      </c>
    </row>
    <row r="1527">
      <c r="A1527" s="19" t="n"/>
      <c r="B1527" s="14" t="n"/>
      <c r="C1527" s="20">
        <f>IF($B1527="","",IFERROR(INDEX(Vinos!$B$2:$B$301,MATCH($B1527,Vinos!$A$2:$A$301,0)),"Código no cargado"))</f>
        <v/>
      </c>
      <c r="D1527" s="14" t="n"/>
      <c r="E1527" s="14" t="n"/>
      <c r="F1527" s="18" t="n"/>
      <c r="G1527" s="18" t="n"/>
      <c r="H1527" s="21">
        <f>IF(AND($F1527="",$G1527=""),"",N($F1527)*IFERROR(N(INDEX(Vinos!$H$2:$H$301,MATCH($B1527,Vinos!$A$2:$A$301,0))),0)+N($G1527))</f>
        <v/>
      </c>
      <c r="I1527" s="18" t="n"/>
      <c r="J1527" s="21">
        <f>IF(OR($H1527="",$I1527=""),"",$H1527-$I1527)</f>
        <v/>
      </c>
      <c r="K1527" s="16">
        <f>IF($H1527="","",IFERROR(IF(INDEX(Vinos!$J$2:$J$301,MATCH($B1527,Vinos!$A$2:$A$301,0))="","",$H1527*INDEX(Vinos!$J$2:$J$301,MATCH($B1527,Vinos!$A$2:$A$301,0))),""))</f>
        <v/>
      </c>
      <c r="L1527" s="16">
        <f>IF($H1527="","",IFERROR(IF(INDEX(Vinos!$K$2:$K$301,MATCH($B1527,Vinos!$A$2:$A$301,0))="","",$H1527*INDEX(Vinos!$K$2:$K$301,MATCH($B1527,Vinos!$A$2:$A$301,0))),""))</f>
        <v/>
      </c>
      <c r="M1527" s="21">
        <f>IF(OR($A1527="",$B1527=""),"",SUMIFS($H$2:$H$2001,$A$2:$A$2001,$A1527,$B$2:$B$2001,$B1527))</f>
        <v/>
      </c>
      <c r="N1527" s="20">
        <f>IF($M1527="","",IF($M1527&lt;=0,"Sin stock: reponer ya",IF($M1527&lt;IFERROR(N(INDEX(Vinos!$N$2:$N$301,MATCH($B1527,Vinos!$A$2:$A$301,0))),0),"Bajo mínimo: reponer","OK")))</f>
        <v/>
      </c>
      <c r="O1527" s="14" t="n"/>
      <c r="P1527" s="14" t="n"/>
      <c r="Q1527" s="20">
        <f>IF($B1527="","",IFERROR(INDEX(Vinos!$C$2:$C$301,MATCH($B1527,Vinos!$A$2:$A$301,0)),""))</f>
        <v/>
      </c>
      <c r="R1527" s="20">
        <f>IF(OR($A1527="",$A1527&lt;&gt;'Resumen del inventario'!$C$3,$N1527="",$N1527="OK"),"",IF(COUNTIFS($A$2:$A1527,$A1527,$B$2:$B1527,$B1527)=1,1,""))</f>
        <v/>
      </c>
      <c r="S1527" s="20">
        <f>IF($R1527=1,COUNTIF($R$2:$R1527,1),"")</f>
        <v/>
      </c>
    </row>
    <row r="1528">
      <c r="A1528" s="19" t="n"/>
      <c r="B1528" s="14" t="n"/>
      <c r="C1528" s="20">
        <f>IF($B1528="","",IFERROR(INDEX(Vinos!$B$2:$B$301,MATCH($B1528,Vinos!$A$2:$A$301,0)),"Código no cargado"))</f>
        <v/>
      </c>
      <c r="D1528" s="14" t="n"/>
      <c r="E1528" s="14" t="n"/>
      <c r="F1528" s="18" t="n"/>
      <c r="G1528" s="18" t="n"/>
      <c r="H1528" s="21">
        <f>IF(AND($F1528="",$G1528=""),"",N($F1528)*IFERROR(N(INDEX(Vinos!$H$2:$H$301,MATCH($B1528,Vinos!$A$2:$A$301,0))),0)+N($G1528))</f>
        <v/>
      </c>
      <c r="I1528" s="18" t="n"/>
      <c r="J1528" s="21">
        <f>IF(OR($H1528="",$I1528=""),"",$H1528-$I1528)</f>
        <v/>
      </c>
      <c r="K1528" s="16">
        <f>IF($H1528="","",IFERROR(IF(INDEX(Vinos!$J$2:$J$301,MATCH($B1528,Vinos!$A$2:$A$301,0))="","",$H1528*INDEX(Vinos!$J$2:$J$301,MATCH($B1528,Vinos!$A$2:$A$301,0))),""))</f>
        <v/>
      </c>
      <c r="L1528" s="16">
        <f>IF($H1528="","",IFERROR(IF(INDEX(Vinos!$K$2:$K$301,MATCH($B1528,Vinos!$A$2:$A$301,0))="","",$H1528*INDEX(Vinos!$K$2:$K$301,MATCH($B1528,Vinos!$A$2:$A$301,0))),""))</f>
        <v/>
      </c>
      <c r="M1528" s="21">
        <f>IF(OR($A1528="",$B1528=""),"",SUMIFS($H$2:$H$2001,$A$2:$A$2001,$A1528,$B$2:$B$2001,$B1528))</f>
        <v/>
      </c>
      <c r="N1528" s="20">
        <f>IF($M1528="","",IF($M1528&lt;=0,"Sin stock: reponer ya",IF($M1528&lt;IFERROR(N(INDEX(Vinos!$N$2:$N$301,MATCH($B1528,Vinos!$A$2:$A$301,0))),0),"Bajo mínimo: reponer","OK")))</f>
        <v/>
      </c>
      <c r="O1528" s="14" t="n"/>
      <c r="P1528" s="14" t="n"/>
      <c r="Q1528" s="20">
        <f>IF($B1528="","",IFERROR(INDEX(Vinos!$C$2:$C$301,MATCH($B1528,Vinos!$A$2:$A$301,0)),""))</f>
        <v/>
      </c>
      <c r="R1528" s="20">
        <f>IF(OR($A1528="",$A1528&lt;&gt;'Resumen del inventario'!$C$3,$N1528="",$N1528="OK"),"",IF(COUNTIFS($A$2:$A1528,$A1528,$B$2:$B1528,$B1528)=1,1,""))</f>
        <v/>
      </c>
      <c r="S1528" s="20">
        <f>IF($R1528=1,COUNTIF($R$2:$R1528,1),"")</f>
        <v/>
      </c>
    </row>
    <row r="1529">
      <c r="A1529" s="19" t="n"/>
      <c r="B1529" s="14" t="n"/>
      <c r="C1529" s="20">
        <f>IF($B1529="","",IFERROR(INDEX(Vinos!$B$2:$B$301,MATCH($B1529,Vinos!$A$2:$A$301,0)),"Código no cargado"))</f>
        <v/>
      </c>
      <c r="D1529" s="14" t="n"/>
      <c r="E1529" s="14" t="n"/>
      <c r="F1529" s="18" t="n"/>
      <c r="G1529" s="18" t="n"/>
      <c r="H1529" s="21">
        <f>IF(AND($F1529="",$G1529=""),"",N($F1529)*IFERROR(N(INDEX(Vinos!$H$2:$H$301,MATCH($B1529,Vinos!$A$2:$A$301,0))),0)+N($G1529))</f>
        <v/>
      </c>
      <c r="I1529" s="18" t="n"/>
      <c r="J1529" s="21">
        <f>IF(OR($H1529="",$I1529=""),"",$H1529-$I1529)</f>
        <v/>
      </c>
      <c r="K1529" s="16">
        <f>IF($H1529="","",IFERROR(IF(INDEX(Vinos!$J$2:$J$301,MATCH($B1529,Vinos!$A$2:$A$301,0))="","",$H1529*INDEX(Vinos!$J$2:$J$301,MATCH($B1529,Vinos!$A$2:$A$301,0))),""))</f>
        <v/>
      </c>
      <c r="L1529" s="16">
        <f>IF($H1529="","",IFERROR(IF(INDEX(Vinos!$K$2:$K$301,MATCH($B1529,Vinos!$A$2:$A$301,0))="","",$H1529*INDEX(Vinos!$K$2:$K$301,MATCH($B1529,Vinos!$A$2:$A$301,0))),""))</f>
        <v/>
      </c>
      <c r="M1529" s="21">
        <f>IF(OR($A1529="",$B1529=""),"",SUMIFS($H$2:$H$2001,$A$2:$A$2001,$A1529,$B$2:$B$2001,$B1529))</f>
        <v/>
      </c>
      <c r="N1529" s="20">
        <f>IF($M1529="","",IF($M1529&lt;=0,"Sin stock: reponer ya",IF($M1529&lt;IFERROR(N(INDEX(Vinos!$N$2:$N$301,MATCH($B1529,Vinos!$A$2:$A$301,0))),0),"Bajo mínimo: reponer","OK")))</f>
        <v/>
      </c>
      <c r="O1529" s="14" t="n"/>
      <c r="P1529" s="14" t="n"/>
      <c r="Q1529" s="20">
        <f>IF($B1529="","",IFERROR(INDEX(Vinos!$C$2:$C$301,MATCH($B1529,Vinos!$A$2:$A$301,0)),""))</f>
        <v/>
      </c>
      <c r="R1529" s="20">
        <f>IF(OR($A1529="",$A1529&lt;&gt;'Resumen del inventario'!$C$3,$N1529="",$N1529="OK"),"",IF(COUNTIFS($A$2:$A1529,$A1529,$B$2:$B1529,$B1529)=1,1,""))</f>
        <v/>
      </c>
      <c r="S1529" s="20">
        <f>IF($R1529=1,COUNTIF($R$2:$R1529,1),"")</f>
        <v/>
      </c>
    </row>
    <row r="1530">
      <c r="A1530" s="19" t="n"/>
      <c r="B1530" s="14" t="n"/>
      <c r="C1530" s="20">
        <f>IF($B1530="","",IFERROR(INDEX(Vinos!$B$2:$B$301,MATCH($B1530,Vinos!$A$2:$A$301,0)),"Código no cargado"))</f>
        <v/>
      </c>
      <c r="D1530" s="14" t="n"/>
      <c r="E1530" s="14" t="n"/>
      <c r="F1530" s="18" t="n"/>
      <c r="G1530" s="18" t="n"/>
      <c r="H1530" s="21">
        <f>IF(AND($F1530="",$G1530=""),"",N($F1530)*IFERROR(N(INDEX(Vinos!$H$2:$H$301,MATCH($B1530,Vinos!$A$2:$A$301,0))),0)+N($G1530))</f>
        <v/>
      </c>
      <c r="I1530" s="18" t="n"/>
      <c r="J1530" s="21">
        <f>IF(OR($H1530="",$I1530=""),"",$H1530-$I1530)</f>
        <v/>
      </c>
      <c r="K1530" s="16">
        <f>IF($H1530="","",IFERROR(IF(INDEX(Vinos!$J$2:$J$301,MATCH($B1530,Vinos!$A$2:$A$301,0))="","",$H1530*INDEX(Vinos!$J$2:$J$301,MATCH($B1530,Vinos!$A$2:$A$301,0))),""))</f>
        <v/>
      </c>
      <c r="L1530" s="16">
        <f>IF($H1530="","",IFERROR(IF(INDEX(Vinos!$K$2:$K$301,MATCH($B1530,Vinos!$A$2:$A$301,0))="","",$H1530*INDEX(Vinos!$K$2:$K$301,MATCH($B1530,Vinos!$A$2:$A$301,0))),""))</f>
        <v/>
      </c>
      <c r="M1530" s="21">
        <f>IF(OR($A1530="",$B1530=""),"",SUMIFS($H$2:$H$2001,$A$2:$A$2001,$A1530,$B$2:$B$2001,$B1530))</f>
        <v/>
      </c>
      <c r="N1530" s="20">
        <f>IF($M1530="","",IF($M1530&lt;=0,"Sin stock: reponer ya",IF($M1530&lt;IFERROR(N(INDEX(Vinos!$N$2:$N$301,MATCH($B1530,Vinos!$A$2:$A$301,0))),0),"Bajo mínimo: reponer","OK")))</f>
        <v/>
      </c>
      <c r="O1530" s="14" t="n"/>
      <c r="P1530" s="14" t="n"/>
      <c r="Q1530" s="20">
        <f>IF($B1530="","",IFERROR(INDEX(Vinos!$C$2:$C$301,MATCH($B1530,Vinos!$A$2:$A$301,0)),""))</f>
        <v/>
      </c>
      <c r="R1530" s="20">
        <f>IF(OR($A1530="",$A1530&lt;&gt;'Resumen del inventario'!$C$3,$N1530="",$N1530="OK"),"",IF(COUNTIFS($A$2:$A1530,$A1530,$B$2:$B1530,$B1530)=1,1,""))</f>
        <v/>
      </c>
      <c r="S1530" s="20">
        <f>IF($R1530=1,COUNTIF($R$2:$R1530,1),"")</f>
        <v/>
      </c>
    </row>
    <row r="1531">
      <c r="A1531" s="19" t="n"/>
      <c r="B1531" s="14" t="n"/>
      <c r="C1531" s="20">
        <f>IF($B1531="","",IFERROR(INDEX(Vinos!$B$2:$B$301,MATCH($B1531,Vinos!$A$2:$A$301,0)),"Código no cargado"))</f>
        <v/>
      </c>
      <c r="D1531" s="14" t="n"/>
      <c r="E1531" s="14" t="n"/>
      <c r="F1531" s="18" t="n"/>
      <c r="G1531" s="18" t="n"/>
      <c r="H1531" s="21">
        <f>IF(AND($F1531="",$G1531=""),"",N($F1531)*IFERROR(N(INDEX(Vinos!$H$2:$H$301,MATCH($B1531,Vinos!$A$2:$A$301,0))),0)+N($G1531))</f>
        <v/>
      </c>
      <c r="I1531" s="18" t="n"/>
      <c r="J1531" s="21">
        <f>IF(OR($H1531="",$I1531=""),"",$H1531-$I1531)</f>
        <v/>
      </c>
      <c r="K1531" s="16">
        <f>IF($H1531="","",IFERROR(IF(INDEX(Vinos!$J$2:$J$301,MATCH($B1531,Vinos!$A$2:$A$301,0))="","",$H1531*INDEX(Vinos!$J$2:$J$301,MATCH($B1531,Vinos!$A$2:$A$301,0))),""))</f>
        <v/>
      </c>
      <c r="L1531" s="16">
        <f>IF($H1531="","",IFERROR(IF(INDEX(Vinos!$K$2:$K$301,MATCH($B1531,Vinos!$A$2:$A$301,0))="","",$H1531*INDEX(Vinos!$K$2:$K$301,MATCH($B1531,Vinos!$A$2:$A$301,0))),""))</f>
        <v/>
      </c>
      <c r="M1531" s="21">
        <f>IF(OR($A1531="",$B1531=""),"",SUMIFS($H$2:$H$2001,$A$2:$A$2001,$A1531,$B$2:$B$2001,$B1531))</f>
        <v/>
      </c>
      <c r="N1531" s="20">
        <f>IF($M1531="","",IF($M1531&lt;=0,"Sin stock: reponer ya",IF($M1531&lt;IFERROR(N(INDEX(Vinos!$N$2:$N$301,MATCH($B1531,Vinos!$A$2:$A$301,0))),0),"Bajo mínimo: reponer","OK")))</f>
        <v/>
      </c>
      <c r="O1531" s="14" t="n"/>
      <c r="P1531" s="14" t="n"/>
      <c r="Q1531" s="20">
        <f>IF($B1531="","",IFERROR(INDEX(Vinos!$C$2:$C$301,MATCH($B1531,Vinos!$A$2:$A$301,0)),""))</f>
        <v/>
      </c>
      <c r="R1531" s="20">
        <f>IF(OR($A1531="",$A1531&lt;&gt;'Resumen del inventario'!$C$3,$N1531="",$N1531="OK"),"",IF(COUNTIFS($A$2:$A1531,$A1531,$B$2:$B1531,$B1531)=1,1,""))</f>
        <v/>
      </c>
      <c r="S1531" s="20">
        <f>IF($R1531=1,COUNTIF($R$2:$R1531,1),"")</f>
        <v/>
      </c>
    </row>
    <row r="1532">
      <c r="A1532" s="19" t="n"/>
      <c r="B1532" s="14" t="n"/>
      <c r="C1532" s="20">
        <f>IF($B1532="","",IFERROR(INDEX(Vinos!$B$2:$B$301,MATCH($B1532,Vinos!$A$2:$A$301,0)),"Código no cargado"))</f>
        <v/>
      </c>
      <c r="D1532" s="14" t="n"/>
      <c r="E1532" s="14" t="n"/>
      <c r="F1532" s="18" t="n"/>
      <c r="G1532" s="18" t="n"/>
      <c r="H1532" s="21">
        <f>IF(AND($F1532="",$G1532=""),"",N($F1532)*IFERROR(N(INDEX(Vinos!$H$2:$H$301,MATCH($B1532,Vinos!$A$2:$A$301,0))),0)+N($G1532))</f>
        <v/>
      </c>
      <c r="I1532" s="18" t="n"/>
      <c r="J1532" s="21">
        <f>IF(OR($H1532="",$I1532=""),"",$H1532-$I1532)</f>
        <v/>
      </c>
      <c r="K1532" s="16">
        <f>IF($H1532="","",IFERROR(IF(INDEX(Vinos!$J$2:$J$301,MATCH($B1532,Vinos!$A$2:$A$301,0))="","",$H1532*INDEX(Vinos!$J$2:$J$301,MATCH($B1532,Vinos!$A$2:$A$301,0))),""))</f>
        <v/>
      </c>
      <c r="L1532" s="16">
        <f>IF($H1532="","",IFERROR(IF(INDEX(Vinos!$K$2:$K$301,MATCH($B1532,Vinos!$A$2:$A$301,0))="","",$H1532*INDEX(Vinos!$K$2:$K$301,MATCH($B1532,Vinos!$A$2:$A$301,0))),""))</f>
        <v/>
      </c>
      <c r="M1532" s="21">
        <f>IF(OR($A1532="",$B1532=""),"",SUMIFS($H$2:$H$2001,$A$2:$A$2001,$A1532,$B$2:$B$2001,$B1532))</f>
        <v/>
      </c>
      <c r="N1532" s="20">
        <f>IF($M1532="","",IF($M1532&lt;=0,"Sin stock: reponer ya",IF($M1532&lt;IFERROR(N(INDEX(Vinos!$N$2:$N$301,MATCH($B1532,Vinos!$A$2:$A$301,0))),0),"Bajo mínimo: reponer","OK")))</f>
        <v/>
      </c>
      <c r="O1532" s="14" t="n"/>
      <c r="P1532" s="14" t="n"/>
      <c r="Q1532" s="20">
        <f>IF($B1532="","",IFERROR(INDEX(Vinos!$C$2:$C$301,MATCH($B1532,Vinos!$A$2:$A$301,0)),""))</f>
        <v/>
      </c>
      <c r="R1532" s="20">
        <f>IF(OR($A1532="",$A1532&lt;&gt;'Resumen del inventario'!$C$3,$N1532="",$N1532="OK"),"",IF(COUNTIFS($A$2:$A1532,$A1532,$B$2:$B1532,$B1532)=1,1,""))</f>
        <v/>
      </c>
      <c r="S1532" s="20">
        <f>IF($R1532=1,COUNTIF($R$2:$R1532,1),"")</f>
        <v/>
      </c>
    </row>
    <row r="1533">
      <c r="A1533" s="19" t="n"/>
      <c r="B1533" s="14" t="n"/>
      <c r="C1533" s="20">
        <f>IF($B1533="","",IFERROR(INDEX(Vinos!$B$2:$B$301,MATCH($B1533,Vinos!$A$2:$A$301,0)),"Código no cargado"))</f>
        <v/>
      </c>
      <c r="D1533" s="14" t="n"/>
      <c r="E1533" s="14" t="n"/>
      <c r="F1533" s="18" t="n"/>
      <c r="G1533" s="18" t="n"/>
      <c r="H1533" s="21">
        <f>IF(AND($F1533="",$G1533=""),"",N($F1533)*IFERROR(N(INDEX(Vinos!$H$2:$H$301,MATCH($B1533,Vinos!$A$2:$A$301,0))),0)+N($G1533))</f>
        <v/>
      </c>
      <c r="I1533" s="18" t="n"/>
      <c r="J1533" s="21">
        <f>IF(OR($H1533="",$I1533=""),"",$H1533-$I1533)</f>
        <v/>
      </c>
      <c r="K1533" s="16">
        <f>IF($H1533="","",IFERROR(IF(INDEX(Vinos!$J$2:$J$301,MATCH($B1533,Vinos!$A$2:$A$301,0))="","",$H1533*INDEX(Vinos!$J$2:$J$301,MATCH($B1533,Vinos!$A$2:$A$301,0))),""))</f>
        <v/>
      </c>
      <c r="L1533" s="16">
        <f>IF($H1533="","",IFERROR(IF(INDEX(Vinos!$K$2:$K$301,MATCH($B1533,Vinos!$A$2:$A$301,0))="","",$H1533*INDEX(Vinos!$K$2:$K$301,MATCH($B1533,Vinos!$A$2:$A$301,0))),""))</f>
        <v/>
      </c>
      <c r="M1533" s="21">
        <f>IF(OR($A1533="",$B1533=""),"",SUMIFS($H$2:$H$2001,$A$2:$A$2001,$A1533,$B$2:$B$2001,$B1533))</f>
        <v/>
      </c>
      <c r="N1533" s="20">
        <f>IF($M1533="","",IF($M1533&lt;=0,"Sin stock: reponer ya",IF($M1533&lt;IFERROR(N(INDEX(Vinos!$N$2:$N$301,MATCH($B1533,Vinos!$A$2:$A$301,0))),0),"Bajo mínimo: reponer","OK")))</f>
        <v/>
      </c>
      <c r="O1533" s="14" t="n"/>
      <c r="P1533" s="14" t="n"/>
      <c r="Q1533" s="20">
        <f>IF($B1533="","",IFERROR(INDEX(Vinos!$C$2:$C$301,MATCH($B1533,Vinos!$A$2:$A$301,0)),""))</f>
        <v/>
      </c>
      <c r="R1533" s="20">
        <f>IF(OR($A1533="",$A1533&lt;&gt;'Resumen del inventario'!$C$3,$N1533="",$N1533="OK"),"",IF(COUNTIFS($A$2:$A1533,$A1533,$B$2:$B1533,$B1533)=1,1,""))</f>
        <v/>
      </c>
      <c r="S1533" s="20">
        <f>IF($R1533=1,COUNTIF($R$2:$R1533,1),"")</f>
        <v/>
      </c>
    </row>
    <row r="1534">
      <c r="A1534" s="19" t="n"/>
      <c r="B1534" s="14" t="n"/>
      <c r="C1534" s="20">
        <f>IF($B1534="","",IFERROR(INDEX(Vinos!$B$2:$B$301,MATCH($B1534,Vinos!$A$2:$A$301,0)),"Código no cargado"))</f>
        <v/>
      </c>
      <c r="D1534" s="14" t="n"/>
      <c r="E1534" s="14" t="n"/>
      <c r="F1534" s="18" t="n"/>
      <c r="G1534" s="18" t="n"/>
      <c r="H1534" s="21">
        <f>IF(AND($F1534="",$G1534=""),"",N($F1534)*IFERROR(N(INDEX(Vinos!$H$2:$H$301,MATCH($B1534,Vinos!$A$2:$A$301,0))),0)+N($G1534))</f>
        <v/>
      </c>
      <c r="I1534" s="18" t="n"/>
      <c r="J1534" s="21">
        <f>IF(OR($H1534="",$I1534=""),"",$H1534-$I1534)</f>
        <v/>
      </c>
      <c r="K1534" s="16">
        <f>IF($H1534="","",IFERROR(IF(INDEX(Vinos!$J$2:$J$301,MATCH($B1534,Vinos!$A$2:$A$301,0))="","",$H1534*INDEX(Vinos!$J$2:$J$301,MATCH($B1534,Vinos!$A$2:$A$301,0))),""))</f>
        <v/>
      </c>
      <c r="L1534" s="16">
        <f>IF($H1534="","",IFERROR(IF(INDEX(Vinos!$K$2:$K$301,MATCH($B1534,Vinos!$A$2:$A$301,0))="","",$H1534*INDEX(Vinos!$K$2:$K$301,MATCH($B1534,Vinos!$A$2:$A$301,0))),""))</f>
        <v/>
      </c>
      <c r="M1534" s="21">
        <f>IF(OR($A1534="",$B1534=""),"",SUMIFS($H$2:$H$2001,$A$2:$A$2001,$A1534,$B$2:$B$2001,$B1534))</f>
        <v/>
      </c>
      <c r="N1534" s="20">
        <f>IF($M1534="","",IF($M1534&lt;=0,"Sin stock: reponer ya",IF($M1534&lt;IFERROR(N(INDEX(Vinos!$N$2:$N$301,MATCH($B1534,Vinos!$A$2:$A$301,0))),0),"Bajo mínimo: reponer","OK")))</f>
        <v/>
      </c>
      <c r="O1534" s="14" t="n"/>
      <c r="P1534" s="14" t="n"/>
      <c r="Q1534" s="20">
        <f>IF($B1534="","",IFERROR(INDEX(Vinos!$C$2:$C$301,MATCH($B1534,Vinos!$A$2:$A$301,0)),""))</f>
        <v/>
      </c>
      <c r="R1534" s="20">
        <f>IF(OR($A1534="",$A1534&lt;&gt;'Resumen del inventario'!$C$3,$N1534="",$N1534="OK"),"",IF(COUNTIFS($A$2:$A1534,$A1534,$B$2:$B1534,$B1534)=1,1,""))</f>
        <v/>
      </c>
      <c r="S1534" s="20">
        <f>IF($R1534=1,COUNTIF($R$2:$R1534,1),"")</f>
        <v/>
      </c>
    </row>
    <row r="1535">
      <c r="A1535" s="19" t="n"/>
      <c r="B1535" s="14" t="n"/>
      <c r="C1535" s="20">
        <f>IF($B1535="","",IFERROR(INDEX(Vinos!$B$2:$B$301,MATCH($B1535,Vinos!$A$2:$A$301,0)),"Código no cargado"))</f>
        <v/>
      </c>
      <c r="D1535" s="14" t="n"/>
      <c r="E1535" s="14" t="n"/>
      <c r="F1535" s="18" t="n"/>
      <c r="G1535" s="18" t="n"/>
      <c r="H1535" s="21">
        <f>IF(AND($F1535="",$G1535=""),"",N($F1535)*IFERROR(N(INDEX(Vinos!$H$2:$H$301,MATCH($B1535,Vinos!$A$2:$A$301,0))),0)+N($G1535))</f>
        <v/>
      </c>
      <c r="I1535" s="18" t="n"/>
      <c r="J1535" s="21">
        <f>IF(OR($H1535="",$I1535=""),"",$H1535-$I1535)</f>
        <v/>
      </c>
      <c r="K1535" s="16">
        <f>IF($H1535="","",IFERROR(IF(INDEX(Vinos!$J$2:$J$301,MATCH($B1535,Vinos!$A$2:$A$301,0))="","",$H1535*INDEX(Vinos!$J$2:$J$301,MATCH($B1535,Vinos!$A$2:$A$301,0))),""))</f>
        <v/>
      </c>
      <c r="L1535" s="16">
        <f>IF($H1535="","",IFERROR(IF(INDEX(Vinos!$K$2:$K$301,MATCH($B1535,Vinos!$A$2:$A$301,0))="","",$H1535*INDEX(Vinos!$K$2:$K$301,MATCH($B1535,Vinos!$A$2:$A$301,0))),""))</f>
        <v/>
      </c>
      <c r="M1535" s="21">
        <f>IF(OR($A1535="",$B1535=""),"",SUMIFS($H$2:$H$2001,$A$2:$A$2001,$A1535,$B$2:$B$2001,$B1535))</f>
        <v/>
      </c>
      <c r="N1535" s="20">
        <f>IF($M1535="","",IF($M1535&lt;=0,"Sin stock: reponer ya",IF($M1535&lt;IFERROR(N(INDEX(Vinos!$N$2:$N$301,MATCH($B1535,Vinos!$A$2:$A$301,0))),0),"Bajo mínimo: reponer","OK")))</f>
        <v/>
      </c>
      <c r="O1535" s="14" t="n"/>
      <c r="P1535" s="14" t="n"/>
      <c r="Q1535" s="20">
        <f>IF($B1535="","",IFERROR(INDEX(Vinos!$C$2:$C$301,MATCH($B1535,Vinos!$A$2:$A$301,0)),""))</f>
        <v/>
      </c>
      <c r="R1535" s="20">
        <f>IF(OR($A1535="",$A1535&lt;&gt;'Resumen del inventario'!$C$3,$N1535="",$N1535="OK"),"",IF(COUNTIFS($A$2:$A1535,$A1535,$B$2:$B1535,$B1535)=1,1,""))</f>
        <v/>
      </c>
      <c r="S1535" s="20">
        <f>IF($R1535=1,COUNTIF($R$2:$R1535,1),"")</f>
        <v/>
      </c>
    </row>
    <row r="1536">
      <c r="A1536" s="19" t="n"/>
      <c r="B1536" s="14" t="n"/>
      <c r="C1536" s="20">
        <f>IF($B1536="","",IFERROR(INDEX(Vinos!$B$2:$B$301,MATCH($B1536,Vinos!$A$2:$A$301,0)),"Código no cargado"))</f>
        <v/>
      </c>
      <c r="D1536" s="14" t="n"/>
      <c r="E1536" s="14" t="n"/>
      <c r="F1536" s="18" t="n"/>
      <c r="G1536" s="18" t="n"/>
      <c r="H1536" s="21">
        <f>IF(AND($F1536="",$G1536=""),"",N($F1536)*IFERROR(N(INDEX(Vinos!$H$2:$H$301,MATCH($B1536,Vinos!$A$2:$A$301,0))),0)+N($G1536))</f>
        <v/>
      </c>
      <c r="I1536" s="18" t="n"/>
      <c r="J1536" s="21">
        <f>IF(OR($H1536="",$I1536=""),"",$H1536-$I1536)</f>
        <v/>
      </c>
      <c r="K1536" s="16">
        <f>IF($H1536="","",IFERROR(IF(INDEX(Vinos!$J$2:$J$301,MATCH($B1536,Vinos!$A$2:$A$301,0))="","",$H1536*INDEX(Vinos!$J$2:$J$301,MATCH($B1536,Vinos!$A$2:$A$301,0))),""))</f>
        <v/>
      </c>
      <c r="L1536" s="16">
        <f>IF($H1536="","",IFERROR(IF(INDEX(Vinos!$K$2:$K$301,MATCH($B1536,Vinos!$A$2:$A$301,0))="","",$H1536*INDEX(Vinos!$K$2:$K$301,MATCH($B1536,Vinos!$A$2:$A$301,0))),""))</f>
        <v/>
      </c>
      <c r="M1536" s="21">
        <f>IF(OR($A1536="",$B1536=""),"",SUMIFS($H$2:$H$2001,$A$2:$A$2001,$A1536,$B$2:$B$2001,$B1536))</f>
        <v/>
      </c>
      <c r="N1536" s="20">
        <f>IF($M1536="","",IF($M1536&lt;=0,"Sin stock: reponer ya",IF($M1536&lt;IFERROR(N(INDEX(Vinos!$N$2:$N$301,MATCH($B1536,Vinos!$A$2:$A$301,0))),0),"Bajo mínimo: reponer","OK")))</f>
        <v/>
      </c>
      <c r="O1536" s="14" t="n"/>
      <c r="P1536" s="14" t="n"/>
      <c r="Q1536" s="20">
        <f>IF($B1536="","",IFERROR(INDEX(Vinos!$C$2:$C$301,MATCH($B1536,Vinos!$A$2:$A$301,0)),""))</f>
        <v/>
      </c>
      <c r="R1536" s="20">
        <f>IF(OR($A1536="",$A1536&lt;&gt;'Resumen del inventario'!$C$3,$N1536="",$N1536="OK"),"",IF(COUNTIFS($A$2:$A1536,$A1536,$B$2:$B1536,$B1536)=1,1,""))</f>
        <v/>
      </c>
      <c r="S1536" s="20">
        <f>IF($R1536=1,COUNTIF($R$2:$R1536,1),"")</f>
        <v/>
      </c>
    </row>
    <row r="1537">
      <c r="A1537" s="19" t="n"/>
      <c r="B1537" s="14" t="n"/>
      <c r="C1537" s="20">
        <f>IF($B1537="","",IFERROR(INDEX(Vinos!$B$2:$B$301,MATCH($B1537,Vinos!$A$2:$A$301,0)),"Código no cargado"))</f>
        <v/>
      </c>
      <c r="D1537" s="14" t="n"/>
      <c r="E1537" s="14" t="n"/>
      <c r="F1537" s="18" t="n"/>
      <c r="G1537" s="18" t="n"/>
      <c r="H1537" s="21">
        <f>IF(AND($F1537="",$G1537=""),"",N($F1537)*IFERROR(N(INDEX(Vinos!$H$2:$H$301,MATCH($B1537,Vinos!$A$2:$A$301,0))),0)+N($G1537))</f>
        <v/>
      </c>
      <c r="I1537" s="18" t="n"/>
      <c r="J1537" s="21">
        <f>IF(OR($H1537="",$I1537=""),"",$H1537-$I1537)</f>
        <v/>
      </c>
      <c r="K1537" s="16">
        <f>IF($H1537="","",IFERROR(IF(INDEX(Vinos!$J$2:$J$301,MATCH($B1537,Vinos!$A$2:$A$301,0))="","",$H1537*INDEX(Vinos!$J$2:$J$301,MATCH($B1537,Vinos!$A$2:$A$301,0))),""))</f>
        <v/>
      </c>
      <c r="L1537" s="16">
        <f>IF($H1537="","",IFERROR(IF(INDEX(Vinos!$K$2:$K$301,MATCH($B1537,Vinos!$A$2:$A$301,0))="","",$H1537*INDEX(Vinos!$K$2:$K$301,MATCH($B1537,Vinos!$A$2:$A$301,0))),""))</f>
        <v/>
      </c>
      <c r="M1537" s="21">
        <f>IF(OR($A1537="",$B1537=""),"",SUMIFS($H$2:$H$2001,$A$2:$A$2001,$A1537,$B$2:$B$2001,$B1537))</f>
        <v/>
      </c>
      <c r="N1537" s="20">
        <f>IF($M1537="","",IF($M1537&lt;=0,"Sin stock: reponer ya",IF($M1537&lt;IFERROR(N(INDEX(Vinos!$N$2:$N$301,MATCH($B1537,Vinos!$A$2:$A$301,0))),0),"Bajo mínimo: reponer","OK")))</f>
        <v/>
      </c>
      <c r="O1537" s="14" t="n"/>
      <c r="P1537" s="14" t="n"/>
      <c r="Q1537" s="20">
        <f>IF($B1537="","",IFERROR(INDEX(Vinos!$C$2:$C$301,MATCH($B1537,Vinos!$A$2:$A$301,0)),""))</f>
        <v/>
      </c>
      <c r="R1537" s="20">
        <f>IF(OR($A1537="",$A1537&lt;&gt;'Resumen del inventario'!$C$3,$N1537="",$N1537="OK"),"",IF(COUNTIFS($A$2:$A1537,$A1537,$B$2:$B1537,$B1537)=1,1,""))</f>
        <v/>
      </c>
      <c r="S1537" s="20">
        <f>IF($R1537=1,COUNTIF($R$2:$R1537,1),"")</f>
        <v/>
      </c>
    </row>
    <row r="1538">
      <c r="A1538" s="19" t="n"/>
      <c r="B1538" s="14" t="n"/>
      <c r="C1538" s="20">
        <f>IF($B1538="","",IFERROR(INDEX(Vinos!$B$2:$B$301,MATCH($B1538,Vinos!$A$2:$A$301,0)),"Código no cargado"))</f>
        <v/>
      </c>
      <c r="D1538" s="14" t="n"/>
      <c r="E1538" s="14" t="n"/>
      <c r="F1538" s="18" t="n"/>
      <c r="G1538" s="18" t="n"/>
      <c r="H1538" s="21">
        <f>IF(AND($F1538="",$G1538=""),"",N($F1538)*IFERROR(N(INDEX(Vinos!$H$2:$H$301,MATCH($B1538,Vinos!$A$2:$A$301,0))),0)+N($G1538))</f>
        <v/>
      </c>
      <c r="I1538" s="18" t="n"/>
      <c r="J1538" s="21">
        <f>IF(OR($H1538="",$I1538=""),"",$H1538-$I1538)</f>
        <v/>
      </c>
      <c r="K1538" s="16">
        <f>IF($H1538="","",IFERROR(IF(INDEX(Vinos!$J$2:$J$301,MATCH($B1538,Vinos!$A$2:$A$301,0))="","",$H1538*INDEX(Vinos!$J$2:$J$301,MATCH($B1538,Vinos!$A$2:$A$301,0))),""))</f>
        <v/>
      </c>
      <c r="L1538" s="16">
        <f>IF($H1538="","",IFERROR(IF(INDEX(Vinos!$K$2:$K$301,MATCH($B1538,Vinos!$A$2:$A$301,0))="","",$H1538*INDEX(Vinos!$K$2:$K$301,MATCH($B1538,Vinos!$A$2:$A$301,0))),""))</f>
        <v/>
      </c>
      <c r="M1538" s="21">
        <f>IF(OR($A1538="",$B1538=""),"",SUMIFS($H$2:$H$2001,$A$2:$A$2001,$A1538,$B$2:$B$2001,$B1538))</f>
        <v/>
      </c>
      <c r="N1538" s="20">
        <f>IF($M1538="","",IF($M1538&lt;=0,"Sin stock: reponer ya",IF($M1538&lt;IFERROR(N(INDEX(Vinos!$N$2:$N$301,MATCH($B1538,Vinos!$A$2:$A$301,0))),0),"Bajo mínimo: reponer","OK")))</f>
        <v/>
      </c>
      <c r="O1538" s="14" t="n"/>
      <c r="P1538" s="14" t="n"/>
      <c r="Q1538" s="20">
        <f>IF($B1538="","",IFERROR(INDEX(Vinos!$C$2:$C$301,MATCH($B1538,Vinos!$A$2:$A$301,0)),""))</f>
        <v/>
      </c>
      <c r="R1538" s="20">
        <f>IF(OR($A1538="",$A1538&lt;&gt;'Resumen del inventario'!$C$3,$N1538="",$N1538="OK"),"",IF(COUNTIFS($A$2:$A1538,$A1538,$B$2:$B1538,$B1538)=1,1,""))</f>
        <v/>
      </c>
      <c r="S1538" s="20">
        <f>IF($R1538=1,COUNTIF($R$2:$R1538,1),"")</f>
        <v/>
      </c>
    </row>
    <row r="1539">
      <c r="A1539" s="19" t="n"/>
      <c r="B1539" s="14" t="n"/>
      <c r="C1539" s="20">
        <f>IF($B1539="","",IFERROR(INDEX(Vinos!$B$2:$B$301,MATCH($B1539,Vinos!$A$2:$A$301,0)),"Código no cargado"))</f>
        <v/>
      </c>
      <c r="D1539" s="14" t="n"/>
      <c r="E1539" s="14" t="n"/>
      <c r="F1539" s="18" t="n"/>
      <c r="G1539" s="18" t="n"/>
      <c r="H1539" s="21">
        <f>IF(AND($F1539="",$G1539=""),"",N($F1539)*IFERROR(N(INDEX(Vinos!$H$2:$H$301,MATCH($B1539,Vinos!$A$2:$A$301,0))),0)+N($G1539))</f>
        <v/>
      </c>
      <c r="I1539" s="18" t="n"/>
      <c r="J1539" s="21">
        <f>IF(OR($H1539="",$I1539=""),"",$H1539-$I1539)</f>
        <v/>
      </c>
      <c r="K1539" s="16">
        <f>IF($H1539="","",IFERROR(IF(INDEX(Vinos!$J$2:$J$301,MATCH($B1539,Vinos!$A$2:$A$301,0))="","",$H1539*INDEX(Vinos!$J$2:$J$301,MATCH($B1539,Vinos!$A$2:$A$301,0))),""))</f>
        <v/>
      </c>
      <c r="L1539" s="16">
        <f>IF($H1539="","",IFERROR(IF(INDEX(Vinos!$K$2:$K$301,MATCH($B1539,Vinos!$A$2:$A$301,0))="","",$H1539*INDEX(Vinos!$K$2:$K$301,MATCH($B1539,Vinos!$A$2:$A$301,0))),""))</f>
        <v/>
      </c>
      <c r="M1539" s="21">
        <f>IF(OR($A1539="",$B1539=""),"",SUMIFS($H$2:$H$2001,$A$2:$A$2001,$A1539,$B$2:$B$2001,$B1539))</f>
        <v/>
      </c>
      <c r="N1539" s="20">
        <f>IF($M1539="","",IF($M1539&lt;=0,"Sin stock: reponer ya",IF($M1539&lt;IFERROR(N(INDEX(Vinos!$N$2:$N$301,MATCH($B1539,Vinos!$A$2:$A$301,0))),0),"Bajo mínimo: reponer","OK")))</f>
        <v/>
      </c>
      <c r="O1539" s="14" t="n"/>
      <c r="P1539" s="14" t="n"/>
      <c r="Q1539" s="20">
        <f>IF($B1539="","",IFERROR(INDEX(Vinos!$C$2:$C$301,MATCH($B1539,Vinos!$A$2:$A$301,0)),""))</f>
        <v/>
      </c>
      <c r="R1539" s="20">
        <f>IF(OR($A1539="",$A1539&lt;&gt;'Resumen del inventario'!$C$3,$N1539="",$N1539="OK"),"",IF(COUNTIFS($A$2:$A1539,$A1539,$B$2:$B1539,$B1539)=1,1,""))</f>
        <v/>
      </c>
      <c r="S1539" s="20">
        <f>IF($R1539=1,COUNTIF($R$2:$R1539,1),"")</f>
        <v/>
      </c>
    </row>
    <row r="1540">
      <c r="A1540" s="19" t="n"/>
      <c r="B1540" s="14" t="n"/>
      <c r="C1540" s="20">
        <f>IF($B1540="","",IFERROR(INDEX(Vinos!$B$2:$B$301,MATCH($B1540,Vinos!$A$2:$A$301,0)),"Código no cargado"))</f>
        <v/>
      </c>
      <c r="D1540" s="14" t="n"/>
      <c r="E1540" s="14" t="n"/>
      <c r="F1540" s="18" t="n"/>
      <c r="G1540" s="18" t="n"/>
      <c r="H1540" s="21">
        <f>IF(AND($F1540="",$G1540=""),"",N($F1540)*IFERROR(N(INDEX(Vinos!$H$2:$H$301,MATCH($B1540,Vinos!$A$2:$A$301,0))),0)+N($G1540))</f>
        <v/>
      </c>
      <c r="I1540" s="18" t="n"/>
      <c r="J1540" s="21">
        <f>IF(OR($H1540="",$I1540=""),"",$H1540-$I1540)</f>
        <v/>
      </c>
      <c r="K1540" s="16">
        <f>IF($H1540="","",IFERROR(IF(INDEX(Vinos!$J$2:$J$301,MATCH($B1540,Vinos!$A$2:$A$301,0))="","",$H1540*INDEX(Vinos!$J$2:$J$301,MATCH($B1540,Vinos!$A$2:$A$301,0))),""))</f>
        <v/>
      </c>
      <c r="L1540" s="16">
        <f>IF($H1540="","",IFERROR(IF(INDEX(Vinos!$K$2:$K$301,MATCH($B1540,Vinos!$A$2:$A$301,0))="","",$H1540*INDEX(Vinos!$K$2:$K$301,MATCH($B1540,Vinos!$A$2:$A$301,0))),""))</f>
        <v/>
      </c>
      <c r="M1540" s="21">
        <f>IF(OR($A1540="",$B1540=""),"",SUMIFS($H$2:$H$2001,$A$2:$A$2001,$A1540,$B$2:$B$2001,$B1540))</f>
        <v/>
      </c>
      <c r="N1540" s="20">
        <f>IF($M1540="","",IF($M1540&lt;=0,"Sin stock: reponer ya",IF($M1540&lt;IFERROR(N(INDEX(Vinos!$N$2:$N$301,MATCH($B1540,Vinos!$A$2:$A$301,0))),0),"Bajo mínimo: reponer","OK")))</f>
        <v/>
      </c>
      <c r="O1540" s="14" t="n"/>
      <c r="P1540" s="14" t="n"/>
      <c r="Q1540" s="20">
        <f>IF($B1540="","",IFERROR(INDEX(Vinos!$C$2:$C$301,MATCH($B1540,Vinos!$A$2:$A$301,0)),""))</f>
        <v/>
      </c>
      <c r="R1540" s="20">
        <f>IF(OR($A1540="",$A1540&lt;&gt;'Resumen del inventario'!$C$3,$N1540="",$N1540="OK"),"",IF(COUNTIFS($A$2:$A1540,$A1540,$B$2:$B1540,$B1540)=1,1,""))</f>
        <v/>
      </c>
      <c r="S1540" s="20">
        <f>IF($R1540=1,COUNTIF($R$2:$R1540,1),"")</f>
        <v/>
      </c>
    </row>
    <row r="1541">
      <c r="A1541" s="19" t="n"/>
      <c r="B1541" s="14" t="n"/>
      <c r="C1541" s="20">
        <f>IF($B1541="","",IFERROR(INDEX(Vinos!$B$2:$B$301,MATCH($B1541,Vinos!$A$2:$A$301,0)),"Código no cargado"))</f>
        <v/>
      </c>
      <c r="D1541" s="14" t="n"/>
      <c r="E1541" s="14" t="n"/>
      <c r="F1541" s="18" t="n"/>
      <c r="G1541" s="18" t="n"/>
      <c r="H1541" s="21">
        <f>IF(AND($F1541="",$G1541=""),"",N($F1541)*IFERROR(N(INDEX(Vinos!$H$2:$H$301,MATCH($B1541,Vinos!$A$2:$A$301,0))),0)+N($G1541))</f>
        <v/>
      </c>
      <c r="I1541" s="18" t="n"/>
      <c r="J1541" s="21">
        <f>IF(OR($H1541="",$I1541=""),"",$H1541-$I1541)</f>
        <v/>
      </c>
      <c r="K1541" s="16">
        <f>IF($H1541="","",IFERROR(IF(INDEX(Vinos!$J$2:$J$301,MATCH($B1541,Vinos!$A$2:$A$301,0))="","",$H1541*INDEX(Vinos!$J$2:$J$301,MATCH($B1541,Vinos!$A$2:$A$301,0))),""))</f>
        <v/>
      </c>
      <c r="L1541" s="16">
        <f>IF($H1541="","",IFERROR(IF(INDEX(Vinos!$K$2:$K$301,MATCH($B1541,Vinos!$A$2:$A$301,0))="","",$H1541*INDEX(Vinos!$K$2:$K$301,MATCH($B1541,Vinos!$A$2:$A$301,0))),""))</f>
        <v/>
      </c>
      <c r="M1541" s="21">
        <f>IF(OR($A1541="",$B1541=""),"",SUMIFS($H$2:$H$2001,$A$2:$A$2001,$A1541,$B$2:$B$2001,$B1541))</f>
        <v/>
      </c>
      <c r="N1541" s="20">
        <f>IF($M1541="","",IF($M1541&lt;=0,"Sin stock: reponer ya",IF($M1541&lt;IFERROR(N(INDEX(Vinos!$N$2:$N$301,MATCH($B1541,Vinos!$A$2:$A$301,0))),0),"Bajo mínimo: reponer","OK")))</f>
        <v/>
      </c>
      <c r="O1541" s="14" t="n"/>
      <c r="P1541" s="14" t="n"/>
      <c r="Q1541" s="20">
        <f>IF($B1541="","",IFERROR(INDEX(Vinos!$C$2:$C$301,MATCH($B1541,Vinos!$A$2:$A$301,0)),""))</f>
        <v/>
      </c>
      <c r="R1541" s="20">
        <f>IF(OR($A1541="",$A1541&lt;&gt;'Resumen del inventario'!$C$3,$N1541="",$N1541="OK"),"",IF(COUNTIFS($A$2:$A1541,$A1541,$B$2:$B1541,$B1541)=1,1,""))</f>
        <v/>
      </c>
      <c r="S1541" s="20">
        <f>IF($R1541=1,COUNTIF($R$2:$R1541,1),"")</f>
        <v/>
      </c>
    </row>
    <row r="1542">
      <c r="A1542" s="19" t="n"/>
      <c r="B1542" s="14" t="n"/>
      <c r="C1542" s="20">
        <f>IF($B1542="","",IFERROR(INDEX(Vinos!$B$2:$B$301,MATCH($B1542,Vinos!$A$2:$A$301,0)),"Código no cargado"))</f>
        <v/>
      </c>
      <c r="D1542" s="14" t="n"/>
      <c r="E1542" s="14" t="n"/>
      <c r="F1542" s="18" t="n"/>
      <c r="G1542" s="18" t="n"/>
      <c r="H1542" s="21">
        <f>IF(AND($F1542="",$G1542=""),"",N($F1542)*IFERROR(N(INDEX(Vinos!$H$2:$H$301,MATCH($B1542,Vinos!$A$2:$A$301,0))),0)+N($G1542))</f>
        <v/>
      </c>
      <c r="I1542" s="18" t="n"/>
      <c r="J1542" s="21">
        <f>IF(OR($H1542="",$I1542=""),"",$H1542-$I1542)</f>
        <v/>
      </c>
      <c r="K1542" s="16">
        <f>IF($H1542="","",IFERROR(IF(INDEX(Vinos!$J$2:$J$301,MATCH($B1542,Vinos!$A$2:$A$301,0))="","",$H1542*INDEX(Vinos!$J$2:$J$301,MATCH($B1542,Vinos!$A$2:$A$301,0))),""))</f>
        <v/>
      </c>
      <c r="L1542" s="16">
        <f>IF($H1542="","",IFERROR(IF(INDEX(Vinos!$K$2:$K$301,MATCH($B1542,Vinos!$A$2:$A$301,0))="","",$H1542*INDEX(Vinos!$K$2:$K$301,MATCH($B1542,Vinos!$A$2:$A$301,0))),""))</f>
        <v/>
      </c>
      <c r="M1542" s="21">
        <f>IF(OR($A1542="",$B1542=""),"",SUMIFS($H$2:$H$2001,$A$2:$A$2001,$A1542,$B$2:$B$2001,$B1542))</f>
        <v/>
      </c>
      <c r="N1542" s="20">
        <f>IF($M1542="","",IF($M1542&lt;=0,"Sin stock: reponer ya",IF($M1542&lt;IFERROR(N(INDEX(Vinos!$N$2:$N$301,MATCH($B1542,Vinos!$A$2:$A$301,0))),0),"Bajo mínimo: reponer","OK")))</f>
        <v/>
      </c>
      <c r="O1542" s="14" t="n"/>
      <c r="P1542" s="14" t="n"/>
      <c r="Q1542" s="20">
        <f>IF($B1542="","",IFERROR(INDEX(Vinos!$C$2:$C$301,MATCH($B1542,Vinos!$A$2:$A$301,0)),""))</f>
        <v/>
      </c>
      <c r="R1542" s="20">
        <f>IF(OR($A1542="",$A1542&lt;&gt;'Resumen del inventario'!$C$3,$N1542="",$N1542="OK"),"",IF(COUNTIFS($A$2:$A1542,$A1542,$B$2:$B1542,$B1542)=1,1,""))</f>
        <v/>
      </c>
      <c r="S1542" s="20">
        <f>IF($R1542=1,COUNTIF($R$2:$R1542,1),"")</f>
        <v/>
      </c>
    </row>
    <row r="1543">
      <c r="A1543" s="19" t="n"/>
      <c r="B1543" s="14" t="n"/>
      <c r="C1543" s="20">
        <f>IF($B1543="","",IFERROR(INDEX(Vinos!$B$2:$B$301,MATCH($B1543,Vinos!$A$2:$A$301,0)),"Código no cargado"))</f>
        <v/>
      </c>
      <c r="D1543" s="14" t="n"/>
      <c r="E1543" s="14" t="n"/>
      <c r="F1543" s="18" t="n"/>
      <c r="G1543" s="18" t="n"/>
      <c r="H1543" s="21">
        <f>IF(AND($F1543="",$G1543=""),"",N($F1543)*IFERROR(N(INDEX(Vinos!$H$2:$H$301,MATCH($B1543,Vinos!$A$2:$A$301,0))),0)+N($G1543))</f>
        <v/>
      </c>
      <c r="I1543" s="18" t="n"/>
      <c r="J1543" s="21">
        <f>IF(OR($H1543="",$I1543=""),"",$H1543-$I1543)</f>
        <v/>
      </c>
      <c r="K1543" s="16">
        <f>IF($H1543="","",IFERROR(IF(INDEX(Vinos!$J$2:$J$301,MATCH($B1543,Vinos!$A$2:$A$301,0))="","",$H1543*INDEX(Vinos!$J$2:$J$301,MATCH($B1543,Vinos!$A$2:$A$301,0))),""))</f>
        <v/>
      </c>
      <c r="L1543" s="16">
        <f>IF($H1543="","",IFERROR(IF(INDEX(Vinos!$K$2:$K$301,MATCH($B1543,Vinos!$A$2:$A$301,0))="","",$H1543*INDEX(Vinos!$K$2:$K$301,MATCH($B1543,Vinos!$A$2:$A$301,0))),""))</f>
        <v/>
      </c>
      <c r="M1543" s="21">
        <f>IF(OR($A1543="",$B1543=""),"",SUMIFS($H$2:$H$2001,$A$2:$A$2001,$A1543,$B$2:$B$2001,$B1543))</f>
        <v/>
      </c>
      <c r="N1543" s="20">
        <f>IF($M1543="","",IF($M1543&lt;=0,"Sin stock: reponer ya",IF($M1543&lt;IFERROR(N(INDEX(Vinos!$N$2:$N$301,MATCH($B1543,Vinos!$A$2:$A$301,0))),0),"Bajo mínimo: reponer","OK")))</f>
        <v/>
      </c>
      <c r="O1543" s="14" t="n"/>
      <c r="P1543" s="14" t="n"/>
      <c r="Q1543" s="20">
        <f>IF($B1543="","",IFERROR(INDEX(Vinos!$C$2:$C$301,MATCH($B1543,Vinos!$A$2:$A$301,0)),""))</f>
        <v/>
      </c>
      <c r="R1543" s="20">
        <f>IF(OR($A1543="",$A1543&lt;&gt;'Resumen del inventario'!$C$3,$N1543="",$N1543="OK"),"",IF(COUNTIFS($A$2:$A1543,$A1543,$B$2:$B1543,$B1543)=1,1,""))</f>
        <v/>
      </c>
      <c r="S1543" s="20">
        <f>IF($R1543=1,COUNTIF($R$2:$R1543,1),"")</f>
        <v/>
      </c>
    </row>
    <row r="1544">
      <c r="A1544" s="19" t="n"/>
      <c r="B1544" s="14" t="n"/>
      <c r="C1544" s="20">
        <f>IF($B1544="","",IFERROR(INDEX(Vinos!$B$2:$B$301,MATCH($B1544,Vinos!$A$2:$A$301,0)),"Código no cargado"))</f>
        <v/>
      </c>
      <c r="D1544" s="14" t="n"/>
      <c r="E1544" s="14" t="n"/>
      <c r="F1544" s="18" t="n"/>
      <c r="G1544" s="18" t="n"/>
      <c r="H1544" s="21">
        <f>IF(AND($F1544="",$G1544=""),"",N($F1544)*IFERROR(N(INDEX(Vinos!$H$2:$H$301,MATCH($B1544,Vinos!$A$2:$A$301,0))),0)+N($G1544))</f>
        <v/>
      </c>
      <c r="I1544" s="18" t="n"/>
      <c r="J1544" s="21">
        <f>IF(OR($H1544="",$I1544=""),"",$H1544-$I1544)</f>
        <v/>
      </c>
      <c r="K1544" s="16">
        <f>IF($H1544="","",IFERROR(IF(INDEX(Vinos!$J$2:$J$301,MATCH($B1544,Vinos!$A$2:$A$301,0))="","",$H1544*INDEX(Vinos!$J$2:$J$301,MATCH($B1544,Vinos!$A$2:$A$301,0))),""))</f>
        <v/>
      </c>
      <c r="L1544" s="16">
        <f>IF($H1544="","",IFERROR(IF(INDEX(Vinos!$K$2:$K$301,MATCH($B1544,Vinos!$A$2:$A$301,0))="","",$H1544*INDEX(Vinos!$K$2:$K$301,MATCH($B1544,Vinos!$A$2:$A$301,0))),""))</f>
        <v/>
      </c>
      <c r="M1544" s="21">
        <f>IF(OR($A1544="",$B1544=""),"",SUMIFS($H$2:$H$2001,$A$2:$A$2001,$A1544,$B$2:$B$2001,$B1544))</f>
        <v/>
      </c>
      <c r="N1544" s="20">
        <f>IF($M1544="","",IF($M1544&lt;=0,"Sin stock: reponer ya",IF($M1544&lt;IFERROR(N(INDEX(Vinos!$N$2:$N$301,MATCH($B1544,Vinos!$A$2:$A$301,0))),0),"Bajo mínimo: reponer","OK")))</f>
        <v/>
      </c>
      <c r="O1544" s="14" t="n"/>
      <c r="P1544" s="14" t="n"/>
      <c r="Q1544" s="20">
        <f>IF($B1544="","",IFERROR(INDEX(Vinos!$C$2:$C$301,MATCH($B1544,Vinos!$A$2:$A$301,0)),""))</f>
        <v/>
      </c>
      <c r="R1544" s="20">
        <f>IF(OR($A1544="",$A1544&lt;&gt;'Resumen del inventario'!$C$3,$N1544="",$N1544="OK"),"",IF(COUNTIFS($A$2:$A1544,$A1544,$B$2:$B1544,$B1544)=1,1,""))</f>
        <v/>
      </c>
      <c r="S1544" s="20">
        <f>IF($R1544=1,COUNTIF($R$2:$R1544,1),"")</f>
        <v/>
      </c>
    </row>
    <row r="1545">
      <c r="A1545" s="19" t="n"/>
      <c r="B1545" s="14" t="n"/>
      <c r="C1545" s="20">
        <f>IF($B1545="","",IFERROR(INDEX(Vinos!$B$2:$B$301,MATCH($B1545,Vinos!$A$2:$A$301,0)),"Código no cargado"))</f>
        <v/>
      </c>
      <c r="D1545" s="14" t="n"/>
      <c r="E1545" s="14" t="n"/>
      <c r="F1545" s="18" t="n"/>
      <c r="G1545" s="18" t="n"/>
      <c r="H1545" s="21">
        <f>IF(AND($F1545="",$G1545=""),"",N($F1545)*IFERROR(N(INDEX(Vinos!$H$2:$H$301,MATCH($B1545,Vinos!$A$2:$A$301,0))),0)+N($G1545))</f>
        <v/>
      </c>
      <c r="I1545" s="18" t="n"/>
      <c r="J1545" s="21">
        <f>IF(OR($H1545="",$I1545=""),"",$H1545-$I1545)</f>
        <v/>
      </c>
      <c r="K1545" s="16">
        <f>IF($H1545="","",IFERROR(IF(INDEX(Vinos!$J$2:$J$301,MATCH($B1545,Vinos!$A$2:$A$301,0))="","",$H1545*INDEX(Vinos!$J$2:$J$301,MATCH($B1545,Vinos!$A$2:$A$301,0))),""))</f>
        <v/>
      </c>
      <c r="L1545" s="16">
        <f>IF($H1545="","",IFERROR(IF(INDEX(Vinos!$K$2:$K$301,MATCH($B1545,Vinos!$A$2:$A$301,0))="","",$H1545*INDEX(Vinos!$K$2:$K$301,MATCH($B1545,Vinos!$A$2:$A$301,0))),""))</f>
        <v/>
      </c>
      <c r="M1545" s="21">
        <f>IF(OR($A1545="",$B1545=""),"",SUMIFS($H$2:$H$2001,$A$2:$A$2001,$A1545,$B$2:$B$2001,$B1545))</f>
        <v/>
      </c>
      <c r="N1545" s="20">
        <f>IF($M1545="","",IF($M1545&lt;=0,"Sin stock: reponer ya",IF($M1545&lt;IFERROR(N(INDEX(Vinos!$N$2:$N$301,MATCH($B1545,Vinos!$A$2:$A$301,0))),0),"Bajo mínimo: reponer","OK")))</f>
        <v/>
      </c>
      <c r="O1545" s="14" t="n"/>
      <c r="P1545" s="14" t="n"/>
      <c r="Q1545" s="20">
        <f>IF($B1545="","",IFERROR(INDEX(Vinos!$C$2:$C$301,MATCH($B1545,Vinos!$A$2:$A$301,0)),""))</f>
        <v/>
      </c>
      <c r="R1545" s="20">
        <f>IF(OR($A1545="",$A1545&lt;&gt;'Resumen del inventario'!$C$3,$N1545="",$N1545="OK"),"",IF(COUNTIFS($A$2:$A1545,$A1545,$B$2:$B1545,$B1545)=1,1,""))</f>
        <v/>
      </c>
      <c r="S1545" s="20">
        <f>IF($R1545=1,COUNTIF($R$2:$R1545,1),"")</f>
        <v/>
      </c>
    </row>
    <row r="1546">
      <c r="A1546" s="19" t="n"/>
      <c r="B1546" s="14" t="n"/>
      <c r="C1546" s="20">
        <f>IF($B1546="","",IFERROR(INDEX(Vinos!$B$2:$B$301,MATCH($B1546,Vinos!$A$2:$A$301,0)),"Código no cargado"))</f>
        <v/>
      </c>
      <c r="D1546" s="14" t="n"/>
      <c r="E1546" s="14" t="n"/>
      <c r="F1546" s="18" t="n"/>
      <c r="G1546" s="18" t="n"/>
      <c r="H1546" s="21">
        <f>IF(AND($F1546="",$G1546=""),"",N($F1546)*IFERROR(N(INDEX(Vinos!$H$2:$H$301,MATCH($B1546,Vinos!$A$2:$A$301,0))),0)+N($G1546))</f>
        <v/>
      </c>
      <c r="I1546" s="18" t="n"/>
      <c r="J1546" s="21">
        <f>IF(OR($H1546="",$I1546=""),"",$H1546-$I1546)</f>
        <v/>
      </c>
      <c r="K1546" s="16">
        <f>IF($H1546="","",IFERROR(IF(INDEX(Vinos!$J$2:$J$301,MATCH($B1546,Vinos!$A$2:$A$301,0))="","",$H1546*INDEX(Vinos!$J$2:$J$301,MATCH($B1546,Vinos!$A$2:$A$301,0))),""))</f>
        <v/>
      </c>
      <c r="L1546" s="16">
        <f>IF($H1546="","",IFERROR(IF(INDEX(Vinos!$K$2:$K$301,MATCH($B1546,Vinos!$A$2:$A$301,0))="","",$H1546*INDEX(Vinos!$K$2:$K$301,MATCH($B1546,Vinos!$A$2:$A$301,0))),""))</f>
        <v/>
      </c>
      <c r="M1546" s="21">
        <f>IF(OR($A1546="",$B1546=""),"",SUMIFS($H$2:$H$2001,$A$2:$A$2001,$A1546,$B$2:$B$2001,$B1546))</f>
        <v/>
      </c>
      <c r="N1546" s="20">
        <f>IF($M1546="","",IF($M1546&lt;=0,"Sin stock: reponer ya",IF($M1546&lt;IFERROR(N(INDEX(Vinos!$N$2:$N$301,MATCH($B1546,Vinos!$A$2:$A$301,0))),0),"Bajo mínimo: reponer","OK")))</f>
        <v/>
      </c>
      <c r="O1546" s="14" t="n"/>
      <c r="P1546" s="14" t="n"/>
      <c r="Q1546" s="20">
        <f>IF($B1546="","",IFERROR(INDEX(Vinos!$C$2:$C$301,MATCH($B1546,Vinos!$A$2:$A$301,0)),""))</f>
        <v/>
      </c>
      <c r="R1546" s="20">
        <f>IF(OR($A1546="",$A1546&lt;&gt;'Resumen del inventario'!$C$3,$N1546="",$N1546="OK"),"",IF(COUNTIFS($A$2:$A1546,$A1546,$B$2:$B1546,$B1546)=1,1,""))</f>
        <v/>
      </c>
      <c r="S1546" s="20">
        <f>IF($R1546=1,COUNTIF($R$2:$R1546,1),"")</f>
        <v/>
      </c>
    </row>
    <row r="1547">
      <c r="A1547" s="19" t="n"/>
      <c r="B1547" s="14" t="n"/>
      <c r="C1547" s="20">
        <f>IF($B1547="","",IFERROR(INDEX(Vinos!$B$2:$B$301,MATCH($B1547,Vinos!$A$2:$A$301,0)),"Código no cargado"))</f>
        <v/>
      </c>
      <c r="D1547" s="14" t="n"/>
      <c r="E1547" s="14" t="n"/>
      <c r="F1547" s="18" t="n"/>
      <c r="G1547" s="18" t="n"/>
      <c r="H1547" s="21">
        <f>IF(AND($F1547="",$G1547=""),"",N($F1547)*IFERROR(N(INDEX(Vinos!$H$2:$H$301,MATCH($B1547,Vinos!$A$2:$A$301,0))),0)+N($G1547))</f>
        <v/>
      </c>
      <c r="I1547" s="18" t="n"/>
      <c r="J1547" s="21">
        <f>IF(OR($H1547="",$I1547=""),"",$H1547-$I1547)</f>
        <v/>
      </c>
      <c r="K1547" s="16">
        <f>IF($H1547="","",IFERROR(IF(INDEX(Vinos!$J$2:$J$301,MATCH($B1547,Vinos!$A$2:$A$301,0))="","",$H1547*INDEX(Vinos!$J$2:$J$301,MATCH($B1547,Vinos!$A$2:$A$301,0))),""))</f>
        <v/>
      </c>
      <c r="L1547" s="16">
        <f>IF($H1547="","",IFERROR(IF(INDEX(Vinos!$K$2:$K$301,MATCH($B1547,Vinos!$A$2:$A$301,0))="","",$H1547*INDEX(Vinos!$K$2:$K$301,MATCH($B1547,Vinos!$A$2:$A$301,0))),""))</f>
        <v/>
      </c>
      <c r="M1547" s="21">
        <f>IF(OR($A1547="",$B1547=""),"",SUMIFS($H$2:$H$2001,$A$2:$A$2001,$A1547,$B$2:$B$2001,$B1547))</f>
        <v/>
      </c>
      <c r="N1547" s="20">
        <f>IF($M1547="","",IF($M1547&lt;=0,"Sin stock: reponer ya",IF($M1547&lt;IFERROR(N(INDEX(Vinos!$N$2:$N$301,MATCH($B1547,Vinos!$A$2:$A$301,0))),0),"Bajo mínimo: reponer","OK")))</f>
        <v/>
      </c>
      <c r="O1547" s="14" t="n"/>
      <c r="P1547" s="14" t="n"/>
      <c r="Q1547" s="20">
        <f>IF($B1547="","",IFERROR(INDEX(Vinos!$C$2:$C$301,MATCH($B1547,Vinos!$A$2:$A$301,0)),""))</f>
        <v/>
      </c>
      <c r="R1547" s="20">
        <f>IF(OR($A1547="",$A1547&lt;&gt;'Resumen del inventario'!$C$3,$N1547="",$N1547="OK"),"",IF(COUNTIFS($A$2:$A1547,$A1547,$B$2:$B1547,$B1547)=1,1,""))</f>
        <v/>
      </c>
      <c r="S1547" s="20">
        <f>IF($R1547=1,COUNTIF($R$2:$R1547,1),"")</f>
        <v/>
      </c>
    </row>
    <row r="1548">
      <c r="A1548" s="19" t="n"/>
      <c r="B1548" s="14" t="n"/>
      <c r="C1548" s="20">
        <f>IF($B1548="","",IFERROR(INDEX(Vinos!$B$2:$B$301,MATCH($B1548,Vinos!$A$2:$A$301,0)),"Código no cargado"))</f>
        <v/>
      </c>
      <c r="D1548" s="14" t="n"/>
      <c r="E1548" s="14" t="n"/>
      <c r="F1548" s="18" t="n"/>
      <c r="G1548" s="18" t="n"/>
      <c r="H1548" s="21">
        <f>IF(AND($F1548="",$G1548=""),"",N($F1548)*IFERROR(N(INDEX(Vinos!$H$2:$H$301,MATCH($B1548,Vinos!$A$2:$A$301,0))),0)+N($G1548))</f>
        <v/>
      </c>
      <c r="I1548" s="18" t="n"/>
      <c r="J1548" s="21">
        <f>IF(OR($H1548="",$I1548=""),"",$H1548-$I1548)</f>
        <v/>
      </c>
      <c r="K1548" s="16">
        <f>IF($H1548="","",IFERROR(IF(INDEX(Vinos!$J$2:$J$301,MATCH($B1548,Vinos!$A$2:$A$301,0))="","",$H1548*INDEX(Vinos!$J$2:$J$301,MATCH($B1548,Vinos!$A$2:$A$301,0))),""))</f>
        <v/>
      </c>
      <c r="L1548" s="16">
        <f>IF($H1548="","",IFERROR(IF(INDEX(Vinos!$K$2:$K$301,MATCH($B1548,Vinos!$A$2:$A$301,0))="","",$H1548*INDEX(Vinos!$K$2:$K$301,MATCH($B1548,Vinos!$A$2:$A$301,0))),""))</f>
        <v/>
      </c>
      <c r="M1548" s="21">
        <f>IF(OR($A1548="",$B1548=""),"",SUMIFS($H$2:$H$2001,$A$2:$A$2001,$A1548,$B$2:$B$2001,$B1548))</f>
        <v/>
      </c>
      <c r="N1548" s="20">
        <f>IF($M1548="","",IF($M1548&lt;=0,"Sin stock: reponer ya",IF($M1548&lt;IFERROR(N(INDEX(Vinos!$N$2:$N$301,MATCH($B1548,Vinos!$A$2:$A$301,0))),0),"Bajo mínimo: reponer","OK")))</f>
        <v/>
      </c>
      <c r="O1548" s="14" t="n"/>
      <c r="P1548" s="14" t="n"/>
      <c r="Q1548" s="20">
        <f>IF($B1548="","",IFERROR(INDEX(Vinos!$C$2:$C$301,MATCH($B1548,Vinos!$A$2:$A$301,0)),""))</f>
        <v/>
      </c>
      <c r="R1548" s="20">
        <f>IF(OR($A1548="",$A1548&lt;&gt;'Resumen del inventario'!$C$3,$N1548="",$N1548="OK"),"",IF(COUNTIFS($A$2:$A1548,$A1548,$B$2:$B1548,$B1548)=1,1,""))</f>
        <v/>
      </c>
      <c r="S1548" s="20">
        <f>IF($R1548=1,COUNTIF($R$2:$R1548,1),"")</f>
        <v/>
      </c>
    </row>
    <row r="1549">
      <c r="A1549" s="19" t="n"/>
      <c r="B1549" s="14" t="n"/>
      <c r="C1549" s="20">
        <f>IF($B1549="","",IFERROR(INDEX(Vinos!$B$2:$B$301,MATCH($B1549,Vinos!$A$2:$A$301,0)),"Código no cargado"))</f>
        <v/>
      </c>
      <c r="D1549" s="14" t="n"/>
      <c r="E1549" s="14" t="n"/>
      <c r="F1549" s="18" t="n"/>
      <c r="G1549" s="18" t="n"/>
      <c r="H1549" s="21">
        <f>IF(AND($F1549="",$G1549=""),"",N($F1549)*IFERROR(N(INDEX(Vinos!$H$2:$H$301,MATCH($B1549,Vinos!$A$2:$A$301,0))),0)+N($G1549))</f>
        <v/>
      </c>
      <c r="I1549" s="18" t="n"/>
      <c r="J1549" s="21">
        <f>IF(OR($H1549="",$I1549=""),"",$H1549-$I1549)</f>
        <v/>
      </c>
      <c r="K1549" s="16">
        <f>IF($H1549="","",IFERROR(IF(INDEX(Vinos!$J$2:$J$301,MATCH($B1549,Vinos!$A$2:$A$301,0))="","",$H1549*INDEX(Vinos!$J$2:$J$301,MATCH($B1549,Vinos!$A$2:$A$301,0))),""))</f>
        <v/>
      </c>
      <c r="L1549" s="16">
        <f>IF($H1549="","",IFERROR(IF(INDEX(Vinos!$K$2:$K$301,MATCH($B1549,Vinos!$A$2:$A$301,0))="","",$H1549*INDEX(Vinos!$K$2:$K$301,MATCH($B1549,Vinos!$A$2:$A$301,0))),""))</f>
        <v/>
      </c>
      <c r="M1549" s="21">
        <f>IF(OR($A1549="",$B1549=""),"",SUMIFS($H$2:$H$2001,$A$2:$A$2001,$A1549,$B$2:$B$2001,$B1549))</f>
        <v/>
      </c>
      <c r="N1549" s="20">
        <f>IF($M1549="","",IF($M1549&lt;=0,"Sin stock: reponer ya",IF($M1549&lt;IFERROR(N(INDEX(Vinos!$N$2:$N$301,MATCH($B1549,Vinos!$A$2:$A$301,0))),0),"Bajo mínimo: reponer","OK")))</f>
        <v/>
      </c>
      <c r="O1549" s="14" t="n"/>
      <c r="P1549" s="14" t="n"/>
      <c r="Q1549" s="20">
        <f>IF($B1549="","",IFERROR(INDEX(Vinos!$C$2:$C$301,MATCH($B1549,Vinos!$A$2:$A$301,0)),""))</f>
        <v/>
      </c>
      <c r="R1549" s="20">
        <f>IF(OR($A1549="",$A1549&lt;&gt;'Resumen del inventario'!$C$3,$N1549="",$N1549="OK"),"",IF(COUNTIFS($A$2:$A1549,$A1549,$B$2:$B1549,$B1549)=1,1,""))</f>
        <v/>
      </c>
      <c r="S1549" s="20">
        <f>IF($R1549=1,COUNTIF($R$2:$R1549,1),"")</f>
        <v/>
      </c>
    </row>
    <row r="1550">
      <c r="A1550" s="19" t="n"/>
      <c r="B1550" s="14" t="n"/>
      <c r="C1550" s="20">
        <f>IF($B1550="","",IFERROR(INDEX(Vinos!$B$2:$B$301,MATCH($B1550,Vinos!$A$2:$A$301,0)),"Código no cargado"))</f>
        <v/>
      </c>
      <c r="D1550" s="14" t="n"/>
      <c r="E1550" s="14" t="n"/>
      <c r="F1550" s="18" t="n"/>
      <c r="G1550" s="18" t="n"/>
      <c r="H1550" s="21">
        <f>IF(AND($F1550="",$G1550=""),"",N($F1550)*IFERROR(N(INDEX(Vinos!$H$2:$H$301,MATCH($B1550,Vinos!$A$2:$A$301,0))),0)+N($G1550))</f>
        <v/>
      </c>
      <c r="I1550" s="18" t="n"/>
      <c r="J1550" s="21">
        <f>IF(OR($H1550="",$I1550=""),"",$H1550-$I1550)</f>
        <v/>
      </c>
      <c r="K1550" s="16">
        <f>IF($H1550="","",IFERROR(IF(INDEX(Vinos!$J$2:$J$301,MATCH($B1550,Vinos!$A$2:$A$301,0))="","",$H1550*INDEX(Vinos!$J$2:$J$301,MATCH($B1550,Vinos!$A$2:$A$301,0))),""))</f>
        <v/>
      </c>
      <c r="L1550" s="16">
        <f>IF($H1550="","",IFERROR(IF(INDEX(Vinos!$K$2:$K$301,MATCH($B1550,Vinos!$A$2:$A$301,0))="","",$H1550*INDEX(Vinos!$K$2:$K$301,MATCH($B1550,Vinos!$A$2:$A$301,0))),""))</f>
        <v/>
      </c>
      <c r="M1550" s="21">
        <f>IF(OR($A1550="",$B1550=""),"",SUMIFS($H$2:$H$2001,$A$2:$A$2001,$A1550,$B$2:$B$2001,$B1550))</f>
        <v/>
      </c>
      <c r="N1550" s="20">
        <f>IF($M1550="","",IF($M1550&lt;=0,"Sin stock: reponer ya",IF($M1550&lt;IFERROR(N(INDEX(Vinos!$N$2:$N$301,MATCH($B1550,Vinos!$A$2:$A$301,0))),0),"Bajo mínimo: reponer","OK")))</f>
        <v/>
      </c>
      <c r="O1550" s="14" t="n"/>
      <c r="P1550" s="14" t="n"/>
      <c r="Q1550" s="20">
        <f>IF($B1550="","",IFERROR(INDEX(Vinos!$C$2:$C$301,MATCH($B1550,Vinos!$A$2:$A$301,0)),""))</f>
        <v/>
      </c>
      <c r="R1550" s="20">
        <f>IF(OR($A1550="",$A1550&lt;&gt;'Resumen del inventario'!$C$3,$N1550="",$N1550="OK"),"",IF(COUNTIFS($A$2:$A1550,$A1550,$B$2:$B1550,$B1550)=1,1,""))</f>
        <v/>
      </c>
      <c r="S1550" s="20">
        <f>IF($R1550=1,COUNTIF($R$2:$R1550,1),"")</f>
        <v/>
      </c>
    </row>
    <row r="1551">
      <c r="A1551" s="19" t="n"/>
      <c r="B1551" s="14" t="n"/>
      <c r="C1551" s="20">
        <f>IF($B1551="","",IFERROR(INDEX(Vinos!$B$2:$B$301,MATCH($B1551,Vinos!$A$2:$A$301,0)),"Código no cargado"))</f>
        <v/>
      </c>
      <c r="D1551" s="14" t="n"/>
      <c r="E1551" s="14" t="n"/>
      <c r="F1551" s="18" t="n"/>
      <c r="G1551" s="18" t="n"/>
      <c r="H1551" s="21">
        <f>IF(AND($F1551="",$G1551=""),"",N($F1551)*IFERROR(N(INDEX(Vinos!$H$2:$H$301,MATCH($B1551,Vinos!$A$2:$A$301,0))),0)+N($G1551))</f>
        <v/>
      </c>
      <c r="I1551" s="18" t="n"/>
      <c r="J1551" s="21">
        <f>IF(OR($H1551="",$I1551=""),"",$H1551-$I1551)</f>
        <v/>
      </c>
      <c r="K1551" s="16">
        <f>IF($H1551="","",IFERROR(IF(INDEX(Vinos!$J$2:$J$301,MATCH($B1551,Vinos!$A$2:$A$301,0))="","",$H1551*INDEX(Vinos!$J$2:$J$301,MATCH($B1551,Vinos!$A$2:$A$301,0))),""))</f>
        <v/>
      </c>
      <c r="L1551" s="16">
        <f>IF($H1551="","",IFERROR(IF(INDEX(Vinos!$K$2:$K$301,MATCH($B1551,Vinos!$A$2:$A$301,0))="","",$H1551*INDEX(Vinos!$K$2:$K$301,MATCH($B1551,Vinos!$A$2:$A$301,0))),""))</f>
        <v/>
      </c>
      <c r="M1551" s="21">
        <f>IF(OR($A1551="",$B1551=""),"",SUMIFS($H$2:$H$2001,$A$2:$A$2001,$A1551,$B$2:$B$2001,$B1551))</f>
        <v/>
      </c>
      <c r="N1551" s="20">
        <f>IF($M1551="","",IF($M1551&lt;=0,"Sin stock: reponer ya",IF($M1551&lt;IFERROR(N(INDEX(Vinos!$N$2:$N$301,MATCH($B1551,Vinos!$A$2:$A$301,0))),0),"Bajo mínimo: reponer","OK")))</f>
        <v/>
      </c>
      <c r="O1551" s="14" t="n"/>
      <c r="P1551" s="14" t="n"/>
      <c r="Q1551" s="20">
        <f>IF($B1551="","",IFERROR(INDEX(Vinos!$C$2:$C$301,MATCH($B1551,Vinos!$A$2:$A$301,0)),""))</f>
        <v/>
      </c>
      <c r="R1551" s="20">
        <f>IF(OR($A1551="",$A1551&lt;&gt;'Resumen del inventario'!$C$3,$N1551="",$N1551="OK"),"",IF(COUNTIFS($A$2:$A1551,$A1551,$B$2:$B1551,$B1551)=1,1,""))</f>
        <v/>
      </c>
      <c r="S1551" s="20">
        <f>IF($R1551=1,COUNTIF($R$2:$R1551,1),"")</f>
        <v/>
      </c>
    </row>
    <row r="1552">
      <c r="A1552" s="19" t="n"/>
      <c r="B1552" s="14" t="n"/>
      <c r="C1552" s="20">
        <f>IF($B1552="","",IFERROR(INDEX(Vinos!$B$2:$B$301,MATCH($B1552,Vinos!$A$2:$A$301,0)),"Código no cargado"))</f>
        <v/>
      </c>
      <c r="D1552" s="14" t="n"/>
      <c r="E1552" s="14" t="n"/>
      <c r="F1552" s="18" t="n"/>
      <c r="G1552" s="18" t="n"/>
      <c r="H1552" s="21">
        <f>IF(AND($F1552="",$G1552=""),"",N($F1552)*IFERROR(N(INDEX(Vinos!$H$2:$H$301,MATCH($B1552,Vinos!$A$2:$A$301,0))),0)+N($G1552))</f>
        <v/>
      </c>
      <c r="I1552" s="18" t="n"/>
      <c r="J1552" s="21">
        <f>IF(OR($H1552="",$I1552=""),"",$H1552-$I1552)</f>
        <v/>
      </c>
      <c r="K1552" s="16">
        <f>IF($H1552="","",IFERROR(IF(INDEX(Vinos!$J$2:$J$301,MATCH($B1552,Vinos!$A$2:$A$301,0))="","",$H1552*INDEX(Vinos!$J$2:$J$301,MATCH($B1552,Vinos!$A$2:$A$301,0))),""))</f>
        <v/>
      </c>
      <c r="L1552" s="16">
        <f>IF($H1552="","",IFERROR(IF(INDEX(Vinos!$K$2:$K$301,MATCH($B1552,Vinos!$A$2:$A$301,0))="","",$H1552*INDEX(Vinos!$K$2:$K$301,MATCH($B1552,Vinos!$A$2:$A$301,0))),""))</f>
        <v/>
      </c>
      <c r="M1552" s="21">
        <f>IF(OR($A1552="",$B1552=""),"",SUMIFS($H$2:$H$2001,$A$2:$A$2001,$A1552,$B$2:$B$2001,$B1552))</f>
        <v/>
      </c>
      <c r="N1552" s="20">
        <f>IF($M1552="","",IF($M1552&lt;=0,"Sin stock: reponer ya",IF($M1552&lt;IFERROR(N(INDEX(Vinos!$N$2:$N$301,MATCH($B1552,Vinos!$A$2:$A$301,0))),0),"Bajo mínimo: reponer","OK")))</f>
        <v/>
      </c>
      <c r="O1552" s="14" t="n"/>
      <c r="P1552" s="14" t="n"/>
      <c r="Q1552" s="20">
        <f>IF($B1552="","",IFERROR(INDEX(Vinos!$C$2:$C$301,MATCH($B1552,Vinos!$A$2:$A$301,0)),""))</f>
        <v/>
      </c>
      <c r="R1552" s="20">
        <f>IF(OR($A1552="",$A1552&lt;&gt;'Resumen del inventario'!$C$3,$N1552="",$N1552="OK"),"",IF(COUNTIFS($A$2:$A1552,$A1552,$B$2:$B1552,$B1552)=1,1,""))</f>
        <v/>
      </c>
      <c r="S1552" s="20">
        <f>IF($R1552=1,COUNTIF($R$2:$R1552,1),"")</f>
        <v/>
      </c>
    </row>
    <row r="1553">
      <c r="A1553" s="19" t="n"/>
      <c r="B1553" s="14" t="n"/>
      <c r="C1553" s="20">
        <f>IF($B1553="","",IFERROR(INDEX(Vinos!$B$2:$B$301,MATCH($B1553,Vinos!$A$2:$A$301,0)),"Código no cargado"))</f>
        <v/>
      </c>
      <c r="D1553" s="14" t="n"/>
      <c r="E1553" s="14" t="n"/>
      <c r="F1553" s="18" t="n"/>
      <c r="G1553" s="18" t="n"/>
      <c r="H1553" s="21">
        <f>IF(AND($F1553="",$G1553=""),"",N($F1553)*IFERROR(N(INDEX(Vinos!$H$2:$H$301,MATCH($B1553,Vinos!$A$2:$A$301,0))),0)+N($G1553))</f>
        <v/>
      </c>
      <c r="I1553" s="18" t="n"/>
      <c r="J1553" s="21">
        <f>IF(OR($H1553="",$I1553=""),"",$H1553-$I1553)</f>
        <v/>
      </c>
      <c r="K1553" s="16">
        <f>IF($H1553="","",IFERROR(IF(INDEX(Vinos!$J$2:$J$301,MATCH($B1553,Vinos!$A$2:$A$301,0))="","",$H1553*INDEX(Vinos!$J$2:$J$301,MATCH($B1553,Vinos!$A$2:$A$301,0))),""))</f>
        <v/>
      </c>
      <c r="L1553" s="16">
        <f>IF($H1553="","",IFERROR(IF(INDEX(Vinos!$K$2:$K$301,MATCH($B1553,Vinos!$A$2:$A$301,0))="","",$H1553*INDEX(Vinos!$K$2:$K$301,MATCH($B1553,Vinos!$A$2:$A$301,0))),""))</f>
        <v/>
      </c>
      <c r="M1553" s="21">
        <f>IF(OR($A1553="",$B1553=""),"",SUMIFS($H$2:$H$2001,$A$2:$A$2001,$A1553,$B$2:$B$2001,$B1553))</f>
        <v/>
      </c>
      <c r="N1553" s="20">
        <f>IF($M1553="","",IF($M1553&lt;=0,"Sin stock: reponer ya",IF($M1553&lt;IFERROR(N(INDEX(Vinos!$N$2:$N$301,MATCH($B1553,Vinos!$A$2:$A$301,0))),0),"Bajo mínimo: reponer","OK")))</f>
        <v/>
      </c>
      <c r="O1553" s="14" t="n"/>
      <c r="P1553" s="14" t="n"/>
      <c r="Q1553" s="20">
        <f>IF($B1553="","",IFERROR(INDEX(Vinos!$C$2:$C$301,MATCH($B1553,Vinos!$A$2:$A$301,0)),""))</f>
        <v/>
      </c>
      <c r="R1553" s="20">
        <f>IF(OR($A1553="",$A1553&lt;&gt;'Resumen del inventario'!$C$3,$N1553="",$N1553="OK"),"",IF(COUNTIFS($A$2:$A1553,$A1553,$B$2:$B1553,$B1553)=1,1,""))</f>
        <v/>
      </c>
      <c r="S1553" s="20">
        <f>IF($R1553=1,COUNTIF($R$2:$R1553,1),"")</f>
        <v/>
      </c>
    </row>
    <row r="1554">
      <c r="A1554" s="19" t="n"/>
      <c r="B1554" s="14" t="n"/>
      <c r="C1554" s="20">
        <f>IF($B1554="","",IFERROR(INDEX(Vinos!$B$2:$B$301,MATCH($B1554,Vinos!$A$2:$A$301,0)),"Código no cargado"))</f>
        <v/>
      </c>
      <c r="D1554" s="14" t="n"/>
      <c r="E1554" s="14" t="n"/>
      <c r="F1554" s="18" t="n"/>
      <c r="G1554" s="18" t="n"/>
      <c r="H1554" s="21">
        <f>IF(AND($F1554="",$G1554=""),"",N($F1554)*IFERROR(N(INDEX(Vinos!$H$2:$H$301,MATCH($B1554,Vinos!$A$2:$A$301,0))),0)+N($G1554))</f>
        <v/>
      </c>
      <c r="I1554" s="18" t="n"/>
      <c r="J1554" s="21">
        <f>IF(OR($H1554="",$I1554=""),"",$H1554-$I1554)</f>
        <v/>
      </c>
      <c r="K1554" s="16">
        <f>IF($H1554="","",IFERROR(IF(INDEX(Vinos!$J$2:$J$301,MATCH($B1554,Vinos!$A$2:$A$301,0))="","",$H1554*INDEX(Vinos!$J$2:$J$301,MATCH($B1554,Vinos!$A$2:$A$301,0))),""))</f>
        <v/>
      </c>
      <c r="L1554" s="16">
        <f>IF($H1554="","",IFERROR(IF(INDEX(Vinos!$K$2:$K$301,MATCH($B1554,Vinos!$A$2:$A$301,0))="","",$H1554*INDEX(Vinos!$K$2:$K$301,MATCH($B1554,Vinos!$A$2:$A$301,0))),""))</f>
        <v/>
      </c>
      <c r="M1554" s="21">
        <f>IF(OR($A1554="",$B1554=""),"",SUMIFS($H$2:$H$2001,$A$2:$A$2001,$A1554,$B$2:$B$2001,$B1554))</f>
        <v/>
      </c>
      <c r="N1554" s="20">
        <f>IF($M1554="","",IF($M1554&lt;=0,"Sin stock: reponer ya",IF($M1554&lt;IFERROR(N(INDEX(Vinos!$N$2:$N$301,MATCH($B1554,Vinos!$A$2:$A$301,0))),0),"Bajo mínimo: reponer","OK")))</f>
        <v/>
      </c>
      <c r="O1554" s="14" t="n"/>
      <c r="P1554" s="14" t="n"/>
      <c r="Q1554" s="20">
        <f>IF($B1554="","",IFERROR(INDEX(Vinos!$C$2:$C$301,MATCH($B1554,Vinos!$A$2:$A$301,0)),""))</f>
        <v/>
      </c>
      <c r="R1554" s="20">
        <f>IF(OR($A1554="",$A1554&lt;&gt;'Resumen del inventario'!$C$3,$N1554="",$N1554="OK"),"",IF(COUNTIFS($A$2:$A1554,$A1554,$B$2:$B1554,$B1554)=1,1,""))</f>
        <v/>
      </c>
      <c r="S1554" s="20">
        <f>IF($R1554=1,COUNTIF($R$2:$R1554,1),"")</f>
        <v/>
      </c>
    </row>
    <row r="1555">
      <c r="A1555" s="19" t="n"/>
      <c r="B1555" s="14" t="n"/>
      <c r="C1555" s="20">
        <f>IF($B1555="","",IFERROR(INDEX(Vinos!$B$2:$B$301,MATCH($B1555,Vinos!$A$2:$A$301,0)),"Código no cargado"))</f>
        <v/>
      </c>
      <c r="D1555" s="14" t="n"/>
      <c r="E1555" s="14" t="n"/>
      <c r="F1555" s="18" t="n"/>
      <c r="G1555" s="18" t="n"/>
      <c r="H1555" s="21">
        <f>IF(AND($F1555="",$G1555=""),"",N($F1555)*IFERROR(N(INDEX(Vinos!$H$2:$H$301,MATCH($B1555,Vinos!$A$2:$A$301,0))),0)+N($G1555))</f>
        <v/>
      </c>
      <c r="I1555" s="18" t="n"/>
      <c r="J1555" s="21">
        <f>IF(OR($H1555="",$I1555=""),"",$H1555-$I1555)</f>
        <v/>
      </c>
      <c r="K1555" s="16">
        <f>IF($H1555="","",IFERROR(IF(INDEX(Vinos!$J$2:$J$301,MATCH($B1555,Vinos!$A$2:$A$301,0))="","",$H1555*INDEX(Vinos!$J$2:$J$301,MATCH($B1555,Vinos!$A$2:$A$301,0))),""))</f>
        <v/>
      </c>
      <c r="L1555" s="16">
        <f>IF($H1555="","",IFERROR(IF(INDEX(Vinos!$K$2:$K$301,MATCH($B1555,Vinos!$A$2:$A$301,0))="","",$H1555*INDEX(Vinos!$K$2:$K$301,MATCH($B1555,Vinos!$A$2:$A$301,0))),""))</f>
        <v/>
      </c>
      <c r="M1555" s="21">
        <f>IF(OR($A1555="",$B1555=""),"",SUMIFS($H$2:$H$2001,$A$2:$A$2001,$A1555,$B$2:$B$2001,$B1555))</f>
        <v/>
      </c>
      <c r="N1555" s="20">
        <f>IF($M1555="","",IF($M1555&lt;=0,"Sin stock: reponer ya",IF($M1555&lt;IFERROR(N(INDEX(Vinos!$N$2:$N$301,MATCH($B1555,Vinos!$A$2:$A$301,0))),0),"Bajo mínimo: reponer","OK")))</f>
        <v/>
      </c>
      <c r="O1555" s="14" t="n"/>
      <c r="P1555" s="14" t="n"/>
      <c r="Q1555" s="20">
        <f>IF($B1555="","",IFERROR(INDEX(Vinos!$C$2:$C$301,MATCH($B1555,Vinos!$A$2:$A$301,0)),""))</f>
        <v/>
      </c>
      <c r="R1555" s="20">
        <f>IF(OR($A1555="",$A1555&lt;&gt;'Resumen del inventario'!$C$3,$N1555="",$N1555="OK"),"",IF(COUNTIFS($A$2:$A1555,$A1555,$B$2:$B1555,$B1555)=1,1,""))</f>
        <v/>
      </c>
      <c r="S1555" s="20">
        <f>IF($R1555=1,COUNTIF($R$2:$R1555,1),"")</f>
        <v/>
      </c>
    </row>
    <row r="1556">
      <c r="A1556" s="19" t="n"/>
      <c r="B1556" s="14" t="n"/>
      <c r="C1556" s="20">
        <f>IF($B1556="","",IFERROR(INDEX(Vinos!$B$2:$B$301,MATCH($B1556,Vinos!$A$2:$A$301,0)),"Código no cargado"))</f>
        <v/>
      </c>
      <c r="D1556" s="14" t="n"/>
      <c r="E1556" s="14" t="n"/>
      <c r="F1556" s="18" t="n"/>
      <c r="G1556" s="18" t="n"/>
      <c r="H1556" s="21">
        <f>IF(AND($F1556="",$G1556=""),"",N($F1556)*IFERROR(N(INDEX(Vinos!$H$2:$H$301,MATCH($B1556,Vinos!$A$2:$A$301,0))),0)+N($G1556))</f>
        <v/>
      </c>
      <c r="I1556" s="18" t="n"/>
      <c r="J1556" s="21">
        <f>IF(OR($H1556="",$I1556=""),"",$H1556-$I1556)</f>
        <v/>
      </c>
      <c r="K1556" s="16">
        <f>IF($H1556="","",IFERROR(IF(INDEX(Vinos!$J$2:$J$301,MATCH($B1556,Vinos!$A$2:$A$301,0))="","",$H1556*INDEX(Vinos!$J$2:$J$301,MATCH($B1556,Vinos!$A$2:$A$301,0))),""))</f>
        <v/>
      </c>
      <c r="L1556" s="16">
        <f>IF($H1556="","",IFERROR(IF(INDEX(Vinos!$K$2:$K$301,MATCH($B1556,Vinos!$A$2:$A$301,0))="","",$H1556*INDEX(Vinos!$K$2:$K$301,MATCH($B1556,Vinos!$A$2:$A$301,0))),""))</f>
        <v/>
      </c>
      <c r="M1556" s="21">
        <f>IF(OR($A1556="",$B1556=""),"",SUMIFS($H$2:$H$2001,$A$2:$A$2001,$A1556,$B$2:$B$2001,$B1556))</f>
        <v/>
      </c>
      <c r="N1556" s="20">
        <f>IF($M1556="","",IF($M1556&lt;=0,"Sin stock: reponer ya",IF($M1556&lt;IFERROR(N(INDEX(Vinos!$N$2:$N$301,MATCH($B1556,Vinos!$A$2:$A$301,0))),0),"Bajo mínimo: reponer","OK")))</f>
        <v/>
      </c>
      <c r="O1556" s="14" t="n"/>
      <c r="P1556" s="14" t="n"/>
      <c r="Q1556" s="20">
        <f>IF($B1556="","",IFERROR(INDEX(Vinos!$C$2:$C$301,MATCH($B1556,Vinos!$A$2:$A$301,0)),""))</f>
        <v/>
      </c>
      <c r="R1556" s="20">
        <f>IF(OR($A1556="",$A1556&lt;&gt;'Resumen del inventario'!$C$3,$N1556="",$N1556="OK"),"",IF(COUNTIFS($A$2:$A1556,$A1556,$B$2:$B1556,$B1556)=1,1,""))</f>
        <v/>
      </c>
      <c r="S1556" s="20">
        <f>IF($R1556=1,COUNTIF($R$2:$R1556,1),"")</f>
        <v/>
      </c>
    </row>
    <row r="1557">
      <c r="A1557" s="19" t="n"/>
      <c r="B1557" s="14" t="n"/>
      <c r="C1557" s="20">
        <f>IF($B1557="","",IFERROR(INDEX(Vinos!$B$2:$B$301,MATCH($B1557,Vinos!$A$2:$A$301,0)),"Código no cargado"))</f>
        <v/>
      </c>
      <c r="D1557" s="14" t="n"/>
      <c r="E1557" s="14" t="n"/>
      <c r="F1557" s="18" t="n"/>
      <c r="G1557" s="18" t="n"/>
      <c r="H1557" s="21">
        <f>IF(AND($F1557="",$G1557=""),"",N($F1557)*IFERROR(N(INDEX(Vinos!$H$2:$H$301,MATCH($B1557,Vinos!$A$2:$A$301,0))),0)+N($G1557))</f>
        <v/>
      </c>
      <c r="I1557" s="18" t="n"/>
      <c r="J1557" s="21">
        <f>IF(OR($H1557="",$I1557=""),"",$H1557-$I1557)</f>
        <v/>
      </c>
      <c r="K1557" s="16">
        <f>IF($H1557="","",IFERROR(IF(INDEX(Vinos!$J$2:$J$301,MATCH($B1557,Vinos!$A$2:$A$301,0))="","",$H1557*INDEX(Vinos!$J$2:$J$301,MATCH($B1557,Vinos!$A$2:$A$301,0))),""))</f>
        <v/>
      </c>
      <c r="L1557" s="16">
        <f>IF($H1557="","",IFERROR(IF(INDEX(Vinos!$K$2:$K$301,MATCH($B1557,Vinos!$A$2:$A$301,0))="","",$H1557*INDEX(Vinos!$K$2:$K$301,MATCH($B1557,Vinos!$A$2:$A$301,0))),""))</f>
        <v/>
      </c>
      <c r="M1557" s="21">
        <f>IF(OR($A1557="",$B1557=""),"",SUMIFS($H$2:$H$2001,$A$2:$A$2001,$A1557,$B$2:$B$2001,$B1557))</f>
        <v/>
      </c>
      <c r="N1557" s="20">
        <f>IF($M1557="","",IF($M1557&lt;=0,"Sin stock: reponer ya",IF($M1557&lt;IFERROR(N(INDEX(Vinos!$N$2:$N$301,MATCH($B1557,Vinos!$A$2:$A$301,0))),0),"Bajo mínimo: reponer","OK")))</f>
        <v/>
      </c>
      <c r="O1557" s="14" t="n"/>
      <c r="P1557" s="14" t="n"/>
      <c r="Q1557" s="20">
        <f>IF($B1557="","",IFERROR(INDEX(Vinos!$C$2:$C$301,MATCH($B1557,Vinos!$A$2:$A$301,0)),""))</f>
        <v/>
      </c>
      <c r="R1557" s="20">
        <f>IF(OR($A1557="",$A1557&lt;&gt;'Resumen del inventario'!$C$3,$N1557="",$N1557="OK"),"",IF(COUNTIFS($A$2:$A1557,$A1557,$B$2:$B1557,$B1557)=1,1,""))</f>
        <v/>
      </c>
      <c r="S1557" s="20">
        <f>IF($R1557=1,COUNTIF($R$2:$R1557,1),"")</f>
        <v/>
      </c>
    </row>
    <row r="1558">
      <c r="A1558" s="19" t="n"/>
      <c r="B1558" s="14" t="n"/>
      <c r="C1558" s="20">
        <f>IF($B1558="","",IFERROR(INDEX(Vinos!$B$2:$B$301,MATCH($B1558,Vinos!$A$2:$A$301,0)),"Código no cargado"))</f>
        <v/>
      </c>
      <c r="D1558" s="14" t="n"/>
      <c r="E1558" s="14" t="n"/>
      <c r="F1558" s="18" t="n"/>
      <c r="G1558" s="18" t="n"/>
      <c r="H1558" s="21">
        <f>IF(AND($F1558="",$G1558=""),"",N($F1558)*IFERROR(N(INDEX(Vinos!$H$2:$H$301,MATCH($B1558,Vinos!$A$2:$A$301,0))),0)+N($G1558))</f>
        <v/>
      </c>
      <c r="I1558" s="18" t="n"/>
      <c r="J1558" s="21">
        <f>IF(OR($H1558="",$I1558=""),"",$H1558-$I1558)</f>
        <v/>
      </c>
      <c r="K1558" s="16">
        <f>IF($H1558="","",IFERROR(IF(INDEX(Vinos!$J$2:$J$301,MATCH($B1558,Vinos!$A$2:$A$301,0))="","",$H1558*INDEX(Vinos!$J$2:$J$301,MATCH($B1558,Vinos!$A$2:$A$301,0))),""))</f>
        <v/>
      </c>
      <c r="L1558" s="16">
        <f>IF($H1558="","",IFERROR(IF(INDEX(Vinos!$K$2:$K$301,MATCH($B1558,Vinos!$A$2:$A$301,0))="","",$H1558*INDEX(Vinos!$K$2:$K$301,MATCH($B1558,Vinos!$A$2:$A$301,0))),""))</f>
        <v/>
      </c>
      <c r="M1558" s="21">
        <f>IF(OR($A1558="",$B1558=""),"",SUMIFS($H$2:$H$2001,$A$2:$A$2001,$A1558,$B$2:$B$2001,$B1558))</f>
        <v/>
      </c>
      <c r="N1558" s="20">
        <f>IF($M1558="","",IF($M1558&lt;=0,"Sin stock: reponer ya",IF($M1558&lt;IFERROR(N(INDEX(Vinos!$N$2:$N$301,MATCH($B1558,Vinos!$A$2:$A$301,0))),0),"Bajo mínimo: reponer","OK")))</f>
        <v/>
      </c>
      <c r="O1558" s="14" t="n"/>
      <c r="P1558" s="14" t="n"/>
      <c r="Q1558" s="20">
        <f>IF($B1558="","",IFERROR(INDEX(Vinos!$C$2:$C$301,MATCH($B1558,Vinos!$A$2:$A$301,0)),""))</f>
        <v/>
      </c>
      <c r="R1558" s="20">
        <f>IF(OR($A1558="",$A1558&lt;&gt;'Resumen del inventario'!$C$3,$N1558="",$N1558="OK"),"",IF(COUNTIFS($A$2:$A1558,$A1558,$B$2:$B1558,$B1558)=1,1,""))</f>
        <v/>
      </c>
      <c r="S1558" s="20">
        <f>IF($R1558=1,COUNTIF($R$2:$R1558,1),"")</f>
        <v/>
      </c>
    </row>
    <row r="1559">
      <c r="A1559" s="19" t="n"/>
      <c r="B1559" s="14" t="n"/>
      <c r="C1559" s="20">
        <f>IF($B1559="","",IFERROR(INDEX(Vinos!$B$2:$B$301,MATCH($B1559,Vinos!$A$2:$A$301,0)),"Código no cargado"))</f>
        <v/>
      </c>
      <c r="D1559" s="14" t="n"/>
      <c r="E1559" s="14" t="n"/>
      <c r="F1559" s="18" t="n"/>
      <c r="G1559" s="18" t="n"/>
      <c r="H1559" s="21">
        <f>IF(AND($F1559="",$G1559=""),"",N($F1559)*IFERROR(N(INDEX(Vinos!$H$2:$H$301,MATCH($B1559,Vinos!$A$2:$A$301,0))),0)+N($G1559))</f>
        <v/>
      </c>
      <c r="I1559" s="18" t="n"/>
      <c r="J1559" s="21">
        <f>IF(OR($H1559="",$I1559=""),"",$H1559-$I1559)</f>
        <v/>
      </c>
      <c r="K1559" s="16">
        <f>IF($H1559="","",IFERROR(IF(INDEX(Vinos!$J$2:$J$301,MATCH($B1559,Vinos!$A$2:$A$301,0))="","",$H1559*INDEX(Vinos!$J$2:$J$301,MATCH($B1559,Vinos!$A$2:$A$301,0))),""))</f>
        <v/>
      </c>
      <c r="L1559" s="16">
        <f>IF($H1559="","",IFERROR(IF(INDEX(Vinos!$K$2:$K$301,MATCH($B1559,Vinos!$A$2:$A$301,0))="","",$H1559*INDEX(Vinos!$K$2:$K$301,MATCH($B1559,Vinos!$A$2:$A$301,0))),""))</f>
        <v/>
      </c>
      <c r="M1559" s="21">
        <f>IF(OR($A1559="",$B1559=""),"",SUMIFS($H$2:$H$2001,$A$2:$A$2001,$A1559,$B$2:$B$2001,$B1559))</f>
        <v/>
      </c>
      <c r="N1559" s="20">
        <f>IF($M1559="","",IF($M1559&lt;=0,"Sin stock: reponer ya",IF($M1559&lt;IFERROR(N(INDEX(Vinos!$N$2:$N$301,MATCH($B1559,Vinos!$A$2:$A$301,0))),0),"Bajo mínimo: reponer","OK")))</f>
        <v/>
      </c>
      <c r="O1559" s="14" t="n"/>
      <c r="P1559" s="14" t="n"/>
      <c r="Q1559" s="20">
        <f>IF($B1559="","",IFERROR(INDEX(Vinos!$C$2:$C$301,MATCH($B1559,Vinos!$A$2:$A$301,0)),""))</f>
        <v/>
      </c>
      <c r="R1559" s="20">
        <f>IF(OR($A1559="",$A1559&lt;&gt;'Resumen del inventario'!$C$3,$N1559="",$N1559="OK"),"",IF(COUNTIFS($A$2:$A1559,$A1559,$B$2:$B1559,$B1559)=1,1,""))</f>
        <v/>
      </c>
      <c r="S1559" s="20">
        <f>IF($R1559=1,COUNTIF($R$2:$R1559,1),"")</f>
        <v/>
      </c>
    </row>
    <row r="1560">
      <c r="A1560" s="19" t="n"/>
      <c r="B1560" s="14" t="n"/>
      <c r="C1560" s="20">
        <f>IF($B1560="","",IFERROR(INDEX(Vinos!$B$2:$B$301,MATCH($B1560,Vinos!$A$2:$A$301,0)),"Código no cargado"))</f>
        <v/>
      </c>
      <c r="D1560" s="14" t="n"/>
      <c r="E1560" s="14" t="n"/>
      <c r="F1560" s="18" t="n"/>
      <c r="G1560" s="18" t="n"/>
      <c r="H1560" s="21">
        <f>IF(AND($F1560="",$G1560=""),"",N($F1560)*IFERROR(N(INDEX(Vinos!$H$2:$H$301,MATCH($B1560,Vinos!$A$2:$A$301,0))),0)+N($G1560))</f>
        <v/>
      </c>
      <c r="I1560" s="18" t="n"/>
      <c r="J1560" s="21">
        <f>IF(OR($H1560="",$I1560=""),"",$H1560-$I1560)</f>
        <v/>
      </c>
      <c r="K1560" s="16">
        <f>IF($H1560="","",IFERROR(IF(INDEX(Vinos!$J$2:$J$301,MATCH($B1560,Vinos!$A$2:$A$301,0))="","",$H1560*INDEX(Vinos!$J$2:$J$301,MATCH($B1560,Vinos!$A$2:$A$301,0))),""))</f>
        <v/>
      </c>
      <c r="L1560" s="16">
        <f>IF($H1560="","",IFERROR(IF(INDEX(Vinos!$K$2:$K$301,MATCH($B1560,Vinos!$A$2:$A$301,0))="","",$H1560*INDEX(Vinos!$K$2:$K$301,MATCH($B1560,Vinos!$A$2:$A$301,0))),""))</f>
        <v/>
      </c>
      <c r="M1560" s="21">
        <f>IF(OR($A1560="",$B1560=""),"",SUMIFS($H$2:$H$2001,$A$2:$A$2001,$A1560,$B$2:$B$2001,$B1560))</f>
        <v/>
      </c>
      <c r="N1560" s="20">
        <f>IF($M1560="","",IF($M1560&lt;=0,"Sin stock: reponer ya",IF($M1560&lt;IFERROR(N(INDEX(Vinos!$N$2:$N$301,MATCH($B1560,Vinos!$A$2:$A$301,0))),0),"Bajo mínimo: reponer","OK")))</f>
        <v/>
      </c>
      <c r="O1560" s="14" t="n"/>
      <c r="P1560" s="14" t="n"/>
      <c r="Q1560" s="20">
        <f>IF($B1560="","",IFERROR(INDEX(Vinos!$C$2:$C$301,MATCH($B1560,Vinos!$A$2:$A$301,0)),""))</f>
        <v/>
      </c>
      <c r="R1560" s="20">
        <f>IF(OR($A1560="",$A1560&lt;&gt;'Resumen del inventario'!$C$3,$N1560="",$N1560="OK"),"",IF(COUNTIFS($A$2:$A1560,$A1560,$B$2:$B1560,$B1560)=1,1,""))</f>
        <v/>
      </c>
      <c r="S1560" s="20">
        <f>IF($R1560=1,COUNTIF($R$2:$R1560,1),"")</f>
        <v/>
      </c>
    </row>
    <row r="1561">
      <c r="A1561" s="19" t="n"/>
      <c r="B1561" s="14" t="n"/>
      <c r="C1561" s="20">
        <f>IF($B1561="","",IFERROR(INDEX(Vinos!$B$2:$B$301,MATCH($B1561,Vinos!$A$2:$A$301,0)),"Código no cargado"))</f>
        <v/>
      </c>
      <c r="D1561" s="14" t="n"/>
      <c r="E1561" s="14" t="n"/>
      <c r="F1561" s="18" t="n"/>
      <c r="G1561" s="18" t="n"/>
      <c r="H1561" s="21">
        <f>IF(AND($F1561="",$G1561=""),"",N($F1561)*IFERROR(N(INDEX(Vinos!$H$2:$H$301,MATCH($B1561,Vinos!$A$2:$A$301,0))),0)+N($G1561))</f>
        <v/>
      </c>
      <c r="I1561" s="18" t="n"/>
      <c r="J1561" s="21">
        <f>IF(OR($H1561="",$I1561=""),"",$H1561-$I1561)</f>
        <v/>
      </c>
      <c r="K1561" s="16">
        <f>IF($H1561="","",IFERROR(IF(INDEX(Vinos!$J$2:$J$301,MATCH($B1561,Vinos!$A$2:$A$301,0))="","",$H1561*INDEX(Vinos!$J$2:$J$301,MATCH($B1561,Vinos!$A$2:$A$301,0))),""))</f>
        <v/>
      </c>
      <c r="L1561" s="16">
        <f>IF($H1561="","",IFERROR(IF(INDEX(Vinos!$K$2:$K$301,MATCH($B1561,Vinos!$A$2:$A$301,0))="","",$H1561*INDEX(Vinos!$K$2:$K$301,MATCH($B1561,Vinos!$A$2:$A$301,0))),""))</f>
        <v/>
      </c>
      <c r="M1561" s="21">
        <f>IF(OR($A1561="",$B1561=""),"",SUMIFS($H$2:$H$2001,$A$2:$A$2001,$A1561,$B$2:$B$2001,$B1561))</f>
        <v/>
      </c>
      <c r="N1561" s="20">
        <f>IF($M1561="","",IF($M1561&lt;=0,"Sin stock: reponer ya",IF($M1561&lt;IFERROR(N(INDEX(Vinos!$N$2:$N$301,MATCH($B1561,Vinos!$A$2:$A$301,0))),0),"Bajo mínimo: reponer","OK")))</f>
        <v/>
      </c>
      <c r="O1561" s="14" t="n"/>
      <c r="P1561" s="14" t="n"/>
      <c r="Q1561" s="20">
        <f>IF($B1561="","",IFERROR(INDEX(Vinos!$C$2:$C$301,MATCH($B1561,Vinos!$A$2:$A$301,0)),""))</f>
        <v/>
      </c>
      <c r="R1561" s="20">
        <f>IF(OR($A1561="",$A1561&lt;&gt;'Resumen del inventario'!$C$3,$N1561="",$N1561="OK"),"",IF(COUNTIFS($A$2:$A1561,$A1561,$B$2:$B1561,$B1561)=1,1,""))</f>
        <v/>
      </c>
      <c r="S1561" s="20">
        <f>IF($R1561=1,COUNTIF($R$2:$R1561,1),"")</f>
        <v/>
      </c>
    </row>
    <row r="1562">
      <c r="A1562" s="19" t="n"/>
      <c r="B1562" s="14" t="n"/>
      <c r="C1562" s="20">
        <f>IF($B1562="","",IFERROR(INDEX(Vinos!$B$2:$B$301,MATCH($B1562,Vinos!$A$2:$A$301,0)),"Código no cargado"))</f>
        <v/>
      </c>
      <c r="D1562" s="14" t="n"/>
      <c r="E1562" s="14" t="n"/>
      <c r="F1562" s="18" t="n"/>
      <c r="G1562" s="18" t="n"/>
      <c r="H1562" s="21">
        <f>IF(AND($F1562="",$G1562=""),"",N($F1562)*IFERROR(N(INDEX(Vinos!$H$2:$H$301,MATCH($B1562,Vinos!$A$2:$A$301,0))),0)+N($G1562))</f>
        <v/>
      </c>
      <c r="I1562" s="18" t="n"/>
      <c r="J1562" s="21">
        <f>IF(OR($H1562="",$I1562=""),"",$H1562-$I1562)</f>
        <v/>
      </c>
      <c r="K1562" s="16">
        <f>IF($H1562="","",IFERROR(IF(INDEX(Vinos!$J$2:$J$301,MATCH($B1562,Vinos!$A$2:$A$301,0))="","",$H1562*INDEX(Vinos!$J$2:$J$301,MATCH($B1562,Vinos!$A$2:$A$301,0))),""))</f>
        <v/>
      </c>
      <c r="L1562" s="16">
        <f>IF($H1562="","",IFERROR(IF(INDEX(Vinos!$K$2:$K$301,MATCH($B1562,Vinos!$A$2:$A$301,0))="","",$H1562*INDEX(Vinos!$K$2:$K$301,MATCH($B1562,Vinos!$A$2:$A$301,0))),""))</f>
        <v/>
      </c>
      <c r="M1562" s="21">
        <f>IF(OR($A1562="",$B1562=""),"",SUMIFS($H$2:$H$2001,$A$2:$A$2001,$A1562,$B$2:$B$2001,$B1562))</f>
        <v/>
      </c>
      <c r="N1562" s="20">
        <f>IF($M1562="","",IF($M1562&lt;=0,"Sin stock: reponer ya",IF($M1562&lt;IFERROR(N(INDEX(Vinos!$N$2:$N$301,MATCH($B1562,Vinos!$A$2:$A$301,0))),0),"Bajo mínimo: reponer","OK")))</f>
        <v/>
      </c>
      <c r="O1562" s="14" t="n"/>
      <c r="P1562" s="14" t="n"/>
      <c r="Q1562" s="20">
        <f>IF($B1562="","",IFERROR(INDEX(Vinos!$C$2:$C$301,MATCH($B1562,Vinos!$A$2:$A$301,0)),""))</f>
        <v/>
      </c>
      <c r="R1562" s="20">
        <f>IF(OR($A1562="",$A1562&lt;&gt;'Resumen del inventario'!$C$3,$N1562="",$N1562="OK"),"",IF(COUNTIFS($A$2:$A1562,$A1562,$B$2:$B1562,$B1562)=1,1,""))</f>
        <v/>
      </c>
      <c r="S1562" s="20">
        <f>IF($R1562=1,COUNTIF($R$2:$R1562,1),"")</f>
        <v/>
      </c>
    </row>
    <row r="1563">
      <c r="A1563" s="19" t="n"/>
      <c r="B1563" s="14" t="n"/>
      <c r="C1563" s="20">
        <f>IF($B1563="","",IFERROR(INDEX(Vinos!$B$2:$B$301,MATCH($B1563,Vinos!$A$2:$A$301,0)),"Código no cargado"))</f>
        <v/>
      </c>
      <c r="D1563" s="14" t="n"/>
      <c r="E1563" s="14" t="n"/>
      <c r="F1563" s="18" t="n"/>
      <c r="G1563" s="18" t="n"/>
      <c r="H1563" s="21">
        <f>IF(AND($F1563="",$G1563=""),"",N($F1563)*IFERROR(N(INDEX(Vinos!$H$2:$H$301,MATCH($B1563,Vinos!$A$2:$A$301,0))),0)+N($G1563))</f>
        <v/>
      </c>
      <c r="I1563" s="18" t="n"/>
      <c r="J1563" s="21">
        <f>IF(OR($H1563="",$I1563=""),"",$H1563-$I1563)</f>
        <v/>
      </c>
      <c r="K1563" s="16">
        <f>IF($H1563="","",IFERROR(IF(INDEX(Vinos!$J$2:$J$301,MATCH($B1563,Vinos!$A$2:$A$301,0))="","",$H1563*INDEX(Vinos!$J$2:$J$301,MATCH($B1563,Vinos!$A$2:$A$301,0))),""))</f>
        <v/>
      </c>
      <c r="L1563" s="16">
        <f>IF($H1563="","",IFERROR(IF(INDEX(Vinos!$K$2:$K$301,MATCH($B1563,Vinos!$A$2:$A$301,0))="","",$H1563*INDEX(Vinos!$K$2:$K$301,MATCH($B1563,Vinos!$A$2:$A$301,0))),""))</f>
        <v/>
      </c>
      <c r="M1563" s="21">
        <f>IF(OR($A1563="",$B1563=""),"",SUMIFS($H$2:$H$2001,$A$2:$A$2001,$A1563,$B$2:$B$2001,$B1563))</f>
        <v/>
      </c>
      <c r="N1563" s="20">
        <f>IF($M1563="","",IF($M1563&lt;=0,"Sin stock: reponer ya",IF($M1563&lt;IFERROR(N(INDEX(Vinos!$N$2:$N$301,MATCH($B1563,Vinos!$A$2:$A$301,0))),0),"Bajo mínimo: reponer","OK")))</f>
        <v/>
      </c>
      <c r="O1563" s="14" t="n"/>
      <c r="P1563" s="14" t="n"/>
      <c r="Q1563" s="20">
        <f>IF($B1563="","",IFERROR(INDEX(Vinos!$C$2:$C$301,MATCH($B1563,Vinos!$A$2:$A$301,0)),""))</f>
        <v/>
      </c>
      <c r="R1563" s="20">
        <f>IF(OR($A1563="",$A1563&lt;&gt;'Resumen del inventario'!$C$3,$N1563="",$N1563="OK"),"",IF(COUNTIFS($A$2:$A1563,$A1563,$B$2:$B1563,$B1563)=1,1,""))</f>
        <v/>
      </c>
      <c r="S1563" s="20">
        <f>IF($R1563=1,COUNTIF($R$2:$R1563,1),"")</f>
        <v/>
      </c>
    </row>
    <row r="1564">
      <c r="A1564" s="19" t="n"/>
      <c r="B1564" s="14" t="n"/>
      <c r="C1564" s="20">
        <f>IF($B1564="","",IFERROR(INDEX(Vinos!$B$2:$B$301,MATCH($B1564,Vinos!$A$2:$A$301,0)),"Código no cargado"))</f>
        <v/>
      </c>
      <c r="D1564" s="14" t="n"/>
      <c r="E1564" s="14" t="n"/>
      <c r="F1564" s="18" t="n"/>
      <c r="G1564" s="18" t="n"/>
      <c r="H1564" s="21">
        <f>IF(AND($F1564="",$G1564=""),"",N($F1564)*IFERROR(N(INDEX(Vinos!$H$2:$H$301,MATCH($B1564,Vinos!$A$2:$A$301,0))),0)+N($G1564))</f>
        <v/>
      </c>
      <c r="I1564" s="18" t="n"/>
      <c r="J1564" s="21">
        <f>IF(OR($H1564="",$I1564=""),"",$H1564-$I1564)</f>
        <v/>
      </c>
      <c r="K1564" s="16">
        <f>IF($H1564="","",IFERROR(IF(INDEX(Vinos!$J$2:$J$301,MATCH($B1564,Vinos!$A$2:$A$301,0))="","",$H1564*INDEX(Vinos!$J$2:$J$301,MATCH($B1564,Vinos!$A$2:$A$301,0))),""))</f>
        <v/>
      </c>
      <c r="L1564" s="16">
        <f>IF($H1564="","",IFERROR(IF(INDEX(Vinos!$K$2:$K$301,MATCH($B1564,Vinos!$A$2:$A$301,0))="","",$H1564*INDEX(Vinos!$K$2:$K$301,MATCH($B1564,Vinos!$A$2:$A$301,0))),""))</f>
        <v/>
      </c>
      <c r="M1564" s="21">
        <f>IF(OR($A1564="",$B1564=""),"",SUMIFS($H$2:$H$2001,$A$2:$A$2001,$A1564,$B$2:$B$2001,$B1564))</f>
        <v/>
      </c>
      <c r="N1564" s="20">
        <f>IF($M1564="","",IF($M1564&lt;=0,"Sin stock: reponer ya",IF($M1564&lt;IFERROR(N(INDEX(Vinos!$N$2:$N$301,MATCH($B1564,Vinos!$A$2:$A$301,0))),0),"Bajo mínimo: reponer","OK")))</f>
        <v/>
      </c>
      <c r="O1564" s="14" t="n"/>
      <c r="P1564" s="14" t="n"/>
      <c r="Q1564" s="20">
        <f>IF($B1564="","",IFERROR(INDEX(Vinos!$C$2:$C$301,MATCH($B1564,Vinos!$A$2:$A$301,0)),""))</f>
        <v/>
      </c>
      <c r="R1564" s="20">
        <f>IF(OR($A1564="",$A1564&lt;&gt;'Resumen del inventario'!$C$3,$N1564="",$N1564="OK"),"",IF(COUNTIFS($A$2:$A1564,$A1564,$B$2:$B1564,$B1564)=1,1,""))</f>
        <v/>
      </c>
      <c r="S1564" s="20">
        <f>IF($R1564=1,COUNTIF($R$2:$R1564,1),"")</f>
        <v/>
      </c>
    </row>
    <row r="1565">
      <c r="A1565" s="19" t="n"/>
      <c r="B1565" s="14" t="n"/>
      <c r="C1565" s="20">
        <f>IF($B1565="","",IFERROR(INDEX(Vinos!$B$2:$B$301,MATCH($B1565,Vinos!$A$2:$A$301,0)),"Código no cargado"))</f>
        <v/>
      </c>
      <c r="D1565" s="14" t="n"/>
      <c r="E1565" s="14" t="n"/>
      <c r="F1565" s="18" t="n"/>
      <c r="G1565" s="18" t="n"/>
      <c r="H1565" s="21">
        <f>IF(AND($F1565="",$G1565=""),"",N($F1565)*IFERROR(N(INDEX(Vinos!$H$2:$H$301,MATCH($B1565,Vinos!$A$2:$A$301,0))),0)+N($G1565))</f>
        <v/>
      </c>
      <c r="I1565" s="18" t="n"/>
      <c r="J1565" s="21">
        <f>IF(OR($H1565="",$I1565=""),"",$H1565-$I1565)</f>
        <v/>
      </c>
      <c r="K1565" s="16">
        <f>IF($H1565="","",IFERROR(IF(INDEX(Vinos!$J$2:$J$301,MATCH($B1565,Vinos!$A$2:$A$301,0))="","",$H1565*INDEX(Vinos!$J$2:$J$301,MATCH($B1565,Vinos!$A$2:$A$301,0))),""))</f>
        <v/>
      </c>
      <c r="L1565" s="16">
        <f>IF($H1565="","",IFERROR(IF(INDEX(Vinos!$K$2:$K$301,MATCH($B1565,Vinos!$A$2:$A$301,0))="","",$H1565*INDEX(Vinos!$K$2:$K$301,MATCH($B1565,Vinos!$A$2:$A$301,0))),""))</f>
        <v/>
      </c>
      <c r="M1565" s="21">
        <f>IF(OR($A1565="",$B1565=""),"",SUMIFS($H$2:$H$2001,$A$2:$A$2001,$A1565,$B$2:$B$2001,$B1565))</f>
        <v/>
      </c>
      <c r="N1565" s="20">
        <f>IF($M1565="","",IF($M1565&lt;=0,"Sin stock: reponer ya",IF($M1565&lt;IFERROR(N(INDEX(Vinos!$N$2:$N$301,MATCH($B1565,Vinos!$A$2:$A$301,0))),0),"Bajo mínimo: reponer","OK")))</f>
        <v/>
      </c>
      <c r="O1565" s="14" t="n"/>
      <c r="P1565" s="14" t="n"/>
      <c r="Q1565" s="20">
        <f>IF($B1565="","",IFERROR(INDEX(Vinos!$C$2:$C$301,MATCH($B1565,Vinos!$A$2:$A$301,0)),""))</f>
        <v/>
      </c>
      <c r="R1565" s="20">
        <f>IF(OR($A1565="",$A1565&lt;&gt;'Resumen del inventario'!$C$3,$N1565="",$N1565="OK"),"",IF(COUNTIFS($A$2:$A1565,$A1565,$B$2:$B1565,$B1565)=1,1,""))</f>
        <v/>
      </c>
      <c r="S1565" s="20">
        <f>IF($R1565=1,COUNTIF($R$2:$R1565,1),"")</f>
        <v/>
      </c>
    </row>
    <row r="1566">
      <c r="A1566" s="19" t="n"/>
      <c r="B1566" s="14" t="n"/>
      <c r="C1566" s="20">
        <f>IF($B1566="","",IFERROR(INDEX(Vinos!$B$2:$B$301,MATCH($B1566,Vinos!$A$2:$A$301,0)),"Código no cargado"))</f>
        <v/>
      </c>
      <c r="D1566" s="14" t="n"/>
      <c r="E1566" s="14" t="n"/>
      <c r="F1566" s="18" t="n"/>
      <c r="G1566" s="18" t="n"/>
      <c r="H1566" s="21">
        <f>IF(AND($F1566="",$G1566=""),"",N($F1566)*IFERROR(N(INDEX(Vinos!$H$2:$H$301,MATCH($B1566,Vinos!$A$2:$A$301,0))),0)+N($G1566))</f>
        <v/>
      </c>
      <c r="I1566" s="18" t="n"/>
      <c r="J1566" s="21">
        <f>IF(OR($H1566="",$I1566=""),"",$H1566-$I1566)</f>
        <v/>
      </c>
      <c r="K1566" s="16">
        <f>IF($H1566="","",IFERROR(IF(INDEX(Vinos!$J$2:$J$301,MATCH($B1566,Vinos!$A$2:$A$301,0))="","",$H1566*INDEX(Vinos!$J$2:$J$301,MATCH($B1566,Vinos!$A$2:$A$301,0))),""))</f>
        <v/>
      </c>
      <c r="L1566" s="16">
        <f>IF($H1566="","",IFERROR(IF(INDEX(Vinos!$K$2:$K$301,MATCH($B1566,Vinos!$A$2:$A$301,0))="","",$H1566*INDEX(Vinos!$K$2:$K$301,MATCH($B1566,Vinos!$A$2:$A$301,0))),""))</f>
        <v/>
      </c>
      <c r="M1566" s="21">
        <f>IF(OR($A1566="",$B1566=""),"",SUMIFS($H$2:$H$2001,$A$2:$A$2001,$A1566,$B$2:$B$2001,$B1566))</f>
        <v/>
      </c>
      <c r="N1566" s="20">
        <f>IF($M1566="","",IF($M1566&lt;=0,"Sin stock: reponer ya",IF($M1566&lt;IFERROR(N(INDEX(Vinos!$N$2:$N$301,MATCH($B1566,Vinos!$A$2:$A$301,0))),0),"Bajo mínimo: reponer","OK")))</f>
        <v/>
      </c>
      <c r="O1566" s="14" t="n"/>
      <c r="P1566" s="14" t="n"/>
      <c r="Q1566" s="20">
        <f>IF($B1566="","",IFERROR(INDEX(Vinos!$C$2:$C$301,MATCH($B1566,Vinos!$A$2:$A$301,0)),""))</f>
        <v/>
      </c>
      <c r="R1566" s="20">
        <f>IF(OR($A1566="",$A1566&lt;&gt;'Resumen del inventario'!$C$3,$N1566="",$N1566="OK"),"",IF(COUNTIFS($A$2:$A1566,$A1566,$B$2:$B1566,$B1566)=1,1,""))</f>
        <v/>
      </c>
      <c r="S1566" s="20">
        <f>IF($R1566=1,COUNTIF($R$2:$R1566,1),"")</f>
        <v/>
      </c>
    </row>
    <row r="1567">
      <c r="A1567" s="19" t="n"/>
      <c r="B1567" s="14" t="n"/>
      <c r="C1567" s="20">
        <f>IF($B1567="","",IFERROR(INDEX(Vinos!$B$2:$B$301,MATCH($B1567,Vinos!$A$2:$A$301,0)),"Código no cargado"))</f>
        <v/>
      </c>
      <c r="D1567" s="14" t="n"/>
      <c r="E1567" s="14" t="n"/>
      <c r="F1567" s="18" t="n"/>
      <c r="G1567" s="18" t="n"/>
      <c r="H1567" s="21">
        <f>IF(AND($F1567="",$G1567=""),"",N($F1567)*IFERROR(N(INDEX(Vinos!$H$2:$H$301,MATCH($B1567,Vinos!$A$2:$A$301,0))),0)+N($G1567))</f>
        <v/>
      </c>
      <c r="I1567" s="18" t="n"/>
      <c r="J1567" s="21">
        <f>IF(OR($H1567="",$I1567=""),"",$H1567-$I1567)</f>
        <v/>
      </c>
      <c r="K1567" s="16">
        <f>IF($H1567="","",IFERROR(IF(INDEX(Vinos!$J$2:$J$301,MATCH($B1567,Vinos!$A$2:$A$301,0))="","",$H1567*INDEX(Vinos!$J$2:$J$301,MATCH($B1567,Vinos!$A$2:$A$301,0))),""))</f>
        <v/>
      </c>
      <c r="L1567" s="16">
        <f>IF($H1567="","",IFERROR(IF(INDEX(Vinos!$K$2:$K$301,MATCH($B1567,Vinos!$A$2:$A$301,0))="","",$H1567*INDEX(Vinos!$K$2:$K$301,MATCH($B1567,Vinos!$A$2:$A$301,0))),""))</f>
        <v/>
      </c>
      <c r="M1567" s="21">
        <f>IF(OR($A1567="",$B1567=""),"",SUMIFS($H$2:$H$2001,$A$2:$A$2001,$A1567,$B$2:$B$2001,$B1567))</f>
        <v/>
      </c>
      <c r="N1567" s="20">
        <f>IF($M1567="","",IF($M1567&lt;=0,"Sin stock: reponer ya",IF($M1567&lt;IFERROR(N(INDEX(Vinos!$N$2:$N$301,MATCH($B1567,Vinos!$A$2:$A$301,0))),0),"Bajo mínimo: reponer","OK")))</f>
        <v/>
      </c>
      <c r="O1567" s="14" t="n"/>
      <c r="P1567" s="14" t="n"/>
      <c r="Q1567" s="20">
        <f>IF($B1567="","",IFERROR(INDEX(Vinos!$C$2:$C$301,MATCH($B1567,Vinos!$A$2:$A$301,0)),""))</f>
        <v/>
      </c>
      <c r="R1567" s="20">
        <f>IF(OR($A1567="",$A1567&lt;&gt;'Resumen del inventario'!$C$3,$N1567="",$N1567="OK"),"",IF(COUNTIFS($A$2:$A1567,$A1567,$B$2:$B1567,$B1567)=1,1,""))</f>
        <v/>
      </c>
      <c r="S1567" s="20">
        <f>IF($R1567=1,COUNTIF($R$2:$R1567,1),"")</f>
        <v/>
      </c>
    </row>
    <row r="1568">
      <c r="A1568" s="19" t="n"/>
      <c r="B1568" s="14" t="n"/>
      <c r="C1568" s="20">
        <f>IF($B1568="","",IFERROR(INDEX(Vinos!$B$2:$B$301,MATCH($B1568,Vinos!$A$2:$A$301,0)),"Código no cargado"))</f>
        <v/>
      </c>
      <c r="D1568" s="14" t="n"/>
      <c r="E1568" s="14" t="n"/>
      <c r="F1568" s="18" t="n"/>
      <c r="G1568" s="18" t="n"/>
      <c r="H1568" s="21">
        <f>IF(AND($F1568="",$G1568=""),"",N($F1568)*IFERROR(N(INDEX(Vinos!$H$2:$H$301,MATCH($B1568,Vinos!$A$2:$A$301,0))),0)+N($G1568))</f>
        <v/>
      </c>
      <c r="I1568" s="18" t="n"/>
      <c r="J1568" s="21">
        <f>IF(OR($H1568="",$I1568=""),"",$H1568-$I1568)</f>
        <v/>
      </c>
      <c r="K1568" s="16">
        <f>IF($H1568="","",IFERROR(IF(INDEX(Vinos!$J$2:$J$301,MATCH($B1568,Vinos!$A$2:$A$301,0))="","",$H1568*INDEX(Vinos!$J$2:$J$301,MATCH($B1568,Vinos!$A$2:$A$301,0))),""))</f>
        <v/>
      </c>
      <c r="L1568" s="16">
        <f>IF($H1568="","",IFERROR(IF(INDEX(Vinos!$K$2:$K$301,MATCH($B1568,Vinos!$A$2:$A$301,0))="","",$H1568*INDEX(Vinos!$K$2:$K$301,MATCH($B1568,Vinos!$A$2:$A$301,0))),""))</f>
        <v/>
      </c>
      <c r="M1568" s="21">
        <f>IF(OR($A1568="",$B1568=""),"",SUMIFS($H$2:$H$2001,$A$2:$A$2001,$A1568,$B$2:$B$2001,$B1568))</f>
        <v/>
      </c>
      <c r="N1568" s="20">
        <f>IF($M1568="","",IF($M1568&lt;=0,"Sin stock: reponer ya",IF($M1568&lt;IFERROR(N(INDEX(Vinos!$N$2:$N$301,MATCH($B1568,Vinos!$A$2:$A$301,0))),0),"Bajo mínimo: reponer","OK")))</f>
        <v/>
      </c>
      <c r="O1568" s="14" t="n"/>
      <c r="P1568" s="14" t="n"/>
      <c r="Q1568" s="20">
        <f>IF($B1568="","",IFERROR(INDEX(Vinos!$C$2:$C$301,MATCH($B1568,Vinos!$A$2:$A$301,0)),""))</f>
        <v/>
      </c>
      <c r="R1568" s="20">
        <f>IF(OR($A1568="",$A1568&lt;&gt;'Resumen del inventario'!$C$3,$N1568="",$N1568="OK"),"",IF(COUNTIFS($A$2:$A1568,$A1568,$B$2:$B1568,$B1568)=1,1,""))</f>
        <v/>
      </c>
      <c r="S1568" s="20">
        <f>IF($R1568=1,COUNTIF($R$2:$R1568,1),"")</f>
        <v/>
      </c>
    </row>
    <row r="1569">
      <c r="A1569" s="19" t="n"/>
      <c r="B1569" s="14" t="n"/>
      <c r="C1569" s="20">
        <f>IF($B1569="","",IFERROR(INDEX(Vinos!$B$2:$B$301,MATCH($B1569,Vinos!$A$2:$A$301,0)),"Código no cargado"))</f>
        <v/>
      </c>
      <c r="D1569" s="14" t="n"/>
      <c r="E1569" s="14" t="n"/>
      <c r="F1569" s="18" t="n"/>
      <c r="G1569" s="18" t="n"/>
      <c r="H1569" s="21">
        <f>IF(AND($F1569="",$G1569=""),"",N($F1569)*IFERROR(N(INDEX(Vinos!$H$2:$H$301,MATCH($B1569,Vinos!$A$2:$A$301,0))),0)+N($G1569))</f>
        <v/>
      </c>
      <c r="I1569" s="18" t="n"/>
      <c r="J1569" s="21">
        <f>IF(OR($H1569="",$I1569=""),"",$H1569-$I1569)</f>
        <v/>
      </c>
      <c r="K1569" s="16">
        <f>IF($H1569="","",IFERROR(IF(INDEX(Vinos!$J$2:$J$301,MATCH($B1569,Vinos!$A$2:$A$301,0))="","",$H1569*INDEX(Vinos!$J$2:$J$301,MATCH($B1569,Vinos!$A$2:$A$301,0))),""))</f>
        <v/>
      </c>
      <c r="L1569" s="16">
        <f>IF($H1569="","",IFERROR(IF(INDEX(Vinos!$K$2:$K$301,MATCH($B1569,Vinos!$A$2:$A$301,0))="","",$H1569*INDEX(Vinos!$K$2:$K$301,MATCH($B1569,Vinos!$A$2:$A$301,0))),""))</f>
        <v/>
      </c>
      <c r="M1569" s="21">
        <f>IF(OR($A1569="",$B1569=""),"",SUMIFS($H$2:$H$2001,$A$2:$A$2001,$A1569,$B$2:$B$2001,$B1569))</f>
        <v/>
      </c>
      <c r="N1569" s="20">
        <f>IF($M1569="","",IF($M1569&lt;=0,"Sin stock: reponer ya",IF($M1569&lt;IFERROR(N(INDEX(Vinos!$N$2:$N$301,MATCH($B1569,Vinos!$A$2:$A$301,0))),0),"Bajo mínimo: reponer","OK")))</f>
        <v/>
      </c>
      <c r="O1569" s="14" t="n"/>
      <c r="P1569" s="14" t="n"/>
      <c r="Q1569" s="20">
        <f>IF($B1569="","",IFERROR(INDEX(Vinos!$C$2:$C$301,MATCH($B1569,Vinos!$A$2:$A$301,0)),""))</f>
        <v/>
      </c>
      <c r="R1569" s="20">
        <f>IF(OR($A1569="",$A1569&lt;&gt;'Resumen del inventario'!$C$3,$N1569="",$N1569="OK"),"",IF(COUNTIFS($A$2:$A1569,$A1569,$B$2:$B1569,$B1569)=1,1,""))</f>
        <v/>
      </c>
      <c r="S1569" s="20">
        <f>IF($R1569=1,COUNTIF($R$2:$R1569,1),"")</f>
        <v/>
      </c>
    </row>
    <row r="1570">
      <c r="A1570" s="19" t="n"/>
      <c r="B1570" s="14" t="n"/>
      <c r="C1570" s="20">
        <f>IF($B1570="","",IFERROR(INDEX(Vinos!$B$2:$B$301,MATCH($B1570,Vinos!$A$2:$A$301,0)),"Código no cargado"))</f>
        <v/>
      </c>
      <c r="D1570" s="14" t="n"/>
      <c r="E1570" s="14" t="n"/>
      <c r="F1570" s="18" t="n"/>
      <c r="G1570" s="18" t="n"/>
      <c r="H1570" s="21">
        <f>IF(AND($F1570="",$G1570=""),"",N($F1570)*IFERROR(N(INDEX(Vinos!$H$2:$H$301,MATCH($B1570,Vinos!$A$2:$A$301,0))),0)+N($G1570))</f>
        <v/>
      </c>
      <c r="I1570" s="18" t="n"/>
      <c r="J1570" s="21">
        <f>IF(OR($H1570="",$I1570=""),"",$H1570-$I1570)</f>
        <v/>
      </c>
      <c r="K1570" s="16">
        <f>IF($H1570="","",IFERROR(IF(INDEX(Vinos!$J$2:$J$301,MATCH($B1570,Vinos!$A$2:$A$301,0))="","",$H1570*INDEX(Vinos!$J$2:$J$301,MATCH($B1570,Vinos!$A$2:$A$301,0))),""))</f>
        <v/>
      </c>
      <c r="L1570" s="16">
        <f>IF($H1570="","",IFERROR(IF(INDEX(Vinos!$K$2:$K$301,MATCH($B1570,Vinos!$A$2:$A$301,0))="","",$H1570*INDEX(Vinos!$K$2:$K$301,MATCH($B1570,Vinos!$A$2:$A$301,0))),""))</f>
        <v/>
      </c>
      <c r="M1570" s="21">
        <f>IF(OR($A1570="",$B1570=""),"",SUMIFS($H$2:$H$2001,$A$2:$A$2001,$A1570,$B$2:$B$2001,$B1570))</f>
        <v/>
      </c>
      <c r="N1570" s="20">
        <f>IF($M1570="","",IF($M1570&lt;=0,"Sin stock: reponer ya",IF($M1570&lt;IFERROR(N(INDEX(Vinos!$N$2:$N$301,MATCH($B1570,Vinos!$A$2:$A$301,0))),0),"Bajo mínimo: reponer","OK")))</f>
        <v/>
      </c>
      <c r="O1570" s="14" t="n"/>
      <c r="P1570" s="14" t="n"/>
      <c r="Q1570" s="20">
        <f>IF($B1570="","",IFERROR(INDEX(Vinos!$C$2:$C$301,MATCH($B1570,Vinos!$A$2:$A$301,0)),""))</f>
        <v/>
      </c>
      <c r="R1570" s="20">
        <f>IF(OR($A1570="",$A1570&lt;&gt;'Resumen del inventario'!$C$3,$N1570="",$N1570="OK"),"",IF(COUNTIFS($A$2:$A1570,$A1570,$B$2:$B1570,$B1570)=1,1,""))</f>
        <v/>
      </c>
      <c r="S1570" s="20">
        <f>IF($R1570=1,COUNTIF($R$2:$R1570,1),"")</f>
        <v/>
      </c>
    </row>
    <row r="1571">
      <c r="A1571" s="19" t="n"/>
      <c r="B1571" s="14" t="n"/>
      <c r="C1571" s="20">
        <f>IF($B1571="","",IFERROR(INDEX(Vinos!$B$2:$B$301,MATCH($B1571,Vinos!$A$2:$A$301,0)),"Código no cargado"))</f>
        <v/>
      </c>
      <c r="D1571" s="14" t="n"/>
      <c r="E1571" s="14" t="n"/>
      <c r="F1571" s="18" t="n"/>
      <c r="G1571" s="18" t="n"/>
      <c r="H1571" s="21">
        <f>IF(AND($F1571="",$G1571=""),"",N($F1571)*IFERROR(N(INDEX(Vinos!$H$2:$H$301,MATCH($B1571,Vinos!$A$2:$A$301,0))),0)+N($G1571))</f>
        <v/>
      </c>
      <c r="I1571" s="18" t="n"/>
      <c r="J1571" s="21">
        <f>IF(OR($H1571="",$I1571=""),"",$H1571-$I1571)</f>
        <v/>
      </c>
      <c r="K1571" s="16">
        <f>IF($H1571="","",IFERROR(IF(INDEX(Vinos!$J$2:$J$301,MATCH($B1571,Vinos!$A$2:$A$301,0))="","",$H1571*INDEX(Vinos!$J$2:$J$301,MATCH($B1571,Vinos!$A$2:$A$301,0))),""))</f>
        <v/>
      </c>
      <c r="L1571" s="16">
        <f>IF($H1571="","",IFERROR(IF(INDEX(Vinos!$K$2:$K$301,MATCH($B1571,Vinos!$A$2:$A$301,0))="","",$H1571*INDEX(Vinos!$K$2:$K$301,MATCH($B1571,Vinos!$A$2:$A$301,0))),""))</f>
        <v/>
      </c>
      <c r="M1571" s="21">
        <f>IF(OR($A1571="",$B1571=""),"",SUMIFS($H$2:$H$2001,$A$2:$A$2001,$A1571,$B$2:$B$2001,$B1571))</f>
        <v/>
      </c>
      <c r="N1571" s="20">
        <f>IF($M1571="","",IF($M1571&lt;=0,"Sin stock: reponer ya",IF($M1571&lt;IFERROR(N(INDEX(Vinos!$N$2:$N$301,MATCH($B1571,Vinos!$A$2:$A$301,0))),0),"Bajo mínimo: reponer","OK")))</f>
        <v/>
      </c>
      <c r="O1571" s="14" t="n"/>
      <c r="P1571" s="14" t="n"/>
      <c r="Q1571" s="20">
        <f>IF($B1571="","",IFERROR(INDEX(Vinos!$C$2:$C$301,MATCH($B1571,Vinos!$A$2:$A$301,0)),""))</f>
        <v/>
      </c>
      <c r="R1571" s="20">
        <f>IF(OR($A1571="",$A1571&lt;&gt;'Resumen del inventario'!$C$3,$N1571="",$N1571="OK"),"",IF(COUNTIFS($A$2:$A1571,$A1571,$B$2:$B1571,$B1571)=1,1,""))</f>
        <v/>
      </c>
      <c r="S1571" s="20">
        <f>IF($R1571=1,COUNTIF($R$2:$R1571,1),"")</f>
        <v/>
      </c>
    </row>
    <row r="1572">
      <c r="A1572" s="19" t="n"/>
      <c r="B1572" s="14" t="n"/>
      <c r="C1572" s="20">
        <f>IF($B1572="","",IFERROR(INDEX(Vinos!$B$2:$B$301,MATCH($B1572,Vinos!$A$2:$A$301,0)),"Código no cargado"))</f>
        <v/>
      </c>
      <c r="D1572" s="14" t="n"/>
      <c r="E1572" s="14" t="n"/>
      <c r="F1572" s="18" t="n"/>
      <c r="G1572" s="18" t="n"/>
      <c r="H1572" s="21">
        <f>IF(AND($F1572="",$G1572=""),"",N($F1572)*IFERROR(N(INDEX(Vinos!$H$2:$H$301,MATCH($B1572,Vinos!$A$2:$A$301,0))),0)+N($G1572))</f>
        <v/>
      </c>
      <c r="I1572" s="18" t="n"/>
      <c r="J1572" s="21">
        <f>IF(OR($H1572="",$I1572=""),"",$H1572-$I1572)</f>
        <v/>
      </c>
      <c r="K1572" s="16">
        <f>IF($H1572="","",IFERROR(IF(INDEX(Vinos!$J$2:$J$301,MATCH($B1572,Vinos!$A$2:$A$301,0))="","",$H1572*INDEX(Vinos!$J$2:$J$301,MATCH($B1572,Vinos!$A$2:$A$301,0))),""))</f>
        <v/>
      </c>
      <c r="L1572" s="16">
        <f>IF($H1572="","",IFERROR(IF(INDEX(Vinos!$K$2:$K$301,MATCH($B1572,Vinos!$A$2:$A$301,0))="","",$H1572*INDEX(Vinos!$K$2:$K$301,MATCH($B1572,Vinos!$A$2:$A$301,0))),""))</f>
        <v/>
      </c>
      <c r="M1572" s="21">
        <f>IF(OR($A1572="",$B1572=""),"",SUMIFS($H$2:$H$2001,$A$2:$A$2001,$A1572,$B$2:$B$2001,$B1572))</f>
        <v/>
      </c>
      <c r="N1572" s="20">
        <f>IF($M1572="","",IF($M1572&lt;=0,"Sin stock: reponer ya",IF($M1572&lt;IFERROR(N(INDEX(Vinos!$N$2:$N$301,MATCH($B1572,Vinos!$A$2:$A$301,0))),0),"Bajo mínimo: reponer","OK")))</f>
        <v/>
      </c>
      <c r="O1572" s="14" t="n"/>
      <c r="P1572" s="14" t="n"/>
      <c r="Q1572" s="20">
        <f>IF($B1572="","",IFERROR(INDEX(Vinos!$C$2:$C$301,MATCH($B1572,Vinos!$A$2:$A$301,0)),""))</f>
        <v/>
      </c>
      <c r="R1572" s="20">
        <f>IF(OR($A1572="",$A1572&lt;&gt;'Resumen del inventario'!$C$3,$N1572="",$N1572="OK"),"",IF(COUNTIFS($A$2:$A1572,$A1572,$B$2:$B1572,$B1572)=1,1,""))</f>
        <v/>
      </c>
      <c r="S1572" s="20">
        <f>IF($R1572=1,COUNTIF($R$2:$R1572,1),"")</f>
        <v/>
      </c>
    </row>
    <row r="1573">
      <c r="A1573" s="19" t="n"/>
      <c r="B1573" s="14" t="n"/>
      <c r="C1573" s="20">
        <f>IF($B1573="","",IFERROR(INDEX(Vinos!$B$2:$B$301,MATCH($B1573,Vinos!$A$2:$A$301,0)),"Código no cargado"))</f>
        <v/>
      </c>
      <c r="D1573" s="14" t="n"/>
      <c r="E1573" s="14" t="n"/>
      <c r="F1573" s="18" t="n"/>
      <c r="G1573" s="18" t="n"/>
      <c r="H1573" s="21">
        <f>IF(AND($F1573="",$G1573=""),"",N($F1573)*IFERROR(N(INDEX(Vinos!$H$2:$H$301,MATCH($B1573,Vinos!$A$2:$A$301,0))),0)+N($G1573))</f>
        <v/>
      </c>
      <c r="I1573" s="18" t="n"/>
      <c r="J1573" s="21">
        <f>IF(OR($H1573="",$I1573=""),"",$H1573-$I1573)</f>
        <v/>
      </c>
      <c r="K1573" s="16">
        <f>IF($H1573="","",IFERROR(IF(INDEX(Vinos!$J$2:$J$301,MATCH($B1573,Vinos!$A$2:$A$301,0))="","",$H1573*INDEX(Vinos!$J$2:$J$301,MATCH($B1573,Vinos!$A$2:$A$301,0))),""))</f>
        <v/>
      </c>
      <c r="L1573" s="16">
        <f>IF($H1573="","",IFERROR(IF(INDEX(Vinos!$K$2:$K$301,MATCH($B1573,Vinos!$A$2:$A$301,0))="","",$H1573*INDEX(Vinos!$K$2:$K$301,MATCH($B1573,Vinos!$A$2:$A$301,0))),""))</f>
        <v/>
      </c>
      <c r="M1573" s="21">
        <f>IF(OR($A1573="",$B1573=""),"",SUMIFS($H$2:$H$2001,$A$2:$A$2001,$A1573,$B$2:$B$2001,$B1573))</f>
        <v/>
      </c>
      <c r="N1573" s="20">
        <f>IF($M1573="","",IF($M1573&lt;=0,"Sin stock: reponer ya",IF($M1573&lt;IFERROR(N(INDEX(Vinos!$N$2:$N$301,MATCH($B1573,Vinos!$A$2:$A$301,0))),0),"Bajo mínimo: reponer","OK")))</f>
        <v/>
      </c>
      <c r="O1573" s="14" t="n"/>
      <c r="P1573" s="14" t="n"/>
      <c r="Q1573" s="20">
        <f>IF($B1573="","",IFERROR(INDEX(Vinos!$C$2:$C$301,MATCH($B1573,Vinos!$A$2:$A$301,0)),""))</f>
        <v/>
      </c>
      <c r="R1573" s="20">
        <f>IF(OR($A1573="",$A1573&lt;&gt;'Resumen del inventario'!$C$3,$N1573="",$N1573="OK"),"",IF(COUNTIFS($A$2:$A1573,$A1573,$B$2:$B1573,$B1573)=1,1,""))</f>
        <v/>
      </c>
      <c r="S1573" s="20">
        <f>IF($R1573=1,COUNTIF($R$2:$R1573,1),"")</f>
        <v/>
      </c>
    </row>
    <row r="1574">
      <c r="A1574" s="19" t="n"/>
      <c r="B1574" s="14" t="n"/>
      <c r="C1574" s="20">
        <f>IF($B1574="","",IFERROR(INDEX(Vinos!$B$2:$B$301,MATCH($B1574,Vinos!$A$2:$A$301,0)),"Código no cargado"))</f>
        <v/>
      </c>
      <c r="D1574" s="14" t="n"/>
      <c r="E1574" s="14" t="n"/>
      <c r="F1574" s="18" t="n"/>
      <c r="G1574" s="18" t="n"/>
      <c r="H1574" s="21">
        <f>IF(AND($F1574="",$G1574=""),"",N($F1574)*IFERROR(N(INDEX(Vinos!$H$2:$H$301,MATCH($B1574,Vinos!$A$2:$A$301,0))),0)+N($G1574))</f>
        <v/>
      </c>
      <c r="I1574" s="18" t="n"/>
      <c r="J1574" s="21">
        <f>IF(OR($H1574="",$I1574=""),"",$H1574-$I1574)</f>
        <v/>
      </c>
      <c r="K1574" s="16">
        <f>IF($H1574="","",IFERROR(IF(INDEX(Vinos!$J$2:$J$301,MATCH($B1574,Vinos!$A$2:$A$301,0))="","",$H1574*INDEX(Vinos!$J$2:$J$301,MATCH($B1574,Vinos!$A$2:$A$301,0))),""))</f>
        <v/>
      </c>
      <c r="L1574" s="16">
        <f>IF($H1574="","",IFERROR(IF(INDEX(Vinos!$K$2:$K$301,MATCH($B1574,Vinos!$A$2:$A$301,0))="","",$H1574*INDEX(Vinos!$K$2:$K$301,MATCH($B1574,Vinos!$A$2:$A$301,0))),""))</f>
        <v/>
      </c>
      <c r="M1574" s="21">
        <f>IF(OR($A1574="",$B1574=""),"",SUMIFS($H$2:$H$2001,$A$2:$A$2001,$A1574,$B$2:$B$2001,$B1574))</f>
        <v/>
      </c>
      <c r="N1574" s="20">
        <f>IF($M1574="","",IF($M1574&lt;=0,"Sin stock: reponer ya",IF($M1574&lt;IFERROR(N(INDEX(Vinos!$N$2:$N$301,MATCH($B1574,Vinos!$A$2:$A$301,0))),0),"Bajo mínimo: reponer","OK")))</f>
        <v/>
      </c>
      <c r="O1574" s="14" t="n"/>
      <c r="P1574" s="14" t="n"/>
      <c r="Q1574" s="20">
        <f>IF($B1574="","",IFERROR(INDEX(Vinos!$C$2:$C$301,MATCH($B1574,Vinos!$A$2:$A$301,0)),""))</f>
        <v/>
      </c>
      <c r="R1574" s="20">
        <f>IF(OR($A1574="",$A1574&lt;&gt;'Resumen del inventario'!$C$3,$N1574="",$N1574="OK"),"",IF(COUNTIFS($A$2:$A1574,$A1574,$B$2:$B1574,$B1574)=1,1,""))</f>
        <v/>
      </c>
      <c r="S1574" s="20">
        <f>IF($R1574=1,COUNTIF($R$2:$R1574,1),"")</f>
        <v/>
      </c>
    </row>
    <row r="1575">
      <c r="A1575" s="19" t="n"/>
      <c r="B1575" s="14" t="n"/>
      <c r="C1575" s="20">
        <f>IF($B1575="","",IFERROR(INDEX(Vinos!$B$2:$B$301,MATCH($B1575,Vinos!$A$2:$A$301,0)),"Código no cargado"))</f>
        <v/>
      </c>
      <c r="D1575" s="14" t="n"/>
      <c r="E1575" s="14" t="n"/>
      <c r="F1575" s="18" t="n"/>
      <c r="G1575" s="18" t="n"/>
      <c r="H1575" s="21">
        <f>IF(AND($F1575="",$G1575=""),"",N($F1575)*IFERROR(N(INDEX(Vinos!$H$2:$H$301,MATCH($B1575,Vinos!$A$2:$A$301,0))),0)+N($G1575))</f>
        <v/>
      </c>
      <c r="I1575" s="18" t="n"/>
      <c r="J1575" s="21">
        <f>IF(OR($H1575="",$I1575=""),"",$H1575-$I1575)</f>
        <v/>
      </c>
      <c r="K1575" s="16">
        <f>IF($H1575="","",IFERROR(IF(INDEX(Vinos!$J$2:$J$301,MATCH($B1575,Vinos!$A$2:$A$301,0))="","",$H1575*INDEX(Vinos!$J$2:$J$301,MATCH($B1575,Vinos!$A$2:$A$301,0))),""))</f>
        <v/>
      </c>
      <c r="L1575" s="16">
        <f>IF($H1575="","",IFERROR(IF(INDEX(Vinos!$K$2:$K$301,MATCH($B1575,Vinos!$A$2:$A$301,0))="","",$H1575*INDEX(Vinos!$K$2:$K$301,MATCH($B1575,Vinos!$A$2:$A$301,0))),""))</f>
        <v/>
      </c>
      <c r="M1575" s="21">
        <f>IF(OR($A1575="",$B1575=""),"",SUMIFS($H$2:$H$2001,$A$2:$A$2001,$A1575,$B$2:$B$2001,$B1575))</f>
        <v/>
      </c>
      <c r="N1575" s="20">
        <f>IF($M1575="","",IF($M1575&lt;=0,"Sin stock: reponer ya",IF($M1575&lt;IFERROR(N(INDEX(Vinos!$N$2:$N$301,MATCH($B1575,Vinos!$A$2:$A$301,0))),0),"Bajo mínimo: reponer","OK")))</f>
        <v/>
      </c>
      <c r="O1575" s="14" t="n"/>
      <c r="P1575" s="14" t="n"/>
      <c r="Q1575" s="20">
        <f>IF($B1575="","",IFERROR(INDEX(Vinos!$C$2:$C$301,MATCH($B1575,Vinos!$A$2:$A$301,0)),""))</f>
        <v/>
      </c>
      <c r="R1575" s="20">
        <f>IF(OR($A1575="",$A1575&lt;&gt;'Resumen del inventario'!$C$3,$N1575="",$N1575="OK"),"",IF(COUNTIFS($A$2:$A1575,$A1575,$B$2:$B1575,$B1575)=1,1,""))</f>
        <v/>
      </c>
      <c r="S1575" s="20">
        <f>IF($R1575=1,COUNTIF($R$2:$R1575,1),"")</f>
        <v/>
      </c>
    </row>
    <row r="1576">
      <c r="A1576" s="19" t="n"/>
      <c r="B1576" s="14" t="n"/>
      <c r="C1576" s="20">
        <f>IF($B1576="","",IFERROR(INDEX(Vinos!$B$2:$B$301,MATCH($B1576,Vinos!$A$2:$A$301,0)),"Código no cargado"))</f>
        <v/>
      </c>
      <c r="D1576" s="14" t="n"/>
      <c r="E1576" s="14" t="n"/>
      <c r="F1576" s="18" t="n"/>
      <c r="G1576" s="18" t="n"/>
      <c r="H1576" s="21">
        <f>IF(AND($F1576="",$G1576=""),"",N($F1576)*IFERROR(N(INDEX(Vinos!$H$2:$H$301,MATCH($B1576,Vinos!$A$2:$A$301,0))),0)+N($G1576))</f>
        <v/>
      </c>
      <c r="I1576" s="18" t="n"/>
      <c r="J1576" s="21">
        <f>IF(OR($H1576="",$I1576=""),"",$H1576-$I1576)</f>
        <v/>
      </c>
      <c r="K1576" s="16">
        <f>IF($H1576="","",IFERROR(IF(INDEX(Vinos!$J$2:$J$301,MATCH($B1576,Vinos!$A$2:$A$301,0))="","",$H1576*INDEX(Vinos!$J$2:$J$301,MATCH($B1576,Vinos!$A$2:$A$301,0))),""))</f>
        <v/>
      </c>
      <c r="L1576" s="16">
        <f>IF($H1576="","",IFERROR(IF(INDEX(Vinos!$K$2:$K$301,MATCH($B1576,Vinos!$A$2:$A$301,0))="","",$H1576*INDEX(Vinos!$K$2:$K$301,MATCH($B1576,Vinos!$A$2:$A$301,0))),""))</f>
        <v/>
      </c>
      <c r="M1576" s="21">
        <f>IF(OR($A1576="",$B1576=""),"",SUMIFS($H$2:$H$2001,$A$2:$A$2001,$A1576,$B$2:$B$2001,$B1576))</f>
        <v/>
      </c>
      <c r="N1576" s="20">
        <f>IF($M1576="","",IF($M1576&lt;=0,"Sin stock: reponer ya",IF($M1576&lt;IFERROR(N(INDEX(Vinos!$N$2:$N$301,MATCH($B1576,Vinos!$A$2:$A$301,0))),0),"Bajo mínimo: reponer","OK")))</f>
        <v/>
      </c>
      <c r="O1576" s="14" t="n"/>
      <c r="P1576" s="14" t="n"/>
      <c r="Q1576" s="20">
        <f>IF($B1576="","",IFERROR(INDEX(Vinos!$C$2:$C$301,MATCH($B1576,Vinos!$A$2:$A$301,0)),""))</f>
        <v/>
      </c>
      <c r="R1576" s="20">
        <f>IF(OR($A1576="",$A1576&lt;&gt;'Resumen del inventario'!$C$3,$N1576="",$N1576="OK"),"",IF(COUNTIFS($A$2:$A1576,$A1576,$B$2:$B1576,$B1576)=1,1,""))</f>
        <v/>
      </c>
      <c r="S1576" s="20">
        <f>IF($R1576=1,COUNTIF($R$2:$R1576,1),"")</f>
        <v/>
      </c>
    </row>
    <row r="1577">
      <c r="A1577" s="19" t="n"/>
      <c r="B1577" s="14" t="n"/>
      <c r="C1577" s="20">
        <f>IF($B1577="","",IFERROR(INDEX(Vinos!$B$2:$B$301,MATCH($B1577,Vinos!$A$2:$A$301,0)),"Código no cargado"))</f>
        <v/>
      </c>
      <c r="D1577" s="14" t="n"/>
      <c r="E1577" s="14" t="n"/>
      <c r="F1577" s="18" t="n"/>
      <c r="G1577" s="18" t="n"/>
      <c r="H1577" s="21">
        <f>IF(AND($F1577="",$G1577=""),"",N($F1577)*IFERROR(N(INDEX(Vinos!$H$2:$H$301,MATCH($B1577,Vinos!$A$2:$A$301,0))),0)+N($G1577))</f>
        <v/>
      </c>
      <c r="I1577" s="18" t="n"/>
      <c r="J1577" s="21">
        <f>IF(OR($H1577="",$I1577=""),"",$H1577-$I1577)</f>
        <v/>
      </c>
      <c r="K1577" s="16">
        <f>IF($H1577="","",IFERROR(IF(INDEX(Vinos!$J$2:$J$301,MATCH($B1577,Vinos!$A$2:$A$301,0))="","",$H1577*INDEX(Vinos!$J$2:$J$301,MATCH($B1577,Vinos!$A$2:$A$301,0))),""))</f>
        <v/>
      </c>
      <c r="L1577" s="16">
        <f>IF($H1577="","",IFERROR(IF(INDEX(Vinos!$K$2:$K$301,MATCH($B1577,Vinos!$A$2:$A$301,0))="","",$H1577*INDEX(Vinos!$K$2:$K$301,MATCH($B1577,Vinos!$A$2:$A$301,0))),""))</f>
        <v/>
      </c>
      <c r="M1577" s="21">
        <f>IF(OR($A1577="",$B1577=""),"",SUMIFS($H$2:$H$2001,$A$2:$A$2001,$A1577,$B$2:$B$2001,$B1577))</f>
        <v/>
      </c>
      <c r="N1577" s="20">
        <f>IF($M1577="","",IF($M1577&lt;=0,"Sin stock: reponer ya",IF($M1577&lt;IFERROR(N(INDEX(Vinos!$N$2:$N$301,MATCH($B1577,Vinos!$A$2:$A$301,0))),0),"Bajo mínimo: reponer","OK")))</f>
        <v/>
      </c>
      <c r="O1577" s="14" t="n"/>
      <c r="P1577" s="14" t="n"/>
      <c r="Q1577" s="20">
        <f>IF($B1577="","",IFERROR(INDEX(Vinos!$C$2:$C$301,MATCH($B1577,Vinos!$A$2:$A$301,0)),""))</f>
        <v/>
      </c>
      <c r="R1577" s="20">
        <f>IF(OR($A1577="",$A1577&lt;&gt;'Resumen del inventario'!$C$3,$N1577="",$N1577="OK"),"",IF(COUNTIFS($A$2:$A1577,$A1577,$B$2:$B1577,$B1577)=1,1,""))</f>
        <v/>
      </c>
      <c r="S1577" s="20">
        <f>IF($R1577=1,COUNTIF($R$2:$R1577,1),"")</f>
        <v/>
      </c>
    </row>
    <row r="1578">
      <c r="A1578" s="19" t="n"/>
      <c r="B1578" s="14" t="n"/>
      <c r="C1578" s="20">
        <f>IF($B1578="","",IFERROR(INDEX(Vinos!$B$2:$B$301,MATCH($B1578,Vinos!$A$2:$A$301,0)),"Código no cargado"))</f>
        <v/>
      </c>
      <c r="D1578" s="14" t="n"/>
      <c r="E1578" s="14" t="n"/>
      <c r="F1578" s="18" t="n"/>
      <c r="G1578" s="18" t="n"/>
      <c r="H1578" s="21">
        <f>IF(AND($F1578="",$G1578=""),"",N($F1578)*IFERROR(N(INDEX(Vinos!$H$2:$H$301,MATCH($B1578,Vinos!$A$2:$A$301,0))),0)+N($G1578))</f>
        <v/>
      </c>
      <c r="I1578" s="18" t="n"/>
      <c r="J1578" s="21">
        <f>IF(OR($H1578="",$I1578=""),"",$H1578-$I1578)</f>
        <v/>
      </c>
      <c r="K1578" s="16">
        <f>IF($H1578="","",IFERROR(IF(INDEX(Vinos!$J$2:$J$301,MATCH($B1578,Vinos!$A$2:$A$301,0))="","",$H1578*INDEX(Vinos!$J$2:$J$301,MATCH($B1578,Vinos!$A$2:$A$301,0))),""))</f>
        <v/>
      </c>
      <c r="L1578" s="16">
        <f>IF($H1578="","",IFERROR(IF(INDEX(Vinos!$K$2:$K$301,MATCH($B1578,Vinos!$A$2:$A$301,0))="","",$H1578*INDEX(Vinos!$K$2:$K$301,MATCH($B1578,Vinos!$A$2:$A$301,0))),""))</f>
        <v/>
      </c>
      <c r="M1578" s="21">
        <f>IF(OR($A1578="",$B1578=""),"",SUMIFS($H$2:$H$2001,$A$2:$A$2001,$A1578,$B$2:$B$2001,$B1578))</f>
        <v/>
      </c>
      <c r="N1578" s="20">
        <f>IF($M1578="","",IF($M1578&lt;=0,"Sin stock: reponer ya",IF($M1578&lt;IFERROR(N(INDEX(Vinos!$N$2:$N$301,MATCH($B1578,Vinos!$A$2:$A$301,0))),0),"Bajo mínimo: reponer","OK")))</f>
        <v/>
      </c>
      <c r="O1578" s="14" t="n"/>
      <c r="P1578" s="14" t="n"/>
      <c r="Q1578" s="20">
        <f>IF($B1578="","",IFERROR(INDEX(Vinos!$C$2:$C$301,MATCH($B1578,Vinos!$A$2:$A$301,0)),""))</f>
        <v/>
      </c>
      <c r="R1578" s="20">
        <f>IF(OR($A1578="",$A1578&lt;&gt;'Resumen del inventario'!$C$3,$N1578="",$N1578="OK"),"",IF(COUNTIFS($A$2:$A1578,$A1578,$B$2:$B1578,$B1578)=1,1,""))</f>
        <v/>
      </c>
      <c r="S1578" s="20">
        <f>IF($R1578=1,COUNTIF($R$2:$R1578,1),"")</f>
        <v/>
      </c>
    </row>
    <row r="1579">
      <c r="A1579" s="19" t="n"/>
      <c r="B1579" s="14" t="n"/>
      <c r="C1579" s="20">
        <f>IF($B1579="","",IFERROR(INDEX(Vinos!$B$2:$B$301,MATCH($B1579,Vinos!$A$2:$A$301,0)),"Código no cargado"))</f>
        <v/>
      </c>
      <c r="D1579" s="14" t="n"/>
      <c r="E1579" s="14" t="n"/>
      <c r="F1579" s="18" t="n"/>
      <c r="G1579" s="18" t="n"/>
      <c r="H1579" s="21">
        <f>IF(AND($F1579="",$G1579=""),"",N($F1579)*IFERROR(N(INDEX(Vinos!$H$2:$H$301,MATCH($B1579,Vinos!$A$2:$A$301,0))),0)+N($G1579))</f>
        <v/>
      </c>
      <c r="I1579" s="18" t="n"/>
      <c r="J1579" s="21">
        <f>IF(OR($H1579="",$I1579=""),"",$H1579-$I1579)</f>
        <v/>
      </c>
      <c r="K1579" s="16">
        <f>IF($H1579="","",IFERROR(IF(INDEX(Vinos!$J$2:$J$301,MATCH($B1579,Vinos!$A$2:$A$301,0))="","",$H1579*INDEX(Vinos!$J$2:$J$301,MATCH($B1579,Vinos!$A$2:$A$301,0))),""))</f>
        <v/>
      </c>
      <c r="L1579" s="16">
        <f>IF($H1579="","",IFERROR(IF(INDEX(Vinos!$K$2:$K$301,MATCH($B1579,Vinos!$A$2:$A$301,0))="","",$H1579*INDEX(Vinos!$K$2:$K$301,MATCH($B1579,Vinos!$A$2:$A$301,0))),""))</f>
        <v/>
      </c>
      <c r="M1579" s="21">
        <f>IF(OR($A1579="",$B1579=""),"",SUMIFS($H$2:$H$2001,$A$2:$A$2001,$A1579,$B$2:$B$2001,$B1579))</f>
        <v/>
      </c>
      <c r="N1579" s="20">
        <f>IF($M1579="","",IF($M1579&lt;=0,"Sin stock: reponer ya",IF($M1579&lt;IFERROR(N(INDEX(Vinos!$N$2:$N$301,MATCH($B1579,Vinos!$A$2:$A$301,0))),0),"Bajo mínimo: reponer","OK")))</f>
        <v/>
      </c>
      <c r="O1579" s="14" t="n"/>
      <c r="P1579" s="14" t="n"/>
      <c r="Q1579" s="20">
        <f>IF($B1579="","",IFERROR(INDEX(Vinos!$C$2:$C$301,MATCH($B1579,Vinos!$A$2:$A$301,0)),""))</f>
        <v/>
      </c>
      <c r="R1579" s="20">
        <f>IF(OR($A1579="",$A1579&lt;&gt;'Resumen del inventario'!$C$3,$N1579="",$N1579="OK"),"",IF(COUNTIFS($A$2:$A1579,$A1579,$B$2:$B1579,$B1579)=1,1,""))</f>
        <v/>
      </c>
      <c r="S1579" s="20">
        <f>IF($R1579=1,COUNTIF($R$2:$R1579,1),"")</f>
        <v/>
      </c>
    </row>
    <row r="1580">
      <c r="A1580" s="19" t="n"/>
      <c r="B1580" s="14" t="n"/>
      <c r="C1580" s="20">
        <f>IF($B1580="","",IFERROR(INDEX(Vinos!$B$2:$B$301,MATCH($B1580,Vinos!$A$2:$A$301,0)),"Código no cargado"))</f>
        <v/>
      </c>
      <c r="D1580" s="14" t="n"/>
      <c r="E1580" s="14" t="n"/>
      <c r="F1580" s="18" t="n"/>
      <c r="G1580" s="18" t="n"/>
      <c r="H1580" s="21">
        <f>IF(AND($F1580="",$G1580=""),"",N($F1580)*IFERROR(N(INDEX(Vinos!$H$2:$H$301,MATCH($B1580,Vinos!$A$2:$A$301,0))),0)+N($G1580))</f>
        <v/>
      </c>
      <c r="I1580" s="18" t="n"/>
      <c r="J1580" s="21">
        <f>IF(OR($H1580="",$I1580=""),"",$H1580-$I1580)</f>
        <v/>
      </c>
      <c r="K1580" s="16">
        <f>IF($H1580="","",IFERROR(IF(INDEX(Vinos!$J$2:$J$301,MATCH($B1580,Vinos!$A$2:$A$301,0))="","",$H1580*INDEX(Vinos!$J$2:$J$301,MATCH($B1580,Vinos!$A$2:$A$301,0))),""))</f>
        <v/>
      </c>
      <c r="L1580" s="16">
        <f>IF($H1580="","",IFERROR(IF(INDEX(Vinos!$K$2:$K$301,MATCH($B1580,Vinos!$A$2:$A$301,0))="","",$H1580*INDEX(Vinos!$K$2:$K$301,MATCH($B1580,Vinos!$A$2:$A$301,0))),""))</f>
        <v/>
      </c>
      <c r="M1580" s="21">
        <f>IF(OR($A1580="",$B1580=""),"",SUMIFS($H$2:$H$2001,$A$2:$A$2001,$A1580,$B$2:$B$2001,$B1580))</f>
        <v/>
      </c>
      <c r="N1580" s="20">
        <f>IF($M1580="","",IF($M1580&lt;=0,"Sin stock: reponer ya",IF($M1580&lt;IFERROR(N(INDEX(Vinos!$N$2:$N$301,MATCH($B1580,Vinos!$A$2:$A$301,0))),0),"Bajo mínimo: reponer","OK")))</f>
        <v/>
      </c>
      <c r="O1580" s="14" t="n"/>
      <c r="P1580" s="14" t="n"/>
      <c r="Q1580" s="20">
        <f>IF($B1580="","",IFERROR(INDEX(Vinos!$C$2:$C$301,MATCH($B1580,Vinos!$A$2:$A$301,0)),""))</f>
        <v/>
      </c>
      <c r="R1580" s="20">
        <f>IF(OR($A1580="",$A1580&lt;&gt;'Resumen del inventario'!$C$3,$N1580="",$N1580="OK"),"",IF(COUNTIFS($A$2:$A1580,$A1580,$B$2:$B1580,$B1580)=1,1,""))</f>
        <v/>
      </c>
      <c r="S1580" s="20">
        <f>IF($R1580=1,COUNTIF($R$2:$R1580,1),"")</f>
        <v/>
      </c>
    </row>
    <row r="1581">
      <c r="A1581" s="19" t="n"/>
      <c r="B1581" s="14" t="n"/>
      <c r="C1581" s="20">
        <f>IF($B1581="","",IFERROR(INDEX(Vinos!$B$2:$B$301,MATCH($B1581,Vinos!$A$2:$A$301,0)),"Código no cargado"))</f>
        <v/>
      </c>
      <c r="D1581" s="14" t="n"/>
      <c r="E1581" s="14" t="n"/>
      <c r="F1581" s="18" t="n"/>
      <c r="G1581" s="18" t="n"/>
      <c r="H1581" s="21">
        <f>IF(AND($F1581="",$G1581=""),"",N($F1581)*IFERROR(N(INDEX(Vinos!$H$2:$H$301,MATCH($B1581,Vinos!$A$2:$A$301,0))),0)+N($G1581))</f>
        <v/>
      </c>
      <c r="I1581" s="18" t="n"/>
      <c r="J1581" s="21">
        <f>IF(OR($H1581="",$I1581=""),"",$H1581-$I1581)</f>
        <v/>
      </c>
      <c r="K1581" s="16">
        <f>IF($H1581="","",IFERROR(IF(INDEX(Vinos!$J$2:$J$301,MATCH($B1581,Vinos!$A$2:$A$301,0))="","",$H1581*INDEX(Vinos!$J$2:$J$301,MATCH($B1581,Vinos!$A$2:$A$301,0))),""))</f>
        <v/>
      </c>
      <c r="L1581" s="16">
        <f>IF($H1581="","",IFERROR(IF(INDEX(Vinos!$K$2:$K$301,MATCH($B1581,Vinos!$A$2:$A$301,0))="","",$H1581*INDEX(Vinos!$K$2:$K$301,MATCH($B1581,Vinos!$A$2:$A$301,0))),""))</f>
        <v/>
      </c>
      <c r="M1581" s="21">
        <f>IF(OR($A1581="",$B1581=""),"",SUMIFS($H$2:$H$2001,$A$2:$A$2001,$A1581,$B$2:$B$2001,$B1581))</f>
        <v/>
      </c>
      <c r="N1581" s="20">
        <f>IF($M1581="","",IF($M1581&lt;=0,"Sin stock: reponer ya",IF($M1581&lt;IFERROR(N(INDEX(Vinos!$N$2:$N$301,MATCH($B1581,Vinos!$A$2:$A$301,0))),0),"Bajo mínimo: reponer","OK")))</f>
        <v/>
      </c>
      <c r="O1581" s="14" t="n"/>
      <c r="P1581" s="14" t="n"/>
      <c r="Q1581" s="20">
        <f>IF($B1581="","",IFERROR(INDEX(Vinos!$C$2:$C$301,MATCH($B1581,Vinos!$A$2:$A$301,0)),""))</f>
        <v/>
      </c>
      <c r="R1581" s="20">
        <f>IF(OR($A1581="",$A1581&lt;&gt;'Resumen del inventario'!$C$3,$N1581="",$N1581="OK"),"",IF(COUNTIFS($A$2:$A1581,$A1581,$B$2:$B1581,$B1581)=1,1,""))</f>
        <v/>
      </c>
      <c r="S1581" s="20">
        <f>IF($R1581=1,COUNTIF($R$2:$R1581,1),"")</f>
        <v/>
      </c>
    </row>
    <row r="1582">
      <c r="A1582" s="19" t="n"/>
      <c r="B1582" s="14" t="n"/>
      <c r="C1582" s="20">
        <f>IF($B1582="","",IFERROR(INDEX(Vinos!$B$2:$B$301,MATCH($B1582,Vinos!$A$2:$A$301,0)),"Código no cargado"))</f>
        <v/>
      </c>
      <c r="D1582" s="14" t="n"/>
      <c r="E1582" s="14" t="n"/>
      <c r="F1582" s="18" t="n"/>
      <c r="G1582" s="18" t="n"/>
      <c r="H1582" s="21">
        <f>IF(AND($F1582="",$G1582=""),"",N($F1582)*IFERROR(N(INDEX(Vinos!$H$2:$H$301,MATCH($B1582,Vinos!$A$2:$A$301,0))),0)+N($G1582))</f>
        <v/>
      </c>
      <c r="I1582" s="18" t="n"/>
      <c r="J1582" s="21">
        <f>IF(OR($H1582="",$I1582=""),"",$H1582-$I1582)</f>
        <v/>
      </c>
      <c r="K1582" s="16">
        <f>IF($H1582="","",IFERROR(IF(INDEX(Vinos!$J$2:$J$301,MATCH($B1582,Vinos!$A$2:$A$301,0))="","",$H1582*INDEX(Vinos!$J$2:$J$301,MATCH($B1582,Vinos!$A$2:$A$301,0))),""))</f>
        <v/>
      </c>
      <c r="L1582" s="16">
        <f>IF($H1582="","",IFERROR(IF(INDEX(Vinos!$K$2:$K$301,MATCH($B1582,Vinos!$A$2:$A$301,0))="","",$H1582*INDEX(Vinos!$K$2:$K$301,MATCH($B1582,Vinos!$A$2:$A$301,0))),""))</f>
        <v/>
      </c>
      <c r="M1582" s="21">
        <f>IF(OR($A1582="",$B1582=""),"",SUMIFS($H$2:$H$2001,$A$2:$A$2001,$A1582,$B$2:$B$2001,$B1582))</f>
        <v/>
      </c>
      <c r="N1582" s="20">
        <f>IF($M1582="","",IF($M1582&lt;=0,"Sin stock: reponer ya",IF($M1582&lt;IFERROR(N(INDEX(Vinos!$N$2:$N$301,MATCH($B1582,Vinos!$A$2:$A$301,0))),0),"Bajo mínimo: reponer","OK")))</f>
        <v/>
      </c>
      <c r="O1582" s="14" t="n"/>
      <c r="P1582" s="14" t="n"/>
      <c r="Q1582" s="20">
        <f>IF($B1582="","",IFERROR(INDEX(Vinos!$C$2:$C$301,MATCH($B1582,Vinos!$A$2:$A$301,0)),""))</f>
        <v/>
      </c>
      <c r="R1582" s="20">
        <f>IF(OR($A1582="",$A1582&lt;&gt;'Resumen del inventario'!$C$3,$N1582="",$N1582="OK"),"",IF(COUNTIFS($A$2:$A1582,$A1582,$B$2:$B1582,$B1582)=1,1,""))</f>
        <v/>
      </c>
      <c r="S1582" s="20">
        <f>IF($R1582=1,COUNTIF($R$2:$R1582,1),"")</f>
        <v/>
      </c>
    </row>
    <row r="1583">
      <c r="A1583" s="19" t="n"/>
      <c r="B1583" s="14" t="n"/>
      <c r="C1583" s="20">
        <f>IF($B1583="","",IFERROR(INDEX(Vinos!$B$2:$B$301,MATCH($B1583,Vinos!$A$2:$A$301,0)),"Código no cargado"))</f>
        <v/>
      </c>
      <c r="D1583" s="14" t="n"/>
      <c r="E1583" s="14" t="n"/>
      <c r="F1583" s="18" t="n"/>
      <c r="G1583" s="18" t="n"/>
      <c r="H1583" s="21">
        <f>IF(AND($F1583="",$G1583=""),"",N($F1583)*IFERROR(N(INDEX(Vinos!$H$2:$H$301,MATCH($B1583,Vinos!$A$2:$A$301,0))),0)+N($G1583))</f>
        <v/>
      </c>
      <c r="I1583" s="18" t="n"/>
      <c r="J1583" s="21">
        <f>IF(OR($H1583="",$I1583=""),"",$H1583-$I1583)</f>
        <v/>
      </c>
      <c r="K1583" s="16">
        <f>IF($H1583="","",IFERROR(IF(INDEX(Vinos!$J$2:$J$301,MATCH($B1583,Vinos!$A$2:$A$301,0))="","",$H1583*INDEX(Vinos!$J$2:$J$301,MATCH($B1583,Vinos!$A$2:$A$301,0))),""))</f>
        <v/>
      </c>
      <c r="L1583" s="16">
        <f>IF($H1583="","",IFERROR(IF(INDEX(Vinos!$K$2:$K$301,MATCH($B1583,Vinos!$A$2:$A$301,0))="","",$H1583*INDEX(Vinos!$K$2:$K$301,MATCH($B1583,Vinos!$A$2:$A$301,0))),""))</f>
        <v/>
      </c>
      <c r="M1583" s="21">
        <f>IF(OR($A1583="",$B1583=""),"",SUMIFS($H$2:$H$2001,$A$2:$A$2001,$A1583,$B$2:$B$2001,$B1583))</f>
        <v/>
      </c>
      <c r="N1583" s="20">
        <f>IF($M1583="","",IF($M1583&lt;=0,"Sin stock: reponer ya",IF($M1583&lt;IFERROR(N(INDEX(Vinos!$N$2:$N$301,MATCH($B1583,Vinos!$A$2:$A$301,0))),0),"Bajo mínimo: reponer","OK")))</f>
        <v/>
      </c>
      <c r="O1583" s="14" t="n"/>
      <c r="P1583" s="14" t="n"/>
      <c r="Q1583" s="20">
        <f>IF($B1583="","",IFERROR(INDEX(Vinos!$C$2:$C$301,MATCH($B1583,Vinos!$A$2:$A$301,0)),""))</f>
        <v/>
      </c>
      <c r="R1583" s="20">
        <f>IF(OR($A1583="",$A1583&lt;&gt;'Resumen del inventario'!$C$3,$N1583="",$N1583="OK"),"",IF(COUNTIFS($A$2:$A1583,$A1583,$B$2:$B1583,$B1583)=1,1,""))</f>
        <v/>
      </c>
      <c r="S1583" s="20">
        <f>IF($R1583=1,COUNTIF($R$2:$R1583,1),"")</f>
        <v/>
      </c>
    </row>
    <row r="1584">
      <c r="A1584" s="19" t="n"/>
      <c r="B1584" s="14" t="n"/>
      <c r="C1584" s="20">
        <f>IF($B1584="","",IFERROR(INDEX(Vinos!$B$2:$B$301,MATCH($B1584,Vinos!$A$2:$A$301,0)),"Código no cargado"))</f>
        <v/>
      </c>
      <c r="D1584" s="14" t="n"/>
      <c r="E1584" s="14" t="n"/>
      <c r="F1584" s="18" t="n"/>
      <c r="G1584" s="18" t="n"/>
      <c r="H1584" s="21">
        <f>IF(AND($F1584="",$G1584=""),"",N($F1584)*IFERROR(N(INDEX(Vinos!$H$2:$H$301,MATCH($B1584,Vinos!$A$2:$A$301,0))),0)+N($G1584))</f>
        <v/>
      </c>
      <c r="I1584" s="18" t="n"/>
      <c r="J1584" s="21">
        <f>IF(OR($H1584="",$I1584=""),"",$H1584-$I1584)</f>
        <v/>
      </c>
      <c r="K1584" s="16">
        <f>IF($H1584="","",IFERROR(IF(INDEX(Vinos!$J$2:$J$301,MATCH($B1584,Vinos!$A$2:$A$301,0))="","",$H1584*INDEX(Vinos!$J$2:$J$301,MATCH($B1584,Vinos!$A$2:$A$301,0))),""))</f>
        <v/>
      </c>
      <c r="L1584" s="16">
        <f>IF($H1584="","",IFERROR(IF(INDEX(Vinos!$K$2:$K$301,MATCH($B1584,Vinos!$A$2:$A$301,0))="","",$H1584*INDEX(Vinos!$K$2:$K$301,MATCH($B1584,Vinos!$A$2:$A$301,0))),""))</f>
        <v/>
      </c>
      <c r="M1584" s="21">
        <f>IF(OR($A1584="",$B1584=""),"",SUMIFS($H$2:$H$2001,$A$2:$A$2001,$A1584,$B$2:$B$2001,$B1584))</f>
        <v/>
      </c>
      <c r="N1584" s="20">
        <f>IF($M1584="","",IF($M1584&lt;=0,"Sin stock: reponer ya",IF($M1584&lt;IFERROR(N(INDEX(Vinos!$N$2:$N$301,MATCH($B1584,Vinos!$A$2:$A$301,0))),0),"Bajo mínimo: reponer","OK")))</f>
        <v/>
      </c>
      <c r="O1584" s="14" t="n"/>
      <c r="P1584" s="14" t="n"/>
      <c r="Q1584" s="20">
        <f>IF($B1584="","",IFERROR(INDEX(Vinos!$C$2:$C$301,MATCH($B1584,Vinos!$A$2:$A$301,0)),""))</f>
        <v/>
      </c>
      <c r="R1584" s="20">
        <f>IF(OR($A1584="",$A1584&lt;&gt;'Resumen del inventario'!$C$3,$N1584="",$N1584="OK"),"",IF(COUNTIFS($A$2:$A1584,$A1584,$B$2:$B1584,$B1584)=1,1,""))</f>
        <v/>
      </c>
      <c r="S1584" s="20">
        <f>IF($R1584=1,COUNTIF($R$2:$R1584,1),"")</f>
        <v/>
      </c>
    </row>
    <row r="1585">
      <c r="A1585" s="19" t="n"/>
      <c r="B1585" s="14" t="n"/>
      <c r="C1585" s="20">
        <f>IF($B1585="","",IFERROR(INDEX(Vinos!$B$2:$B$301,MATCH($B1585,Vinos!$A$2:$A$301,0)),"Código no cargado"))</f>
        <v/>
      </c>
      <c r="D1585" s="14" t="n"/>
      <c r="E1585" s="14" t="n"/>
      <c r="F1585" s="18" t="n"/>
      <c r="G1585" s="18" t="n"/>
      <c r="H1585" s="21">
        <f>IF(AND($F1585="",$G1585=""),"",N($F1585)*IFERROR(N(INDEX(Vinos!$H$2:$H$301,MATCH($B1585,Vinos!$A$2:$A$301,0))),0)+N($G1585))</f>
        <v/>
      </c>
      <c r="I1585" s="18" t="n"/>
      <c r="J1585" s="21">
        <f>IF(OR($H1585="",$I1585=""),"",$H1585-$I1585)</f>
        <v/>
      </c>
      <c r="K1585" s="16">
        <f>IF($H1585="","",IFERROR(IF(INDEX(Vinos!$J$2:$J$301,MATCH($B1585,Vinos!$A$2:$A$301,0))="","",$H1585*INDEX(Vinos!$J$2:$J$301,MATCH($B1585,Vinos!$A$2:$A$301,0))),""))</f>
        <v/>
      </c>
      <c r="L1585" s="16">
        <f>IF($H1585="","",IFERROR(IF(INDEX(Vinos!$K$2:$K$301,MATCH($B1585,Vinos!$A$2:$A$301,0))="","",$H1585*INDEX(Vinos!$K$2:$K$301,MATCH($B1585,Vinos!$A$2:$A$301,0))),""))</f>
        <v/>
      </c>
      <c r="M1585" s="21">
        <f>IF(OR($A1585="",$B1585=""),"",SUMIFS($H$2:$H$2001,$A$2:$A$2001,$A1585,$B$2:$B$2001,$B1585))</f>
        <v/>
      </c>
      <c r="N1585" s="20">
        <f>IF($M1585="","",IF($M1585&lt;=0,"Sin stock: reponer ya",IF($M1585&lt;IFERROR(N(INDEX(Vinos!$N$2:$N$301,MATCH($B1585,Vinos!$A$2:$A$301,0))),0),"Bajo mínimo: reponer","OK")))</f>
        <v/>
      </c>
      <c r="O1585" s="14" t="n"/>
      <c r="P1585" s="14" t="n"/>
      <c r="Q1585" s="20">
        <f>IF($B1585="","",IFERROR(INDEX(Vinos!$C$2:$C$301,MATCH($B1585,Vinos!$A$2:$A$301,0)),""))</f>
        <v/>
      </c>
      <c r="R1585" s="20">
        <f>IF(OR($A1585="",$A1585&lt;&gt;'Resumen del inventario'!$C$3,$N1585="",$N1585="OK"),"",IF(COUNTIFS($A$2:$A1585,$A1585,$B$2:$B1585,$B1585)=1,1,""))</f>
        <v/>
      </c>
      <c r="S1585" s="20">
        <f>IF($R1585=1,COUNTIF($R$2:$R1585,1),"")</f>
        <v/>
      </c>
    </row>
    <row r="1586">
      <c r="A1586" s="19" t="n"/>
      <c r="B1586" s="14" t="n"/>
      <c r="C1586" s="20">
        <f>IF($B1586="","",IFERROR(INDEX(Vinos!$B$2:$B$301,MATCH($B1586,Vinos!$A$2:$A$301,0)),"Código no cargado"))</f>
        <v/>
      </c>
      <c r="D1586" s="14" t="n"/>
      <c r="E1586" s="14" t="n"/>
      <c r="F1586" s="18" t="n"/>
      <c r="G1586" s="18" t="n"/>
      <c r="H1586" s="21">
        <f>IF(AND($F1586="",$G1586=""),"",N($F1586)*IFERROR(N(INDEX(Vinos!$H$2:$H$301,MATCH($B1586,Vinos!$A$2:$A$301,0))),0)+N($G1586))</f>
        <v/>
      </c>
      <c r="I1586" s="18" t="n"/>
      <c r="J1586" s="21">
        <f>IF(OR($H1586="",$I1586=""),"",$H1586-$I1586)</f>
        <v/>
      </c>
      <c r="K1586" s="16">
        <f>IF($H1586="","",IFERROR(IF(INDEX(Vinos!$J$2:$J$301,MATCH($B1586,Vinos!$A$2:$A$301,0))="","",$H1586*INDEX(Vinos!$J$2:$J$301,MATCH($B1586,Vinos!$A$2:$A$301,0))),""))</f>
        <v/>
      </c>
      <c r="L1586" s="16">
        <f>IF($H1586="","",IFERROR(IF(INDEX(Vinos!$K$2:$K$301,MATCH($B1586,Vinos!$A$2:$A$301,0))="","",$H1586*INDEX(Vinos!$K$2:$K$301,MATCH($B1586,Vinos!$A$2:$A$301,0))),""))</f>
        <v/>
      </c>
      <c r="M1586" s="21">
        <f>IF(OR($A1586="",$B1586=""),"",SUMIFS($H$2:$H$2001,$A$2:$A$2001,$A1586,$B$2:$B$2001,$B1586))</f>
        <v/>
      </c>
      <c r="N1586" s="20">
        <f>IF($M1586="","",IF($M1586&lt;=0,"Sin stock: reponer ya",IF($M1586&lt;IFERROR(N(INDEX(Vinos!$N$2:$N$301,MATCH($B1586,Vinos!$A$2:$A$301,0))),0),"Bajo mínimo: reponer","OK")))</f>
        <v/>
      </c>
      <c r="O1586" s="14" t="n"/>
      <c r="P1586" s="14" t="n"/>
      <c r="Q1586" s="20">
        <f>IF($B1586="","",IFERROR(INDEX(Vinos!$C$2:$C$301,MATCH($B1586,Vinos!$A$2:$A$301,0)),""))</f>
        <v/>
      </c>
      <c r="R1586" s="20">
        <f>IF(OR($A1586="",$A1586&lt;&gt;'Resumen del inventario'!$C$3,$N1586="",$N1586="OK"),"",IF(COUNTIFS($A$2:$A1586,$A1586,$B$2:$B1586,$B1586)=1,1,""))</f>
        <v/>
      </c>
      <c r="S1586" s="20">
        <f>IF($R1586=1,COUNTIF($R$2:$R1586,1),"")</f>
        <v/>
      </c>
    </row>
    <row r="1587">
      <c r="A1587" s="19" t="n"/>
      <c r="B1587" s="14" t="n"/>
      <c r="C1587" s="20">
        <f>IF($B1587="","",IFERROR(INDEX(Vinos!$B$2:$B$301,MATCH($B1587,Vinos!$A$2:$A$301,0)),"Código no cargado"))</f>
        <v/>
      </c>
      <c r="D1587" s="14" t="n"/>
      <c r="E1587" s="14" t="n"/>
      <c r="F1587" s="18" t="n"/>
      <c r="G1587" s="18" t="n"/>
      <c r="H1587" s="21">
        <f>IF(AND($F1587="",$G1587=""),"",N($F1587)*IFERROR(N(INDEX(Vinos!$H$2:$H$301,MATCH($B1587,Vinos!$A$2:$A$301,0))),0)+N($G1587))</f>
        <v/>
      </c>
      <c r="I1587" s="18" t="n"/>
      <c r="J1587" s="21">
        <f>IF(OR($H1587="",$I1587=""),"",$H1587-$I1587)</f>
        <v/>
      </c>
      <c r="K1587" s="16">
        <f>IF($H1587="","",IFERROR(IF(INDEX(Vinos!$J$2:$J$301,MATCH($B1587,Vinos!$A$2:$A$301,0))="","",$H1587*INDEX(Vinos!$J$2:$J$301,MATCH($B1587,Vinos!$A$2:$A$301,0))),""))</f>
        <v/>
      </c>
      <c r="L1587" s="16">
        <f>IF($H1587="","",IFERROR(IF(INDEX(Vinos!$K$2:$K$301,MATCH($B1587,Vinos!$A$2:$A$301,0))="","",$H1587*INDEX(Vinos!$K$2:$K$301,MATCH($B1587,Vinos!$A$2:$A$301,0))),""))</f>
        <v/>
      </c>
      <c r="M1587" s="21">
        <f>IF(OR($A1587="",$B1587=""),"",SUMIFS($H$2:$H$2001,$A$2:$A$2001,$A1587,$B$2:$B$2001,$B1587))</f>
        <v/>
      </c>
      <c r="N1587" s="20">
        <f>IF($M1587="","",IF($M1587&lt;=0,"Sin stock: reponer ya",IF($M1587&lt;IFERROR(N(INDEX(Vinos!$N$2:$N$301,MATCH($B1587,Vinos!$A$2:$A$301,0))),0),"Bajo mínimo: reponer","OK")))</f>
        <v/>
      </c>
      <c r="O1587" s="14" t="n"/>
      <c r="P1587" s="14" t="n"/>
      <c r="Q1587" s="20">
        <f>IF($B1587="","",IFERROR(INDEX(Vinos!$C$2:$C$301,MATCH($B1587,Vinos!$A$2:$A$301,0)),""))</f>
        <v/>
      </c>
      <c r="R1587" s="20">
        <f>IF(OR($A1587="",$A1587&lt;&gt;'Resumen del inventario'!$C$3,$N1587="",$N1587="OK"),"",IF(COUNTIFS($A$2:$A1587,$A1587,$B$2:$B1587,$B1587)=1,1,""))</f>
        <v/>
      </c>
      <c r="S1587" s="20">
        <f>IF($R1587=1,COUNTIF($R$2:$R1587,1),"")</f>
        <v/>
      </c>
    </row>
    <row r="1588">
      <c r="A1588" s="19" t="n"/>
      <c r="B1588" s="14" t="n"/>
      <c r="C1588" s="20">
        <f>IF($B1588="","",IFERROR(INDEX(Vinos!$B$2:$B$301,MATCH($B1588,Vinos!$A$2:$A$301,0)),"Código no cargado"))</f>
        <v/>
      </c>
      <c r="D1588" s="14" t="n"/>
      <c r="E1588" s="14" t="n"/>
      <c r="F1588" s="18" t="n"/>
      <c r="G1588" s="18" t="n"/>
      <c r="H1588" s="21">
        <f>IF(AND($F1588="",$G1588=""),"",N($F1588)*IFERROR(N(INDEX(Vinos!$H$2:$H$301,MATCH($B1588,Vinos!$A$2:$A$301,0))),0)+N($G1588))</f>
        <v/>
      </c>
      <c r="I1588" s="18" t="n"/>
      <c r="J1588" s="21">
        <f>IF(OR($H1588="",$I1588=""),"",$H1588-$I1588)</f>
        <v/>
      </c>
      <c r="K1588" s="16">
        <f>IF($H1588="","",IFERROR(IF(INDEX(Vinos!$J$2:$J$301,MATCH($B1588,Vinos!$A$2:$A$301,0))="","",$H1588*INDEX(Vinos!$J$2:$J$301,MATCH($B1588,Vinos!$A$2:$A$301,0))),""))</f>
        <v/>
      </c>
      <c r="L1588" s="16">
        <f>IF($H1588="","",IFERROR(IF(INDEX(Vinos!$K$2:$K$301,MATCH($B1588,Vinos!$A$2:$A$301,0))="","",$H1588*INDEX(Vinos!$K$2:$K$301,MATCH($B1588,Vinos!$A$2:$A$301,0))),""))</f>
        <v/>
      </c>
      <c r="M1588" s="21">
        <f>IF(OR($A1588="",$B1588=""),"",SUMIFS($H$2:$H$2001,$A$2:$A$2001,$A1588,$B$2:$B$2001,$B1588))</f>
        <v/>
      </c>
      <c r="N1588" s="20">
        <f>IF($M1588="","",IF($M1588&lt;=0,"Sin stock: reponer ya",IF($M1588&lt;IFERROR(N(INDEX(Vinos!$N$2:$N$301,MATCH($B1588,Vinos!$A$2:$A$301,0))),0),"Bajo mínimo: reponer","OK")))</f>
        <v/>
      </c>
      <c r="O1588" s="14" t="n"/>
      <c r="P1588" s="14" t="n"/>
      <c r="Q1588" s="20">
        <f>IF($B1588="","",IFERROR(INDEX(Vinos!$C$2:$C$301,MATCH($B1588,Vinos!$A$2:$A$301,0)),""))</f>
        <v/>
      </c>
      <c r="R1588" s="20">
        <f>IF(OR($A1588="",$A1588&lt;&gt;'Resumen del inventario'!$C$3,$N1588="",$N1588="OK"),"",IF(COUNTIFS($A$2:$A1588,$A1588,$B$2:$B1588,$B1588)=1,1,""))</f>
        <v/>
      </c>
      <c r="S1588" s="20">
        <f>IF($R1588=1,COUNTIF($R$2:$R1588,1),"")</f>
        <v/>
      </c>
    </row>
    <row r="1589">
      <c r="A1589" s="19" t="n"/>
      <c r="B1589" s="14" t="n"/>
      <c r="C1589" s="20">
        <f>IF($B1589="","",IFERROR(INDEX(Vinos!$B$2:$B$301,MATCH($B1589,Vinos!$A$2:$A$301,0)),"Código no cargado"))</f>
        <v/>
      </c>
      <c r="D1589" s="14" t="n"/>
      <c r="E1589" s="14" t="n"/>
      <c r="F1589" s="18" t="n"/>
      <c r="G1589" s="18" t="n"/>
      <c r="H1589" s="21">
        <f>IF(AND($F1589="",$G1589=""),"",N($F1589)*IFERROR(N(INDEX(Vinos!$H$2:$H$301,MATCH($B1589,Vinos!$A$2:$A$301,0))),0)+N($G1589))</f>
        <v/>
      </c>
      <c r="I1589" s="18" t="n"/>
      <c r="J1589" s="21">
        <f>IF(OR($H1589="",$I1589=""),"",$H1589-$I1589)</f>
        <v/>
      </c>
      <c r="K1589" s="16">
        <f>IF($H1589="","",IFERROR(IF(INDEX(Vinos!$J$2:$J$301,MATCH($B1589,Vinos!$A$2:$A$301,0))="","",$H1589*INDEX(Vinos!$J$2:$J$301,MATCH($B1589,Vinos!$A$2:$A$301,0))),""))</f>
        <v/>
      </c>
      <c r="L1589" s="16">
        <f>IF($H1589="","",IFERROR(IF(INDEX(Vinos!$K$2:$K$301,MATCH($B1589,Vinos!$A$2:$A$301,0))="","",$H1589*INDEX(Vinos!$K$2:$K$301,MATCH($B1589,Vinos!$A$2:$A$301,0))),""))</f>
        <v/>
      </c>
      <c r="M1589" s="21">
        <f>IF(OR($A1589="",$B1589=""),"",SUMIFS($H$2:$H$2001,$A$2:$A$2001,$A1589,$B$2:$B$2001,$B1589))</f>
        <v/>
      </c>
      <c r="N1589" s="20">
        <f>IF($M1589="","",IF($M1589&lt;=0,"Sin stock: reponer ya",IF($M1589&lt;IFERROR(N(INDEX(Vinos!$N$2:$N$301,MATCH($B1589,Vinos!$A$2:$A$301,0))),0),"Bajo mínimo: reponer","OK")))</f>
        <v/>
      </c>
      <c r="O1589" s="14" t="n"/>
      <c r="P1589" s="14" t="n"/>
      <c r="Q1589" s="20">
        <f>IF($B1589="","",IFERROR(INDEX(Vinos!$C$2:$C$301,MATCH($B1589,Vinos!$A$2:$A$301,0)),""))</f>
        <v/>
      </c>
      <c r="R1589" s="20">
        <f>IF(OR($A1589="",$A1589&lt;&gt;'Resumen del inventario'!$C$3,$N1589="",$N1589="OK"),"",IF(COUNTIFS($A$2:$A1589,$A1589,$B$2:$B1589,$B1589)=1,1,""))</f>
        <v/>
      </c>
      <c r="S1589" s="20">
        <f>IF($R1589=1,COUNTIF($R$2:$R1589,1),"")</f>
        <v/>
      </c>
    </row>
    <row r="1590">
      <c r="A1590" s="19" t="n"/>
      <c r="B1590" s="14" t="n"/>
      <c r="C1590" s="20">
        <f>IF($B1590="","",IFERROR(INDEX(Vinos!$B$2:$B$301,MATCH($B1590,Vinos!$A$2:$A$301,0)),"Código no cargado"))</f>
        <v/>
      </c>
      <c r="D1590" s="14" t="n"/>
      <c r="E1590" s="14" t="n"/>
      <c r="F1590" s="18" t="n"/>
      <c r="G1590" s="18" t="n"/>
      <c r="H1590" s="21">
        <f>IF(AND($F1590="",$G1590=""),"",N($F1590)*IFERROR(N(INDEX(Vinos!$H$2:$H$301,MATCH($B1590,Vinos!$A$2:$A$301,0))),0)+N($G1590))</f>
        <v/>
      </c>
      <c r="I1590" s="18" t="n"/>
      <c r="J1590" s="21">
        <f>IF(OR($H1590="",$I1590=""),"",$H1590-$I1590)</f>
        <v/>
      </c>
      <c r="K1590" s="16">
        <f>IF($H1590="","",IFERROR(IF(INDEX(Vinos!$J$2:$J$301,MATCH($B1590,Vinos!$A$2:$A$301,0))="","",$H1590*INDEX(Vinos!$J$2:$J$301,MATCH($B1590,Vinos!$A$2:$A$301,0))),""))</f>
        <v/>
      </c>
      <c r="L1590" s="16">
        <f>IF($H1590="","",IFERROR(IF(INDEX(Vinos!$K$2:$K$301,MATCH($B1590,Vinos!$A$2:$A$301,0))="","",$H1590*INDEX(Vinos!$K$2:$K$301,MATCH($B1590,Vinos!$A$2:$A$301,0))),""))</f>
        <v/>
      </c>
      <c r="M1590" s="21">
        <f>IF(OR($A1590="",$B1590=""),"",SUMIFS($H$2:$H$2001,$A$2:$A$2001,$A1590,$B$2:$B$2001,$B1590))</f>
        <v/>
      </c>
      <c r="N1590" s="20">
        <f>IF($M1590="","",IF($M1590&lt;=0,"Sin stock: reponer ya",IF($M1590&lt;IFERROR(N(INDEX(Vinos!$N$2:$N$301,MATCH($B1590,Vinos!$A$2:$A$301,0))),0),"Bajo mínimo: reponer","OK")))</f>
        <v/>
      </c>
      <c r="O1590" s="14" t="n"/>
      <c r="P1590" s="14" t="n"/>
      <c r="Q1590" s="20">
        <f>IF($B1590="","",IFERROR(INDEX(Vinos!$C$2:$C$301,MATCH($B1590,Vinos!$A$2:$A$301,0)),""))</f>
        <v/>
      </c>
      <c r="R1590" s="20">
        <f>IF(OR($A1590="",$A1590&lt;&gt;'Resumen del inventario'!$C$3,$N1590="",$N1590="OK"),"",IF(COUNTIFS($A$2:$A1590,$A1590,$B$2:$B1590,$B1590)=1,1,""))</f>
        <v/>
      </c>
      <c r="S1590" s="20">
        <f>IF($R1590=1,COUNTIF($R$2:$R1590,1),"")</f>
        <v/>
      </c>
    </row>
    <row r="1591">
      <c r="A1591" s="19" t="n"/>
      <c r="B1591" s="14" t="n"/>
      <c r="C1591" s="20">
        <f>IF($B1591="","",IFERROR(INDEX(Vinos!$B$2:$B$301,MATCH($B1591,Vinos!$A$2:$A$301,0)),"Código no cargado"))</f>
        <v/>
      </c>
      <c r="D1591" s="14" t="n"/>
      <c r="E1591" s="14" t="n"/>
      <c r="F1591" s="18" t="n"/>
      <c r="G1591" s="18" t="n"/>
      <c r="H1591" s="21">
        <f>IF(AND($F1591="",$G1591=""),"",N($F1591)*IFERROR(N(INDEX(Vinos!$H$2:$H$301,MATCH($B1591,Vinos!$A$2:$A$301,0))),0)+N($G1591))</f>
        <v/>
      </c>
      <c r="I1591" s="18" t="n"/>
      <c r="J1591" s="21">
        <f>IF(OR($H1591="",$I1591=""),"",$H1591-$I1591)</f>
        <v/>
      </c>
      <c r="K1591" s="16">
        <f>IF($H1591="","",IFERROR(IF(INDEX(Vinos!$J$2:$J$301,MATCH($B1591,Vinos!$A$2:$A$301,0))="","",$H1591*INDEX(Vinos!$J$2:$J$301,MATCH($B1591,Vinos!$A$2:$A$301,0))),""))</f>
        <v/>
      </c>
      <c r="L1591" s="16">
        <f>IF($H1591="","",IFERROR(IF(INDEX(Vinos!$K$2:$K$301,MATCH($B1591,Vinos!$A$2:$A$301,0))="","",$H1591*INDEX(Vinos!$K$2:$K$301,MATCH($B1591,Vinos!$A$2:$A$301,0))),""))</f>
        <v/>
      </c>
      <c r="M1591" s="21">
        <f>IF(OR($A1591="",$B1591=""),"",SUMIFS($H$2:$H$2001,$A$2:$A$2001,$A1591,$B$2:$B$2001,$B1591))</f>
        <v/>
      </c>
      <c r="N1591" s="20">
        <f>IF($M1591="","",IF($M1591&lt;=0,"Sin stock: reponer ya",IF($M1591&lt;IFERROR(N(INDEX(Vinos!$N$2:$N$301,MATCH($B1591,Vinos!$A$2:$A$301,0))),0),"Bajo mínimo: reponer","OK")))</f>
        <v/>
      </c>
      <c r="O1591" s="14" t="n"/>
      <c r="P1591" s="14" t="n"/>
      <c r="Q1591" s="20">
        <f>IF($B1591="","",IFERROR(INDEX(Vinos!$C$2:$C$301,MATCH($B1591,Vinos!$A$2:$A$301,0)),""))</f>
        <v/>
      </c>
      <c r="R1591" s="20">
        <f>IF(OR($A1591="",$A1591&lt;&gt;'Resumen del inventario'!$C$3,$N1591="",$N1591="OK"),"",IF(COUNTIFS($A$2:$A1591,$A1591,$B$2:$B1591,$B1591)=1,1,""))</f>
        <v/>
      </c>
      <c r="S1591" s="20">
        <f>IF($R1591=1,COUNTIF($R$2:$R1591,1),"")</f>
        <v/>
      </c>
    </row>
    <row r="1592">
      <c r="A1592" s="19" t="n"/>
      <c r="B1592" s="14" t="n"/>
      <c r="C1592" s="20">
        <f>IF($B1592="","",IFERROR(INDEX(Vinos!$B$2:$B$301,MATCH($B1592,Vinos!$A$2:$A$301,0)),"Código no cargado"))</f>
        <v/>
      </c>
      <c r="D1592" s="14" t="n"/>
      <c r="E1592" s="14" t="n"/>
      <c r="F1592" s="18" t="n"/>
      <c r="G1592" s="18" t="n"/>
      <c r="H1592" s="21">
        <f>IF(AND($F1592="",$G1592=""),"",N($F1592)*IFERROR(N(INDEX(Vinos!$H$2:$H$301,MATCH($B1592,Vinos!$A$2:$A$301,0))),0)+N($G1592))</f>
        <v/>
      </c>
      <c r="I1592" s="18" t="n"/>
      <c r="J1592" s="21">
        <f>IF(OR($H1592="",$I1592=""),"",$H1592-$I1592)</f>
        <v/>
      </c>
      <c r="K1592" s="16">
        <f>IF($H1592="","",IFERROR(IF(INDEX(Vinos!$J$2:$J$301,MATCH($B1592,Vinos!$A$2:$A$301,0))="","",$H1592*INDEX(Vinos!$J$2:$J$301,MATCH($B1592,Vinos!$A$2:$A$301,0))),""))</f>
        <v/>
      </c>
      <c r="L1592" s="16">
        <f>IF($H1592="","",IFERROR(IF(INDEX(Vinos!$K$2:$K$301,MATCH($B1592,Vinos!$A$2:$A$301,0))="","",$H1592*INDEX(Vinos!$K$2:$K$301,MATCH($B1592,Vinos!$A$2:$A$301,0))),""))</f>
        <v/>
      </c>
      <c r="M1592" s="21">
        <f>IF(OR($A1592="",$B1592=""),"",SUMIFS($H$2:$H$2001,$A$2:$A$2001,$A1592,$B$2:$B$2001,$B1592))</f>
        <v/>
      </c>
      <c r="N1592" s="20">
        <f>IF($M1592="","",IF($M1592&lt;=0,"Sin stock: reponer ya",IF($M1592&lt;IFERROR(N(INDEX(Vinos!$N$2:$N$301,MATCH($B1592,Vinos!$A$2:$A$301,0))),0),"Bajo mínimo: reponer","OK")))</f>
        <v/>
      </c>
      <c r="O1592" s="14" t="n"/>
      <c r="P1592" s="14" t="n"/>
      <c r="Q1592" s="20">
        <f>IF($B1592="","",IFERROR(INDEX(Vinos!$C$2:$C$301,MATCH($B1592,Vinos!$A$2:$A$301,0)),""))</f>
        <v/>
      </c>
      <c r="R1592" s="20">
        <f>IF(OR($A1592="",$A1592&lt;&gt;'Resumen del inventario'!$C$3,$N1592="",$N1592="OK"),"",IF(COUNTIFS($A$2:$A1592,$A1592,$B$2:$B1592,$B1592)=1,1,""))</f>
        <v/>
      </c>
      <c r="S1592" s="20">
        <f>IF($R1592=1,COUNTIF($R$2:$R1592,1),"")</f>
        <v/>
      </c>
    </row>
    <row r="1593">
      <c r="A1593" s="19" t="n"/>
      <c r="B1593" s="14" t="n"/>
      <c r="C1593" s="20">
        <f>IF($B1593="","",IFERROR(INDEX(Vinos!$B$2:$B$301,MATCH($B1593,Vinos!$A$2:$A$301,0)),"Código no cargado"))</f>
        <v/>
      </c>
      <c r="D1593" s="14" t="n"/>
      <c r="E1593" s="14" t="n"/>
      <c r="F1593" s="18" t="n"/>
      <c r="G1593" s="18" t="n"/>
      <c r="H1593" s="21">
        <f>IF(AND($F1593="",$G1593=""),"",N($F1593)*IFERROR(N(INDEX(Vinos!$H$2:$H$301,MATCH($B1593,Vinos!$A$2:$A$301,0))),0)+N($G1593))</f>
        <v/>
      </c>
      <c r="I1593" s="18" t="n"/>
      <c r="J1593" s="21">
        <f>IF(OR($H1593="",$I1593=""),"",$H1593-$I1593)</f>
        <v/>
      </c>
      <c r="K1593" s="16">
        <f>IF($H1593="","",IFERROR(IF(INDEX(Vinos!$J$2:$J$301,MATCH($B1593,Vinos!$A$2:$A$301,0))="","",$H1593*INDEX(Vinos!$J$2:$J$301,MATCH($B1593,Vinos!$A$2:$A$301,0))),""))</f>
        <v/>
      </c>
      <c r="L1593" s="16">
        <f>IF($H1593="","",IFERROR(IF(INDEX(Vinos!$K$2:$K$301,MATCH($B1593,Vinos!$A$2:$A$301,0))="","",$H1593*INDEX(Vinos!$K$2:$K$301,MATCH($B1593,Vinos!$A$2:$A$301,0))),""))</f>
        <v/>
      </c>
      <c r="M1593" s="21">
        <f>IF(OR($A1593="",$B1593=""),"",SUMIFS($H$2:$H$2001,$A$2:$A$2001,$A1593,$B$2:$B$2001,$B1593))</f>
        <v/>
      </c>
      <c r="N1593" s="20">
        <f>IF($M1593="","",IF($M1593&lt;=0,"Sin stock: reponer ya",IF($M1593&lt;IFERROR(N(INDEX(Vinos!$N$2:$N$301,MATCH($B1593,Vinos!$A$2:$A$301,0))),0),"Bajo mínimo: reponer","OK")))</f>
        <v/>
      </c>
      <c r="O1593" s="14" t="n"/>
      <c r="P1593" s="14" t="n"/>
      <c r="Q1593" s="20">
        <f>IF($B1593="","",IFERROR(INDEX(Vinos!$C$2:$C$301,MATCH($B1593,Vinos!$A$2:$A$301,0)),""))</f>
        <v/>
      </c>
      <c r="R1593" s="20">
        <f>IF(OR($A1593="",$A1593&lt;&gt;'Resumen del inventario'!$C$3,$N1593="",$N1593="OK"),"",IF(COUNTIFS($A$2:$A1593,$A1593,$B$2:$B1593,$B1593)=1,1,""))</f>
        <v/>
      </c>
      <c r="S1593" s="20">
        <f>IF($R1593=1,COUNTIF($R$2:$R1593,1),"")</f>
        <v/>
      </c>
    </row>
    <row r="1594">
      <c r="A1594" s="19" t="n"/>
      <c r="B1594" s="14" t="n"/>
      <c r="C1594" s="20">
        <f>IF($B1594="","",IFERROR(INDEX(Vinos!$B$2:$B$301,MATCH($B1594,Vinos!$A$2:$A$301,0)),"Código no cargado"))</f>
        <v/>
      </c>
      <c r="D1594" s="14" t="n"/>
      <c r="E1594" s="14" t="n"/>
      <c r="F1594" s="18" t="n"/>
      <c r="G1594" s="18" t="n"/>
      <c r="H1594" s="21">
        <f>IF(AND($F1594="",$G1594=""),"",N($F1594)*IFERROR(N(INDEX(Vinos!$H$2:$H$301,MATCH($B1594,Vinos!$A$2:$A$301,0))),0)+N($G1594))</f>
        <v/>
      </c>
      <c r="I1594" s="18" t="n"/>
      <c r="J1594" s="21">
        <f>IF(OR($H1594="",$I1594=""),"",$H1594-$I1594)</f>
        <v/>
      </c>
      <c r="K1594" s="16">
        <f>IF($H1594="","",IFERROR(IF(INDEX(Vinos!$J$2:$J$301,MATCH($B1594,Vinos!$A$2:$A$301,0))="","",$H1594*INDEX(Vinos!$J$2:$J$301,MATCH($B1594,Vinos!$A$2:$A$301,0))),""))</f>
        <v/>
      </c>
      <c r="L1594" s="16">
        <f>IF($H1594="","",IFERROR(IF(INDEX(Vinos!$K$2:$K$301,MATCH($B1594,Vinos!$A$2:$A$301,0))="","",$H1594*INDEX(Vinos!$K$2:$K$301,MATCH($B1594,Vinos!$A$2:$A$301,0))),""))</f>
        <v/>
      </c>
      <c r="M1594" s="21">
        <f>IF(OR($A1594="",$B1594=""),"",SUMIFS($H$2:$H$2001,$A$2:$A$2001,$A1594,$B$2:$B$2001,$B1594))</f>
        <v/>
      </c>
      <c r="N1594" s="20">
        <f>IF($M1594="","",IF($M1594&lt;=0,"Sin stock: reponer ya",IF($M1594&lt;IFERROR(N(INDEX(Vinos!$N$2:$N$301,MATCH($B1594,Vinos!$A$2:$A$301,0))),0),"Bajo mínimo: reponer","OK")))</f>
        <v/>
      </c>
      <c r="O1594" s="14" t="n"/>
      <c r="P1594" s="14" t="n"/>
      <c r="Q1594" s="20">
        <f>IF($B1594="","",IFERROR(INDEX(Vinos!$C$2:$C$301,MATCH($B1594,Vinos!$A$2:$A$301,0)),""))</f>
        <v/>
      </c>
      <c r="R1594" s="20">
        <f>IF(OR($A1594="",$A1594&lt;&gt;'Resumen del inventario'!$C$3,$N1594="",$N1594="OK"),"",IF(COUNTIFS($A$2:$A1594,$A1594,$B$2:$B1594,$B1594)=1,1,""))</f>
        <v/>
      </c>
      <c r="S1594" s="20">
        <f>IF($R1594=1,COUNTIF($R$2:$R1594,1),"")</f>
        <v/>
      </c>
    </row>
    <row r="1595">
      <c r="A1595" s="19" t="n"/>
      <c r="B1595" s="14" t="n"/>
      <c r="C1595" s="20">
        <f>IF($B1595="","",IFERROR(INDEX(Vinos!$B$2:$B$301,MATCH($B1595,Vinos!$A$2:$A$301,0)),"Código no cargado"))</f>
        <v/>
      </c>
      <c r="D1595" s="14" t="n"/>
      <c r="E1595" s="14" t="n"/>
      <c r="F1595" s="18" t="n"/>
      <c r="G1595" s="18" t="n"/>
      <c r="H1595" s="21">
        <f>IF(AND($F1595="",$G1595=""),"",N($F1595)*IFERROR(N(INDEX(Vinos!$H$2:$H$301,MATCH($B1595,Vinos!$A$2:$A$301,0))),0)+N($G1595))</f>
        <v/>
      </c>
      <c r="I1595" s="18" t="n"/>
      <c r="J1595" s="21">
        <f>IF(OR($H1595="",$I1595=""),"",$H1595-$I1595)</f>
        <v/>
      </c>
      <c r="K1595" s="16">
        <f>IF($H1595="","",IFERROR(IF(INDEX(Vinos!$J$2:$J$301,MATCH($B1595,Vinos!$A$2:$A$301,0))="","",$H1595*INDEX(Vinos!$J$2:$J$301,MATCH($B1595,Vinos!$A$2:$A$301,0))),""))</f>
        <v/>
      </c>
      <c r="L1595" s="16">
        <f>IF($H1595="","",IFERROR(IF(INDEX(Vinos!$K$2:$K$301,MATCH($B1595,Vinos!$A$2:$A$301,0))="","",$H1595*INDEX(Vinos!$K$2:$K$301,MATCH($B1595,Vinos!$A$2:$A$301,0))),""))</f>
        <v/>
      </c>
      <c r="M1595" s="21">
        <f>IF(OR($A1595="",$B1595=""),"",SUMIFS($H$2:$H$2001,$A$2:$A$2001,$A1595,$B$2:$B$2001,$B1595))</f>
        <v/>
      </c>
      <c r="N1595" s="20">
        <f>IF($M1595="","",IF($M1595&lt;=0,"Sin stock: reponer ya",IF($M1595&lt;IFERROR(N(INDEX(Vinos!$N$2:$N$301,MATCH($B1595,Vinos!$A$2:$A$301,0))),0),"Bajo mínimo: reponer","OK")))</f>
        <v/>
      </c>
      <c r="O1595" s="14" t="n"/>
      <c r="P1595" s="14" t="n"/>
      <c r="Q1595" s="20">
        <f>IF($B1595="","",IFERROR(INDEX(Vinos!$C$2:$C$301,MATCH($B1595,Vinos!$A$2:$A$301,0)),""))</f>
        <v/>
      </c>
      <c r="R1595" s="20">
        <f>IF(OR($A1595="",$A1595&lt;&gt;'Resumen del inventario'!$C$3,$N1595="",$N1595="OK"),"",IF(COUNTIFS($A$2:$A1595,$A1595,$B$2:$B1595,$B1595)=1,1,""))</f>
        <v/>
      </c>
      <c r="S1595" s="20">
        <f>IF($R1595=1,COUNTIF($R$2:$R1595,1),"")</f>
        <v/>
      </c>
    </row>
    <row r="1596">
      <c r="A1596" s="19" t="n"/>
      <c r="B1596" s="14" t="n"/>
      <c r="C1596" s="20">
        <f>IF($B1596="","",IFERROR(INDEX(Vinos!$B$2:$B$301,MATCH($B1596,Vinos!$A$2:$A$301,0)),"Código no cargado"))</f>
        <v/>
      </c>
      <c r="D1596" s="14" t="n"/>
      <c r="E1596" s="14" t="n"/>
      <c r="F1596" s="18" t="n"/>
      <c r="G1596" s="18" t="n"/>
      <c r="H1596" s="21">
        <f>IF(AND($F1596="",$G1596=""),"",N($F1596)*IFERROR(N(INDEX(Vinos!$H$2:$H$301,MATCH($B1596,Vinos!$A$2:$A$301,0))),0)+N($G1596))</f>
        <v/>
      </c>
      <c r="I1596" s="18" t="n"/>
      <c r="J1596" s="21">
        <f>IF(OR($H1596="",$I1596=""),"",$H1596-$I1596)</f>
        <v/>
      </c>
      <c r="K1596" s="16">
        <f>IF($H1596="","",IFERROR(IF(INDEX(Vinos!$J$2:$J$301,MATCH($B1596,Vinos!$A$2:$A$301,0))="","",$H1596*INDEX(Vinos!$J$2:$J$301,MATCH($B1596,Vinos!$A$2:$A$301,0))),""))</f>
        <v/>
      </c>
      <c r="L1596" s="16">
        <f>IF($H1596="","",IFERROR(IF(INDEX(Vinos!$K$2:$K$301,MATCH($B1596,Vinos!$A$2:$A$301,0))="","",$H1596*INDEX(Vinos!$K$2:$K$301,MATCH($B1596,Vinos!$A$2:$A$301,0))),""))</f>
        <v/>
      </c>
      <c r="M1596" s="21">
        <f>IF(OR($A1596="",$B1596=""),"",SUMIFS($H$2:$H$2001,$A$2:$A$2001,$A1596,$B$2:$B$2001,$B1596))</f>
        <v/>
      </c>
      <c r="N1596" s="20">
        <f>IF($M1596="","",IF($M1596&lt;=0,"Sin stock: reponer ya",IF($M1596&lt;IFERROR(N(INDEX(Vinos!$N$2:$N$301,MATCH($B1596,Vinos!$A$2:$A$301,0))),0),"Bajo mínimo: reponer","OK")))</f>
        <v/>
      </c>
      <c r="O1596" s="14" t="n"/>
      <c r="P1596" s="14" t="n"/>
      <c r="Q1596" s="20">
        <f>IF($B1596="","",IFERROR(INDEX(Vinos!$C$2:$C$301,MATCH($B1596,Vinos!$A$2:$A$301,0)),""))</f>
        <v/>
      </c>
      <c r="R1596" s="20">
        <f>IF(OR($A1596="",$A1596&lt;&gt;'Resumen del inventario'!$C$3,$N1596="",$N1596="OK"),"",IF(COUNTIFS($A$2:$A1596,$A1596,$B$2:$B1596,$B1596)=1,1,""))</f>
        <v/>
      </c>
      <c r="S1596" s="20">
        <f>IF($R1596=1,COUNTIF($R$2:$R1596,1),"")</f>
        <v/>
      </c>
    </row>
    <row r="1597">
      <c r="A1597" s="19" t="n"/>
      <c r="B1597" s="14" t="n"/>
      <c r="C1597" s="20">
        <f>IF($B1597="","",IFERROR(INDEX(Vinos!$B$2:$B$301,MATCH($B1597,Vinos!$A$2:$A$301,0)),"Código no cargado"))</f>
        <v/>
      </c>
      <c r="D1597" s="14" t="n"/>
      <c r="E1597" s="14" t="n"/>
      <c r="F1597" s="18" t="n"/>
      <c r="G1597" s="18" t="n"/>
      <c r="H1597" s="21">
        <f>IF(AND($F1597="",$G1597=""),"",N($F1597)*IFERROR(N(INDEX(Vinos!$H$2:$H$301,MATCH($B1597,Vinos!$A$2:$A$301,0))),0)+N($G1597))</f>
        <v/>
      </c>
      <c r="I1597" s="18" t="n"/>
      <c r="J1597" s="21">
        <f>IF(OR($H1597="",$I1597=""),"",$H1597-$I1597)</f>
        <v/>
      </c>
      <c r="K1597" s="16">
        <f>IF($H1597="","",IFERROR(IF(INDEX(Vinos!$J$2:$J$301,MATCH($B1597,Vinos!$A$2:$A$301,0))="","",$H1597*INDEX(Vinos!$J$2:$J$301,MATCH($B1597,Vinos!$A$2:$A$301,0))),""))</f>
        <v/>
      </c>
      <c r="L1597" s="16">
        <f>IF($H1597="","",IFERROR(IF(INDEX(Vinos!$K$2:$K$301,MATCH($B1597,Vinos!$A$2:$A$301,0))="","",$H1597*INDEX(Vinos!$K$2:$K$301,MATCH($B1597,Vinos!$A$2:$A$301,0))),""))</f>
        <v/>
      </c>
      <c r="M1597" s="21">
        <f>IF(OR($A1597="",$B1597=""),"",SUMIFS($H$2:$H$2001,$A$2:$A$2001,$A1597,$B$2:$B$2001,$B1597))</f>
        <v/>
      </c>
      <c r="N1597" s="20">
        <f>IF($M1597="","",IF($M1597&lt;=0,"Sin stock: reponer ya",IF($M1597&lt;IFERROR(N(INDEX(Vinos!$N$2:$N$301,MATCH($B1597,Vinos!$A$2:$A$301,0))),0),"Bajo mínimo: reponer","OK")))</f>
        <v/>
      </c>
      <c r="O1597" s="14" t="n"/>
      <c r="P1597" s="14" t="n"/>
      <c r="Q1597" s="20">
        <f>IF($B1597="","",IFERROR(INDEX(Vinos!$C$2:$C$301,MATCH($B1597,Vinos!$A$2:$A$301,0)),""))</f>
        <v/>
      </c>
      <c r="R1597" s="20">
        <f>IF(OR($A1597="",$A1597&lt;&gt;'Resumen del inventario'!$C$3,$N1597="",$N1597="OK"),"",IF(COUNTIFS($A$2:$A1597,$A1597,$B$2:$B1597,$B1597)=1,1,""))</f>
        <v/>
      </c>
      <c r="S1597" s="20">
        <f>IF($R1597=1,COUNTIF($R$2:$R1597,1),"")</f>
        <v/>
      </c>
    </row>
    <row r="1598">
      <c r="A1598" s="19" t="n"/>
      <c r="B1598" s="14" t="n"/>
      <c r="C1598" s="20">
        <f>IF($B1598="","",IFERROR(INDEX(Vinos!$B$2:$B$301,MATCH($B1598,Vinos!$A$2:$A$301,0)),"Código no cargado"))</f>
        <v/>
      </c>
      <c r="D1598" s="14" t="n"/>
      <c r="E1598" s="14" t="n"/>
      <c r="F1598" s="18" t="n"/>
      <c r="G1598" s="18" t="n"/>
      <c r="H1598" s="21">
        <f>IF(AND($F1598="",$G1598=""),"",N($F1598)*IFERROR(N(INDEX(Vinos!$H$2:$H$301,MATCH($B1598,Vinos!$A$2:$A$301,0))),0)+N($G1598))</f>
        <v/>
      </c>
      <c r="I1598" s="18" t="n"/>
      <c r="J1598" s="21">
        <f>IF(OR($H1598="",$I1598=""),"",$H1598-$I1598)</f>
        <v/>
      </c>
      <c r="K1598" s="16">
        <f>IF($H1598="","",IFERROR(IF(INDEX(Vinos!$J$2:$J$301,MATCH($B1598,Vinos!$A$2:$A$301,0))="","",$H1598*INDEX(Vinos!$J$2:$J$301,MATCH($B1598,Vinos!$A$2:$A$301,0))),""))</f>
        <v/>
      </c>
      <c r="L1598" s="16">
        <f>IF($H1598="","",IFERROR(IF(INDEX(Vinos!$K$2:$K$301,MATCH($B1598,Vinos!$A$2:$A$301,0))="","",$H1598*INDEX(Vinos!$K$2:$K$301,MATCH($B1598,Vinos!$A$2:$A$301,0))),""))</f>
        <v/>
      </c>
      <c r="M1598" s="21">
        <f>IF(OR($A1598="",$B1598=""),"",SUMIFS($H$2:$H$2001,$A$2:$A$2001,$A1598,$B$2:$B$2001,$B1598))</f>
        <v/>
      </c>
      <c r="N1598" s="20">
        <f>IF($M1598="","",IF($M1598&lt;=0,"Sin stock: reponer ya",IF($M1598&lt;IFERROR(N(INDEX(Vinos!$N$2:$N$301,MATCH($B1598,Vinos!$A$2:$A$301,0))),0),"Bajo mínimo: reponer","OK")))</f>
        <v/>
      </c>
      <c r="O1598" s="14" t="n"/>
      <c r="P1598" s="14" t="n"/>
      <c r="Q1598" s="20">
        <f>IF($B1598="","",IFERROR(INDEX(Vinos!$C$2:$C$301,MATCH($B1598,Vinos!$A$2:$A$301,0)),""))</f>
        <v/>
      </c>
      <c r="R1598" s="20">
        <f>IF(OR($A1598="",$A1598&lt;&gt;'Resumen del inventario'!$C$3,$N1598="",$N1598="OK"),"",IF(COUNTIFS($A$2:$A1598,$A1598,$B$2:$B1598,$B1598)=1,1,""))</f>
        <v/>
      </c>
      <c r="S1598" s="20">
        <f>IF($R1598=1,COUNTIF($R$2:$R1598,1),"")</f>
        <v/>
      </c>
    </row>
    <row r="1599">
      <c r="A1599" s="19" t="n"/>
      <c r="B1599" s="14" t="n"/>
      <c r="C1599" s="20">
        <f>IF($B1599="","",IFERROR(INDEX(Vinos!$B$2:$B$301,MATCH($B1599,Vinos!$A$2:$A$301,0)),"Código no cargado"))</f>
        <v/>
      </c>
      <c r="D1599" s="14" t="n"/>
      <c r="E1599" s="14" t="n"/>
      <c r="F1599" s="18" t="n"/>
      <c r="G1599" s="18" t="n"/>
      <c r="H1599" s="21">
        <f>IF(AND($F1599="",$G1599=""),"",N($F1599)*IFERROR(N(INDEX(Vinos!$H$2:$H$301,MATCH($B1599,Vinos!$A$2:$A$301,0))),0)+N($G1599))</f>
        <v/>
      </c>
      <c r="I1599" s="18" t="n"/>
      <c r="J1599" s="21">
        <f>IF(OR($H1599="",$I1599=""),"",$H1599-$I1599)</f>
        <v/>
      </c>
      <c r="K1599" s="16">
        <f>IF($H1599="","",IFERROR(IF(INDEX(Vinos!$J$2:$J$301,MATCH($B1599,Vinos!$A$2:$A$301,0))="","",$H1599*INDEX(Vinos!$J$2:$J$301,MATCH($B1599,Vinos!$A$2:$A$301,0))),""))</f>
        <v/>
      </c>
      <c r="L1599" s="16">
        <f>IF($H1599="","",IFERROR(IF(INDEX(Vinos!$K$2:$K$301,MATCH($B1599,Vinos!$A$2:$A$301,0))="","",$H1599*INDEX(Vinos!$K$2:$K$301,MATCH($B1599,Vinos!$A$2:$A$301,0))),""))</f>
        <v/>
      </c>
      <c r="M1599" s="21">
        <f>IF(OR($A1599="",$B1599=""),"",SUMIFS($H$2:$H$2001,$A$2:$A$2001,$A1599,$B$2:$B$2001,$B1599))</f>
        <v/>
      </c>
      <c r="N1599" s="20">
        <f>IF($M1599="","",IF($M1599&lt;=0,"Sin stock: reponer ya",IF($M1599&lt;IFERROR(N(INDEX(Vinos!$N$2:$N$301,MATCH($B1599,Vinos!$A$2:$A$301,0))),0),"Bajo mínimo: reponer","OK")))</f>
        <v/>
      </c>
      <c r="O1599" s="14" t="n"/>
      <c r="P1599" s="14" t="n"/>
      <c r="Q1599" s="20">
        <f>IF($B1599="","",IFERROR(INDEX(Vinos!$C$2:$C$301,MATCH($B1599,Vinos!$A$2:$A$301,0)),""))</f>
        <v/>
      </c>
      <c r="R1599" s="20">
        <f>IF(OR($A1599="",$A1599&lt;&gt;'Resumen del inventario'!$C$3,$N1599="",$N1599="OK"),"",IF(COUNTIFS($A$2:$A1599,$A1599,$B$2:$B1599,$B1599)=1,1,""))</f>
        <v/>
      </c>
      <c r="S1599" s="20">
        <f>IF($R1599=1,COUNTIF($R$2:$R1599,1),"")</f>
        <v/>
      </c>
    </row>
    <row r="1600">
      <c r="A1600" s="19" t="n"/>
      <c r="B1600" s="14" t="n"/>
      <c r="C1600" s="20">
        <f>IF($B1600="","",IFERROR(INDEX(Vinos!$B$2:$B$301,MATCH($B1600,Vinos!$A$2:$A$301,0)),"Código no cargado"))</f>
        <v/>
      </c>
      <c r="D1600" s="14" t="n"/>
      <c r="E1600" s="14" t="n"/>
      <c r="F1600" s="18" t="n"/>
      <c r="G1600" s="18" t="n"/>
      <c r="H1600" s="21">
        <f>IF(AND($F1600="",$G1600=""),"",N($F1600)*IFERROR(N(INDEX(Vinos!$H$2:$H$301,MATCH($B1600,Vinos!$A$2:$A$301,0))),0)+N($G1600))</f>
        <v/>
      </c>
      <c r="I1600" s="18" t="n"/>
      <c r="J1600" s="21">
        <f>IF(OR($H1600="",$I1600=""),"",$H1600-$I1600)</f>
        <v/>
      </c>
      <c r="K1600" s="16">
        <f>IF($H1600="","",IFERROR(IF(INDEX(Vinos!$J$2:$J$301,MATCH($B1600,Vinos!$A$2:$A$301,0))="","",$H1600*INDEX(Vinos!$J$2:$J$301,MATCH($B1600,Vinos!$A$2:$A$301,0))),""))</f>
        <v/>
      </c>
      <c r="L1600" s="16">
        <f>IF($H1600="","",IFERROR(IF(INDEX(Vinos!$K$2:$K$301,MATCH($B1600,Vinos!$A$2:$A$301,0))="","",$H1600*INDEX(Vinos!$K$2:$K$301,MATCH($B1600,Vinos!$A$2:$A$301,0))),""))</f>
        <v/>
      </c>
      <c r="M1600" s="21">
        <f>IF(OR($A1600="",$B1600=""),"",SUMIFS($H$2:$H$2001,$A$2:$A$2001,$A1600,$B$2:$B$2001,$B1600))</f>
        <v/>
      </c>
      <c r="N1600" s="20">
        <f>IF($M1600="","",IF($M1600&lt;=0,"Sin stock: reponer ya",IF($M1600&lt;IFERROR(N(INDEX(Vinos!$N$2:$N$301,MATCH($B1600,Vinos!$A$2:$A$301,0))),0),"Bajo mínimo: reponer","OK")))</f>
        <v/>
      </c>
      <c r="O1600" s="14" t="n"/>
      <c r="P1600" s="14" t="n"/>
      <c r="Q1600" s="20">
        <f>IF($B1600="","",IFERROR(INDEX(Vinos!$C$2:$C$301,MATCH($B1600,Vinos!$A$2:$A$301,0)),""))</f>
        <v/>
      </c>
      <c r="R1600" s="20">
        <f>IF(OR($A1600="",$A1600&lt;&gt;'Resumen del inventario'!$C$3,$N1600="",$N1600="OK"),"",IF(COUNTIFS($A$2:$A1600,$A1600,$B$2:$B1600,$B1600)=1,1,""))</f>
        <v/>
      </c>
      <c r="S1600" s="20">
        <f>IF($R1600=1,COUNTIF($R$2:$R1600,1),"")</f>
        <v/>
      </c>
    </row>
    <row r="1601">
      <c r="A1601" s="19" t="n"/>
      <c r="B1601" s="14" t="n"/>
      <c r="C1601" s="20">
        <f>IF($B1601="","",IFERROR(INDEX(Vinos!$B$2:$B$301,MATCH($B1601,Vinos!$A$2:$A$301,0)),"Código no cargado"))</f>
        <v/>
      </c>
      <c r="D1601" s="14" t="n"/>
      <c r="E1601" s="14" t="n"/>
      <c r="F1601" s="18" t="n"/>
      <c r="G1601" s="18" t="n"/>
      <c r="H1601" s="21">
        <f>IF(AND($F1601="",$G1601=""),"",N($F1601)*IFERROR(N(INDEX(Vinos!$H$2:$H$301,MATCH($B1601,Vinos!$A$2:$A$301,0))),0)+N($G1601))</f>
        <v/>
      </c>
      <c r="I1601" s="18" t="n"/>
      <c r="J1601" s="21">
        <f>IF(OR($H1601="",$I1601=""),"",$H1601-$I1601)</f>
        <v/>
      </c>
      <c r="K1601" s="16">
        <f>IF($H1601="","",IFERROR(IF(INDEX(Vinos!$J$2:$J$301,MATCH($B1601,Vinos!$A$2:$A$301,0))="","",$H1601*INDEX(Vinos!$J$2:$J$301,MATCH($B1601,Vinos!$A$2:$A$301,0))),""))</f>
        <v/>
      </c>
      <c r="L1601" s="16">
        <f>IF($H1601="","",IFERROR(IF(INDEX(Vinos!$K$2:$K$301,MATCH($B1601,Vinos!$A$2:$A$301,0))="","",$H1601*INDEX(Vinos!$K$2:$K$301,MATCH($B1601,Vinos!$A$2:$A$301,0))),""))</f>
        <v/>
      </c>
      <c r="M1601" s="21">
        <f>IF(OR($A1601="",$B1601=""),"",SUMIFS($H$2:$H$2001,$A$2:$A$2001,$A1601,$B$2:$B$2001,$B1601))</f>
        <v/>
      </c>
      <c r="N1601" s="20">
        <f>IF($M1601="","",IF($M1601&lt;=0,"Sin stock: reponer ya",IF($M1601&lt;IFERROR(N(INDEX(Vinos!$N$2:$N$301,MATCH($B1601,Vinos!$A$2:$A$301,0))),0),"Bajo mínimo: reponer","OK")))</f>
        <v/>
      </c>
      <c r="O1601" s="14" t="n"/>
      <c r="P1601" s="14" t="n"/>
      <c r="Q1601" s="20">
        <f>IF($B1601="","",IFERROR(INDEX(Vinos!$C$2:$C$301,MATCH($B1601,Vinos!$A$2:$A$301,0)),""))</f>
        <v/>
      </c>
      <c r="R1601" s="20">
        <f>IF(OR($A1601="",$A1601&lt;&gt;'Resumen del inventario'!$C$3,$N1601="",$N1601="OK"),"",IF(COUNTIFS($A$2:$A1601,$A1601,$B$2:$B1601,$B1601)=1,1,""))</f>
        <v/>
      </c>
      <c r="S1601" s="20">
        <f>IF($R1601=1,COUNTIF($R$2:$R1601,1),"")</f>
        <v/>
      </c>
    </row>
    <row r="1602">
      <c r="A1602" s="19" t="n"/>
      <c r="B1602" s="14" t="n"/>
      <c r="C1602" s="20">
        <f>IF($B1602="","",IFERROR(INDEX(Vinos!$B$2:$B$301,MATCH($B1602,Vinos!$A$2:$A$301,0)),"Código no cargado"))</f>
        <v/>
      </c>
      <c r="D1602" s="14" t="n"/>
      <c r="E1602" s="14" t="n"/>
      <c r="F1602" s="18" t="n"/>
      <c r="G1602" s="18" t="n"/>
      <c r="H1602" s="21">
        <f>IF(AND($F1602="",$G1602=""),"",N($F1602)*IFERROR(N(INDEX(Vinos!$H$2:$H$301,MATCH($B1602,Vinos!$A$2:$A$301,0))),0)+N($G1602))</f>
        <v/>
      </c>
      <c r="I1602" s="18" t="n"/>
      <c r="J1602" s="21">
        <f>IF(OR($H1602="",$I1602=""),"",$H1602-$I1602)</f>
        <v/>
      </c>
      <c r="K1602" s="16">
        <f>IF($H1602="","",IFERROR(IF(INDEX(Vinos!$J$2:$J$301,MATCH($B1602,Vinos!$A$2:$A$301,0))="","",$H1602*INDEX(Vinos!$J$2:$J$301,MATCH($B1602,Vinos!$A$2:$A$301,0))),""))</f>
        <v/>
      </c>
      <c r="L1602" s="16">
        <f>IF($H1602="","",IFERROR(IF(INDEX(Vinos!$K$2:$K$301,MATCH($B1602,Vinos!$A$2:$A$301,0))="","",$H1602*INDEX(Vinos!$K$2:$K$301,MATCH($B1602,Vinos!$A$2:$A$301,0))),""))</f>
        <v/>
      </c>
      <c r="M1602" s="21">
        <f>IF(OR($A1602="",$B1602=""),"",SUMIFS($H$2:$H$2001,$A$2:$A$2001,$A1602,$B$2:$B$2001,$B1602))</f>
        <v/>
      </c>
      <c r="N1602" s="20">
        <f>IF($M1602="","",IF($M1602&lt;=0,"Sin stock: reponer ya",IF($M1602&lt;IFERROR(N(INDEX(Vinos!$N$2:$N$301,MATCH($B1602,Vinos!$A$2:$A$301,0))),0),"Bajo mínimo: reponer","OK")))</f>
        <v/>
      </c>
      <c r="O1602" s="14" t="n"/>
      <c r="P1602" s="14" t="n"/>
      <c r="Q1602" s="20">
        <f>IF($B1602="","",IFERROR(INDEX(Vinos!$C$2:$C$301,MATCH($B1602,Vinos!$A$2:$A$301,0)),""))</f>
        <v/>
      </c>
      <c r="R1602" s="20">
        <f>IF(OR($A1602="",$A1602&lt;&gt;'Resumen del inventario'!$C$3,$N1602="",$N1602="OK"),"",IF(COUNTIFS($A$2:$A1602,$A1602,$B$2:$B1602,$B1602)=1,1,""))</f>
        <v/>
      </c>
      <c r="S1602" s="20">
        <f>IF($R1602=1,COUNTIF($R$2:$R1602,1),"")</f>
        <v/>
      </c>
    </row>
    <row r="1603">
      <c r="A1603" s="19" t="n"/>
      <c r="B1603" s="14" t="n"/>
      <c r="C1603" s="20">
        <f>IF($B1603="","",IFERROR(INDEX(Vinos!$B$2:$B$301,MATCH($B1603,Vinos!$A$2:$A$301,0)),"Código no cargado"))</f>
        <v/>
      </c>
      <c r="D1603" s="14" t="n"/>
      <c r="E1603" s="14" t="n"/>
      <c r="F1603" s="18" t="n"/>
      <c r="G1603" s="18" t="n"/>
      <c r="H1603" s="21">
        <f>IF(AND($F1603="",$G1603=""),"",N($F1603)*IFERROR(N(INDEX(Vinos!$H$2:$H$301,MATCH($B1603,Vinos!$A$2:$A$301,0))),0)+N($G1603))</f>
        <v/>
      </c>
      <c r="I1603" s="18" t="n"/>
      <c r="J1603" s="21">
        <f>IF(OR($H1603="",$I1603=""),"",$H1603-$I1603)</f>
        <v/>
      </c>
      <c r="K1603" s="16">
        <f>IF($H1603="","",IFERROR(IF(INDEX(Vinos!$J$2:$J$301,MATCH($B1603,Vinos!$A$2:$A$301,0))="","",$H1603*INDEX(Vinos!$J$2:$J$301,MATCH($B1603,Vinos!$A$2:$A$301,0))),""))</f>
        <v/>
      </c>
      <c r="L1603" s="16">
        <f>IF($H1603="","",IFERROR(IF(INDEX(Vinos!$K$2:$K$301,MATCH($B1603,Vinos!$A$2:$A$301,0))="","",$H1603*INDEX(Vinos!$K$2:$K$301,MATCH($B1603,Vinos!$A$2:$A$301,0))),""))</f>
        <v/>
      </c>
      <c r="M1603" s="21">
        <f>IF(OR($A1603="",$B1603=""),"",SUMIFS($H$2:$H$2001,$A$2:$A$2001,$A1603,$B$2:$B$2001,$B1603))</f>
        <v/>
      </c>
      <c r="N1603" s="20">
        <f>IF($M1603="","",IF($M1603&lt;=0,"Sin stock: reponer ya",IF($M1603&lt;IFERROR(N(INDEX(Vinos!$N$2:$N$301,MATCH($B1603,Vinos!$A$2:$A$301,0))),0),"Bajo mínimo: reponer","OK")))</f>
        <v/>
      </c>
      <c r="O1603" s="14" t="n"/>
      <c r="P1603" s="14" t="n"/>
      <c r="Q1603" s="20">
        <f>IF($B1603="","",IFERROR(INDEX(Vinos!$C$2:$C$301,MATCH($B1603,Vinos!$A$2:$A$301,0)),""))</f>
        <v/>
      </c>
      <c r="R1603" s="20">
        <f>IF(OR($A1603="",$A1603&lt;&gt;'Resumen del inventario'!$C$3,$N1603="",$N1603="OK"),"",IF(COUNTIFS($A$2:$A1603,$A1603,$B$2:$B1603,$B1603)=1,1,""))</f>
        <v/>
      </c>
      <c r="S1603" s="20">
        <f>IF($R1603=1,COUNTIF($R$2:$R1603,1),"")</f>
        <v/>
      </c>
    </row>
    <row r="1604">
      <c r="A1604" s="19" t="n"/>
      <c r="B1604" s="14" t="n"/>
      <c r="C1604" s="20">
        <f>IF($B1604="","",IFERROR(INDEX(Vinos!$B$2:$B$301,MATCH($B1604,Vinos!$A$2:$A$301,0)),"Código no cargado"))</f>
        <v/>
      </c>
      <c r="D1604" s="14" t="n"/>
      <c r="E1604" s="14" t="n"/>
      <c r="F1604" s="18" t="n"/>
      <c r="G1604" s="18" t="n"/>
      <c r="H1604" s="21">
        <f>IF(AND($F1604="",$G1604=""),"",N($F1604)*IFERROR(N(INDEX(Vinos!$H$2:$H$301,MATCH($B1604,Vinos!$A$2:$A$301,0))),0)+N($G1604))</f>
        <v/>
      </c>
      <c r="I1604" s="18" t="n"/>
      <c r="J1604" s="21">
        <f>IF(OR($H1604="",$I1604=""),"",$H1604-$I1604)</f>
        <v/>
      </c>
      <c r="K1604" s="16">
        <f>IF($H1604="","",IFERROR(IF(INDEX(Vinos!$J$2:$J$301,MATCH($B1604,Vinos!$A$2:$A$301,0))="","",$H1604*INDEX(Vinos!$J$2:$J$301,MATCH($B1604,Vinos!$A$2:$A$301,0))),""))</f>
        <v/>
      </c>
      <c r="L1604" s="16">
        <f>IF($H1604="","",IFERROR(IF(INDEX(Vinos!$K$2:$K$301,MATCH($B1604,Vinos!$A$2:$A$301,0))="","",$H1604*INDEX(Vinos!$K$2:$K$301,MATCH($B1604,Vinos!$A$2:$A$301,0))),""))</f>
        <v/>
      </c>
      <c r="M1604" s="21">
        <f>IF(OR($A1604="",$B1604=""),"",SUMIFS($H$2:$H$2001,$A$2:$A$2001,$A1604,$B$2:$B$2001,$B1604))</f>
        <v/>
      </c>
      <c r="N1604" s="20">
        <f>IF($M1604="","",IF($M1604&lt;=0,"Sin stock: reponer ya",IF($M1604&lt;IFERROR(N(INDEX(Vinos!$N$2:$N$301,MATCH($B1604,Vinos!$A$2:$A$301,0))),0),"Bajo mínimo: reponer","OK")))</f>
        <v/>
      </c>
      <c r="O1604" s="14" t="n"/>
      <c r="P1604" s="14" t="n"/>
      <c r="Q1604" s="20">
        <f>IF($B1604="","",IFERROR(INDEX(Vinos!$C$2:$C$301,MATCH($B1604,Vinos!$A$2:$A$301,0)),""))</f>
        <v/>
      </c>
      <c r="R1604" s="20">
        <f>IF(OR($A1604="",$A1604&lt;&gt;'Resumen del inventario'!$C$3,$N1604="",$N1604="OK"),"",IF(COUNTIFS($A$2:$A1604,$A1604,$B$2:$B1604,$B1604)=1,1,""))</f>
        <v/>
      </c>
      <c r="S1604" s="20">
        <f>IF($R1604=1,COUNTIF($R$2:$R1604,1),"")</f>
        <v/>
      </c>
    </row>
    <row r="1605">
      <c r="A1605" s="19" t="n"/>
      <c r="B1605" s="14" t="n"/>
      <c r="C1605" s="20">
        <f>IF($B1605="","",IFERROR(INDEX(Vinos!$B$2:$B$301,MATCH($B1605,Vinos!$A$2:$A$301,0)),"Código no cargado"))</f>
        <v/>
      </c>
      <c r="D1605" s="14" t="n"/>
      <c r="E1605" s="14" t="n"/>
      <c r="F1605" s="18" t="n"/>
      <c r="G1605" s="18" t="n"/>
      <c r="H1605" s="21">
        <f>IF(AND($F1605="",$G1605=""),"",N($F1605)*IFERROR(N(INDEX(Vinos!$H$2:$H$301,MATCH($B1605,Vinos!$A$2:$A$301,0))),0)+N($G1605))</f>
        <v/>
      </c>
      <c r="I1605" s="18" t="n"/>
      <c r="J1605" s="21">
        <f>IF(OR($H1605="",$I1605=""),"",$H1605-$I1605)</f>
        <v/>
      </c>
      <c r="K1605" s="16">
        <f>IF($H1605="","",IFERROR(IF(INDEX(Vinos!$J$2:$J$301,MATCH($B1605,Vinos!$A$2:$A$301,0))="","",$H1605*INDEX(Vinos!$J$2:$J$301,MATCH($B1605,Vinos!$A$2:$A$301,0))),""))</f>
        <v/>
      </c>
      <c r="L1605" s="16">
        <f>IF($H1605="","",IFERROR(IF(INDEX(Vinos!$K$2:$K$301,MATCH($B1605,Vinos!$A$2:$A$301,0))="","",$H1605*INDEX(Vinos!$K$2:$K$301,MATCH($B1605,Vinos!$A$2:$A$301,0))),""))</f>
        <v/>
      </c>
      <c r="M1605" s="21">
        <f>IF(OR($A1605="",$B1605=""),"",SUMIFS($H$2:$H$2001,$A$2:$A$2001,$A1605,$B$2:$B$2001,$B1605))</f>
        <v/>
      </c>
      <c r="N1605" s="20">
        <f>IF($M1605="","",IF($M1605&lt;=0,"Sin stock: reponer ya",IF($M1605&lt;IFERROR(N(INDEX(Vinos!$N$2:$N$301,MATCH($B1605,Vinos!$A$2:$A$301,0))),0),"Bajo mínimo: reponer","OK")))</f>
        <v/>
      </c>
      <c r="O1605" s="14" t="n"/>
      <c r="P1605" s="14" t="n"/>
      <c r="Q1605" s="20">
        <f>IF($B1605="","",IFERROR(INDEX(Vinos!$C$2:$C$301,MATCH($B1605,Vinos!$A$2:$A$301,0)),""))</f>
        <v/>
      </c>
      <c r="R1605" s="20">
        <f>IF(OR($A1605="",$A1605&lt;&gt;'Resumen del inventario'!$C$3,$N1605="",$N1605="OK"),"",IF(COUNTIFS($A$2:$A1605,$A1605,$B$2:$B1605,$B1605)=1,1,""))</f>
        <v/>
      </c>
      <c r="S1605" s="20">
        <f>IF($R1605=1,COUNTIF($R$2:$R1605,1),"")</f>
        <v/>
      </c>
    </row>
    <row r="1606">
      <c r="A1606" s="19" t="n"/>
      <c r="B1606" s="14" t="n"/>
      <c r="C1606" s="20">
        <f>IF($B1606="","",IFERROR(INDEX(Vinos!$B$2:$B$301,MATCH($B1606,Vinos!$A$2:$A$301,0)),"Código no cargado"))</f>
        <v/>
      </c>
      <c r="D1606" s="14" t="n"/>
      <c r="E1606" s="14" t="n"/>
      <c r="F1606" s="18" t="n"/>
      <c r="G1606" s="18" t="n"/>
      <c r="H1606" s="21">
        <f>IF(AND($F1606="",$G1606=""),"",N($F1606)*IFERROR(N(INDEX(Vinos!$H$2:$H$301,MATCH($B1606,Vinos!$A$2:$A$301,0))),0)+N($G1606))</f>
        <v/>
      </c>
      <c r="I1606" s="18" t="n"/>
      <c r="J1606" s="21">
        <f>IF(OR($H1606="",$I1606=""),"",$H1606-$I1606)</f>
        <v/>
      </c>
      <c r="K1606" s="16">
        <f>IF($H1606="","",IFERROR(IF(INDEX(Vinos!$J$2:$J$301,MATCH($B1606,Vinos!$A$2:$A$301,0))="","",$H1606*INDEX(Vinos!$J$2:$J$301,MATCH($B1606,Vinos!$A$2:$A$301,0))),""))</f>
        <v/>
      </c>
      <c r="L1606" s="16">
        <f>IF($H1606="","",IFERROR(IF(INDEX(Vinos!$K$2:$K$301,MATCH($B1606,Vinos!$A$2:$A$301,0))="","",$H1606*INDEX(Vinos!$K$2:$K$301,MATCH($B1606,Vinos!$A$2:$A$301,0))),""))</f>
        <v/>
      </c>
      <c r="M1606" s="21">
        <f>IF(OR($A1606="",$B1606=""),"",SUMIFS($H$2:$H$2001,$A$2:$A$2001,$A1606,$B$2:$B$2001,$B1606))</f>
        <v/>
      </c>
      <c r="N1606" s="20">
        <f>IF($M1606="","",IF($M1606&lt;=0,"Sin stock: reponer ya",IF($M1606&lt;IFERROR(N(INDEX(Vinos!$N$2:$N$301,MATCH($B1606,Vinos!$A$2:$A$301,0))),0),"Bajo mínimo: reponer","OK")))</f>
        <v/>
      </c>
      <c r="O1606" s="14" t="n"/>
      <c r="P1606" s="14" t="n"/>
      <c r="Q1606" s="20">
        <f>IF($B1606="","",IFERROR(INDEX(Vinos!$C$2:$C$301,MATCH($B1606,Vinos!$A$2:$A$301,0)),""))</f>
        <v/>
      </c>
      <c r="R1606" s="20">
        <f>IF(OR($A1606="",$A1606&lt;&gt;'Resumen del inventario'!$C$3,$N1606="",$N1606="OK"),"",IF(COUNTIFS($A$2:$A1606,$A1606,$B$2:$B1606,$B1606)=1,1,""))</f>
        <v/>
      </c>
      <c r="S1606" s="20">
        <f>IF($R1606=1,COUNTIF($R$2:$R1606,1),"")</f>
        <v/>
      </c>
    </row>
    <row r="1607">
      <c r="A1607" s="19" t="n"/>
      <c r="B1607" s="14" t="n"/>
      <c r="C1607" s="20">
        <f>IF($B1607="","",IFERROR(INDEX(Vinos!$B$2:$B$301,MATCH($B1607,Vinos!$A$2:$A$301,0)),"Código no cargado"))</f>
        <v/>
      </c>
      <c r="D1607" s="14" t="n"/>
      <c r="E1607" s="14" t="n"/>
      <c r="F1607" s="18" t="n"/>
      <c r="G1607" s="18" t="n"/>
      <c r="H1607" s="21">
        <f>IF(AND($F1607="",$G1607=""),"",N($F1607)*IFERROR(N(INDEX(Vinos!$H$2:$H$301,MATCH($B1607,Vinos!$A$2:$A$301,0))),0)+N($G1607))</f>
        <v/>
      </c>
      <c r="I1607" s="18" t="n"/>
      <c r="J1607" s="21">
        <f>IF(OR($H1607="",$I1607=""),"",$H1607-$I1607)</f>
        <v/>
      </c>
      <c r="K1607" s="16">
        <f>IF($H1607="","",IFERROR(IF(INDEX(Vinos!$J$2:$J$301,MATCH($B1607,Vinos!$A$2:$A$301,0))="","",$H1607*INDEX(Vinos!$J$2:$J$301,MATCH($B1607,Vinos!$A$2:$A$301,0))),""))</f>
        <v/>
      </c>
      <c r="L1607" s="16">
        <f>IF($H1607="","",IFERROR(IF(INDEX(Vinos!$K$2:$K$301,MATCH($B1607,Vinos!$A$2:$A$301,0))="","",$H1607*INDEX(Vinos!$K$2:$K$301,MATCH($B1607,Vinos!$A$2:$A$301,0))),""))</f>
        <v/>
      </c>
      <c r="M1607" s="21">
        <f>IF(OR($A1607="",$B1607=""),"",SUMIFS($H$2:$H$2001,$A$2:$A$2001,$A1607,$B$2:$B$2001,$B1607))</f>
        <v/>
      </c>
      <c r="N1607" s="20">
        <f>IF($M1607="","",IF($M1607&lt;=0,"Sin stock: reponer ya",IF($M1607&lt;IFERROR(N(INDEX(Vinos!$N$2:$N$301,MATCH($B1607,Vinos!$A$2:$A$301,0))),0),"Bajo mínimo: reponer","OK")))</f>
        <v/>
      </c>
      <c r="O1607" s="14" t="n"/>
      <c r="P1607" s="14" t="n"/>
      <c r="Q1607" s="20">
        <f>IF($B1607="","",IFERROR(INDEX(Vinos!$C$2:$C$301,MATCH($B1607,Vinos!$A$2:$A$301,0)),""))</f>
        <v/>
      </c>
      <c r="R1607" s="20">
        <f>IF(OR($A1607="",$A1607&lt;&gt;'Resumen del inventario'!$C$3,$N1607="",$N1607="OK"),"",IF(COUNTIFS($A$2:$A1607,$A1607,$B$2:$B1607,$B1607)=1,1,""))</f>
        <v/>
      </c>
      <c r="S1607" s="20">
        <f>IF($R1607=1,COUNTIF($R$2:$R1607,1),"")</f>
        <v/>
      </c>
    </row>
    <row r="1608">
      <c r="A1608" s="19" t="n"/>
      <c r="B1608" s="14" t="n"/>
      <c r="C1608" s="20">
        <f>IF($B1608="","",IFERROR(INDEX(Vinos!$B$2:$B$301,MATCH($B1608,Vinos!$A$2:$A$301,0)),"Código no cargado"))</f>
        <v/>
      </c>
      <c r="D1608" s="14" t="n"/>
      <c r="E1608" s="14" t="n"/>
      <c r="F1608" s="18" t="n"/>
      <c r="G1608" s="18" t="n"/>
      <c r="H1608" s="21">
        <f>IF(AND($F1608="",$G1608=""),"",N($F1608)*IFERROR(N(INDEX(Vinos!$H$2:$H$301,MATCH($B1608,Vinos!$A$2:$A$301,0))),0)+N($G1608))</f>
        <v/>
      </c>
      <c r="I1608" s="18" t="n"/>
      <c r="J1608" s="21">
        <f>IF(OR($H1608="",$I1608=""),"",$H1608-$I1608)</f>
        <v/>
      </c>
      <c r="K1608" s="16">
        <f>IF($H1608="","",IFERROR(IF(INDEX(Vinos!$J$2:$J$301,MATCH($B1608,Vinos!$A$2:$A$301,0))="","",$H1608*INDEX(Vinos!$J$2:$J$301,MATCH($B1608,Vinos!$A$2:$A$301,0))),""))</f>
        <v/>
      </c>
      <c r="L1608" s="16">
        <f>IF($H1608="","",IFERROR(IF(INDEX(Vinos!$K$2:$K$301,MATCH($B1608,Vinos!$A$2:$A$301,0))="","",$H1608*INDEX(Vinos!$K$2:$K$301,MATCH($B1608,Vinos!$A$2:$A$301,0))),""))</f>
        <v/>
      </c>
      <c r="M1608" s="21">
        <f>IF(OR($A1608="",$B1608=""),"",SUMIFS($H$2:$H$2001,$A$2:$A$2001,$A1608,$B$2:$B$2001,$B1608))</f>
        <v/>
      </c>
      <c r="N1608" s="20">
        <f>IF($M1608="","",IF($M1608&lt;=0,"Sin stock: reponer ya",IF($M1608&lt;IFERROR(N(INDEX(Vinos!$N$2:$N$301,MATCH($B1608,Vinos!$A$2:$A$301,0))),0),"Bajo mínimo: reponer","OK")))</f>
        <v/>
      </c>
      <c r="O1608" s="14" t="n"/>
      <c r="P1608" s="14" t="n"/>
      <c r="Q1608" s="20">
        <f>IF($B1608="","",IFERROR(INDEX(Vinos!$C$2:$C$301,MATCH($B1608,Vinos!$A$2:$A$301,0)),""))</f>
        <v/>
      </c>
      <c r="R1608" s="20">
        <f>IF(OR($A1608="",$A1608&lt;&gt;'Resumen del inventario'!$C$3,$N1608="",$N1608="OK"),"",IF(COUNTIFS($A$2:$A1608,$A1608,$B$2:$B1608,$B1608)=1,1,""))</f>
        <v/>
      </c>
      <c r="S1608" s="20">
        <f>IF($R1608=1,COUNTIF($R$2:$R1608,1),"")</f>
        <v/>
      </c>
    </row>
    <row r="1609">
      <c r="A1609" s="19" t="n"/>
      <c r="B1609" s="14" t="n"/>
      <c r="C1609" s="20">
        <f>IF($B1609="","",IFERROR(INDEX(Vinos!$B$2:$B$301,MATCH($B1609,Vinos!$A$2:$A$301,0)),"Código no cargado"))</f>
        <v/>
      </c>
      <c r="D1609" s="14" t="n"/>
      <c r="E1609" s="14" t="n"/>
      <c r="F1609" s="18" t="n"/>
      <c r="G1609" s="18" t="n"/>
      <c r="H1609" s="21">
        <f>IF(AND($F1609="",$G1609=""),"",N($F1609)*IFERROR(N(INDEX(Vinos!$H$2:$H$301,MATCH($B1609,Vinos!$A$2:$A$301,0))),0)+N($G1609))</f>
        <v/>
      </c>
      <c r="I1609" s="18" t="n"/>
      <c r="J1609" s="21">
        <f>IF(OR($H1609="",$I1609=""),"",$H1609-$I1609)</f>
        <v/>
      </c>
      <c r="K1609" s="16">
        <f>IF($H1609="","",IFERROR(IF(INDEX(Vinos!$J$2:$J$301,MATCH($B1609,Vinos!$A$2:$A$301,0))="","",$H1609*INDEX(Vinos!$J$2:$J$301,MATCH($B1609,Vinos!$A$2:$A$301,0))),""))</f>
        <v/>
      </c>
      <c r="L1609" s="16">
        <f>IF($H1609="","",IFERROR(IF(INDEX(Vinos!$K$2:$K$301,MATCH($B1609,Vinos!$A$2:$A$301,0))="","",$H1609*INDEX(Vinos!$K$2:$K$301,MATCH($B1609,Vinos!$A$2:$A$301,0))),""))</f>
        <v/>
      </c>
      <c r="M1609" s="21">
        <f>IF(OR($A1609="",$B1609=""),"",SUMIFS($H$2:$H$2001,$A$2:$A$2001,$A1609,$B$2:$B$2001,$B1609))</f>
        <v/>
      </c>
      <c r="N1609" s="20">
        <f>IF($M1609="","",IF($M1609&lt;=0,"Sin stock: reponer ya",IF($M1609&lt;IFERROR(N(INDEX(Vinos!$N$2:$N$301,MATCH($B1609,Vinos!$A$2:$A$301,0))),0),"Bajo mínimo: reponer","OK")))</f>
        <v/>
      </c>
      <c r="O1609" s="14" t="n"/>
      <c r="P1609" s="14" t="n"/>
      <c r="Q1609" s="20">
        <f>IF($B1609="","",IFERROR(INDEX(Vinos!$C$2:$C$301,MATCH($B1609,Vinos!$A$2:$A$301,0)),""))</f>
        <v/>
      </c>
      <c r="R1609" s="20">
        <f>IF(OR($A1609="",$A1609&lt;&gt;'Resumen del inventario'!$C$3,$N1609="",$N1609="OK"),"",IF(COUNTIFS($A$2:$A1609,$A1609,$B$2:$B1609,$B1609)=1,1,""))</f>
        <v/>
      </c>
      <c r="S1609" s="20">
        <f>IF($R1609=1,COUNTIF($R$2:$R1609,1),"")</f>
        <v/>
      </c>
    </row>
    <row r="1610">
      <c r="A1610" s="19" t="n"/>
      <c r="B1610" s="14" t="n"/>
      <c r="C1610" s="20">
        <f>IF($B1610="","",IFERROR(INDEX(Vinos!$B$2:$B$301,MATCH($B1610,Vinos!$A$2:$A$301,0)),"Código no cargado"))</f>
        <v/>
      </c>
      <c r="D1610" s="14" t="n"/>
      <c r="E1610" s="14" t="n"/>
      <c r="F1610" s="18" t="n"/>
      <c r="G1610" s="18" t="n"/>
      <c r="H1610" s="21">
        <f>IF(AND($F1610="",$G1610=""),"",N($F1610)*IFERROR(N(INDEX(Vinos!$H$2:$H$301,MATCH($B1610,Vinos!$A$2:$A$301,0))),0)+N($G1610))</f>
        <v/>
      </c>
      <c r="I1610" s="18" t="n"/>
      <c r="J1610" s="21">
        <f>IF(OR($H1610="",$I1610=""),"",$H1610-$I1610)</f>
        <v/>
      </c>
      <c r="K1610" s="16">
        <f>IF($H1610="","",IFERROR(IF(INDEX(Vinos!$J$2:$J$301,MATCH($B1610,Vinos!$A$2:$A$301,0))="","",$H1610*INDEX(Vinos!$J$2:$J$301,MATCH($B1610,Vinos!$A$2:$A$301,0))),""))</f>
        <v/>
      </c>
      <c r="L1610" s="16">
        <f>IF($H1610="","",IFERROR(IF(INDEX(Vinos!$K$2:$K$301,MATCH($B1610,Vinos!$A$2:$A$301,0))="","",$H1610*INDEX(Vinos!$K$2:$K$301,MATCH($B1610,Vinos!$A$2:$A$301,0))),""))</f>
        <v/>
      </c>
      <c r="M1610" s="21">
        <f>IF(OR($A1610="",$B1610=""),"",SUMIFS($H$2:$H$2001,$A$2:$A$2001,$A1610,$B$2:$B$2001,$B1610))</f>
        <v/>
      </c>
      <c r="N1610" s="20">
        <f>IF($M1610="","",IF($M1610&lt;=0,"Sin stock: reponer ya",IF($M1610&lt;IFERROR(N(INDEX(Vinos!$N$2:$N$301,MATCH($B1610,Vinos!$A$2:$A$301,0))),0),"Bajo mínimo: reponer","OK")))</f>
        <v/>
      </c>
      <c r="O1610" s="14" t="n"/>
      <c r="P1610" s="14" t="n"/>
      <c r="Q1610" s="20">
        <f>IF($B1610="","",IFERROR(INDEX(Vinos!$C$2:$C$301,MATCH($B1610,Vinos!$A$2:$A$301,0)),""))</f>
        <v/>
      </c>
      <c r="R1610" s="20">
        <f>IF(OR($A1610="",$A1610&lt;&gt;'Resumen del inventario'!$C$3,$N1610="",$N1610="OK"),"",IF(COUNTIFS($A$2:$A1610,$A1610,$B$2:$B1610,$B1610)=1,1,""))</f>
        <v/>
      </c>
      <c r="S1610" s="20">
        <f>IF($R1610=1,COUNTIF($R$2:$R1610,1),"")</f>
        <v/>
      </c>
    </row>
    <row r="1611">
      <c r="A1611" s="19" t="n"/>
      <c r="B1611" s="14" t="n"/>
      <c r="C1611" s="20">
        <f>IF($B1611="","",IFERROR(INDEX(Vinos!$B$2:$B$301,MATCH($B1611,Vinos!$A$2:$A$301,0)),"Código no cargado"))</f>
        <v/>
      </c>
      <c r="D1611" s="14" t="n"/>
      <c r="E1611" s="14" t="n"/>
      <c r="F1611" s="18" t="n"/>
      <c r="G1611" s="18" t="n"/>
      <c r="H1611" s="21">
        <f>IF(AND($F1611="",$G1611=""),"",N($F1611)*IFERROR(N(INDEX(Vinos!$H$2:$H$301,MATCH($B1611,Vinos!$A$2:$A$301,0))),0)+N($G1611))</f>
        <v/>
      </c>
      <c r="I1611" s="18" t="n"/>
      <c r="J1611" s="21">
        <f>IF(OR($H1611="",$I1611=""),"",$H1611-$I1611)</f>
        <v/>
      </c>
      <c r="K1611" s="16">
        <f>IF($H1611="","",IFERROR(IF(INDEX(Vinos!$J$2:$J$301,MATCH($B1611,Vinos!$A$2:$A$301,0))="","",$H1611*INDEX(Vinos!$J$2:$J$301,MATCH($B1611,Vinos!$A$2:$A$301,0))),""))</f>
        <v/>
      </c>
      <c r="L1611" s="16">
        <f>IF($H1611="","",IFERROR(IF(INDEX(Vinos!$K$2:$K$301,MATCH($B1611,Vinos!$A$2:$A$301,0))="","",$H1611*INDEX(Vinos!$K$2:$K$301,MATCH($B1611,Vinos!$A$2:$A$301,0))),""))</f>
        <v/>
      </c>
      <c r="M1611" s="21">
        <f>IF(OR($A1611="",$B1611=""),"",SUMIFS($H$2:$H$2001,$A$2:$A$2001,$A1611,$B$2:$B$2001,$B1611))</f>
        <v/>
      </c>
      <c r="N1611" s="20">
        <f>IF($M1611="","",IF($M1611&lt;=0,"Sin stock: reponer ya",IF($M1611&lt;IFERROR(N(INDEX(Vinos!$N$2:$N$301,MATCH($B1611,Vinos!$A$2:$A$301,0))),0),"Bajo mínimo: reponer","OK")))</f>
        <v/>
      </c>
      <c r="O1611" s="14" t="n"/>
      <c r="P1611" s="14" t="n"/>
      <c r="Q1611" s="20">
        <f>IF($B1611="","",IFERROR(INDEX(Vinos!$C$2:$C$301,MATCH($B1611,Vinos!$A$2:$A$301,0)),""))</f>
        <v/>
      </c>
      <c r="R1611" s="20">
        <f>IF(OR($A1611="",$A1611&lt;&gt;'Resumen del inventario'!$C$3,$N1611="",$N1611="OK"),"",IF(COUNTIFS($A$2:$A1611,$A1611,$B$2:$B1611,$B1611)=1,1,""))</f>
        <v/>
      </c>
      <c r="S1611" s="20">
        <f>IF($R1611=1,COUNTIF($R$2:$R1611,1),"")</f>
        <v/>
      </c>
    </row>
    <row r="1612">
      <c r="A1612" s="19" t="n"/>
      <c r="B1612" s="14" t="n"/>
      <c r="C1612" s="20">
        <f>IF($B1612="","",IFERROR(INDEX(Vinos!$B$2:$B$301,MATCH($B1612,Vinos!$A$2:$A$301,0)),"Código no cargado"))</f>
        <v/>
      </c>
      <c r="D1612" s="14" t="n"/>
      <c r="E1612" s="14" t="n"/>
      <c r="F1612" s="18" t="n"/>
      <c r="G1612" s="18" t="n"/>
      <c r="H1612" s="21">
        <f>IF(AND($F1612="",$G1612=""),"",N($F1612)*IFERROR(N(INDEX(Vinos!$H$2:$H$301,MATCH($B1612,Vinos!$A$2:$A$301,0))),0)+N($G1612))</f>
        <v/>
      </c>
      <c r="I1612" s="18" t="n"/>
      <c r="J1612" s="21">
        <f>IF(OR($H1612="",$I1612=""),"",$H1612-$I1612)</f>
        <v/>
      </c>
      <c r="K1612" s="16">
        <f>IF($H1612="","",IFERROR(IF(INDEX(Vinos!$J$2:$J$301,MATCH($B1612,Vinos!$A$2:$A$301,0))="","",$H1612*INDEX(Vinos!$J$2:$J$301,MATCH($B1612,Vinos!$A$2:$A$301,0))),""))</f>
        <v/>
      </c>
      <c r="L1612" s="16">
        <f>IF($H1612="","",IFERROR(IF(INDEX(Vinos!$K$2:$K$301,MATCH($B1612,Vinos!$A$2:$A$301,0))="","",$H1612*INDEX(Vinos!$K$2:$K$301,MATCH($B1612,Vinos!$A$2:$A$301,0))),""))</f>
        <v/>
      </c>
      <c r="M1612" s="21">
        <f>IF(OR($A1612="",$B1612=""),"",SUMIFS($H$2:$H$2001,$A$2:$A$2001,$A1612,$B$2:$B$2001,$B1612))</f>
        <v/>
      </c>
      <c r="N1612" s="20">
        <f>IF($M1612="","",IF($M1612&lt;=0,"Sin stock: reponer ya",IF($M1612&lt;IFERROR(N(INDEX(Vinos!$N$2:$N$301,MATCH($B1612,Vinos!$A$2:$A$301,0))),0),"Bajo mínimo: reponer","OK")))</f>
        <v/>
      </c>
      <c r="O1612" s="14" t="n"/>
      <c r="P1612" s="14" t="n"/>
      <c r="Q1612" s="20">
        <f>IF($B1612="","",IFERROR(INDEX(Vinos!$C$2:$C$301,MATCH($B1612,Vinos!$A$2:$A$301,0)),""))</f>
        <v/>
      </c>
      <c r="R1612" s="20">
        <f>IF(OR($A1612="",$A1612&lt;&gt;'Resumen del inventario'!$C$3,$N1612="",$N1612="OK"),"",IF(COUNTIFS($A$2:$A1612,$A1612,$B$2:$B1612,$B1612)=1,1,""))</f>
        <v/>
      </c>
      <c r="S1612" s="20">
        <f>IF($R1612=1,COUNTIF($R$2:$R1612,1),"")</f>
        <v/>
      </c>
    </row>
    <row r="1613">
      <c r="A1613" s="19" t="n"/>
      <c r="B1613" s="14" t="n"/>
      <c r="C1613" s="20">
        <f>IF($B1613="","",IFERROR(INDEX(Vinos!$B$2:$B$301,MATCH($B1613,Vinos!$A$2:$A$301,0)),"Código no cargado"))</f>
        <v/>
      </c>
      <c r="D1613" s="14" t="n"/>
      <c r="E1613" s="14" t="n"/>
      <c r="F1613" s="18" t="n"/>
      <c r="G1613" s="18" t="n"/>
      <c r="H1613" s="21">
        <f>IF(AND($F1613="",$G1613=""),"",N($F1613)*IFERROR(N(INDEX(Vinos!$H$2:$H$301,MATCH($B1613,Vinos!$A$2:$A$301,0))),0)+N($G1613))</f>
        <v/>
      </c>
      <c r="I1613" s="18" t="n"/>
      <c r="J1613" s="21">
        <f>IF(OR($H1613="",$I1613=""),"",$H1613-$I1613)</f>
        <v/>
      </c>
      <c r="K1613" s="16">
        <f>IF($H1613="","",IFERROR(IF(INDEX(Vinos!$J$2:$J$301,MATCH($B1613,Vinos!$A$2:$A$301,0))="","",$H1613*INDEX(Vinos!$J$2:$J$301,MATCH($B1613,Vinos!$A$2:$A$301,0))),""))</f>
        <v/>
      </c>
      <c r="L1613" s="16">
        <f>IF($H1613="","",IFERROR(IF(INDEX(Vinos!$K$2:$K$301,MATCH($B1613,Vinos!$A$2:$A$301,0))="","",$H1613*INDEX(Vinos!$K$2:$K$301,MATCH($B1613,Vinos!$A$2:$A$301,0))),""))</f>
        <v/>
      </c>
      <c r="M1613" s="21">
        <f>IF(OR($A1613="",$B1613=""),"",SUMIFS($H$2:$H$2001,$A$2:$A$2001,$A1613,$B$2:$B$2001,$B1613))</f>
        <v/>
      </c>
      <c r="N1613" s="20">
        <f>IF($M1613="","",IF($M1613&lt;=0,"Sin stock: reponer ya",IF($M1613&lt;IFERROR(N(INDEX(Vinos!$N$2:$N$301,MATCH($B1613,Vinos!$A$2:$A$301,0))),0),"Bajo mínimo: reponer","OK")))</f>
        <v/>
      </c>
      <c r="O1613" s="14" t="n"/>
      <c r="P1613" s="14" t="n"/>
      <c r="Q1613" s="20">
        <f>IF($B1613="","",IFERROR(INDEX(Vinos!$C$2:$C$301,MATCH($B1613,Vinos!$A$2:$A$301,0)),""))</f>
        <v/>
      </c>
      <c r="R1613" s="20">
        <f>IF(OR($A1613="",$A1613&lt;&gt;'Resumen del inventario'!$C$3,$N1613="",$N1613="OK"),"",IF(COUNTIFS($A$2:$A1613,$A1613,$B$2:$B1613,$B1613)=1,1,""))</f>
        <v/>
      </c>
      <c r="S1613" s="20">
        <f>IF($R1613=1,COUNTIF($R$2:$R1613,1),"")</f>
        <v/>
      </c>
    </row>
    <row r="1614">
      <c r="A1614" s="19" t="n"/>
      <c r="B1614" s="14" t="n"/>
      <c r="C1614" s="20">
        <f>IF($B1614="","",IFERROR(INDEX(Vinos!$B$2:$B$301,MATCH($B1614,Vinos!$A$2:$A$301,0)),"Código no cargado"))</f>
        <v/>
      </c>
      <c r="D1614" s="14" t="n"/>
      <c r="E1614" s="14" t="n"/>
      <c r="F1614" s="18" t="n"/>
      <c r="G1614" s="18" t="n"/>
      <c r="H1614" s="21">
        <f>IF(AND($F1614="",$G1614=""),"",N($F1614)*IFERROR(N(INDEX(Vinos!$H$2:$H$301,MATCH($B1614,Vinos!$A$2:$A$301,0))),0)+N($G1614))</f>
        <v/>
      </c>
      <c r="I1614" s="18" t="n"/>
      <c r="J1614" s="21">
        <f>IF(OR($H1614="",$I1614=""),"",$H1614-$I1614)</f>
        <v/>
      </c>
      <c r="K1614" s="16">
        <f>IF($H1614="","",IFERROR(IF(INDEX(Vinos!$J$2:$J$301,MATCH($B1614,Vinos!$A$2:$A$301,0))="","",$H1614*INDEX(Vinos!$J$2:$J$301,MATCH($B1614,Vinos!$A$2:$A$301,0))),""))</f>
        <v/>
      </c>
      <c r="L1614" s="16">
        <f>IF($H1614="","",IFERROR(IF(INDEX(Vinos!$K$2:$K$301,MATCH($B1614,Vinos!$A$2:$A$301,0))="","",$H1614*INDEX(Vinos!$K$2:$K$301,MATCH($B1614,Vinos!$A$2:$A$301,0))),""))</f>
        <v/>
      </c>
      <c r="M1614" s="21">
        <f>IF(OR($A1614="",$B1614=""),"",SUMIFS($H$2:$H$2001,$A$2:$A$2001,$A1614,$B$2:$B$2001,$B1614))</f>
        <v/>
      </c>
      <c r="N1614" s="20">
        <f>IF($M1614="","",IF($M1614&lt;=0,"Sin stock: reponer ya",IF($M1614&lt;IFERROR(N(INDEX(Vinos!$N$2:$N$301,MATCH($B1614,Vinos!$A$2:$A$301,0))),0),"Bajo mínimo: reponer","OK")))</f>
        <v/>
      </c>
      <c r="O1614" s="14" t="n"/>
      <c r="P1614" s="14" t="n"/>
      <c r="Q1614" s="20">
        <f>IF($B1614="","",IFERROR(INDEX(Vinos!$C$2:$C$301,MATCH($B1614,Vinos!$A$2:$A$301,0)),""))</f>
        <v/>
      </c>
      <c r="R1614" s="20">
        <f>IF(OR($A1614="",$A1614&lt;&gt;'Resumen del inventario'!$C$3,$N1614="",$N1614="OK"),"",IF(COUNTIFS($A$2:$A1614,$A1614,$B$2:$B1614,$B1614)=1,1,""))</f>
        <v/>
      </c>
      <c r="S1614" s="20">
        <f>IF($R1614=1,COUNTIF($R$2:$R1614,1),"")</f>
        <v/>
      </c>
    </row>
    <row r="1615">
      <c r="A1615" s="19" t="n"/>
      <c r="B1615" s="14" t="n"/>
      <c r="C1615" s="20">
        <f>IF($B1615="","",IFERROR(INDEX(Vinos!$B$2:$B$301,MATCH($B1615,Vinos!$A$2:$A$301,0)),"Código no cargado"))</f>
        <v/>
      </c>
      <c r="D1615" s="14" t="n"/>
      <c r="E1615" s="14" t="n"/>
      <c r="F1615" s="18" t="n"/>
      <c r="G1615" s="18" t="n"/>
      <c r="H1615" s="21">
        <f>IF(AND($F1615="",$G1615=""),"",N($F1615)*IFERROR(N(INDEX(Vinos!$H$2:$H$301,MATCH($B1615,Vinos!$A$2:$A$301,0))),0)+N($G1615))</f>
        <v/>
      </c>
      <c r="I1615" s="18" t="n"/>
      <c r="J1615" s="21">
        <f>IF(OR($H1615="",$I1615=""),"",$H1615-$I1615)</f>
        <v/>
      </c>
      <c r="K1615" s="16">
        <f>IF($H1615="","",IFERROR(IF(INDEX(Vinos!$J$2:$J$301,MATCH($B1615,Vinos!$A$2:$A$301,0))="","",$H1615*INDEX(Vinos!$J$2:$J$301,MATCH($B1615,Vinos!$A$2:$A$301,0))),""))</f>
        <v/>
      </c>
      <c r="L1615" s="16">
        <f>IF($H1615="","",IFERROR(IF(INDEX(Vinos!$K$2:$K$301,MATCH($B1615,Vinos!$A$2:$A$301,0))="","",$H1615*INDEX(Vinos!$K$2:$K$301,MATCH($B1615,Vinos!$A$2:$A$301,0))),""))</f>
        <v/>
      </c>
      <c r="M1615" s="21">
        <f>IF(OR($A1615="",$B1615=""),"",SUMIFS($H$2:$H$2001,$A$2:$A$2001,$A1615,$B$2:$B$2001,$B1615))</f>
        <v/>
      </c>
      <c r="N1615" s="20">
        <f>IF($M1615="","",IF($M1615&lt;=0,"Sin stock: reponer ya",IF($M1615&lt;IFERROR(N(INDEX(Vinos!$N$2:$N$301,MATCH($B1615,Vinos!$A$2:$A$301,0))),0),"Bajo mínimo: reponer","OK")))</f>
        <v/>
      </c>
      <c r="O1615" s="14" t="n"/>
      <c r="P1615" s="14" t="n"/>
      <c r="Q1615" s="20">
        <f>IF($B1615="","",IFERROR(INDEX(Vinos!$C$2:$C$301,MATCH($B1615,Vinos!$A$2:$A$301,0)),""))</f>
        <v/>
      </c>
      <c r="R1615" s="20">
        <f>IF(OR($A1615="",$A1615&lt;&gt;'Resumen del inventario'!$C$3,$N1615="",$N1615="OK"),"",IF(COUNTIFS($A$2:$A1615,$A1615,$B$2:$B1615,$B1615)=1,1,""))</f>
        <v/>
      </c>
      <c r="S1615" s="20">
        <f>IF($R1615=1,COUNTIF($R$2:$R1615,1),"")</f>
        <v/>
      </c>
    </row>
    <row r="1616">
      <c r="A1616" s="19" t="n"/>
      <c r="B1616" s="14" t="n"/>
      <c r="C1616" s="20">
        <f>IF($B1616="","",IFERROR(INDEX(Vinos!$B$2:$B$301,MATCH($B1616,Vinos!$A$2:$A$301,0)),"Código no cargado"))</f>
        <v/>
      </c>
      <c r="D1616" s="14" t="n"/>
      <c r="E1616" s="14" t="n"/>
      <c r="F1616" s="18" t="n"/>
      <c r="G1616" s="18" t="n"/>
      <c r="H1616" s="21">
        <f>IF(AND($F1616="",$G1616=""),"",N($F1616)*IFERROR(N(INDEX(Vinos!$H$2:$H$301,MATCH($B1616,Vinos!$A$2:$A$301,0))),0)+N($G1616))</f>
        <v/>
      </c>
      <c r="I1616" s="18" t="n"/>
      <c r="J1616" s="21">
        <f>IF(OR($H1616="",$I1616=""),"",$H1616-$I1616)</f>
        <v/>
      </c>
      <c r="K1616" s="16">
        <f>IF($H1616="","",IFERROR(IF(INDEX(Vinos!$J$2:$J$301,MATCH($B1616,Vinos!$A$2:$A$301,0))="","",$H1616*INDEX(Vinos!$J$2:$J$301,MATCH($B1616,Vinos!$A$2:$A$301,0))),""))</f>
        <v/>
      </c>
      <c r="L1616" s="16">
        <f>IF($H1616="","",IFERROR(IF(INDEX(Vinos!$K$2:$K$301,MATCH($B1616,Vinos!$A$2:$A$301,0))="","",$H1616*INDEX(Vinos!$K$2:$K$301,MATCH($B1616,Vinos!$A$2:$A$301,0))),""))</f>
        <v/>
      </c>
      <c r="M1616" s="21">
        <f>IF(OR($A1616="",$B1616=""),"",SUMIFS($H$2:$H$2001,$A$2:$A$2001,$A1616,$B$2:$B$2001,$B1616))</f>
        <v/>
      </c>
      <c r="N1616" s="20">
        <f>IF($M1616="","",IF($M1616&lt;=0,"Sin stock: reponer ya",IF($M1616&lt;IFERROR(N(INDEX(Vinos!$N$2:$N$301,MATCH($B1616,Vinos!$A$2:$A$301,0))),0),"Bajo mínimo: reponer","OK")))</f>
        <v/>
      </c>
      <c r="O1616" s="14" t="n"/>
      <c r="P1616" s="14" t="n"/>
      <c r="Q1616" s="20">
        <f>IF($B1616="","",IFERROR(INDEX(Vinos!$C$2:$C$301,MATCH($B1616,Vinos!$A$2:$A$301,0)),""))</f>
        <v/>
      </c>
      <c r="R1616" s="20">
        <f>IF(OR($A1616="",$A1616&lt;&gt;'Resumen del inventario'!$C$3,$N1616="",$N1616="OK"),"",IF(COUNTIFS($A$2:$A1616,$A1616,$B$2:$B1616,$B1616)=1,1,""))</f>
        <v/>
      </c>
      <c r="S1616" s="20">
        <f>IF($R1616=1,COUNTIF($R$2:$R1616,1),"")</f>
        <v/>
      </c>
    </row>
    <row r="1617">
      <c r="A1617" s="19" t="n"/>
      <c r="B1617" s="14" t="n"/>
      <c r="C1617" s="20">
        <f>IF($B1617="","",IFERROR(INDEX(Vinos!$B$2:$B$301,MATCH($B1617,Vinos!$A$2:$A$301,0)),"Código no cargado"))</f>
        <v/>
      </c>
      <c r="D1617" s="14" t="n"/>
      <c r="E1617" s="14" t="n"/>
      <c r="F1617" s="18" t="n"/>
      <c r="G1617" s="18" t="n"/>
      <c r="H1617" s="21">
        <f>IF(AND($F1617="",$G1617=""),"",N($F1617)*IFERROR(N(INDEX(Vinos!$H$2:$H$301,MATCH($B1617,Vinos!$A$2:$A$301,0))),0)+N($G1617))</f>
        <v/>
      </c>
      <c r="I1617" s="18" t="n"/>
      <c r="J1617" s="21">
        <f>IF(OR($H1617="",$I1617=""),"",$H1617-$I1617)</f>
        <v/>
      </c>
      <c r="K1617" s="16">
        <f>IF($H1617="","",IFERROR(IF(INDEX(Vinos!$J$2:$J$301,MATCH($B1617,Vinos!$A$2:$A$301,0))="","",$H1617*INDEX(Vinos!$J$2:$J$301,MATCH($B1617,Vinos!$A$2:$A$301,0))),""))</f>
        <v/>
      </c>
      <c r="L1617" s="16">
        <f>IF($H1617="","",IFERROR(IF(INDEX(Vinos!$K$2:$K$301,MATCH($B1617,Vinos!$A$2:$A$301,0))="","",$H1617*INDEX(Vinos!$K$2:$K$301,MATCH($B1617,Vinos!$A$2:$A$301,0))),""))</f>
        <v/>
      </c>
      <c r="M1617" s="21">
        <f>IF(OR($A1617="",$B1617=""),"",SUMIFS($H$2:$H$2001,$A$2:$A$2001,$A1617,$B$2:$B$2001,$B1617))</f>
        <v/>
      </c>
      <c r="N1617" s="20">
        <f>IF($M1617="","",IF($M1617&lt;=0,"Sin stock: reponer ya",IF($M1617&lt;IFERROR(N(INDEX(Vinos!$N$2:$N$301,MATCH($B1617,Vinos!$A$2:$A$301,0))),0),"Bajo mínimo: reponer","OK")))</f>
        <v/>
      </c>
      <c r="O1617" s="14" t="n"/>
      <c r="P1617" s="14" t="n"/>
      <c r="Q1617" s="20">
        <f>IF($B1617="","",IFERROR(INDEX(Vinos!$C$2:$C$301,MATCH($B1617,Vinos!$A$2:$A$301,0)),""))</f>
        <v/>
      </c>
      <c r="R1617" s="20">
        <f>IF(OR($A1617="",$A1617&lt;&gt;'Resumen del inventario'!$C$3,$N1617="",$N1617="OK"),"",IF(COUNTIFS($A$2:$A1617,$A1617,$B$2:$B1617,$B1617)=1,1,""))</f>
        <v/>
      </c>
      <c r="S1617" s="20">
        <f>IF($R1617=1,COUNTIF($R$2:$R1617,1),"")</f>
        <v/>
      </c>
    </row>
    <row r="1618">
      <c r="A1618" s="19" t="n"/>
      <c r="B1618" s="14" t="n"/>
      <c r="C1618" s="20">
        <f>IF($B1618="","",IFERROR(INDEX(Vinos!$B$2:$B$301,MATCH($B1618,Vinos!$A$2:$A$301,0)),"Código no cargado"))</f>
        <v/>
      </c>
      <c r="D1618" s="14" t="n"/>
      <c r="E1618" s="14" t="n"/>
      <c r="F1618" s="18" t="n"/>
      <c r="G1618" s="18" t="n"/>
      <c r="H1618" s="21">
        <f>IF(AND($F1618="",$G1618=""),"",N($F1618)*IFERROR(N(INDEX(Vinos!$H$2:$H$301,MATCH($B1618,Vinos!$A$2:$A$301,0))),0)+N($G1618))</f>
        <v/>
      </c>
      <c r="I1618" s="18" t="n"/>
      <c r="J1618" s="21">
        <f>IF(OR($H1618="",$I1618=""),"",$H1618-$I1618)</f>
        <v/>
      </c>
      <c r="K1618" s="16">
        <f>IF($H1618="","",IFERROR(IF(INDEX(Vinos!$J$2:$J$301,MATCH($B1618,Vinos!$A$2:$A$301,0))="","",$H1618*INDEX(Vinos!$J$2:$J$301,MATCH($B1618,Vinos!$A$2:$A$301,0))),""))</f>
        <v/>
      </c>
      <c r="L1618" s="16">
        <f>IF($H1618="","",IFERROR(IF(INDEX(Vinos!$K$2:$K$301,MATCH($B1618,Vinos!$A$2:$A$301,0))="","",$H1618*INDEX(Vinos!$K$2:$K$301,MATCH($B1618,Vinos!$A$2:$A$301,0))),""))</f>
        <v/>
      </c>
      <c r="M1618" s="21">
        <f>IF(OR($A1618="",$B1618=""),"",SUMIFS($H$2:$H$2001,$A$2:$A$2001,$A1618,$B$2:$B$2001,$B1618))</f>
        <v/>
      </c>
      <c r="N1618" s="20">
        <f>IF($M1618="","",IF($M1618&lt;=0,"Sin stock: reponer ya",IF($M1618&lt;IFERROR(N(INDEX(Vinos!$N$2:$N$301,MATCH($B1618,Vinos!$A$2:$A$301,0))),0),"Bajo mínimo: reponer","OK")))</f>
        <v/>
      </c>
      <c r="O1618" s="14" t="n"/>
      <c r="P1618" s="14" t="n"/>
      <c r="Q1618" s="20">
        <f>IF($B1618="","",IFERROR(INDEX(Vinos!$C$2:$C$301,MATCH($B1618,Vinos!$A$2:$A$301,0)),""))</f>
        <v/>
      </c>
      <c r="R1618" s="20">
        <f>IF(OR($A1618="",$A1618&lt;&gt;'Resumen del inventario'!$C$3,$N1618="",$N1618="OK"),"",IF(COUNTIFS($A$2:$A1618,$A1618,$B$2:$B1618,$B1618)=1,1,""))</f>
        <v/>
      </c>
      <c r="S1618" s="20">
        <f>IF($R1618=1,COUNTIF($R$2:$R1618,1),"")</f>
        <v/>
      </c>
    </row>
    <row r="1619">
      <c r="A1619" s="19" t="n"/>
      <c r="B1619" s="14" t="n"/>
      <c r="C1619" s="20">
        <f>IF($B1619="","",IFERROR(INDEX(Vinos!$B$2:$B$301,MATCH($B1619,Vinos!$A$2:$A$301,0)),"Código no cargado"))</f>
        <v/>
      </c>
      <c r="D1619" s="14" t="n"/>
      <c r="E1619" s="14" t="n"/>
      <c r="F1619" s="18" t="n"/>
      <c r="G1619" s="18" t="n"/>
      <c r="H1619" s="21">
        <f>IF(AND($F1619="",$G1619=""),"",N($F1619)*IFERROR(N(INDEX(Vinos!$H$2:$H$301,MATCH($B1619,Vinos!$A$2:$A$301,0))),0)+N($G1619))</f>
        <v/>
      </c>
      <c r="I1619" s="18" t="n"/>
      <c r="J1619" s="21">
        <f>IF(OR($H1619="",$I1619=""),"",$H1619-$I1619)</f>
        <v/>
      </c>
      <c r="K1619" s="16">
        <f>IF($H1619="","",IFERROR(IF(INDEX(Vinos!$J$2:$J$301,MATCH($B1619,Vinos!$A$2:$A$301,0))="","",$H1619*INDEX(Vinos!$J$2:$J$301,MATCH($B1619,Vinos!$A$2:$A$301,0))),""))</f>
        <v/>
      </c>
      <c r="L1619" s="16">
        <f>IF($H1619="","",IFERROR(IF(INDEX(Vinos!$K$2:$K$301,MATCH($B1619,Vinos!$A$2:$A$301,0))="","",$H1619*INDEX(Vinos!$K$2:$K$301,MATCH($B1619,Vinos!$A$2:$A$301,0))),""))</f>
        <v/>
      </c>
      <c r="M1619" s="21">
        <f>IF(OR($A1619="",$B1619=""),"",SUMIFS($H$2:$H$2001,$A$2:$A$2001,$A1619,$B$2:$B$2001,$B1619))</f>
        <v/>
      </c>
      <c r="N1619" s="20">
        <f>IF($M1619="","",IF($M1619&lt;=0,"Sin stock: reponer ya",IF($M1619&lt;IFERROR(N(INDEX(Vinos!$N$2:$N$301,MATCH($B1619,Vinos!$A$2:$A$301,0))),0),"Bajo mínimo: reponer","OK")))</f>
        <v/>
      </c>
      <c r="O1619" s="14" t="n"/>
      <c r="P1619" s="14" t="n"/>
      <c r="Q1619" s="20">
        <f>IF($B1619="","",IFERROR(INDEX(Vinos!$C$2:$C$301,MATCH($B1619,Vinos!$A$2:$A$301,0)),""))</f>
        <v/>
      </c>
      <c r="R1619" s="20">
        <f>IF(OR($A1619="",$A1619&lt;&gt;'Resumen del inventario'!$C$3,$N1619="",$N1619="OK"),"",IF(COUNTIFS($A$2:$A1619,$A1619,$B$2:$B1619,$B1619)=1,1,""))</f>
        <v/>
      </c>
      <c r="S1619" s="20">
        <f>IF($R1619=1,COUNTIF($R$2:$R1619,1),"")</f>
        <v/>
      </c>
    </row>
    <row r="1620">
      <c r="A1620" s="19" t="n"/>
      <c r="B1620" s="14" t="n"/>
      <c r="C1620" s="20">
        <f>IF($B1620="","",IFERROR(INDEX(Vinos!$B$2:$B$301,MATCH($B1620,Vinos!$A$2:$A$301,0)),"Código no cargado"))</f>
        <v/>
      </c>
      <c r="D1620" s="14" t="n"/>
      <c r="E1620" s="14" t="n"/>
      <c r="F1620" s="18" t="n"/>
      <c r="G1620" s="18" t="n"/>
      <c r="H1620" s="21">
        <f>IF(AND($F1620="",$G1620=""),"",N($F1620)*IFERROR(N(INDEX(Vinos!$H$2:$H$301,MATCH($B1620,Vinos!$A$2:$A$301,0))),0)+N($G1620))</f>
        <v/>
      </c>
      <c r="I1620" s="18" t="n"/>
      <c r="J1620" s="21">
        <f>IF(OR($H1620="",$I1620=""),"",$H1620-$I1620)</f>
        <v/>
      </c>
      <c r="K1620" s="16">
        <f>IF($H1620="","",IFERROR(IF(INDEX(Vinos!$J$2:$J$301,MATCH($B1620,Vinos!$A$2:$A$301,0))="","",$H1620*INDEX(Vinos!$J$2:$J$301,MATCH($B1620,Vinos!$A$2:$A$301,0))),""))</f>
        <v/>
      </c>
      <c r="L1620" s="16">
        <f>IF($H1620="","",IFERROR(IF(INDEX(Vinos!$K$2:$K$301,MATCH($B1620,Vinos!$A$2:$A$301,0))="","",$H1620*INDEX(Vinos!$K$2:$K$301,MATCH($B1620,Vinos!$A$2:$A$301,0))),""))</f>
        <v/>
      </c>
      <c r="M1620" s="21">
        <f>IF(OR($A1620="",$B1620=""),"",SUMIFS($H$2:$H$2001,$A$2:$A$2001,$A1620,$B$2:$B$2001,$B1620))</f>
        <v/>
      </c>
      <c r="N1620" s="20">
        <f>IF($M1620="","",IF($M1620&lt;=0,"Sin stock: reponer ya",IF($M1620&lt;IFERROR(N(INDEX(Vinos!$N$2:$N$301,MATCH($B1620,Vinos!$A$2:$A$301,0))),0),"Bajo mínimo: reponer","OK")))</f>
        <v/>
      </c>
      <c r="O1620" s="14" t="n"/>
      <c r="P1620" s="14" t="n"/>
      <c r="Q1620" s="20">
        <f>IF($B1620="","",IFERROR(INDEX(Vinos!$C$2:$C$301,MATCH($B1620,Vinos!$A$2:$A$301,0)),""))</f>
        <v/>
      </c>
      <c r="R1620" s="20">
        <f>IF(OR($A1620="",$A1620&lt;&gt;'Resumen del inventario'!$C$3,$N1620="",$N1620="OK"),"",IF(COUNTIFS($A$2:$A1620,$A1620,$B$2:$B1620,$B1620)=1,1,""))</f>
        <v/>
      </c>
      <c r="S1620" s="20">
        <f>IF($R1620=1,COUNTIF($R$2:$R1620,1),"")</f>
        <v/>
      </c>
    </row>
    <row r="1621">
      <c r="A1621" s="19" t="n"/>
      <c r="B1621" s="14" t="n"/>
      <c r="C1621" s="20">
        <f>IF($B1621="","",IFERROR(INDEX(Vinos!$B$2:$B$301,MATCH($B1621,Vinos!$A$2:$A$301,0)),"Código no cargado"))</f>
        <v/>
      </c>
      <c r="D1621" s="14" t="n"/>
      <c r="E1621" s="14" t="n"/>
      <c r="F1621" s="18" t="n"/>
      <c r="G1621" s="18" t="n"/>
      <c r="H1621" s="21">
        <f>IF(AND($F1621="",$G1621=""),"",N($F1621)*IFERROR(N(INDEX(Vinos!$H$2:$H$301,MATCH($B1621,Vinos!$A$2:$A$301,0))),0)+N($G1621))</f>
        <v/>
      </c>
      <c r="I1621" s="18" t="n"/>
      <c r="J1621" s="21">
        <f>IF(OR($H1621="",$I1621=""),"",$H1621-$I1621)</f>
        <v/>
      </c>
      <c r="K1621" s="16">
        <f>IF($H1621="","",IFERROR(IF(INDEX(Vinos!$J$2:$J$301,MATCH($B1621,Vinos!$A$2:$A$301,0))="","",$H1621*INDEX(Vinos!$J$2:$J$301,MATCH($B1621,Vinos!$A$2:$A$301,0))),""))</f>
        <v/>
      </c>
      <c r="L1621" s="16">
        <f>IF($H1621="","",IFERROR(IF(INDEX(Vinos!$K$2:$K$301,MATCH($B1621,Vinos!$A$2:$A$301,0))="","",$H1621*INDEX(Vinos!$K$2:$K$301,MATCH($B1621,Vinos!$A$2:$A$301,0))),""))</f>
        <v/>
      </c>
      <c r="M1621" s="21">
        <f>IF(OR($A1621="",$B1621=""),"",SUMIFS($H$2:$H$2001,$A$2:$A$2001,$A1621,$B$2:$B$2001,$B1621))</f>
        <v/>
      </c>
      <c r="N1621" s="20">
        <f>IF($M1621="","",IF($M1621&lt;=0,"Sin stock: reponer ya",IF($M1621&lt;IFERROR(N(INDEX(Vinos!$N$2:$N$301,MATCH($B1621,Vinos!$A$2:$A$301,0))),0),"Bajo mínimo: reponer","OK")))</f>
        <v/>
      </c>
      <c r="O1621" s="14" t="n"/>
      <c r="P1621" s="14" t="n"/>
      <c r="Q1621" s="20">
        <f>IF($B1621="","",IFERROR(INDEX(Vinos!$C$2:$C$301,MATCH($B1621,Vinos!$A$2:$A$301,0)),""))</f>
        <v/>
      </c>
      <c r="R1621" s="20">
        <f>IF(OR($A1621="",$A1621&lt;&gt;'Resumen del inventario'!$C$3,$N1621="",$N1621="OK"),"",IF(COUNTIFS($A$2:$A1621,$A1621,$B$2:$B1621,$B1621)=1,1,""))</f>
        <v/>
      </c>
      <c r="S1621" s="20">
        <f>IF($R1621=1,COUNTIF($R$2:$R1621,1),"")</f>
        <v/>
      </c>
    </row>
    <row r="1622">
      <c r="A1622" s="19" t="n"/>
      <c r="B1622" s="14" t="n"/>
      <c r="C1622" s="20">
        <f>IF($B1622="","",IFERROR(INDEX(Vinos!$B$2:$B$301,MATCH($B1622,Vinos!$A$2:$A$301,0)),"Código no cargado"))</f>
        <v/>
      </c>
      <c r="D1622" s="14" t="n"/>
      <c r="E1622" s="14" t="n"/>
      <c r="F1622" s="18" t="n"/>
      <c r="G1622" s="18" t="n"/>
      <c r="H1622" s="21">
        <f>IF(AND($F1622="",$G1622=""),"",N($F1622)*IFERROR(N(INDEX(Vinos!$H$2:$H$301,MATCH($B1622,Vinos!$A$2:$A$301,0))),0)+N($G1622))</f>
        <v/>
      </c>
      <c r="I1622" s="18" t="n"/>
      <c r="J1622" s="21">
        <f>IF(OR($H1622="",$I1622=""),"",$H1622-$I1622)</f>
        <v/>
      </c>
      <c r="K1622" s="16">
        <f>IF($H1622="","",IFERROR(IF(INDEX(Vinos!$J$2:$J$301,MATCH($B1622,Vinos!$A$2:$A$301,0))="","",$H1622*INDEX(Vinos!$J$2:$J$301,MATCH($B1622,Vinos!$A$2:$A$301,0))),""))</f>
        <v/>
      </c>
      <c r="L1622" s="16">
        <f>IF($H1622="","",IFERROR(IF(INDEX(Vinos!$K$2:$K$301,MATCH($B1622,Vinos!$A$2:$A$301,0))="","",$H1622*INDEX(Vinos!$K$2:$K$301,MATCH($B1622,Vinos!$A$2:$A$301,0))),""))</f>
        <v/>
      </c>
      <c r="M1622" s="21">
        <f>IF(OR($A1622="",$B1622=""),"",SUMIFS($H$2:$H$2001,$A$2:$A$2001,$A1622,$B$2:$B$2001,$B1622))</f>
        <v/>
      </c>
      <c r="N1622" s="20">
        <f>IF($M1622="","",IF($M1622&lt;=0,"Sin stock: reponer ya",IF($M1622&lt;IFERROR(N(INDEX(Vinos!$N$2:$N$301,MATCH($B1622,Vinos!$A$2:$A$301,0))),0),"Bajo mínimo: reponer","OK")))</f>
        <v/>
      </c>
      <c r="O1622" s="14" t="n"/>
      <c r="P1622" s="14" t="n"/>
      <c r="Q1622" s="20">
        <f>IF($B1622="","",IFERROR(INDEX(Vinos!$C$2:$C$301,MATCH($B1622,Vinos!$A$2:$A$301,0)),""))</f>
        <v/>
      </c>
      <c r="R1622" s="20">
        <f>IF(OR($A1622="",$A1622&lt;&gt;'Resumen del inventario'!$C$3,$N1622="",$N1622="OK"),"",IF(COUNTIFS($A$2:$A1622,$A1622,$B$2:$B1622,$B1622)=1,1,""))</f>
        <v/>
      </c>
      <c r="S1622" s="20">
        <f>IF($R1622=1,COUNTIF($R$2:$R1622,1),"")</f>
        <v/>
      </c>
    </row>
    <row r="1623">
      <c r="A1623" s="19" t="n"/>
      <c r="B1623" s="14" t="n"/>
      <c r="C1623" s="20">
        <f>IF($B1623="","",IFERROR(INDEX(Vinos!$B$2:$B$301,MATCH($B1623,Vinos!$A$2:$A$301,0)),"Código no cargado"))</f>
        <v/>
      </c>
      <c r="D1623" s="14" t="n"/>
      <c r="E1623" s="14" t="n"/>
      <c r="F1623" s="18" t="n"/>
      <c r="G1623" s="18" t="n"/>
      <c r="H1623" s="21">
        <f>IF(AND($F1623="",$G1623=""),"",N($F1623)*IFERROR(N(INDEX(Vinos!$H$2:$H$301,MATCH($B1623,Vinos!$A$2:$A$301,0))),0)+N($G1623))</f>
        <v/>
      </c>
      <c r="I1623" s="18" t="n"/>
      <c r="J1623" s="21">
        <f>IF(OR($H1623="",$I1623=""),"",$H1623-$I1623)</f>
        <v/>
      </c>
      <c r="K1623" s="16">
        <f>IF($H1623="","",IFERROR(IF(INDEX(Vinos!$J$2:$J$301,MATCH($B1623,Vinos!$A$2:$A$301,0))="","",$H1623*INDEX(Vinos!$J$2:$J$301,MATCH($B1623,Vinos!$A$2:$A$301,0))),""))</f>
        <v/>
      </c>
      <c r="L1623" s="16">
        <f>IF($H1623="","",IFERROR(IF(INDEX(Vinos!$K$2:$K$301,MATCH($B1623,Vinos!$A$2:$A$301,0))="","",$H1623*INDEX(Vinos!$K$2:$K$301,MATCH($B1623,Vinos!$A$2:$A$301,0))),""))</f>
        <v/>
      </c>
      <c r="M1623" s="21">
        <f>IF(OR($A1623="",$B1623=""),"",SUMIFS($H$2:$H$2001,$A$2:$A$2001,$A1623,$B$2:$B$2001,$B1623))</f>
        <v/>
      </c>
      <c r="N1623" s="20">
        <f>IF($M1623="","",IF($M1623&lt;=0,"Sin stock: reponer ya",IF($M1623&lt;IFERROR(N(INDEX(Vinos!$N$2:$N$301,MATCH($B1623,Vinos!$A$2:$A$301,0))),0),"Bajo mínimo: reponer","OK")))</f>
        <v/>
      </c>
      <c r="O1623" s="14" t="n"/>
      <c r="P1623" s="14" t="n"/>
      <c r="Q1623" s="20">
        <f>IF($B1623="","",IFERROR(INDEX(Vinos!$C$2:$C$301,MATCH($B1623,Vinos!$A$2:$A$301,0)),""))</f>
        <v/>
      </c>
      <c r="R1623" s="20">
        <f>IF(OR($A1623="",$A1623&lt;&gt;'Resumen del inventario'!$C$3,$N1623="",$N1623="OK"),"",IF(COUNTIFS($A$2:$A1623,$A1623,$B$2:$B1623,$B1623)=1,1,""))</f>
        <v/>
      </c>
      <c r="S1623" s="20">
        <f>IF($R1623=1,COUNTIF($R$2:$R1623,1),"")</f>
        <v/>
      </c>
    </row>
    <row r="1624">
      <c r="A1624" s="19" t="n"/>
      <c r="B1624" s="14" t="n"/>
      <c r="C1624" s="20">
        <f>IF($B1624="","",IFERROR(INDEX(Vinos!$B$2:$B$301,MATCH($B1624,Vinos!$A$2:$A$301,0)),"Código no cargado"))</f>
        <v/>
      </c>
      <c r="D1624" s="14" t="n"/>
      <c r="E1624" s="14" t="n"/>
      <c r="F1624" s="18" t="n"/>
      <c r="G1624" s="18" t="n"/>
      <c r="H1624" s="21">
        <f>IF(AND($F1624="",$G1624=""),"",N($F1624)*IFERROR(N(INDEX(Vinos!$H$2:$H$301,MATCH($B1624,Vinos!$A$2:$A$301,0))),0)+N($G1624))</f>
        <v/>
      </c>
      <c r="I1624" s="18" t="n"/>
      <c r="J1624" s="21">
        <f>IF(OR($H1624="",$I1624=""),"",$H1624-$I1624)</f>
        <v/>
      </c>
      <c r="K1624" s="16">
        <f>IF($H1624="","",IFERROR(IF(INDEX(Vinos!$J$2:$J$301,MATCH($B1624,Vinos!$A$2:$A$301,0))="","",$H1624*INDEX(Vinos!$J$2:$J$301,MATCH($B1624,Vinos!$A$2:$A$301,0))),""))</f>
        <v/>
      </c>
      <c r="L1624" s="16">
        <f>IF($H1624="","",IFERROR(IF(INDEX(Vinos!$K$2:$K$301,MATCH($B1624,Vinos!$A$2:$A$301,0))="","",$H1624*INDEX(Vinos!$K$2:$K$301,MATCH($B1624,Vinos!$A$2:$A$301,0))),""))</f>
        <v/>
      </c>
      <c r="M1624" s="21">
        <f>IF(OR($A1624="",$B1624=""),"",SUMIFS($H$2:$H$2001,$A$2:$A$2001,$A1624,$B$2:$B$2001,$B1624))</f>
        <v/>
      </c>
      <c r="N1624" s="20">
        <f>IF($M1624="","",IF($M1624&lt;=0,"Sin stock: reponer ya",IF($M1624&lt;IFERROR(N(INDEX(Vinos!$N$2:$N$301,MATCH($B1624,Vinos!$A$2:$A$301,0))),0),"Bajo mínimo: reponer","OK")))</f>
        <v/>
      </c>
      <c r="O1624" s="14" t="n"/>
      <c r="P1624" s="14" t="n"/>
      <c r="Q1624" s="20">
        <f>IF($B1624="","",IFERROR(INDEX(Vinos!$C$2:$C$301,MATCH($B1624,Vinos!$A$2:$A$301,0)),""))</f>
        <v/>
      </c>
      <c r="R1624" s="20">
        <f>IF(OR($A1624="",$A1624&lt;&gt;'Resumen del inventario'!$C$3,$N1624="",$N1624="OK"),"",IF(COUNTIFS($A$2:$A1624,$A1624,$B$2:$B1624,$B1624)=1,1,""))</f>
        <v/>
      </c>
      <c r="S1624" s="20">
        <f>IF($R1624=1,COUNTIF($R$2:$R1624,1),"")</f>
        <v/>
      </c>
    </row>
    <row r="1625">
      <c r="A1625" s="19" t="n"/>
      <c r="B1625" s="14" t="n"/>
      <c r="C1625" s="20">
        <f>IF($B1625="","",IFERROR(INDEX(Vinos!$B$2:$B$301,MATCH($B1625,Vinos!$A$2:$A$301,0)),"Código no cargado"))</f>
        <v/>
      </c>
      <c r="D1625" s="14" t="n"/>
      <c r="E1625" s="14" t="n"/>
      <c r="F1625" s="18" t="n"/>
      <c r="G1625" s="18" t="n"/>
      <c r="H1625" s="21">
        <f>IF(AND($F1625="",$G1625=""),"",N($F1625)*IFERROR(N(INDEX(Vinos!$H$2:$H$301,MATCH($B1625,Vinos!$A$2:$A$301,0))),0)+N($G1625))</f>
        <v/>
      </c>
      <c r="I1625" s="18" t="n"/>
      <c r="J1625" s="21">
        <f>IF(OR($H1625="",$I1625=""),"",$H1625-$I1625)</f>
        <v/>
      </c>
      <c r="K1625" s="16">
        <f>IF($H1625="","",IFERROR(IF(INDEX(Vinos!$J$2:$J$301,MATCH($B1625,Vinos!$A$2:$A$301,0))="","",$H1625*INDEX(Vinos!$J$2:$J$301,MATCH($B1625,Vinos!$A$2:$A$301,0))),""))</f>
        <v/>
      </c>
      <c r="L1625" s="16">
        <f>IF($H1625="","",IFERROR(IF(INDEX(Vinos!$K$2:$K$301,MATCH($B1625,Vinos!$A$2:$A$301,0))="","",$H1625*INDEX(Vinos!$K$2:$K$301,MATCH($B1625,Vinos!$A$2:$A$301,0))),""))</f>
        <v/>
      </c>
      <c r="M1625" s="21">
        <f>IF(OR($A1625="",$B1625=""),"",SUMIFS($H$2:$H$2001,$A$2:$A$2001,$A1625,$B$2:$B$2001,$B1625))</f>
        <v/>
      </c>
      <c r="N1625" s="20">
        <f>IF($M1625="","",IF($M1625&lt;=0,"Sin stock: reponer ya",IF($M1625&lt;IFERROR(N(INDEX(Vinos!$N$2:$N$301,MATCH($B1625,Vinos!$A$2:$A$301,0))),0),"Bajo mínimo: reponer","OK")))</f>
        <v/>
      </c>
      <c r="O1625" s="14" t="n"/>
      <c r="P1625" s="14" t="n"/>
      <c r="Q1625" s="20">
        <f>IF($B1625="","",IFERROR(INDEX(Vinos!$C$2:$C$301,MATCH($B1625,Vinos!$A$2:$A$301,0)),""))</f>
        <v/>
      </c>
      <c r="R1625" s="20">
        <f>IF(OR($A1625="",$A1625&lt;&gt;'Resumen del inventario'!$C$3,$N1625="",$N1625="OK"),"",IF(COUNTIFS($A$2:$A1625,$A1625,$B$2:$B1625,$B1625)=1,1,""))</f>
        <v/>
      </c>
      <c r="S1625" s="20">
        <f>IF($R1625=1,COUNTIF($R$2:$R1625,1),"")</f>
        <v/>
      </c>
    </row>
    <row r="1626">
      <c r="A1626" s="19" t="n"/>
      <c r="B1626" s="14" t="n"/>
      <c r="C1626" s="20">
        <f>IF($B1626="","",IFERROR(INDEX(Vinos!$B$2:$B$301,MATCH($B1626,Vinos!$A$2:$A$301,0)),"Código no cargado"))</f>
        <v/>
      </c>
      <c r="D1626" s="14" t="n"/>
      <c r="E1626" s="14" t="n"/>
      <c r="F1626" s="18" t="n"/>
      <c r="G1626" s="18" t="n"/>
      <c r="H1626" s="21">
        <f>IF(AND($F1626="",$G1626=""),"",N($F1626)*IFERROR(N(INDEX(Vinos!$H$2:$H$301,MATCH($B1626,Vinos!$A$2:$A$301,0))),0)+N($G1626))</f>
        <v/>
      </c>
      <c r="I1626" s="18" t="n"/>
      <c r="J1626" s="21">
        <f>IF(OR($H1626="",$I1626=""),"",$H1626-$I1626)</f>
        <v/>
      </c>
      <c r="K1626" s="16">
        <f>IF($H1626="","",IFERROR(IF(INDEX(Vinos!$J$2:$J$301,MATCH($B1626,Vinos!$A$2:$A$301,0))="","",$H1626*INDEX(Vinos!$J$2:$J$301,MATCH($B1626,Vinos!$A$2:$A$301,0))),""))</f>
        <v/>
      </c>
      <c r="L1626" s="16">
        <f>IF($H1626="","",IFERROR(IF(INDEX(Vinos!$K$2:$K$301,MATCH($B1626,Vinos!$A$2:$A$301,0))="","",$H1626*INDEX(Vinos!$K$2:$K$301,MATCH($B1626,Vinos!$A$2:$A$301,0))),""))</f>
        <v/>
      </c>
      <c r="M1626" s="21">
        <f>IF(OR($A1626="",$B1626=""),"",SUMIFS($H$2:$H$2001,$A$2:$A$2001,$A1626,$B$2:$B$2001,$B1626))</f>
        <v/>
      </c>
      <c r="N1626" s="20">
        <f>IF($M1626="","",IF($M1626&lt;=0,"Sin stock: reponer ya",IF($M1626&lt;IFERROR(N(INDEX(Vinos!$N$2:$N$301,MATCH($B1626,Vinos!$A$2:$A$301,0))),0),"Bajo mínimo: reponer","OK")))</f>
        <v/>
      </c>
      <c r="O1626" s="14" t="n"/>
      <c r="P1626" s="14" t="n"/>
      <c r="Q1626" s="20">
        <f>IF($B1626="","",IFERROR(INDEX(Vinos!$C$2:$C$301,MATCH($B1626,Vinos!$A$2:$A$301,0)),""))</f>
        <v/>
      </c>
      <c r="R1626" s="20">
        <f>IF(OR($A1626="",$A1626&lt;&gt;'Resumen del inventario'!$C$3,$N1626="",$N1626="OK"),"",IF(COUNTIFS($A$2:$A1626,$A1626,$B$2:$B1626,$B1626)=1,1,""))</f>
        <v/>
      </c>
      <c r="S1626" s="20">
        <f>IF($R1626=1,COUNTIF($R$2:$R1626,1),"")</f>
        <v/>
      </c>
    </row>
    <row r="1627">
      <c r="A1627" s="19" t="n"/>
      <c r="B1627" s="14" t="n"/>
      <c r="C1627" s="20">
        <f>IF($B1627="","",IFERROR(INDEX(Vinos!$B$2:$B$301,MATCH($B1627,Vinos!$A$2:$A$301,0)),"Código no cargado"))</f>
        <v/>
      </c>
      <c r="D1627" s="14" t="n"/>
      <c r="E1627" s="14" t="n"/>
      <c r="F1627" s="18" t="n"/>
      <c r="G1627" s="18" t="n"/>
      <c r="H1627" s="21">
        <f>IF(AND($F1627="",$G1627=""),"",N($F1627)*IFERROR(N(INDEX(Vinos!$H$2:$H$301,MATCH($B1627,Vinos!$A$2:$A$301,0))),0)+N($G1627))</f>
        <v/>
      </c>
      <c r="I1627" s="18" t="n"/>
      <c r="J1627" s="21">
        <f>IF(OR($H1627="",$I1627=""),"",$H1627-$I1627)</f>
        <v/>
      </c>
      <c r="K1627" s="16">
        <f>IF($H1627="","",IFERROR(IF(INDEX(Vinos!$J$2:$J$301,MATCH($B1627,Vinos!$A$2:$A$301,0))="","",$H1627*INDEX(Vinos!$J$2:$J$301,MATCH($B1627,Vinos!$A$2:$A$301,0))),""))</f>
        <v/>
      </c>
      <c r="L1627" s="16">
        <f>IF($H1627="","",IFERROR(IF(INDEX(Vinos!$K$2:$K$301,MATCH($B1627,Vinos!$A$2:$A$301,0))="","",$H1627*INDEX(Vinos!$K$2:$K$301,MATCH($B1627,Vinos!$A$2:$A$301,0))),""))</f>
        <v/>
      </c>
      <c r="M1627" s="21">
        <f>IF(OR($A1627="",$B1627=""),"",SUMIFS($H$2:$H$2001,$A$2:$A$2001,$A1627,$B$2:$B$2001,$B1627))</f>
        <v/>
      </c>
      <c r="N1627" s="20">
        <f>IF($M1627="","",IF($M1627&lt;=0,"Sin stock: reponer ya",IF($M1627&lt;IFERROR(N(INDEX(Vinos!$N$2:$N$301,MATCH($B1627,Vinos!$A$2:$A$301,0))),0),"Bajo mínimo: reponer","OK")))</f>
        <v/>
      </c>
      <c r="O1627" s="14" t="n"/>
      <c r="P1627" s="14" t="n"/>
      <c r="Q1627" s="20">
        <f>IF($B1627="","",IFERROR(INDEX(Vinos!$C$2:$C$301,MATCH($B1627,Vinos!$A$2:$A$301,0)),""))</f>
        <v/>
      </c>
      <c r="R1627" s="20">
        <f>IF(OR($A1627="",$A1627&lt;&gt;'Resumen del inventario'!$C$3,$N1627="",$N1627="OK"),"",IF(COUNTIFS($A$2:$A1627,$A1627,$B$2:$B1627,$B1627)=1,1,""))</f>
        <v/>
      </c>
      <c r="S1627" s="20">
        <f>IF($R1627=1,COUNTIF($R$2:$R1627,1),"")</f>
        <v/>
      </c>
    </row>
    <row r="1628">
      <c r="A1628" s="19" t="n"/>
      <c r="B1628" s="14" t="n"/>
      <c r="C1628" s="20">
        <f>IF($B1628="","",IFERROR(INDEX(Vinos!$B$2:$B$301,MATCH($B1628,Vinos!$A$2:$A$301,0)),"Código no cargado"))</f>
        <v/>
      </c>
      <c r="D1628" s="14" t="n"/>
      <c r="E1628" s="14" t="n"/>
      <c r="F1628" s="18" t="n"/>
      <c r="G1628" s="18" t="n"/>
      <c r="H1628" s="21">
        <f>IF(AND($F1628="",$G1628=""),"",N($F1628)*IFERROR(N(INDEX(Vinos!$H$2:$H$301,MATCH($B1628,Vinos!$A$2:$A$301,0))),0)+N($G1628))</f>
        <v/>
      </c>
      <c r="I1628" s="18" t="n"/>
      <c r="J1628" s="21">
        <f>IF(OR($H1628="",$I1628=""),"",$H1628-$I1628)</f>
        <v/>
      </c>
      <c r="K1628" s="16">
        <f>IF($H1628="","",IFERROR(IF(INDEX(Vinos!$J$2:$J$301,MATCH($B1628,Vinos!$A$2:$A$301,0))="","",$H1628*INDEX(Vinos!$J$2:$J$301,MATCH($B1628,Vinos!$A$2:$A$301,0))),""))</f>
        <v/>
      </c>
      <c r="L1628" s="16">
        <f>IF($H1628="","",IFERROR(IF(INDEX(Vinos!$K$2:$K$301,MATCH($B1628,Vinos!$A$2:$A$301,0))="","",$H1628*INDEX(Vinos!$K$2:$K$301,MATCH($B1628,Vinos!$A$2:$A$301,0))),""))</f>
        <v/>
      </c>
      <c r="M1628" s="21">
        <f>IF(OR($A1628="",$B1628=""),"",SUMIFS($H$2:$H$2001,$A$2:$A$2001,$A1628,$B$2:$B$2001,$B1628))</f>
        <v/>
      </c>
      <c r="N1628" s="20">
        <f>IF($M1628="","",IF($M1628&lt;=0,"Sin stock: reponer ya",IF($M1628&lt;IFERROR(N(INDEX(Vinos!$N$2:$N$301,MATCH($B1628,Vinos!$A$2:$A$301,0))),0),"Bajo mínimo: reponer","OK")))</f>
        <v/>
      </c>
      <c r="O1628" s="14" t="n"/>
      <c r="P1628" s="14" t="n"/>
      <c r="Q1628" s="20">
        <f>IF($B1628="","",IFERROR(INDEX(Vinos!$C$2:$C$301,MATCH($B1628,Vinos!$A$2:$A$301,0)),""))</f>
        <v/>
      </c>
      <c r="R1628" s="20">
        <f>IF(OR($A1628="",$A1628&lt;&gt;'Resumen del inventario'!$C$3,$N1628="",$N1628="OK"),"",IF(COUNTIFS($A$2:$A1628,$A1628,$B$2:$B1628,$B1628)=1,1,""))</f>
        <v/>
      </c>
      <c r="S1628" s="20">
        <f>IF($R1628=1,COUNTIF($R$2:$R1628,1),"")</f>
        <v/>
      </c>
    </row>
    <row r="1629">
      <c r="A1629" s="19" t="n"/>
      <c r="B1629" s="14" t="n"/>
      <c r="C1629" s="20">
        <f>IF($B1629="","",IFERROR(INDEX(Vinos!$B$2:$B$301,MATCH($B1629,Vinos!$A$2:$A$301,0)),"Código no cargado"))</f>
        <v/>
      </c>
      <c r="D1629" s="14" t="n"/>
      <c r="E1629" s="14" t="n"/>
      <c r="F1629" s="18" t="n"/>
      <c r="G1629" s="18" t="n"/>
      <c r="H1629" s="21">
        <f>IF(AND($F1629="",$G1629=""),"",N($F1629)*IFERROR(N(INDEX(Vinos!$H$2:$H$301,MATCH($B1629,Vinos!$A$2:$A$301,0))),0)+N($G1629))</f>
        <v/>
      </c>
      <c r="I1629" s="18" t="n"/>
      <c r="J1629" s="21">
        <f>IF(OR($H1629="",$I1629=""),"",$H1629-$I1629)</f>
        <v/>
      </c>
      <c r="K1629" s="16">
        <f>IF($H1629="","",IFERROR(IF(INDEX(Vinos!$J$2:$J$301,MATCH($B1629,Vinos!$A$2:$A$301,0))="","",$H1629*INDEX(Vinos!$J$2:$J$301,MATCH($B1629,Vinos!$A$2:$A$301,0))),""))</f>
        <v/>
      </c>
      <c r="L1629" s="16">
        <f>IF($H1629="","",IFERROR(IF(INDEX(Vinos!$K$2:$K$301,MATCH($B1629,Vinos!$A$2:$A$301,0))="","",$H1629*INDEX(Vinos!$K$2:$K$301,MATCH($B1629,Vinos!$A$2:$A$301,0))),""))</f>
        <v/>
      </c>
      <c r="M1629" s="21">
        <f>IF(OR($A1629="",$B1629=""),"",SUMIFS($H$2:$H$2001,$A$2:$A$2001,$A1629,$B$2:$B$2001,$B1629))</f>
        <v/>
      </c>
      <c r="N1629" s="20">
        <f>IF($M1629="","",IF($M1629&lt;=0,"Sin stock: reponer ya",IF($M1629&lt;IFERROR(N(INDEX(Vinos!$N$2:$N$301,MATCH($B1629,Vinos!$A$2:$A$301,0))),0),"Bajo mínimo: reponer","OK")))</f>
        <v/>
      </c>
      <c r="O1629" s="14" t="n"/>
      <c r="P1629" s="14" t="n"/>
      <c r="Q1629" s="20">
        <f>IF($B1629="","",IFERROR(INDEX(Vinos!$C$2:$C$301,MATCH($B1629,Vinos!$A$2:$A$301,0)),""))</f>
        <v/>
      </c>
      <c r="R1629" s="20">
        <f>IF(OR($A1629="",$A1629&lt;&gt;'Resumen del inventario'!$C$3,$N1629="",$N1629="OK"),"",IF(COUNTIFS($A$2:$A1629,$A1629,$B$2:$B1629,$B1629)=1,1,""))</f>
        <v/>
      </c>
      <c r="S1629" s="20">
        <f>IF($R1629=1,COUNTIF($R$2:$R1629,1),"")</f>
        <v/>
      </c>
    </row>
    <row r="1630">
      <c r="A1630" s="19" t="n"/>
      <c r="B1630" s="14" t="n"/>
      <c r="C1630" s="20">
        <f>IF($B1630="","",IFERROR(INDEX(Vinos!$B$2:$B$301,MATCH($B1630,Vinos!$A$2:$A$301,0)),"Código no cargado"))</f>
        <v/>
      </c>
      <c r="D1630" s="14" t="n"/>
      <c r="E1630" s="14" t="n"/>
      <c r="F1630" s="18" t="n"/>
      <c r="G1630" s="18" t="n"/>
      <c r="H1630" s="21">
        <f>IF(AND($F1630="",$G1630=""),"",N($F1630)*IFERROR(N(INDEX(Vinos!$H$2:$H$301,MATCH($B1630,Vinos!$A$2:$A$301,0))),0)+N($G1630))</f>
        <v/>
      </c>
      <c r="I1630" s="18" t="n"/>
      <c r="J1630" s="21">
        <f>IF(OR($H1630="",$I1630=""),"",$H1630-$I1630)</f>
        <v/>
      </c>
      <c r="K1630" s="16">
        <f>IF($H1630="","",IFERROR(IF(INDEX(Vinos!$J$2:$J$301,MATCH($B1630,Vinos!$A$2:$A$301,0))="","",$H1630*INDEX(Vinos!$J$2:$J$301,MATCH($B1630,Vinos!$A$2:$A$301,0))),""))</f>
        <v/>
      </c>
      <c r="L1630" s="16">
        <f>IF($H1630="","",IFERROR(IF(INDEX(Vinos!$K$2:$K$301,MATCH($B1630,Vinos!$A$2:$A$301,0))="","",$H1630*INDEX(Vinos!$K$2:$K$301,MATCH($B1630,Vinos!$A$2:$A$301,0))),""))</f>
        <v/>
      </c>
      <c r="M1630" s="21">
        <f>IF(OR($A1630="",$B1630=""),"",SUMIFS($H$2:$H$2001,$A$2:$A$2001,$A1630,$B$2:$B$2001,$B1630))</f>
        <v/>
      </c>
      <c r="N1630" s="20">
        <f>IF($M1630="","",IF($M1630&lt;=0,"Sin stock: reponer ya",IF($M1630&lt;IFERROR(N(INDEX(Vinos!$N$2:$N$301,MATCH($B1630,Vinos!$A$2:$A$301,0))),0),"Bajo mínimo: reponer","OK")))</f>
        <v/>
      </c>
      <c r="O1630" s="14" t="n"/>
      <c r="P1630" s="14" t="n"/>
      <c r="Q1630" s="20">
        <f>IF($B1630="","",IFERROR(INDEX(Vinos!$C$2:$C$301,MATCH($B1630,Vinos!$A$2:$A$301,0)),""))</f>
        <v/>
      </c>
      <c r="R1630" s="20">
        <f>IF(OR($A1630="",$A1630&lt;&gt;'Resumen del inventario'!$C$3,$N1630="",$N1630="OK"),"",IF(COUNTIFS($A$2:$A1630,$A1630,$B$2:$B1630,$B1630)=1,1,""))</f>
        <v/>
      </c>
      <c r="S1630" s="20">
        <f>IF($R1630=1,COUNTIF($R$2:$R1630,1),"")</f>
        <v/>
      </c>
    </row>
    <row r="1631">
      <c r="A1631" s="19" t="n"/>
      <c r="B1631" s="14" t="n"/>
      <c r="C1631" s="20">
        <f>IF($B1631="","",IFERROR(INDEX(Vinos!$B$2:$B$301,MATCH($B1631,Vinos!$A$2:$A$301,0)),"Código no cargado"))</f>
        <v/>
      </c>
      <c r="D1631" s="14" t="n"/>
      <c r="E1631" s="14" t="n"/>
      <c r="F1631" s="18" t="n"/>
      <c r="G1631" s="18" t="n"/>
      <c r="H1631" s="21">
        <f>IF(AND($F1631="",$G1631=""),"",N($F1631)*IFERROR(N(INDEX(Vinos!$H$2:$H$301,MATCH($B1631,Vinos!$A$2:$A$301,0))),0)+N($G1631))</f>
        <v/>
      </c>
      <c r="I1631" s="18" t="n"/>
      <c r="J1631" s="21">
        <f>IF(OR($H1631="",$I1631=""),"",$H1631-$I1631)</f>
        <v/>
      </c>
      <c r="K1631" s="16">
        <f>IF($H1631="","",IFERROR(IF(INDEX(Vinos!$J$2:$J$301,MATCH($B1631,Vinos!$A$2:$A$301,0))="","",$H1631*INDEX(Vinos!$J$2:$J$301,MATCH($B1631,Vinos!$A$2:$A$301,0))),""))</f>
        <v/>
      </c>
      <c r="L1631" s="16">
        <f>IF($H1631="","",IFERROR(IF(INDEX(Vinos!$K$2:$K$301,MATCH($B1631,Vinos!$A$2:$A$301,0))="","",$H1631*INDEX(Vinos!$K$2:$K$301,MATCH($B1631,Vinos!$A$2:$A$301,0))),""))</f>
        <v/>
      </c>
      <c r="M1631" s="21">
        <f>IF(OR($A1631="",$B1631=""),"",SUMIFS($H$2:$H$2001,$A$2:$A$2001,$A1631,$B$2:$B$2001,$B1631))</f>
        <v/>
      </c>
      <c r="N1631" s="20">
        <f>IF($M1631="","",IF($M1631&lt;=0,"Sin stock: reponer ya",IF($M1631&lt;IFERROR(N(INDEX(Vinos!$N$2:$N$301,MATCH($B1631,Vinos!$A$2:$A$301,0))),0),"Bajo mínimo: reponer","OK")))</f>
        <v/>
      </c>
      <c r="O1631" s="14" t="n"/>
      <c r="P1631" s="14" t="n"/>
      <c r="Q1631" s="20">
        <f>IF($B1631="","",IFERROR(INDEX(Vinos!$C$2:$C$301,MATCH($B1631,Vinos!$A$2:$A$301,0)),""))</f>
        <v/>
      </c>
      <c r="R1631" s="20">
        <f>IF(OR($A1631="",$A1631&lt;&gt;'Resumen del inventario'!$C$3,$N1631="",$N1631="OK"),"",IF(COUNTIFS($A$2:$A1631,$A1631,$B$2:$B1631,$B1631)=1,1,""))</f>
        <v/>
      </c>
      <c r="S1631" s="20">
        <f>IF($R1631=1,COUNTIF($R$2:$R1631,1),"")</f>
        <v/>
      </c>
    </row>
    <row r="1632">
      <c r="A1632" s="19" t="n"/>
      <c r="B1632" s="14" t="n"/>
      <c r="C1632" s="20">
        <f>IF($B1632="","",IFERROR(INDEX(Vinos!$B$2:$B$301,MATCH($B1632,Vinos!$A$2:$A$301,0)),"Código no cargado"))</f>
        <v/>
      </c>
      <c r="D1632" s="14" t="n"/>
      <c r="E1632" s="14" t="n"/>
      <c r="F1632" s="18" t="n"/>
      <c r="G1632" s="18" t="n"/>
      <c r="H1632" s="21">
        <f>IF(AND($F1632="",$G1632=""),"",N($F1632)*IFERROR(N(INDEX(Vinos!$H$2:$H$301,MATCH($B1632,Vinos!$A$2:$A$301,0))),0)+N($G1632))</f>
        <v/>
      </c>
      <c r="I1632" s="18" t="n"/>
      <c r="J1632" s="21">
        <f>IF(OR($H1632="",$I1632=""),"",$H1632-$I1632)</f>
        <v/>
      </c>
      <c r="K1632" s="16">
        <f>IF($H1632="","",IFERROR(IF(INDEX(Vinos!$J$2:$J$301,MATCH($B1632,Vinos!$A$2:$A$301,0))="","",$H1632*INDEX(Vinos!$J$2:$J$301,MATCH($B1632,Vinos!$A$2:$A$301,0))),""))</f>
        <v/>
      </c>
      <c r="L1632" s="16">
        <f>IF($H1632="","",IFERROR(IF(INDEX(Vinos!$K$2:$K$301,MATCH($B1632,Vinos!$A$2:$A$301,0))="","",$H1632*INDEX(Vinos!$K$2:$K$301,MATCH($B1632,Vinos!$A$2:$A$301,0))),""))</f>
        <v/>
      </c>
      <c r="M1632" s="21">
        <f>IF(OR($A1632="",$B1632=""),"",SUMIFS($H$2:$H$2001,$A$2:$A$2001,$A1632,$B$2:$B$2001,$B1632))</f>
        <v/>
      </c>
      <c r="N1632" s="20">
        <f>IF($M1632="","",IF($M1632&lt;=0,"Sin stock: reponer ya",IF($M1632&lt;IFERROR(N(INDEX(Vinos!$N$2:$N$301,MATCH($B1632,Vinos!$A$2:$A$301,0))),0),"Bajo mínimo: reponer","OK")))</f>
        <v/>
      </c>
      <c r="O1632" s="14" t="n"/>
      <c r="P1632" s="14" t="n"/>
      <c r="Q1632" s="20">
        <f>IF($B1632="","",IFERROR(INDEX(Vinos!$C$2:$C$301,MATCH($B1632,Vinos!$A$2:$A$301,0)),""))</f>
        <v/>
      </c>
      <c r="R1632" s="20">
        <f>IF(OR($A1632="",$A1632&lt;&gt;'Resumen del inventario'!$C$3,$N1632="",$N1632="OK"),"",IF(COUNTIFS($A$2:$A1632,$A1632,$B$2:$B1632,$B1632)=1,1,""))</f>
        <v/>
      </c>
      <c r="S1632" s="20">
        <f>IF($R1632=1,COUNTIF($R$2:$R1632,1),"")</f>
        <v/>
      </c>
    </row>
    <row r="1633">
      <c r="A1633" s="19" t="n"/>
      <c r="B1633" s="14" t="n"/>
      <c r="C1633" s="20">
        <f>IF($B1633="","",IFERROR(INDEX(Vinos!$B$2:$B$301,MATCH($B1633,Vinos!$A$2:$A$301,0)),"Código no cargado"))</f>
        <v/>
      </c>
      <c r="D1633" s="14" t="n"/>
      <c r="E1633" s="14" t="n"/>
      <c r="F1633" s="18" t="n"/>
      <c r="G1633" s="18" t="n"/>
      <c r="H1633" s="21">
        <f>IF(AND($F1633="",$G1633=""),"",N($F1633)*IFERROR(N(INDEX(Vinos!$H$2:$H$301,MATCH($B1633,Vinos!$A$2:$A$301,0))),0)+N($G1633))</f>
        <v/>
      </c>
      <c r="I1633" s="18" t="n"/>
      <c r="J1633" s="21">
        <f>IF(OR($H1633="",$I1633=""),"",$H1633-$I1633)</f>
        <v/>
      </c>
      <c r="K1633" s="16">
        <f>IF($H1633="","",IFERROR(IF(INDEX(Vinos!$J$2:$J$301,MATCH($B1633,Vinos!$A$2:$A$301,0))="","",$H1633*INDEX(Vinos!$J$2:$J$301,MATCH($B1633,Vinos!$A$2:$A$301,0))),""))</f>
        <v/>
      </c>
      <c r="L1633" s="16">
        <f>IF($H1633="","",IFERROR(IF(INDEX(Vinos!$K$2:$K$301,MATCH($B1633,Vinos!$A$2:$A$301,0))="","",$H1633*INDEX(Vinos!$K$2:$K$301,MATCH($B1633,Vinos!$A$2:$A$301,0))),""))</f>
        <v/>
      </c>
      <c r="M1633" s="21">
        <f>IF(OR($A1633="",$B1633=""),"",SUMIFS($H$2:$H$2001,$A$2:$A$2001,$A1633,$B$2:$B$2001,$B1633))</f>
        <v/>
      </c>
      <c r="N1633" s="20">
        <f>IF($M1633="","",IF($M1633&lt;=0,"Sin stock: reponer ya",IF($M1633&lt;IFERROR(N(INDEX(Vinos!$N$2:$N$301,MATCH($B1633,Vinos!$A$2:$A$301,0))),0),"Bajo mínimo: reponer","OK")))</f>
        <v/>
      </c>
      <c r="O1633" s="14" t="n"/>
      <c r="P1633" s="14" t="n"/>
      <c r="Q1633" s="20">
        <f>IF($B1633="","",IFERROR(INDEX(Vinos!$C$2:$C$301,MATCH($B1633,Vinos!$A$2:$A$301,0)),""))</f>
        <v/>
      </c>
      <c r="R1633" s="20">
        <f>IF(OR($A1633="",$A1633&lt;&gt;'Resumen del inventario'!$C$3,$N1633="",$N1633="OK"),"",IF(COUNTIFS($A$2:$A1633,$A1633,$B$2:$B1633,$B1633)=1,1,""))</f>
        <v/>
      </c>
      <c r="S1633" s="20">
        <f>IF($R1633=1,COUNTIF($R$2:$R1633,1),"")</f>
        <v/>
      </c>
    </row>
    <row r="1634">
      <c r="A1634" s="19" t="n"/>
      <c r="B1634" s="14" t="n"/>
      <c r="C1634" s="20">
        <f>IF($B1634="","",IFERROR(INDEX(Vinos!$B$2:$B$301,MATCH($B1634,Vinos!$A$2:$A$301,0)),"Código no cargado"))</f>
        <v/>
      </c>
      <c r="D1634" s="14" t="n"/>
      <c r="E1634" s="14" t="n"/>
      <c r="F1634" s="18" t="n"/>
      <c r="G1634" s="18" t="n"/>
      <c r="H1634" s="21">
        <f>IF(AND($F1634="",$G1634=""),"",N($F1634)*IFERROR(N(INDEX(Vinos!$H$2:$H$301,MATCH($B1634,Vinos!$A$2:$A$301,0))),0)+N($G1634))</f>
        <v/>
      </c>
      <c r="I1634" s="18" t="n"/>
      <c r="J1634" s="21">
        <f>IF(OR($H1634="",$I1634=""),"",$H1634-$I1634)</f>
        <v/>
      </c>
      <c r="K1634" s="16">
        <f>IF($H1634="","",IFERROR(IF(INDEX(Vinos!$J$2:$J$301,MATCH($B1634,Vinos!$A$2:$A$301,0))="","",$H1634*INDEX(Vinos!$J$2:$J$301,MATCH($B1634,Vinos!$A$2:$A$301,0))),""))</f>
        <v/>
      </c>
      <c r="L1634" s="16">
        <f>IF($H1634="","",IFERROR(IF(INDEX(Vinos!$K$2:$K$301,MATCH($B1634,Vinos!$A$2:$A$301,0))="","",$H1634*INDEX(Vinos!$K$2:$K$301,MATCH($B1634,Vinos!$A$2:$A$301,0))),""))</f>
        <v/>
      </c>
      <c r="M1634" s="21">
        <f>IF(OR($A1634="",$B1634=""),"",SUMIFS($H$2:$H$2001,$A$2:$A$2001,$A1634,$B$2:$B$2001,$B1634))</f>
        <v/>
      </c>
      <c r="N1634" s="20">
        <f>IF($M1634="","",IF($M1634&lt;=0,"Sin stock: reponer ya",IF($M1634&lt;IFERROR(N(INDEX(Vinos!$N$2:$N$301,MATCH($B1634,Vinos!$A$2:$A$301,0))),0),"Bajo mínimo: reponer","OK")))</f>
        <v/>
      </c>
      <c r="O1634" s="14" t="n"/>
      <c r="P1634" s="14" t="n"/>
      <c r="Q1634" s="20">
        <f>IF($B1634="","",IFERROR(INDEX(Vinos!$C$2:$C$301,MATCH($B1634,Vinos!$A$2:$A$301,0)),""))</f>
        <v/>
      </c>
      <c r="R1634" s="20">
        <f>IF(OR($A1634="",$A1634&lt;&gt;'Resumen del inventario'!$C$3,$N1634="",$N1634="OK"),"",IF(COUNTIFS($A$2:$A1634,$A1634,$B$2:$B1634,$B1634)=1,1,""))</f>
        <v/>
      </c>
      <c r="S1634" s="20">
        <f>IF($R1634=1,COUNTIF($R$2:$R1634,1),"")</f>
        <v/>
      </c>
    </row>
    <row r="1635">
      <c r="A1635" s="19" t="n"/>
      <c r="B1635" s="14" t="n"/>
      <c r="C1635" s="20">
        <f>IF($B1635="","",IFERROR(INDEX(Vinos!$B$2:$B$301,MATCH($B1635,Vinos!$A$2:$A$301,0)),"Código no cargado"))</f>
        <v/>
      </c>
      <c r="D1635" s="14" t="n"/>
      <c r="E1635" s="14" t="n"/>
      <c r="F1635" s="18" t="n"/>
      <c r="G1635" s="18" t="n"/>
      <c r="H1635" s="21">
        <f>IF(AND($F1635="",$G1635=""),"",N($F1635)*IFERROR(N(INDEX(Vinos!$H$2:$H$301,MATCH($B1635,Vinos!$A$2:$A$301,0))),0)+N($G1635))</f>
        <v/>
      </c>
      <c r="I1635" s="18" t="n"/>
      <c r="J1635" s="21">
        <f>IF(OR($H1635="",$I1635=""),"",$H1635-$I1635)</f>
        <v/>
      </c>
      <c r="K1635" s="16">
        <f>IF($H1635="","",IFERROR(IF(INDEX(Vinos!$J$2:$J$301,MATCH($B1635,Vinos!$A$2:$A$301,0))="","",$H1635*INDEX(Vinos!$J$2:$J$301,MATCH($B1635,Vinos!$A$2:$A$301,0))),""))</f>
        <v/>
      </c>
      <c r="L1635" s="16">
        <f>IF($H1635="","",IFERROR(IF(INDEX(Vinos!$K$2:$K$301,MATCH($B1635,Vinos!$A$2:$A$301,0))="","",$H1635*INDEX(Vinos!$K$2:$K$301,MATCH($B1635,Vinos!$A$2:$A$301,0))),""))</f>
        <v/>
      </c>
      <c r="M1635" s="21">
        <f>IF(OR($A1635="",$B1635=""),"",SUMIFS($H$2:$H$2001,$A$2:$A$2001,$A1635,$B$2:$B$2001,$B1635))</f>
        <v/>
      </c>
      <c r="N1635" s="20">
        <f>IF($M1635="","",IF($M1635&lt;=0,"Sin stock: reponer ya",IF($M1635&lt;IFERROR(N(INDEX(Vinos!$N$2:$N$301,MATCH($B1635,Vinos!$A$2:$A$301,0))),0),"Bajo mínimo: reponer","OK")))</f>
        <v/>
      </c>
      <c r="O1635" s="14" t="n"/>
      <c r="P1635" s="14" t="n"/>
      <c r="Q1635" s="20">
        <f>IF($B1635="","",IFERROR(INDEX(Vinos!$C$2:$C$301,MATCH($B1635,Vinos!$A$2:$A$301,0)),""))</f>
        <v/>
      </c>
      <c r="R1635" s="20">
        <f>IF(OR($A1635="",$A1635&lt;&gt;'Resumen del inventario'!$C$3,$N1635="",$N1635="OK"),"",IF(COUNTIFS($A$2:$A1635,$A1635,$B$2:$B1635,$B1635)=1,1,""))</f>
        <v/>
      </c>
      <c r="S1635" s="20">
        <f>IF($R1635=1,COUNTIF($R$2:$R1635,1),"")</f>
        <v/>
      </c>
    </row>
    <row r="1636">
      <c r="A1636" s="19" t="n"/>
      <c r="B1636" s="14" t="n"/>
      <c r="C1636" s="20">
        <f>IF($B1636="","",IFERROR(INDEX(Vinos!$B$2:$B$301,MATCH($B1636,Vinos!$A$2:$A$301,0)),"Código no cargado"))</f>
        <v/>
      </c>
      <c r="D1636" s="14" t="n"/>
      <c r="E1636" s="14" t="n"/>
      <c r="F1636" s="18" t="n"/>
      <c r="G1636" s="18" t="n"/>
      <c r="H1636" s="21">
        <f>IF(AND($F1636="",$G1636=""),"",N($F1636)*IFERROR(N(INDEX(Vinos!$H$2:$H$301,MATCH($B1636,Vinos!$A$2:$A$301,0))),0)+N($G1636))</f>
        <v/>
      </c>
      <c r="I1636" s="18" t="n"/>
      <c r="J1636" s="21">
        <f>IF(OR($H1636="",$I1636=""),"",$H1636-$I1636)</f>
        <v/>
      </c>
      <c r="K1636" s="16">
        <f>IF($H1636="","",IFERROR(IF(INDEX(Vinos!$J$2:$J$301,MATCH($B1636,Vinos!$A$2:$A$301,0))="","",$H1636*INDEX(Vinos!$J$2:$J$301,MATCH($B1636,Vinos!$A$2:$A$301,0))),""))</f>
        <v/>
      </c>
      <c r="L1636" s="16">
        <f>IF($H1636="","",IFERROR(IF(INDEX(Vinos!$K$2:$K$301,MATCH($B1636,Vinos!$A$2:$A$301,0))="","",$H1636*INDEX(Vinos!$K$2:$K$301,MATCH($B1636,Vinos!$A$2:$A$301,0))),""))</f>
        <v/>
      </c>
      <c r="M1636" s="21">
        <f>IF(OR($A1636="",$B1636=""),"",SUMIFS($H$2:$H$2001,$A$2:$A$2001,$A1636,$B$2:$B$2001,$B1636))</f>
        <v/>
      </c>
      <c r="N1636" s="20">
        <f>IF($M1636="","",IF($M1636&lt;=0,"Sin stock: reponer ya",IF($M1636&lt;IFERROR(N(INDEX(Vinos!$N$2:$N$301,MATCH($B1636,Vinos!$A$2:$A$301,0))),0),"Bajo mínimo: reponer","OK")))</f>
        <v/>
      </c>
      <c r="O1636" s="14" t="n"/>
      <c r="P1636" s="14" t="n"/>
      <c r="Q1636" s="20">
        <f>IF($B1636="","",IFERROR(INDEX(Vinos!$C$2:$C$301,MATCH($B1636,Vinos!$A$2:$A$301,0)),""))</f>
        <v/>
      </c>
      <c r="R1636" s="20">
        <f>IF(OR($A1636="",$A1636&lt;&gt;'Resumen del inventario'!$C$3,$N1636="",$N1636="OK"),"",IF(COUNTIFS($A$2:$A1636,$A1636,$B$2:$B1636,$B1636)=1,1,""))</f>
        <v/>
      </c>
      <c r="S1636" s="20">
        <f>IF($R1636=1,COUNTIF($R$2:$R1636,1),"")</f>
        <v/>
      </c>
    </row>
    <row r="1637">
      <c r="A1637" s="19" t="n"/>
      <c r="B1637" s="14" t="n"/>
      <c r="C1637" s="20">
        <f>IF($B1637="","",IFERROR(INDEX(Vinos!$B$2:$B$301,MATCH($B1637,Vinos!$A$2:$A$301,0)),"Código no cargado"))</f>
        <v/>
      </c>
      <c r="D1637" s="14" t="n"/>
      <c r="E1637" s="14" t="n"/>
      <c r="F1637" s="18" t="n"/>
      <c r="G1637" s="18" t="n"/>
      <c r="H1637" s="21">
        <f>IF(AND($F1637="",$G1637=""),"",N($F1637)*IFERROR(N(INDEX(Vinos!$H$2:$H$301,MATCH($B1637,Vinos!$A$2:$A$301,0))),0)+N($G1637))</f>
        <v/>
      </c>
      <c r="I1637" s="18" t="n"/>
      <c r="J1637" s="21">
        <f>IF(OR($H1637="",$I1637=""),"",$H1637-$I1637)</f>
        <v/>
      </c>
      <c r="K1637" s="16">
        <f>IF($H1637="","",IFERROR(IF(INDEX(Vinos!$J$2:$J$301,MATCH($B1637,Vinos!$A$2:$A$301,0))="","",$H1637*INDEX(Vinos!$J$2:$J$301,MATCH($B1637,Vinos!$A$2:$A$301,0))),""))</f>
        <v/>
      </c>
      <c r="L1637" s="16">
        <f>IF($H1637="","",IFERROR(IF(INDEX(Vinos!$K$2:$K$301,MATCH($B1637,Vinos!$A$2:$A$301,0))="","",$H1637*INDEX(Vinos!$K$2:$K$301,MATCH($B1637,Vinos!$A$2:$A$301,0))),""))</f>
        <v/>
      </c>
      <c r="M1637" s="21">
        <f>IF(OR($A1637="",$B1637=""),"",SUMIFS($H$2:$H$2001,$A$2:$A$2001,$A1637,$B$2:$B$2001,$B1637))</f>
        <v/>
      </c>
      <c r="N1637" s="20">
        <f>IF($M1637="","",IF($M1637&lt;=0,"Sin stock: reponer ya",IF($M1637&lt;IFERROR(N(INDEX(Vinos!$N$2:$N$301,MATCH($B1637,Vinos!$A$2:$A$301,0))),0),"Bajo mínimo: reponer","OK")))</f>
        <v/>
      </c>
      <c r="O1637" s="14" t="n"/>
      <c r="P1637" s="14" t="n"/>
      <c r="Q1637" s="20">
        <f>IF($B1637="","",IFERROR(INDEX(Vinos!$C$2:$C$301,MATCH($B1637,Vinos!$A$2:$A$301,0)),""))</f>
        <v/>
      </c>
      <c r="R1637" s="20">
        <f>IF(OR($A1637="",$A1637&lt;&gt;'Resumen del inventario'!$C$3,$N1637="",$N1637="OK"),"",IF(COUNTIFS($A$2:$A1637,$A1637,$B$2:$B1637,$B1637)=1,1,""))</f>
        <v/>
      </c>
      <c r="S1637" s="20">
        <f>IF($R1637=1,COUNTIF($R$2:$R1637,1),"")</f>
        <v/>
      </c>
    </row>
    <row r="1638">
      <c r="A1638" s="19" t="n"/>
      <c r="B1638" s="14" t="n"/>
      <c r="C1638" s="20">
        <f>IF($B1638="","",IFERROR(INDEX(Vinos!$B$2:$B$301,MATCH($B1638,Vinos!$A$2:$A$301,0)),"Código no cargado"))</f>
        <v/>
      </c>
      <c r="D1638" s="14" t="n"/>
      <c r="E1638" s="14" t="n"/>
      <c r="F1638" s="18" t="n"/>
      <c r="G1638" s="18" t="n"/>
      <c r="H1638" s="21">
        <f>IF(AND($F1638="",$G1638=""),"",N($F1638)*IFERROR(N(INDEX(Vinos!$H$2:$H$301,MATCH($B1638,Vinos!$A$2:$A$301,0))),0)+N($G1638))</f>
        <v/>
      </c>
      <c r="I1638" s="18" t="n"/>
      <c r="J1638" s="21">
        <f>IF(OR($H1638="",$I1638=""),"",$H1638-$I1638)</f>
        <v/>
      </c>
      <c r="K1638" s="16">
        <f>IF($H1638="","",IFERROR(IF(INDEX(Vinos!$J$2:$J$301,MATCH($B1638,Vinos!$A$2:$A$301,0))="","",$H1638*INDEX(Vinos!$J$2:$J$301,MATCH($B1638,Vinos!$A$2:$A$301,0))),""))</f>
        <v/>
      </c>
      <c r="L1638" s="16">
        <f>IF($H1638="","",IFERROR(IF(INDEX(Vinos!$K$2:$K$301,MATCH($B1638,Vinos!$A$2:$A$301,0))="","",$H1638*INDEX(Vinos!$K$2:$K$301,MATCH($B1638,Vinos!$A$2:$A$301,0))),""))</f>
        <v/>
      </c>
      <c r="M1638" s="21">
        <f>IF(OR($A1638="",$B1638=""),"",SUMIFS($H$2:$H$2001,$A$2:$A$2001,$A1638,$B$2:$B$2001,$B1638))</f>
        <v/>
      </c>
      <c r="N1638" s="20">
        <f>IF($M1638="","",IF($M1638&lt;=0,"Sin stock: reponer ya",IF($M1638&lt;IFERROR(N(INDEX(Vinos!$N$2:$N$301,MATCH($B1638,Vinos!$A$2:$A$301,0))),0),"Bajo mínimo: reponer","OK")))</f>
        <v/>
      </c>
      <c r="O1638" s="14" t="n"/>
      <c r="P1638" s="14" t="n"/>
      <c r="Q1638" s="20">
        <f>IF($B1638="","",IFERROR(INDEX(Vinos!$C$2:$C$301,MATCH($B1638,Vinos!$A$2:$A$301,0)),""))</f>
        <v/>
      </c>
      <c r="R1638" s="20">
        <f>IF(OR($A1638="",$A1638&lt;&gt;'Resumen del inventario'!$C$3,$N1638="",$N1638="OK"),"",IF(COUNTIFS($A$2:$A1638,$A1638,$B$2:$B1638,$B1638)=1,1,""))</f>
        <v/>
      </c>
      <c r="S1638" s="20">
        <f>IF($R1638=1,COUNTIF($R$2:$R1638,1),"")</f>
        <v/>
      </c>
    </row>
    <row r="1639">
      <c r="A1639" s="19" t="n"/>
      <c r="B1639" s="14" t="n"/>
      <c r="C1639" s="20">
        <f>IF($B1639="","",IFERROR(INDEX(Vinos!$B$2:$B$301,MATCH($B1639,Vinos!$A$2:$A$301,0)),"Código no cargado"))</f>
        <v/>
      </c>
      <c r="D1639" s="14" t="n"/>
      <c r="E1639" s="14" t="n"/>
      <c r="F1639" s="18" t="n"/>
      <c r="G1639" s="18" t="n"/>
      <c r="H1639" s="21">
        <f>IF(AND($F1639="",$G1639=""),"",N($F1639)*IFERROR(N(INDEX(Vinos!$H$2:$H$301,MATCH($B1639,Vinos!$A$2:$A$301,0))),0)+N($G1639))</f>
        <v/>
      </c>
      <c r="I1639" s="18" t="n"/>
      <c r="J1639" s="21">
        <f>IF(OR($H1639="",$I1639=""),"",$H1639-$I1639)</f>
        <v/>
      </c>
      <c r="K1639" s="16">
        <f>IF($H1639="","",IFERROR(IF(INDEX(Vinos!$J$2:$J$301,MATCH($B1639,Vinos!$A$2:$A$301,0))="","",$H1639*INDEX(Vinos!$J$2:$J$301,MATCH($B1639,Vinos!$A$2:$A$301,0))),""))</f>
        <v/>
      </c>
      <c r="L1639" s="16">
        <f>IF($H1639="","",IFERROR(IF(INDEX(Vinos!$K$2:$K$301,MATCH($B1639,Vinos!$A$2:$A$301,0))="","",$H1639*INDEX(Vinos!$K$2:$K$301,MATCH($B1639,Vinos!$A$2:$A$301,0))),""))</f>
        <v/>
      </c>
      <c r="M1639" s="21">
        <f>IF(OR($A1639="",$B1639=""),"",SUMIFS($H$2:$H$2001,$A$2:$A$2001,$A1639,$B$2:$B$2001,$B1639))</f>
        <v/>
      </c>
      <c r="N1639" s="20">
        <f>IF($M1639="","",IF($M1639&lt;=0,"Sin stock: reponer ya",IF($M1639&lt;IFERROR(N(INDEX(Vinos!$N$2:$N$301,MATCH($B1639,Vinos!$A$2:$A$301,0))),0),"Bajo mínimo: reponer","OK")))</f>
        <v/>
      </c>
      <c r="O1639" s="14" t="n"/>
      <c r="P1639" s="14" t="n"/>
      <c r="Q1639" s="20">
        <f>IF($B1639="","",IFERROR(INDEX(Vinos!$C$2:$C$301,MATCH($B1639,Vinos!$A$2:$A$301,0)),""))</f>
        <v/>
      </c>
      <c r="R1639" s="20">
        <f>IF(OR($A1639="",$A1639&lt;&gt;'Resumen del inventario'!$C$3,$N1639="",$N1639="OK"),"",IF(COUNTIFS($A$2:$A1639,$A1639,$B$2:$B1639,$B1639)=1,1,""))</f>
        <v/>
      </c>
      <c r="S1639" s="20">
        <f>IF($R1639=1,COUNTIF($R$2:$R1639,1),"")</f>
        <v/>
      </c>
    </row>
    <row r="1640">
      <c r="A1640" s="19" t="n"/>
      <c r="B1640" s="14" t="n"/>
      <c r="C1640" s="20">
        <f>IF($B1640="","",IFERROR(INDEX(Vinos!$B$2:$B$301,MATCH($B1640,Vinos!$A$2:$A$301,0)),"Código no cargado"))</f>
        <v/>
      </c>
      <c r="D1640" s="14" t="n"/>
      <c r="E1640" s="14" t="n"/>
      <c r="F1640" s="18" t="n"/>
      <c r="G1640" s="18" t="n"/>
      <c r="H1640" s="21">
        <f>IF(AND($F1640="",$G1640=""),"",N($F1640)*IFERROR(N(INDEX(Vinos!$H$2:$H$301,MATCH($B1640,Vinos!$A$2:$A$301,0))),0)+N($G1640))</f>
        <v/>
      </c>
      <c r="I1640" s="18" t="n"/>
      <c r="J1640" s="21">
        <f>IF(OR($H1640="",$I1640=""),"",$H1640-$I1640)</f>
        <v/>
      </c>
      <c r="K1640" s="16">
        <f>IF($H1640="","",IFERROR(IF(INDEX(Vinos!$J$2:$J$301,MATCH($B1640,Vinos!$A$2:$A$301,0))="","",$H1640*INDEX(Vinos!$J$2:$J$301,MATCH($B1640,Vinos!$A$2:$A$301,0))),""))</f>
        <v/>
      </c>
      <c r="L1640" s="16">
        <f>IF($H1640="","",IFERROR(IF(INDEX(Vinos!$K$2:$K$301,MATCH($B1640,Vinos!$A$2:$A$301,0))="","",$H1640*INDEX(Vinos!$K$2:$K$301,MATCH($B1640,Vinos!$A$2:$A$301,0))),""))</f>
        <v/>
      </c>
      <c r="M1640" s="21">
        <f>IF(OR($A1640="",$B1640=""),"",SUMIFS($H$2:$H$2001,$A$2:$A$2001,$A1640,$B$2:$B$2001,$B1640))</f>
        <v/>
      </c>
      <c r="N1640" s="20">
        <f>IF($M1640="","",IF($M1640&lt;=0,"Sin stock: reponer ya",IF($M1640&lt;IFERROR(N(INDEX(Vinos!$N$2:$N$301,MATCH($B1640,Vinos!$A$2:$A$301,0))),0),"Bajo mínimo: reponer","OK")))</f>
        <v/>
      </c>
      <c r="O1640" s="14" t="n"/>
      <c r="P1640" s="14" t="n"/>
      <c r="Q1640" s="20">
        <f>IF($B1640="","",IFERROR(INDEX(Vinos!$C$2:$C$301,MATCH($B1640,Vinos!$A$2:$A$301,0)),""))</f>
        <v/>
      </c>
      <c r="R1640" s="20">
        <f>IF(OR($A1640="",$A1640&lt;&gt;'Resumen del inventario'!$C$3,$N1640="",$N1640="OK"),"",IF(COUNTIFS($A$2:$A1640,$A1640,$B$2:$B1640,$B1640)=1,1,""))</f>
        <v/>
      </c>
      <c r="S1640" s="20">
        <f>IF($R1640=1,COUNTIF($R$2:$R1640,1),"")</f>
        <v/>
      </c>
    </row>
    <row r="1641">
      <c r="A1641" s="19" t="n"/>
      <c r="B1641" s="14" t="n"/>
      <c r="C1641" s="20">
        <f>IF($B1641="","",IFERROR(INDEX(Vinos!$B$2:$B$301,MATCH($B1641,Vinos!$A$2:$A$301,0)),"Código no cargado"))</f>
        <v/>
      </c>
      <c r="D1641" s="14" t="n"/>
      <c r="E1641" s="14" t="n"/>
      <c r="F1641" s="18" t="n"/>
      <c r="G1641" s="18" t="n"/>
      <c r="H1641" s="21">
        <f>IF(AND($F1641="",$G1641=""),"",N($F1641)*IFERROR(N(INDEX(Vinos!$H$2:$H$301,MATCH($B1641,Vinos!$A$2:$A$301,0))),0)+N($G1641))</f>
        <v/>
      </c>
      <c r="I1641" s="18" t="n"/>
      <c r="J1641" s="21">
        <f>IF(OR($H1641="",$I1641=""),"",$H1641-$I1641)</f>
        <v/>
      </c>
      <c r="K1641" s="16">
        <f>IF($H1641="","",IFERROR(IF(INDEX(Vinos!$J$2:$J$301,MATCH($B1641,Vinos!$A$2:$A$301,0))="","",$H1641*INDEX(Vinos!$J$2:$J$301,MATCH($B1641,Vinos!$A$2:$A$301,0))),""))</f>
        <v/>
      </c>
      <c r="L1641" s="16">
        <f>IF($H1641="","",IFERROR(IF(INDEX(Vinos!$K$2:$K$301,MATCH($B1641,Vinos!$A$2:$A$301,0))="","",$H1641*INDEX(Vinos!$K$2:$K$301,MATCH($B1641,Vinos!$A$2:$A$301,0))),""))</f>
        <v/>
      </c>
      <c r="M1641" s="21">
        <f>IF(OR($A1641="",$B1641=""),"",SUMIFS($H$2:$H$2001,$A$2:$A$2001,$A1641,$B$2:$B$2001,$B1641))</f>
        <v/>
      </c>
      <c r="N1641" s="20">
        <f>IF($M1641="","",IF($M1641&lt;=0,"Sin stock: reponer ya",IF($M1641&lt;IFERROR(N(INDEX(Vinos!$N$2:$N$301,MATCH($B1641,Vinos!$A$2:$A$301,0))),0),"Bajo mínimo: reponer","OK")))</f>
        <v/>
      </c>
      <c r="O1641" s="14" t="n"/>
      <c r="P1641" s="14" t="n"/>
      <c r="Q1641" s="20">
        <f>IF($B1641="","",IFERROR(INDEX(Vinos!$C$2:$C$301,MATCH($B1641,Vinos!$A$2:$A$301,0)),""))</f>
        <v/>
      </c>
      <c r="R1641" s="20">
        <f>IF(OR($A1641="",$A1641&lt;&gt;'Resumen del inventario'!$C$3,$N1641="",$N1641="OK"),"",IF(COUNTIFS($A$2:$A1641,$A1641,$B$2:$B1641,$B1641)=1,1,""))</f>
        <v/>
      </c>
      <c r="S1641" s="20">
        <f>IF($R1641=1,COUNTIF($R$2:$R1641,1),"")</f>
        <v/>
      </c>
    </row>
    <row r="1642">
      <c r="A1642" s="19" t="n"/>
      <c r="B1642" s="14" t="n"/>
      <c r="C1642" s="20">
        <f>IF($B1642="","",IFERROR(INDEX(Vinos!$B$2:$B$301,MATCH($B1642,Vinos!$A$2:$A$301,0)),"Código no cargado"))</f>
        <v/>
      </c>
      <c r="D1642" s="14" t="n"/>
      <c r="E1642" s="14" t="n"/>
      <c r="F1642" s="18" t="n"/>
      <c r="G1642" s="18" t="n"/>
      <c r="H1642" s="21">
        <f>IF(AND($F1642="",$G1642=""),"",N($F1642)*IFERROR(N(INDEX(Vinos!$H$2:$H$301,MATCH($B1642,Vinos!$A$2:$A$301,0))),0)+N($G1642))</f>
        <v/>
      </c>
      <c r="I1642" s="18" t="n"/>
      <c r="J1642" s="21">
        <f>IF(OR($H1642="",$I1642=""),"",$H1642-$I1642)</f>
        <v/>
      </c>
      <c r="K1642" s="16">
        <f>IF($H1642="","",IFERROR(IF(INDEX(Vinos!$J$2:$J$301,MATCH($B1642,Vinos!$A$2:$A$301,0))="","",$H1642*INDEX(Vinos!$J$2:$J$301,MATCH($B1642,Vinos!$A$2:$A$301,0))),""))</f>
        <v/>
      </c>
      <c r="L1642" s="16">
        <f>IF($H1642="","",IFERROR(IF(INDEX(Vinos!$K$2:$K$301,MATCH($B1642,Vinos!$A$2:$A$301,0))="","",$H1642*INDEX(Vinos!$K$2:$K$301,MATCH($B1642,Vinos!$A$2:$A$301,0))),""))</f>
        <v/>
      </c>
      <c r="M1642" s="21">
        <f>IF(OR($A1642="",$B1642=""),"",SUMIFS($H$2:$H$2001,$A$2:$A$2001,$A1642,$B$2:$B$2001,$B1642))</f>
        <v/>
      </c>
      <c r="N1642" s="20">
        <f>IF($M1642="","",IF($M1642&lt;=0,"Sin stock: reponer ya",IF($M1642&lt;IFERROR(N(INDEX(Vinos!$N$2:$N$301,MATCH($B1642,Vinos!$A$2:$A$301,0))),0),"Bajo mínimo: reponer","OK")))</f>
        <v/>
      </c>
      <c r="O1642" s="14" t="n"/>
      <c r="P1642" s="14" t="n"/>
      <c r="Q1642" s="20">
        <f>IF($B1642="","",IFERROR(INDEX(Vinos!$C$2:$C$301,MATCH($B1642,Vinos!$A$2:$A$301,0)),""))</f>
        <v/>
      </c>
      <c r="R1642" s="20">
        <f>IF(OR($A1642="",$A1642&lt;&gt;'Resumen del inventario'!$C$3,$N1642="",$N1642="OK"),"",IF(COUNTIFS($A$2:$A1642,$A1642,$B$2:$B1642,$B1642)=1,1,""))</f>
        <v/>
      </c>
      <c r="S1642" s="20">
        <f>IF($R1642=1,COUNTIF($R$2:$R1642,1),"")</f>
        <v/>
      </c>
    </row>
    <row r="1643">
      <c r="A1643" s="19" t="n"/>
      <c r="B1643" s="14" t="n"/>
      <c r="C1643" s="20">
        <f>IF($B1643="","",IFERROR(INDEX(Vinos!$B$2:$B$301,MATCH($B1643,Vinos!$A$2:$A$301,0)),"Código no cargado"))</f>
        <v/>
      </c>
      <c r="D1643" s="14" t="n"/>
      <c r="E1643" s="14" t="n"/>
      <c r="F1643" s="18" t="n"/>
      <c r="G1643" s="18" t="n"/>
      <c r="H1643" s="21">
        <f>IF(AND($F1643="",$G1643=""),"",N($F1643)*IFERROR(N(INDEX(Vinos!$H$2:$H$301,MATCH($B1643,Vinos!$A$2:$A$301,0))),0)+N($G1643))</f>
        <v/>
      </c>
      <c r="I1643" s="18" t="n"/>
      <c r="J1643" s="21">
        <f>IF(OR($H1643="",$I1643=""),"",$H1643-$I1643)</f>
        <v/>
      </c>
      <c r="K1643" s="16">
        <f>IF($H1643="","",IFERROR(IF(INDEX(Vinos!$J$2:$J$301,MATCH($B1643,Vinos!$A$2:$A$301,0))="","",$H1643*INDEX(Vinos!$J$2:$J$301,MATCH($B1643,Vinos!$A$2:$A$301,0))),""))</f>
        <v/>
      </c>
      <c r="L1643" s="16">
        <f>IF($H1643="","",IFERROR(IF(INDEX(Vinos!$K$2:$K$301,MATCH($B1643,Vinos!$A$2:$A$301,0))="","",$H1643*INDEX(Vinos!$K$2:$K$301,MATCH($B1643,Vinos!$A$2:$A$301,0))),""))</f>
        <v/>
      </c>
      <c r="M1643" s="21">
        <f>IF(OR($A1643="",$B1643=""),"",SUMIFS($H$2:$H$2001,$A$2:$A$2001,$A1643,$B$2:$B$2001,$B1643))</f>
        <v/>
      </c>
      <c r="N1643" s="20">
        <f>IF($M1643="","",IF($M1643&lt;=0,"Sin stock: reponer ya",IF($M1643&lt;IFERROR(N(INDEX(Vinos!$N$2:$N$301,MATCH($B1643,Vinos!$A$2:$A$301,0))),0),"Bajo mínimo: reponer","OK")))</f>
        <v/>
      </c>
      <c r="O1643" s="14" t="n"/>
      <c r="P1643" s="14" t="n"/>
      <c r="Q1643" s="20">
        <f>IF($B1643="","",IFERROR(INDEX(Vinos!$C$2:$C$301,MATCH($B1643,Vinos!$A$2:$A$301,0)),""))</f>
        <v/>
      </c>
      <c r="R1643" s="20">
        <f>IF(OR($A1643="",$A1643&lt;&gt;'Resumen del inventario'!$C$3,$N1643="",$N1643="OK"),"",IF(COUNTIFS($A$2:$A1643,$A1643,$B$2:$B1643,$B1643)=1,1,""))</f>
        <v/>
      </c>
      <c r="S1643" s="20">
        <f>IF($R1643=1,COUNTIF($R$2:$R1643,1),"")</f>
        <v/>
      </c>
    </row>
    <row r="1644">
      <c r="A1644" s="19" t="n"/>
      <c r="B1644" s="14" t="n"/>
      <c r="C1644" s="20">
        <f>IF($B1644="","",IFERROR(INDEX(Vinos!$B$2:$B$301,MATCH($B1644,Vinos!$A$2:$A$301,0)),"Código no cargado"))</f>
        <v/>
      </c>
      <c r="D1644" s="14" t="n"/>
      <c r="E1644" s="14" t="n"/>
      <c r="F1644" s="18" t="n"/>
      <c r="G1644" s="18" t="n"/>
      <c r="H1644" s="21">
        <f>IF(AND($F1644="",$G1644=""),"",N($F1644)*IFERROR(N(INDEX(Vinos!$H$2:$H$301,MATCH($B1644,Vinos!$A$2:$A$301,0))),0)+N($G1644))</f>
        <v/>
      </c>
      <c r="I1644" s="18" t="n"/>
      <c r="J1644" s="21">
        <f>IF(OR($H1644="",$I1644=""),"",$H1644-$I1644)</f>
        <v/>
      </c>
      <c r="K1644" s="16">
        <f>IF($H1644="","",IFERROR(IF(INDEX(Vinos!$J$2:$J$301,MATCH($B1644,Vinos!$A$2:$A$301,0))="","",$H1644*INDEX(Vinos!$J$2:$J$301,MATCH($B1644,Vinos!$A$2:$A$301,0))),""))</f>
        <v/>
      </c>
      <c r="L1644" s="16">
        <f>IF($H1644="","",IFERROR(IF(INDEX(Vinos!$K$2:$K$301,MATCH($B1644,Vinos!$A$2:$A$301,0))="","",$H1644*INDEX(Vinos!$K$2:$K$301,MATCH($B1644,Vinos!$A$2:$A$301,0))),""))</f>
        <v/>
      </c>
      <c r="M1644" s="21">
        <f>IF(OR($A1644="",$B1644=""),"",SUMIFS($H$2:$H$2001,$A$2:$A$2001,$A1644,$B$2:$B$2001,$B1644))</f>
        <v/>
      </c>
      <c r="N1644" s="20">
        <f>IF($M1644="","",IF($M1644&lt;=0,"Sin stock: reponer ya",IF($M1644&lt;IFERROR(N(INDEX(Vinos!$N$2:$N$301,MATCH($B1644,Vinos!$A$2:$A$301,0))),0),"Bajo mínimo: reponer","OK")))</f>
        <v/>
      </c>
      <c r="O1644" s="14" t="n"/>
      <c r="P1644" s="14" t="n"/>
      <c r="Q1644" s="20">
        <f>IF($B1644="","",IFERROR(INDEX(Vinos!$C$2:$C$301,MATCH($B1644,Vinos!$A$2:$A$301,0)),""))</f>
        <v/>
      </c>
      <c r="R1644" s="20">
        <f>IF(OR($A1644="",$A1644&lt;&gt;'Resumen del inventario'!$C$3,$N1644="",$N1644="OK"),"",IF(COUNTIFS($A$2:$A1644,$A1644,$B$2:$B1644,$B1644)=1,1,""))</f>
        <v/>
      </c>
      <c r="S1644" s="20">
        <f>IF($R1644=1,COUNTIF($R$2:$R1644,1),"")</f>
        <v/>
      </c>
    </row>
    <row r="1645">
      <c r="A1645" s="19" t="n"/>
      <c r="B1645" s="14" t="n"/>
      <c r="C1645" s="20">
        <f>IF($B1645="","",IFERROR(INDEX(Vinos!$B$2:$B$301,MATCH($B1645,Vinos!$A$2:$A$301,0)),"Código no cargado"))</f>
        <v/>
      </c>
      <c r="D1645" s="14" t="n"/>
      <c r="E1645" s="14" t="n"/>
      <c r="F1645" s="18" t="n"/>
      <c r="G1645" s="18" t="n"/>
      <c r="H1645" s="21">
        <f>IF(AND($F1645="",$G1645=""),"",N($F1645)*IFERROR(N(INDEX(Vinos!$H$2:$H$301,MATCH($B1645,Vinos!$A$2:$A$301,0))),0)+N($G1645))</f>
        <v/>
      </c>
      <c r="I1645" s="18" t="n"/>
      <c r="J1645" s="21">
        <f>IF(OR($H1645="",$I1645=""),"",$H1645-$I1645)</f>
        <v/>
      </c>
      <c r="K1645" s="16">
        <f>IF($H1645="","",IFERROR(IF(INDEX(Vinos!$J$2:$J$301,MATCH($B1645,Vinos!$A$2:$A$301,0))="","",$H1645*INDEX(Vinos!$J$2:$J$301,MATCH($B1645,Vinos!$A$2:$A$301,0))),""))</f>
        <v/>
      </c>
      <c r="L1645" s="16">
        <f>IF($H1645="","",IFERROR(IF(INDEX(Vinos!$K$2:$K$301,MATCH($B1645,Vinos!$A$2:$A$301,0))="","",$H1645*INDEX(Vinos!$K$2:$K$301,MATCH($B1645,Vinos!$A$2:$A$301,0))),""))</f>
        <v/>
      </c>
      <c r="M1645" s="21">
        <f>IF(OR($A1645="",$B1645=""),"",SUMIFS($H$2:$H$2001,$A$2:$A$2001,$A1645,$B$2:$B$2001,$B1645))</f>
        <v/>
      </c>
      <c r="N1645" s="20">
        <f>IF($M1645="","",IF($M1645&lt;=0,"Sin stock: reponer ya",IF($M1645&lt;IFERROR(N(INDEX(Vinos!$N$2:$N$301,MATCH($B1645,Vinos!$A$2:$A$301,0))),0),"Bajo mínimo: reponer","OK")))</f>
        <v/>
      </c>
      <c r="O1645" s="14" t="n"/>
      <c r="P1645" s="14" t="n"/>
      <c r="Q1645" s="20">
        <f>IF($B1645="","",IFERROR(INDEX(Vinos!$C$2:$C$301,MATCH($B1645,Vinos!$A$2:$A$301,0)),""))</f>
        <v/>
      </c>
      <c r="R1645" s="20">
        <f>IF(OR($A1645="",$A1645&lt;&gt;'Resumen del inventario'!$C$3,$N1645="",$N1645="OK"),"",IF(COUNTIFS($A$2:$A1645,$A1645,$B$2:$B1645,$B1645)=1,1,""))</f>
        <v/>
      </c>
      <c r="S1645" s="20">
        <f>IF($R1645=1,COUNTIF($R$2:$R1645,1),"")</f>
        <v/>
      </c>
    </row>
    <row r="1646">
      <c r="A1646" s="19" t="n"/>
      <c r="B1646" s="14" t="n"/>
      <c r="C1646" s="20">
        <f>IF($B1646="","",IFERROR(INDEX(Vinos!$B$2:$B$301,MATCH($B1646,Vinos!$A$2:$A$301,0)),"Código no cargado"))</f>
        <v/>
      </c>
      <c r="D1646" s="14" t="n"/>
      <c r="E1646" s="14" t="n"/>
      <c r="F1646" s="18" t="n"/>
      <c r="G1646" s="18" t="n"/>
      <c r="H1646" s="21">
        <f>IF(AND($F1646="",$G1646=""),"",N($F1646)*IFERROR(N(INDEX(Vinos!$H$2:$H$301,MATCH($B1646,Vinos!$A$2:$A$301,0))),0)+N($G1646))</f>
        <v/>
      </c>
      <c r="I1646" s="18" t="n"/>
      <c r="J1646" s="21">
        <f>IF(OR($H1646="",$I1646=""),"",$H1646-$I1646)</f>
        <v/>
      </c>
      <c r="K1646" s="16">
        <f>IF($H1646="","",IFERROR(IF(INDEX(Vinos!$J$2:$J$301,MATCH($B1646,Vinos!$A$2:$A$301,0))="","",$H1646*INDEX(Vinos!$J$2:$J$301,MATCH($B1646,Vinos!$A$2:$A$301,0))),""))</f>
        <v/>
      </c>
      <c r="L1646" s="16">
        <f>IF($H1646="","",IFERROR(IF(INDEX(Vinos!$K$2:$K$301,MATCH($B1646,Vinos!$A$2:$A$301,0))="","",$H1646*INDEX(Vinos!$K$2:$K$301,MATCH($B1646,Vinos!$A$2:$A$301,0))),""))</f>
        <v/>
      </c>
      <c r="M1646" s="21">
        <f>IF(OR($A1646="",$B1646=""),"",SUMIFS($H$2:$H$2001,$A$2:$A$2001,$A1646,$B$2:$B$2001,$B1646))</f>
        <v/>
      </c>
      <c r="N1646" s="20">
        <f>IF($M1646="","",IF($M1646&lt;=0,"Sin stock: reponer ya",IF($M1646&lt;IFERROR(N(INDEX(Vinos!$N$2:$N$301,MATCH($B1646,Vinos!$A$2:$A$301,0))),0),"Bajo mínimo: reponer","OK")))</f>
        <v/>
      </c>
      <c r="O1646" s="14" t="n"/>
      <c r="P1646" s="14" t="n"/>
      <c r="Q1646" s="20">
        <f>IF($B1646="","",IFERROR(INDEX(Vinos!$C$2:$C$301,MATCH($B1646,Vinos!$A$2:$A$301,0)),""))</f>
        <v/>
      </c>
      <c r="R1646" s="20">
        <f>IF(OR($A1646="",$A1646&lt;&gt;'Resumen del inventario'!$C$3,$N1646="",$N1646="OK"),"",IF(COUNTIFS($A$2:$A1646,$A1646,$B$2:$B1646,$B1646)=1,1,""))</f>
        <v/>
      </c>
      <c r="S1646" s="20">
        <f>IF($R1646=1,COUNTIF($R$2:$R1646,1),"")</f>
        <v/>
      </c>
    </row>
    <row r="1647">
      <c r="A1647" s="19" t="n"/>
      <c r="B1647" s="14" t="n"/>
      <c r="C1647" s="20">
        <f>IF($B1647="","",IFERROR(INDEX(Vinos!$B$2:$B$301,MATCH($B1647,Vinos!$A$2:$A$301,0)),"Código no cargado"))</f>
        <v/>
      </c>
      <c r="D1647" s="14" t="n"/>
      <c r="E1647" s="14" t="n"/>
      <c r="F1647" s="18" t="n"/>
      <c r="G1647" s="18" t="n"/>
      <c r="H1647" s="21">
        <f>IF(AND($F1647="",$G1647=""),"",N($F1647)*IFERROR(N(INDEX(Vinos!$H$2:$H$301,MATCH($B1647,Vinos!$A$2:$A$301,0))),0)+N($G1647))</f>
        <v/>
      </c>
      <c r="I1647" s="18" t="n"/>
      <c r="J1647" s="21">
        <f>IF(OR($H1647="",$I1647=""),"",$H1647-$I1647)</f>
        <v/>
      </c>
      <c r="K1647" s="16">
        <f>IF($H1647="","",IFERROR(IF(INDEX(Vinos!$J$2:$J$301,MATCH($B1647,Vinos!$A$2:$A$301,0))="","",$H1647*INDEX(Vinos!$J$2:$J$301,MATCH($B1647,Vinos!$A$2:$A$301,0))),""))</f>
        <v/>
      </c>
      <c r="L1647" s="16">
        <f>IF($H1647="","",IFERROR(IF(INDEX(Vinos!$K$2:$K$301,MATCH($B1647,Vinos!$A$2:$A$301,0))="","",$H1647*INDEX(Vinos!$K$2:$K$301,MATCH($B1647,Vinos!$A$2:$A$301,0))),""))</f>
        <v/>
      </c>
      <c r="M1647" s="21">
        <f>IF(OR($A1647="",$B1647=""),"",SUMIFS($H$2:$H$2001,$A$2:$A$2001,$A1647,$B$2:$B$2001,$B1647))</f>
        <v/>
      </c>
      <c r="N1647" s="20">
        <f>IF($M1647="","",IF($M1647&lt;=0,"Sin stock: reponer ya",IF($M1647&lt;IFERROR(N(INDEX(Vinos!$N$2:$N$301,MATCH($B1647,Vinos!$A$2:$A$301,0))),0),"Bajo mínimo: reponer","OK")))</f>
        <v/>
      </c>
      <c r="O1647" s="14" t="n"/>
      <c r="P1647" s="14" t="n"/>
      <c r="Q1647" s="20">
        <f>IF($B1647="","",IFERROR(INDEX(Vinos!$C$2:$C$301,MATCH($B1647,Vinos!$A$2:$A$301,0)),""))</f>
        <v/>
      </c>
      <c r="R1647" s="20">
        <f>IF(OR($A1647="",$A1647&lt;&gt;'Resumen del inventario'!$C$3,$N1647="",$N1647="OK"),"",IF(COUNTIFS($A$2:$A1647,$A1647,$B$2:$B1647,$B1647)=1,1,""))</f>
        <v/>
      </c>
      <c r="S1647" s="20">
        <f>IF($R1647=1,COUNTIF($R$2:$R1647,1),"")</f>
        <v/>
      </c>
    </row>
    <row r="1648">
      <c r="A1648" s="19" t="n"/>
      <c r="B1648" s="14" t="n"/>
      <c r="C1648" s="20">
        <f>IF($B1648="","",IFERROR(INDEX(Vinos!$B$2:$B$301,MATCH($B1648,Vinos!$A$2:$A$301,0)),"Código no cargado"))</f>
        <v/>
      </c>
      <c r="D1648" s="14" t="n"/>
      <c r="E1648" s="14" t="n"/>
      <c r="F1648" s="18" t="n"/>
      <c r="G1648" s="18" t="n"/>
      <c r="H1648" s="21">
        <f>IF(AND($F1648="",$G1648=""),"",N($F1648)*IFERROR(N(INDEX(Vinos!$H$2:$H$301,MATCH($B1648,Vinos!$A$2:$A$301,0))),0)+N($G1648))</f>
        <v/>
      </c>
      <c r="I1648" s="18" t="n"/>
      <c r="J1648" s="21">
        <f>IF(OR($H1648="",$I1648=""),"",$H1648-$I1648)</f>
        <v/>
      </c>
      <c r="K1648" s="16">
        <f>IF($H1648="","",IFERROR(IF(INDEX(Vinos!$J$2:$J$301,MATCH($B1648,Vinos!$A$2:$A$301,0))="","",$H1648*INDEX(Vinos!$J$2:$J$301,MATCH($B1648,Vinos!$A$2:$A$301,0))),""))</f>
        <v/>
      </c>
      <c r="L1648" s="16">
        <f>IF($H1648="","",IFERROR(IF(INDEX(Vinos!$K$2:$K$301,MATCH($B1648,Vinos!$A$2:$A$301,0))="","",$H1648*INDEX(Vinos!$K$2:$K$301,MATCH($B1648,Vinos!$A$2:$A$301,0))),""))</f>
        <v/>
      </c>
      <c r="M1648" s="21">
        <f>IF(OR($A1648="",$B1648=""),"",SUMIFS($H$2:$H$2001,$A$2:$A$2001,$A1648,$B$2:$B$2001,$B1648))</f>
        <v/>
      </c>
      <c r="N1648" s="20">
        <f>IF($M1648="","",IF($M1648&lt;=0,"Sin stock: reponer ya",IF($M1648&lt;IFERROR(N(INDEX(Vinos!$N$2:$N$301,MATCH($B1648,Vinos!$A$2:$A$301,0))),0),"Bajo mínimo: reponer","OK")))</f>
        <v/>
      </c>
      <c r="O1648" s="14" t="n"/>
      <c r="P1648" s="14" t="n"/>
      <c r="Q1648" s="20">
        <f>IF($B1648="","",IFERROR(INDEX(Vinos!$C$2:$C$301,MATCH($B1648,Vinos!$A$2:$A$301,0)),""))</f>
        <v/>
      </c>
      <c r="R1648" s="20">
        <f>IF(OR($A1648="",$A1648&lt;&gt;'Resumen del inventario'!$C$3,$N1648="",$N1648="OK"),"",IF(COUNTIFS($A$2:$A1648,$A1648,$B$2:$B1648,$B1648)=1,1,""))</f>
        <v/>
      </c>
      <c r="S1648" s="20">
        <f>IF($R1648=1,COUNTIF($R$2:$R1648,1),"")</f>
        <v/>
      </c>
    </row>
    <row r="1649">
      <c r="A1649" s="19" t="n"/>
      <c r="B1649" s="14" t="n"/>
      <c r="C1649" s="20">
        <f>IF($B1649="","",IFERROR(INDEX(Vinos!$B$2:$B$301,MATCH($B1649,Vinos!$A$2:$A$301,0)),"Código no cargado"))</f>
        <v/>
      </c>
      <c r="D1649" s="14" t="n"/>
      <c r="E1649" s="14" t="n"/>
      <c r="F1649" s="18" t="n"/>
      <c r="G1649" s="18" t="n"/>
      <c r="H1649" s="21">
        <f>IF(AND($F1649="",$G1649=""),"",N($F1649)*IFERROR(N(INDEX(Vinos!$H$2:$H$301,MATCH($B1649,Vinos!$A$2:$A$301,0))),0)+N($G1649))</f>
        <v/>
      </c>
      <c r="I1649" s="18" t="n"/>
      <c r="J1649" s="21">
        <f>IF(OR($H1649="",$I1649=""),"",$H1649-$I1649)</f>
        <v/>
      </c>
      <c r="K1649" s="16">
        <f>IF($H1649="","",IFERROR(IF(INDEX(Vinos!$J$2:$J$301,MATCH($B1649,Vinos!$A$2:$A$301,0))="","",$H1649*INDEX(Vinos!$J$2:$J$301,MATCH($B1649,Vinos!$A$2:$A$301,0))),""))</f>
        <v/>
      </c>
      <c r="L1649" s="16">
        <f>IF($H1649="","",IFERROR(IF(INDEX(Vinos!$K$2:$K$301,MATCH($B1649,Vinos!$A$2:$A$301,0))="","",$H1649*INDEX(Vinos!$K$2:$K$301,MATCH($B1649,Vinos!$A$2:$A$301,0))),""))</f>
        <v/>
      </c>
      <c r="M1649" s="21">
        <f>IF(OR($A1649="",$B1649=""),"",SUMIFS($H$2:$H$2001,$A$2:$A$2001,$A1649,$B$2:$B$2001,$B1649))</f>
        <v/>
      </c>
      <c r="N1649" s="20">
        <f>IF($M1649="","",IF($M1649&lt;=0,"Sin stock: reponer ya",IF($M1649&lt;IFERROR(N(INDEX(Vinos!$N$2:$N$301,MATCH($B1649,Vinos!$A$2:$A$301,0))),0),"Bajo mínimo: reponer","OK")))</f>
        <v/>
      </c>
      <c r="O1649" s="14" t="n"/>
      <c r="P1649" s="14" t="n"/>
      <c r="Q1649" s="20">
        <f>IF($B1649="","",IFERROR(INDEX(Vinos!$C$2:$C$301,MATCH($B1649,Vinos!$A$2:$A$301,0)),""))</f>
        <v/>
      </c>
      <c r="R1649" s="20">
        <f>IF(OR($A1649="",$A1649&lt;&gt;'Resumen del inventario'!$C$3,$N1649="",$N1649="OK"),"",IF(COUNTIFS($A$2:$A1649,$A1649,$B$2:$B1649,$B1649)=1,1,""))</f>
        <v/>
      </c>
      <c r="S1649" s="20">
        <f>IF($R1649=1,COUNTIF($R$2:$R1649,1),"")</f>
        <v/>
      </c>
    </row>
    <row r="1650">
      <c r="A1650" s="19" t="n"/>
      <c r="B1650" s="14" t="n"/>
      <c r="C1650" s="20">
        <f>IF($B1650="","",IFERROR(INDEX(Vinos!$B$2:$B$301,MATCH($B1650,Vinos!$A$2:$A$301,0)),"Código no cargado"))</f>
        <v/>
      </c>
      <c r="D1650" s="14" t="n"/>
      <c r="E1650" s="14" t="n"/>
      <c r="F1650" s="18" t="n"/>
      <c r="G1650" s="18" t="n"/>
      <c r="H1650" s="21">
        <f>IF(AND($F1650="",$G1650=""),"",N($F1650)*IFERROR(N(INDEX(Vinos!$H$2:$H$301,MATCH($B1650,Vinos!$A$2:$A$301,0))),0)+N($G1650))</f>
        <v/>
      </c>
      <c r="I1650" s="18" t="n"/>
      <c r="J1650" s="21">
        <f>IF(OR($H1650="",$I1650=""),"",$H1650-$I1650)</f>
        <v/>
      </c>
      <c r="K1650" s="16">
        <f>IF($H1650="","",IFERROR(IF(INDEX(Vinos!$J$2:$J$301,MATCH($B1650,Vinos!$A$2:$A$301,0))="","",$H1650*INDEX(Vinos!$J$2:$J$301,MATCH($B1650,Vinos!$A$2:$A$301,0))),""))</f>
        <v/>
      </c>
      <c r="L1650" s="16">
        <f>IF($H1650="","",IFERROR(IF(INDEX(Vinos!$K$2:$K$301,MATCH($B1650,Vinos!$A$2:$A$301,0))="","",$H1650*INDEX(Vinos!$K$2:$K$301,MATCH($B1650,Vinos!$A$2:$A$301,0))),""))</f>
        <v/>
      </c>
      <c r="M1650" s="21">
        <f>IF(OR($A1650="",$B1650=""),"",SUMIFS($H$2:$H$2001,$A$2:$A$2001,$A1650,$B$2:$B$2001,$B1650))</f>
        <v/>
      </c>
      <c r="N1650" s="20">
        <f>IF($M1650="","",IF($M1650&lt;=0,"Sin stock: reponer ya",IF($M1650&lt;IFERROR(N(INDEX(Vinos!$N$2:$N$301,MATCH($B1650,Vinos!$A$2:$A$301,0))),0),"Bajo mínimo: reponer","OK")))</f>
        <v/>
      </c>
      <c r="O1650" s="14" t="n"/>
      <c r="P1650" s="14" t="n"/>
      <c r="Q1650" s="20">
        <f>IF($B1650="","",IFERROR(INDEX(Vinos!$C$2:$C$301,MATCH($B1650,Vinos!$A$2:$A$301,0)),""))</f>
        <v/>
      </c>
      <c r="R1650" s="20">
        <f>IF(OR($A1650="",$A1650&lt;&gt;'Resumen del inventario'!$C$3,$N1650="",$N1650="OK"),"",IF(COUNTIFS($A$2:$A1650,$A1650,$B$2:$B1650,$B1650)=1,1,""))</f>
        <v/>
      </c>
      <c r="S1650" s="20">
        <f>IF($R1650=1,COUNTIF($R$2:$R1650,1),"")</f>
        <v/>
      </c>
    </row>
    <row r="1651">
      <c r="A1651" s="19" t="n"/>
      <c r="B1651" s="14" t="n"/>
      <c r="C1651" s="20">
        <f>IF($B1651="","",IFERROR(INDEX(Vinos!$B$2:$B$301,MATCH($B1651,Vinos!$A$2:$A$301,0)),"Código no cargado"))</f>
        <v/>
      </c>
      <c r="D1651" s="14" t="n"/>
      <c r="E1651" s="14" t="n"/>
      <c r="F1651" s="18" t="n"/>
      <c r="G1651" s="18" t="n"/>
      <c r="H1651" s="21">
        <f>IF(AND($F1651="",$G1651=""),"",N($F1651)*IFERROR(N(INDEX(Vinos!$H$2:$H$301,MATCH($B1651,Vinos!$A$2:$A$301,0))),0)+N($G1651))</f>
        <v/>
      </c>
      <c r="I1651" s="18" t="n"/>
      <c r="J1651" s="21">
        <f>IF(OR($H1651="",$I1651=""),"",$H1651-$I1651)</f>
        <v/>
      </c>
      <c r="K1651" s="16">
        <f>IF($H1651="","",IFERROR(IF(INDEX(Vinos!$J$2:$J$301,MATCH($B1651,Vinos!$A$2:$A$301,0))="","",$H1651*INDEX(Vinos!$J$2:$J$301,MATCH($B1651,Vinos!$A$2:$A$301,0))),""))</f>
        <v/>
      </c>
      <c r="L1651" s="16">
        <f>IF($H1651="","",IFERROR(IF(INDEX(Vinos!$K$2:$K$301,MATCH($B1651,Vinos!$A$2:$A$301,0))="","",$H1651*INDEX(Vinos!$K$2:$K$301,MATCH($B1651,Vinos!$A$2:$A$301,0))),""))</f>
        <v/>
      </c>
      <c r="M1651" s="21">
        <f>IF(OR($A1651="",$B1651=""),"",SUMIFS($H$2:$H$2001,$A$2:$A$2001,$A1651,$B$2:$B$2001,$B1651))</f>
        <v/>
      </c>
      <c r="N1651" s="20">
        <f>IF($M1651="","",IF($M1651&lt;=0,"Sin stock: reponer ya",IF($M1651&lt;IFERROR(N(INDEX(Vinos!$N$2:$N$301,MATCH($B1651,Vinos!$A$2:$A$301,0))),0),"Bajo mínimo: reponer","OK")))</f>
        <v/>
      </c>
      <c r="O1651" s="14" t="n"/>
      <c r="P1651" s="14" t="n"/>
      <c r="Q1651" s="20">
        <f>IF($B1651="","",IFERROR(INDEX(Vinos!$C$2:$C$301,MATCH($B1651,Vinos!$A$2:$A$301,0)),""))</f>
        <v/>
      </c>
      <c r="R1651" s="20">
        <f>IF(OR($A1651="",$A1651&lt;&gt;'Resumen del inventario'!$C$3,$N1651="",$N1651="OK"),"",IF(COUNTIFS($A$2:$A1651,$A1651,$B$2:$B1651,$B1651)=1,1,""))</f>
        <v/>
      </c>
      <c r="S1651" s="20">
        <f>IF($R1651=1,COUNTIF($R$2:$R1651,1),"")</f>
        <v/>
      </c>
    </row>
    <row r="1652">
      <c r="A1652" s="19" t="n"/>
      <c r="B1652" s="14" t="n"/>
      <c r="C1652" s="20">
        <f>IF($B1652="","",IFERROR(INDEX(Vinos!$B$2:$B$301,MATCH($B1652,Vinos!$A$2:$A$301,0)),"Código no cargado"))</f>
        <v/>
      </c>
      <c r="D1652" s="14" t="n"/>
      <c r="E1652" s="14" t="n"/>
      <c r="F1652" s="18" t="n"/>
      <c r="G1652" s="18" t="n"/>
      <c r="H1652" s="21">
        <f>IF(AND($F1652="",$G1652=""),"",N($F1652)*IFERROR(N(INDEX(Vinos!$H$2:$H$301,MATCH($B1652,Vinos!$A$2:$A$301,0))),0)+N($G1652))</f>
        <v/>
      </c>
      <c r="I1652" s="18" t="n"/>
      <c r="J1652" s="21">
        <f>IF(OR($H1652="",$I1652=""),"",$H1652-$I1652)</f>
        <v/>
      </c>
      <c r="K1652" s="16">
        <f>IF($H1652="","",IFERROR(IF(INDEX(Vinos!$J$2:$J$301,MATCH($B1652,Vinos!$A$2:$A$301,0))="","",$H1652*INDEX(Vinos!$J$2:$J$301,MATCH($B1652,Vinos!$A$2:$A$301,0))),""))</f>
        <v/>
      </c>
      <c r="L1652" s="16">
        <f>IF($H1652="","",IFERROR(IF(INDEX(Vinos!$K$2:$K$301,MATCH($B1652,Vinos!$A$2:$A$301,0))="","",$H1652*INDEX(Vinos!$K$2:$K$301,MATCH($B1652,Vinos!$A$2:$A$301,0))),""))</f>
        <v/>
      </c>
      <c r="M1652" s="21">
        <f>IF(OR($A1652="",$B1652=""),"",SUMIFS($H$2:$H$2001,$A$2:$A$2001,$A1652,$B$2:$B$2001,$B1652))</f>
        <v/>
      </c>
      <c r="N1652" s="20">
        <f>IF($M1652="","",IF($M1652&lt;=0,"Sin stock: reponer ya",IF($M1652&lt;IFERROR(N(INDEX(Vinos!$N$2:$N$301,MATCH($B1652,Vinos!$A$2:$A$301,0))),0),"Bajo mínimo: reponer","OK")))</f>
        <v/>
      </c>
      <c r="O1652" s="14" t="n"/>
      <c r="P1652" s="14" t="n"/>
      <c r="Q1652" s="20">
        <f>IF($B1652="","",IFERROR(INDEX(Vinos!$C$2:$C$301,MATCH($B1652,Vinos!$A$2:$A$301,0)),""))</f>
        <v/>
      </c>
      <c r="R1652" s="20">
        <f>IF(OR($A1652="",$A1652&lt;&gt;'Resumen del inventario'!$C$3,$N1652="",$N1652="OK"),"",IF(COUNTIFS($A$2:$A1652,$A1652,$B$2:$B1652,$B1652)=1,1,""))</f>
        <v/>
      </c>
      <c r="S1652" s="20">
        <f>IF($R1652=1,COUNTIF($R$2:$R1652,1),"")</f>
        <v/>
      </c>
    </row>
    <row r="1653">
      <c r="A1653" s="19" t="n"/>
      <c r="B1653" s="14" t="n"/>
      <c r="C1653" s="20">
        <f>IF($B1653="","",IFERROR(INDEX(Vinos!$B$2:$B$301,MATCH($B1653,Vinos!$A$2:$A$301,0)),"Código no cargado"))</f>
        <v/>
      </c>
      <c r="D1653" s="14" t="n"/>
      <c r="E1653" s="14" t="n"/>
      <c r="F1653" s="18" t="n"/>
      <c r="G1653" s="18" t="n"/>
      <c r="H1653" s="21">
        <f>IF(AND($F1653="",$G1653=""),"",N($F1653)*IFERROR(N(INDEX(Vinos!$H$2:$H$301,MATCH($B1653,Vinos!$A$2:$A$301,0))),0)+N($G1653))</f>
        <v/>
      </c>
      <c r="I1653" s="18" t="n"/>
      <c r="J1653" s="21">
        <f>IF(OR($H1653="",$I1653=""),"",$H1653-$I1653)</f>
        <v/>
      </c>
      <c r="K1653" s="16">
        <f>IF($H1653="","",IFERROR(IF(INDEX(Vinos!$J$2:$J$301,MATCH($B1653,Vinos!$A$2:$A$301,0))="","",$H1653*INDEX(Vinos!$J$2:$J$301,MATCH($B1653,Vinos!$A$2:$A$301,0))),""))</f>
        <v/>
      </c>
      <c r="L1653" s="16">
        <f>IF($H1653="","",IFERROR(IF(INDEX(Vinos!$K$2:$K$301,MATCH($B1653,Vinos!$A$2:$A$301,0))="","",$H1653*INDEX(Vinos!$K$2:$K$301,MATCH($B1653,Vinos!$A$2:$A$301,0))),""))</f>
        <v/>
      </c>
      <c r="M1653" s="21">
        <f>IF(OR($A1653="",$B1653=""),"",SUMIFS($H$2:$H$2001,$A$2:$A$2001,$A1653,$B$2:$B$2001,$B1653))</f>
        <v/>
      </c>
      <c r="N1653" s="20">
        <f>IF($M1653="","",IF($M1653&lt;=0,"Sin stock: reponer ya",IF($M1653&lt;IFERROR(N(INDEX(Vinos!$N$2:$N$301,MATCH($B1653,Vinos!$A$2:$A$301,0))),0),"Bajo mínimo: reponer","OK")))</f>
        <v/>
      </c>
      <c r="O1653" s="14" t="n"/>
      <c r="P1653" s="14" t="n"/>
      <c r="Q1653" s="20">
        <f>IF($B1653="","",IFERROR(INDEX(Vinos!$C$2:$C$301,MATCH($B1653,Vinos!$A$2:$A$301,0)),""))</f>
        <v/>
      </c>
      <c r="R1653" s="20">
        <f>IF(OR($A1653="",$A1653&lt;&gt;'Resumen del inventario'!$C$3,$N1653="",$N1653="OK"),"",IF(COUNTIFS($A$2:$A1653,$A1653,$B$2:$B1653,$B1653)=1,1,""))</f>
        <v/>
      </c>
      <c r="S1653" s="20">
        <f>IF($R1653=1,COUNTIF($R$2:$R1653,1),"")</f>
        <v/>
      </c>
    </row>
    <row r="1654">
      <c r="A1654" s="19" t="n"/>
      <c r="B1654" s="14" t="n"/>
      <c r="C1654" s="20">
        <f>IF($B1654="","",IFERROR(INDEX(Vinos!$B$2:$B$301,MATCH($B1654,Vinos!$A$2:$A$301,0)),"Código no cargado"))</f>
        <v/>
      </c>
      <c r="D1654" s="14" t="n"/>
      <c r="E1654" s="14" t="n"/>
      <c r="F1654" s="18" t="n"/>
      <c r="G1654" s="18" t="n"/>
      <c r="H1654" s="21">
        <f>IF(AND($F1654="",$G1654=""),"",N($F1654)*IFERROR(N(INDEX(Vinos!$H$2:$H$301,MATCH($B1654,Vinos!$A$2:$A$301,0))),0)+N($G1654))</f>
        <v/>
      </c>
      <c r="I1654" s="18" t="n"/>
      <c r="J1654" s="21">
        <f>IF(OR($H1654="",$I1654=""),"",$H1654-$I1654)</f>
        <v/>
      </c>
      <c r="K1654" s="16">
        <f>IF($H1654="","",IFERROR(IF(INDEX(Vinos!$J$2:$J$301,MATCH($B1654,Vinos!$A$2:$A$301,0))="","",$H1654*INDEX(Vinos!$J$2:$J$301,MATCH($B1654,Vinos!$A$2:$A$301,0))),""))</f>
        <v/>
      </c>
      <c r="L1654" s="16">
        <f>IF($H1654="","",IFERROR(IF(INDEX(Vinos!$K$2:$K$301,MATCH($B1654,Vinos!$A$2:$A$301,0))="","",$H1654*INDEX(Vinos!$K$2:$K$301,MATCH($B1654,Vinos!$A$2:$A$301,0))),""))</f>
        <v/>
      </c>
      <c r="M1654" s="21">
        <f>IF(OR($A1654="",$B1654=""),"",SUMIFS($H$2:$H$2001,$A$2:$A$2001,$A1654,$B$2:$B$2001,$B1654))</f>
        <v/>
      </c>
      <c r="N1654" s="20">
        <f>IF($M1654="","",IF($M1654&lt;=0,"Sin stock: reponer ya",IF($M1654&lt;IFERROR(N(INDEX(Vinos!$N$2:$N$301,MATCH($B1654,Vinos!$A$2:$A$301,0))),0),"Bajo mínimo: reponer","OK")))</f>
        <v/>
      </c>
      <c r="O1654" s="14" t="n"/>
      <c r="P1654" s="14" t="n"/>
      <c r="Q1654" s="20">
        <f>IF($B1654="","",IFERROR(INDEX(Vinos!$C$2:$C$301,MATCH($B1654,Vinos!$A$2:$A$301,0)),""))</f>
        <v/>
      </c>
      <c r="R1654" s="20">
        <f>IF(OR($A1654="",$A1654&lt;&gt;'Resumen del inventario'!$C$3,$N1654="",$N1654="OK"),"",IF(COUNTIFS($A$2:$A1654,$A1654,$B$2:$B1654,$B1654)=1,1,""))</f>
        <v/>
      </c>
      <c r="S1654" s="20">
        <f>IF($R1654=1,COUNTIF($R$2:$R1654,1),"")</f>
        <v/>
      </c>
    </row>
    <row r="1655">
      <c r="A1655" s="19" t="n"/>
      <c r="B1655" s="14" t="n"/>
      <c r="C1655" s="20">
        <f>IF($B1655="","",IFERROR(INDEX(Vinos!$B$2:$B$301,MATCH($B1655,Vinos!$A$2:$A$301,0)),"Código no cargado"))</f>
        <v/>
      </c>
      <c r="D1655" s="14" t="n"/>
      <c r="E1655" s="14" t="n"/>
      <c r="F1655" s="18" t="n"/>
      <c r="G1655" s="18" t="n"/>
      <c r="H1655" s="21">
        <f>IF(AND($F1655="",$G1655=""),"",N($F1655)*IFERROR(N(INDEX(Vinos!$H$2:$H$301,MATCH($B1655,Vinos!$A$2:$A$301,0))),0)+N($G1655))</f>
        <v/>
      </c>
      <c r="I1655" s="18" t="n"/>
      <c r="J1655" s="21">
        <f>IF(OR($H1655="",$I1655=""),"",$H1655-$I1655)</f>
        <v/>
      </c>
      <c r="K1655" s="16">
        <f>IF($H1655="","",IFERROR(IF(INDEX(Vinos!$J$2:$J$301,MATCH($B1655,Vinos!$A$2:$A$301,0))="","",$H1655*INDEX(Vinos!$J$2:$J$301,MATCH($B1655,Vinos!$A$2:$A$301,0))),""))</f>
        <v/>
      </c>
      <c r="L1655" s="16">
        <f>IF($H1655="","",IFERROR(IF(INDEX(Vinos!$K$2:$K$301,MATCH($B1655,Vinos!$A$2:$A$301,0))="","",$H1655*INDEX(Vinos!$K$2:$K$301,MATCH($B1655,Vinos!$A$2:$A$301,0))),""))</f>
        <v/>
      </c>
      <c r="M1655" s="21">
        <f>IF(OR($A1655="",$B1655=""),"",SUMIFS($H$2:$H$2001,$A$2:$A$2001,$A1655,$B$2:$B$2001,$B1655))</f>
        <v/>
      </c>
      <c r="N1655" s="20">
        <f>IF($M1655="","",IF($M1655&lt;=0,"Sin stock: reponer ya",IF($M1655&lt;IFERROR(N(INDEX(Vinos!$N$2:$N$301,MATCH($B1655,Vinos!$A$2:$A$301,0))),0),"Bajo mínimo: reponer","OK")))</f>
        <v/>
      </c>
      <c r="O1655" s="14" t="n"/>
      <c r="P1655" s="14" t="n"/>
      <c r="Q1655" s="20">
        <f>IF($B1655="","",IFERROR(INDEX(Vinos!$C$2:$C$301,MATCH($B1655,Vinos!$A$2:$A$301,0)),""))</f>
        <v/>
      </c>
      <c r="R1655" s="20">
        <f>IF(OR($A1655="",$A1655&lt;&gt;'Resumen del inventario'!$C$3,$N1655="",$N1655="OK"),"",IF(COUNTIFS($A$2:$A1655,$A1655,$B$2:$B1655,$B1655)=1,1,""))</f>
        <v/>
      </c>
      <c r="S1655" s="20">
        <f>IF($R1655=1,COUNTIF($R$2:$R1655,1),"")</f>
        <v/>
      </c>
    </row>
    <row r="1656">
      <c r="A1656" s="19" t="n"/>
      <c r="B1656" s="14" t="n"/>
      <c r="C1656" s="20">
        <f>IF($B1656="","",IFERROR(INDEX(Vinos!$B$2:$B$301,MATCH($B1656,Vinos!$A$2:$A$301,0)),"Código no cargado"))</f>
        <v/>
      </c>
      <c r="D1656" s="14" t="n"/>
      <c r="E1656" s="14" t="n"/>
      <c r="F1656" s="18" t="n"/>
      <c r="G1656" s="18" t="n"/>
      <c r="H1656" s="21">
        <f>IF(AND($F1656="",$G1656=""),"",N($F1656)*IFERROR(N(INDEX(Vinos!$H$2:$H$301,MATCH($B1656,Vinos!$A$2:$A$301,0))),0)+N($G1656))</f>
        <v/>
      </c>
      <c r="I1656" s="18" t="n"/>
      <c r="J1656" s="21">
        <f>IF(OR($H1656="",$I1656=""),"",$H1656-$I1656)</f>
        <v/>
      </c>
      <c r="K1656" s="16">
        <f>IF($H1656="","",IFERROR(IF(INDEX(Vinos!$J$2:$J$301,MATCH($B1656,Vinos!$A$2:$A$301,0))="","",$H1656*INDEX(Vinos!$J$2:$J$301,MATCH($B1656,Vinos!$A$2:$A$301,0))),""))</f>
        <v/>
      </c>
      <c r="L1656" s="16">
        <f>IF($H1656="","",IFERROR(IF(INDEX(Vinos!$K$2:$K$301,MATCH($B1656,Vinos!$A$2:$A$301,0))="","",$H1656*INDEX(Vinos!$K$2:$K$301,MATCH($B1656,Vinos!$A$2:$A$301,0))),""))</f>
        <v/>
      </c>
      <c r="M1656" s="21">
        <f>IF(OR($A1656="",$B1656=""),"",SUMIFS($H$2:$H$2001,$A$2:$A$2001,$A1656,$B$2:$B$2001,$B1656))</f>
        <v/>
      </c>
      <c r="N1656" s="20">
        <f>IF($M1656="","",IF($M1656&lt;=0,"Sin stock: reponer ya",IF($M1656&lt;IFERROR(N(INDEX(Vinos!$N$2:$N$301,MATCH($B1656,Vinos!$A$2:$A$301,0))),0),"Bajo mínimo: reponer","OK")))</f>
        <v/>
      </c>
      <c r="O1656" s="14" t="n"/>
      <c r="P1656" s="14" t="n"/>
      <c r="Q1656" s="20">
        <f>IF($B1656="","",IFERROR(INDEX(Vinos!$C$2:$C$301,MATCH($B1656,Vinos!$A$2:$A$301,0)),""))</f>
        <v/>
      </c>
      <c r="R1656" s="20">
        <f>IF(OR($A1656="",$A1656&lt;&gt;'Resumen del inventario'!$C$3,$N1656="",$N1656="OK"),"",IF(COUNTIFS($A$2:$A1656,$A1656,$B$2:$B1656,$B1656)=1,1,""))</f>
        <v/>
      </c>
      <c r="S1656" s="20">
        <f>IF($R1656=1,COUNTIF($R$2:$R1656,1),"")</f>
        <v/>
      </c>
    </row>
    <row r="1657">
      <c r="A1657" s="19" t="n"/>
      <c r="B1657" s="14" t="n"/>
      <c r="C1657" s="20">
        <f>IF($B1657="","",IFERROR(INDEX(Vinos!$B$2:$B$301,MATCH($B1657,Vinos!$A$2:$A$301,0)),"Código no cargado"))</f>
        <v/>
      </c>
      <c r="D1657" s="14" t="n"/>
      <c r="E1657" s="14" t="n"/>
      <c r="F1657" s="18" t="n"/>
      <c r="G1657" s="18" t="n"/>
      <c r="H1657" s="21">
        <f>IF(AND($F1657="",$G1657=""),"",N($F1657)*IFERROR(N(INDEX(Vinos!$H$2:$H$301,MATCH($B1657,Vinos!$A$2:$A$301,0))),0)+N($G1657))</f>
        <v/>
      </c>
      <c r="I1657" s="18" t="n"/>
      <c r="J1657" s="21">
        <f>IF(OR($H1657="",$I1657=""),"",$H1657-$I1657)</f>
        <v/>
      </c>
      <c r="K1657" s="16">
        <f>IF($H1657="","",IFERROR(IF(INDEX(Vinos!$J$2:$J$301,MATCH($B1657,Vinos!$A$2:$A$301,0))="","",$H1657*INDEX(Vinos!$J$2:$J$301,MATCH($B1657,Vinos!$A$2:$A$301,0))),""))</f>
        <v/>
      </c>
      <c r="L1657" s="16">
        <f>IF($H1657="","",IFERROR(IF(INDEX(Vinos!$K$2:$K$301,MATCH($B1657,Vinos!$A$2:$A$301,0))="","",$H1657*INDEX(Vinos!$K$2:$K$301,MATCH($B1657,Vinos!$A$2:$A$301,0))),""))</f>
        <v/>
      </c>
      <c r="M1657" s="21">
        <f>IF(OR($A1657="",$B1657=""),"",SUMIFS($H$2:$H$2001,$A$2:$A$2001,$A1657,$B$2:$B$2001,$B1657))</f>
        <v/>
      </c>
      <c r="N1657" s="20">
        <f>IF($M1657="","",IF($M1657&lt;=0,"Sin stock: reponer ya",IF($M1657&lt;IFERROR(N(INDEX(Vinos!$N$2:$N$301,MATCH($B1657,Vinos!$A$2:$A$301,0))),0),"Bajo mínimo: reponer","OK")))</f>
        <v/>
      </c>
      <c r="O1657" s="14" t="n"/>
      <c r="P1657" s="14" t="n"/>
      <c r="Q1657" s="20">
        <f>IF($B1657="","",IFERROR(INDEX(Vinos!$C$2:$C$301,MATCH($B1657,Vinos!$A$2:$A$301,0)),""))</f>
        <v/>
      </c>
      <c r="R1657" s="20">
        <f>IF(OR($A1657="",$A1657&lt;&gt;'Resumen del inventario'!$C$3,$N1657="",$N1657="OK"),"",IF(COUNTIFS($A$2:$A1657,$A1657,$B$2:$B1657,$B1657)=1,1,""))</f>
        <v/>
      </c>
      <c r="S1657" s="20">
        <f>IF($R1657=1,COUNTIF($R$2:$R1657,1),"")</f>
        <v/>
      </c>
    </row>
    <row r="1658">
      <c r="A1658" s="19" t="n"/>
      <c r="B1658" s="14" t="n"/>
      <c r="C1658" s="20">
        <f>IF($B1658="","",IFERROR(INDEX(Vinos!$B$2:$B$301,MATCH($B1658,Vinos!$A$2:$A$301,0)),"Código no cargado"))</f>
        <v/>
      </c>
      <c r="D1658" s="14" t="n"/>
      <c r="E1658" s="14" t="n"/>
      <c r="F1658" s="18" t="n"/>
      <c r="G1658" s="18" t="n"/>
      <c r="H1658" s="21">
        <f>IF(AND($F1658="",$G1658=""),"",N($F1658)*IFERROR(N(INDEX(Vinos!$H$2:$H$301,MATCH($B1658,Vinos!$A$2:$A$301,0))),0)+N($G1658))</f>
        <v/>
      </c>
      <c r="I1658" s="18" t="n"/>
      <c r="J1658" s="21">
        <f>IF(OR($H1658="",$I1658=""),"",$H1658-$I1658)</f>
        <v/>
      </c>
      <c r="K1658" s="16">
        <f>IF($H1658="","",IFERROR(IF(INDEX(Vinos!$J$2:$J$301,MATCH($B1658,Vinos!$A$2:$A$301,0))="","",$H1658*INDEX(Vinos!$J$2:$J$301,MATCH($B1658,Vinos!$A$2:$A$301,0))),""))</f>
        <v/>
      </c>
      <c r="L1658" s="16">
        <f>IF($H1658="","",IFERROR(IF(INDEX(Vinos!$K$2:$K$301,MATCH($B1658,Vinos!$A$2:$A$301,0))="","",$H1658*INDEX(Vinos!$K$2:$K$301,MATCH($B1658,Vinos!$A$2:$A$301,0))),""))</f>
        <v/>
      </c>
      <c r="M1658" s="21">
        <f>IF(OR($A1658="",$B1658=""),"",SUMIFS($H$2:$H$2001,$A$2:$A$2001,$A1658,$B$2:$B$2001,$B1658))</f>
        <v/>
      </c>
      <c r="N1658" s="20">
        <f>IF($M1658="","",IF($M1658&lt;=0,"Sin stock: reponer ya",IF($M1658&lt;IFERROR(N(INDEX(Vinos!$N$2:$N$301,MATCH($B1658,Vinos!$A$2:$A$301,0))),0),"Bajo mínimo: reponer","OK")))</f>
        <v/>
      </c>
      <c r="O1658" s="14" t="n"/>
      <c r="P1658" s="14" t="n"/>
      <c r="Q1658" s="20">
        <f>IF($B1658="","",IFERROR(INDEX(Vinos!$C$2:$C$301,MATCH($B1658,Vinos!$A$2:$A$301,0)),""))</f>
        <v/>
      </c>
      <c r="R1658" s="20">
        <f>IF(OR($A1658="",$A1658&lt;&gt;'Resumen del inventario'!$C$3,$N1658="",$N1658="OK"),"",IF(COUNTIFS($A$2:$A1658,$A1658,$B$2:$B1658,$B1658)=1,1,""))</f>
        <v/>
      </c>
      <c r="S1658" s="20">
        <f>IF($R1658=1,COUNTIF($R$2:$R1658,1),"")</f>
        <v/>
      </c>
    </row>
    <row r="1659">
      <c r="A1659" s="19" t="n"/>
      <c r="B1659" s="14" t="n"/>
      <c r="C1659" s="20">
        <f>IF($B1659="","",IFERROR(INDEX(Vinos!$B$2:$B$301,MATCH($B1659,Vinos!$A$2:$A$301,0)),"Código no cargado"))</f>
        <v/>
      </c>
      <c r="D1659" s="14" t="n"/>
      <c r="E1659" s="14" t="n"/>
      <c r="F1659" s="18" t="n"/>
      <c r="G1659" s="18" t="n"/>
      <c r="H1659" s="21">
        <f>IF(AND($F1659="",$G1659=""),"",N($F1659)*IFERROR(N(INDEX(Vinos!$H$2:$H$301,MATCH($B1659,Vinos!$A$2:$A$301,0))),0)+N($G1659))</f>
        <v/>
      </c>
      <c r="I1659" s="18" t="n"/>
      <c r="J1659" s="21">
        <f>IF(OR($H1659="",$I1659=""),"",$H1659-$I1659)</f>
        <v/>
      </c>
      <c r="K1659" s="16">
        <f>IF($H1659="","",IFERROR(IF(INDEX(Vinos!$J$2:$J$301,MATCH($B1659,Vinos!$A$2:$A$301,0))="","",$H1659*INDEX(Vinos!$J$2:$J$301,MATCH($B1659,Vinos!$A$2:$A$301,0))),""))</f>
        <v/>
      </c>
      <c r="L1659" s="16">
        <f>IF($H1659="","",IFERROR(IF(INDEX(Vinos!$K$2:$K$301,MATCH($B1659,Vinos!$A$2:$A$301,0))="","",$H1659*INDEX(Vinos!$K$2:$K$301,MATCH($B1659,Vinos!$A$2:$A$301,0))),""))</f>
        <v/>
      </c>
      <c r="M1659" s="21">
        <f>IF(OR($A1659="",$B1659=""),"",SUMIFS($H$2:$H$2001,$A$2:$A$2001,$A1659,$B$2:$B$2001,$B1659))</f>
        <v/>
      </c>
      <c r="N1659" s="20">
        <f>IF($M1659="","",IF($M1659&lt;=0,"Sin stock: reponer ya",IF($M1659&lt;IFERROR(N(INDEX(Vinos!$N$2:$N$301,MATCH($B1659,Vinos!$A$2:$A$301,0))),0),"Bajo mínimo: reponer","OK")))</f>
        <v/>
      </c>
      <c r="O1659" s="14" t="n"/>
      <c r="P1659" s="14" t="n"/>
      <c r="Q1659" s="20">
        <f>IF($B1659="","",IFERROR(INDEX(Vinos!$C$2:$C$301,MATCH($B1659,Vinos!$A$2:$A$301,0)),""))</f>
        <v/>
      </c>
      <c r="R1659" s="20">
        <f>IF(OR($A1659="",$A1659&lt;&gt;'Resumen del inventario'!$C$3,$N1659="",$N1659="OK"),"",IF(COUNTIFS($A$2:$A1659,$A1659,$B$2:$B1659,$B1659)=1,1,""))</f>
        <v/>
      </c>
      <c r="S1659" s="20">
        <f>IF($R1659=1,COUNTIF($R$2:$R1659,1),"")</f>
        <v/>
      </c>
    </row>
    <row r="1660">
      <c r="A1660" s="19" t="n"/>
      <c r="B1660" s="14" t="n"/>
      <c r="C1660" s="20">
        <f>IF($B1660="","",IFERROR(INDEX(Vinos!$B$2:$B$301,MATCH($B1660,Vinos!$A$2:$A$301,0)),"Código no cargado"))</f>
        <v/>
      </c>
      <c r="D1660" s="14" t="n"/>
      <c r="E1660" s="14" t="n"/>
      <c r="F1660" s="18" t="n"/>
      <c r="G1660" s="18" t="n"/>
      <c r="H1660" s="21">
        <f>IF(AND($F1660="",$G1660=""),"",N($F1660)*IFERROR(N(INDEX(Vinos!$H$2:$H$301,MATCH($B1660,Vinos!$A$2:$A$301,0))),0)+N($G1660))</f>
        <v/>
      </c>
      <c r="I1660" s="18" t="n"/>
      <c r="J1660" s="21">
        <f>IF(OR($H1660="",$I1660=""),"",$H1660-$I1660)</f>
        <v/>
      </c>
      <c r="K1660" s="16">
        <f>IF($H1660="","",IFERROR(IF(INDEX(Vinos!$J$2:$J$301,MATCH($B1660,Vinos!$A$2:$A$301,0))="","",$H1660*INDEX(Vinos!$J$2:$J$301,MATCH($B1660,Vinos!$A$2:$A$301,0))),""))</f>
        <v/>
      </c>
      <c r="L1660" s="16">
        <f>IF($H1660="","",IFERROR(IF(INDEX(Vinos!$K$2:$K$301,MATCH($B1660,Vinos!$A$2:$A$301,0))="","",$H1660*INDEX(Vinos!$K$2:$K$301,MATCH($B1660,Vinos!$A$2:$A$301,0))),""))</f>
        <v/>
      </c>
      <c r="M1660" s="21">
        <f>IF(OR($A1660="",$B1660=""),"",SUMIFS($H$2:$H$2001,$A$2:$A$2001,$A1660,$B$2:$B$2001,$B1660))</f>
        <v/>
      </c>
      <c r="N1660" s="20">
        <f>IF($M1660="","",IF($M1660&lt;=0,"Sin stock: reponer ya",IF($M1660&lt;IFERROR(N(INDEX(Vinos!$N$2:$N$301,MATCH($B1660,Vinos!$A$2:$A$301,0))),0),"Bajo mínimo: reponer","OK")))</f>
        <v/>
      </c>
      <c r="O1660" s="14" t="n"/>
      <c r="P1660" s="14" t="n"/>
      <c r="Q1660" s="20">
        <f>IF($B1660="","",IFERROR(INDEX(Vinos!$C$2:$C$301,MATCH($B1660,Vinos!$A$2:$A$301,0)),""))</f>
        <v/>
      </c>
      <c r="R1660" s="20">
        <f>IF(OR($A1660="",$A1660&lt;&gt;'Resumen del inventario'!$C$3,$N1660="",$N1660="OK"),"",IF(COUNTIFS($A$2:$A1660,$A1660,$B$2:$B1660,$B1660)=1,1,""))</f>
        <v/>
      </c>
      <c r="S1660" s="20">
        <f>IF($R1660=1,COUNTIF($R$2:$R1660,1),"")</f>
        <v/>
      </c>
    </row>
    <row r="1661">
      <c r="A1661" s="19" t="n"/>
      <c r="B1661" s="14" t="n"/>
      <c r="C1661" s="20">
        <f>IF($B1661="","",IFERROR(INDEX(Vinos!$B$2:$B$301,MATCH($B1661,Vinos!$A$2:$A$301,0)),"Código no cargado"))</f>
        <v/>
      </c>
      <c r="D1661" s="14" t="n"/>
      <c r="E1661" s="14" t="n"/>
      <c r="F1661" s="18" t="n"/>
      <c r="G1661" s="18" t="n"/>
      <c r="H1661" s="21">
        <f>IF(AND($F1661="",$G1661=""),"",N($F1661)*IFERROR(N(INDEX(Vinos!$H$2:$H$301,MATCH($B1661,Vinos!$A$2:$A$301,0))),0)+N($G1661))</f>
        <v/>
      </c>
      <c r="I1661" s="18" t="n"/>
      <c r="J1661" s="21">
        <f>IF(OR($H1661="",$I1661=""),"",$H1661-$I1661)</f>
        <v/>
      </c>
      <c r="K1661" s="16">
        <f>IF($H1661="","",IFERROR(IF(INDEX(Vinos!$J$2:$J$301,MATCH($B1661,Vinos!$A$2:$A$301,0))="","",$H1661*INDEX(Vinos!$J$2:$J$301,MATCH($B1661,Vinos!$A$2:$A$301,0))),""))</f>
        <v/>
      </c>
      <c r="L1661" s="16">
        <f>IF($H1661="","",IFERROR(IF(INDEX(Vinos!$K$2:$K$301,MATCH($B1661,Vinos!$A$2:$A$301,0))="","",$H1661*INDEX(Vinos!$K$2:$K$301,MATCH($B1661,Vinos!$A$2:$A$301,0))),""))</f>
        <v/>
      </c>
      <c r="M1661" s="21">
        <f>IF(OR($A1661="",$B1661=""),"",SUMIFS($H$2:$H$2001,$A$2:$A$2001,$A1661,$B$2:$B$2001,$B1661))</f>
        <v/>
      </c>
      <c r="N1661" s="20">
        <f>IF($M1661="","",IF($M1661&lt;=0,"Sin stock: reponer ya",IF($M1661&lt;IFERROR(N(INDEX(Vinos!$N$2:$N$301,MATCH($B1661,Vinos!$A$2:$A$301,0))),0),"Bajo mínimo: reponer","OK")))</f>
        <v/>
      </c>
      <c r="O1661" s="14" t="n"/>
      <c r="P1661" s="14" t="n"/>
      <c r="Q1661" s="20">
        <f>IF($B1661="","",IFERROR(INDEX(Vinos!$C$2:$C$301,MATCH($B1661,Vinos!$A$2:$A$301,0)),""))</f>
        <v/>
      </c>
      <c r="R1661" s="20">
        <f>IF(OR($A1661="",$A1661&lt;&gt;'Resumen del inventario'!$C$3,$N1661="",$N1661="OK"),"",IF(COUNTIFS($A$2:$A1661,$A1661,$B$2:$B1661,$B1661)=1,1,""))</f>
        <v/>
      </c>
      <c r="S1661" s="20">
        <f>IF($R1661=1,COUNTIF($R$2:$R1661,1),"")</f>
        <v/>
      </c>
    </row>
    <row r="1662">
      <c r="A1662" s="19" t="n"/>
      <c r="B1662" s="14" t="n"/>
      <c r="C1662" s="20">
        <f>IF($B1662="","",IFERROR(INDEX(Vinos!$B$2:$B$301,MATCH($B1662,Vinos!$A$2:$A$301,0)),"Código no cargado"))</f>
        <v/>
      </c>
      <c r="D1662" s="14" t="n"/>
      <c r="E1662" s="14" t="n"/>
      <c r="F1662" s="18" t="n"/>
      <c r="G1662" s="18" t="n"/>
      <c r="H1662" s="21">
        <f>IF(AND($F1662="",$G1662=""),"",N($F1662)*IFERROR(N(INDEX(Vinos!$H$2:$H$301,MATCH($B1662,Vinos!$A$2:$A$301,0))),0)+N($G1662))</f>
        <v/>
      </c>
      <c r="I1662" s="18" t="n"/>
      <c r="J1662" s="21">
        <f>IF(OR($H1662="",$I1662=""),"",$H1662-$I1662)</f>
        <v/>
      </c>
      <c r="K1662" s="16">
        <f>IF($H1662="","",IFERROR(IF(INDEX(Vinos!$J$2:$J$301,MATCH($B1662,Vinos!$A$2:$A$301,0))="","",$H1662*INDEX(Vinos!$J$2:$J$301,MATCH($B1662,Vinos!$A$2:$A$301,0))),""))</f>
        <v/>
      </c>
      <c r="L1662" s="16">
        <f>IF($H1662="","",IFERROR(IF(INDEX(Vinos!$K$2:$K$301,MATCH($B1662,Vinos!$A$2:$A$301,0))="","",$H1662*INDEX(Vinos!$K$2:$K$301,MATCH($B1662,Vinos!$A$2:$A$301,0))),""))</f>
        <v/>
      </c>
      <c r="M1662" s="21">
        <f>IF(OR($A1662="",$B1662=""),"",SUMIFS($H$2:$H$2001,$A$2:$A$2001,$A1662,$B$2:$B$2001,$B1662))</f>
        <v/>
      </c>
      <c r="N1662" s="20">
        <f>IF($M1662="","",IF($M1662&lt;=0,"Sin stock: reponer ya",IF($M1662&lt;IFERROR(N(INDEX(Vinos!$N$2:$N$301,MATCH($B1662,Vinos!$A$2:$A$301,0))),0),"Bajo mínimo: reponer","OK")))</f>
        <v/>
      </c>
      <c r="O1662" s="14" t="n"/>
      <c r="P1662" s="14" t="n"/>
      <c r="Q1662" s="20">
        <f>IF($B1662="","",IFERROR(INDEX(Vinos!$C$2:$C$301,MATCH($B1662,Vinos!$A$2:$A$301,0)),""))</f>
        <v/>
      </c>
      <c r="R1662" s="20">
        <f>IF(OR($A1662="",$A1662&lt;&gt;'Resumen del inventario'!$C$3,$N1662="",$N1662="OK"),"",IF(COUNTIFS($A$2:$A1662,$A1662,$B$2:$B1662,$B1662)=1,1,""))</f>
        <v/>
      </c>
      <c r="S1662" s="20">
        <f>IF($R1662=1,COUNTIF($R$2:$R1662,1),"")</f>
        <v/>
      </c>
    </row>
    <row r="1663">
      <c r="A1663" s="19" t="n"/>
      <c r="B1663" s="14" t="n"/>
      <c r="C1663" s="20">
        <f>IF($B1663="","",IFERROR(INDEX(Vinos!$B$2:$B$301,MATCH($B1663,Vinos!$A$2:$A$301,0)),"Código no cargado"))</f>
        <v/>
      </c>
      <c r="D1663" s="14" t="n"/>
      <c r="E1663" s="14" t="n"/>
      <c r="F1663" s="18" t="n"/>
      <c r="G1663" s="18" t="n"/>
      <c r="H1663" s="21">
        <f>IF(AND($F1663="",$G1663=""),"",N($F1663)*IFERROR(N(INDEX(Vinos!$H$2:$H$301,MATCH($B1663,Vinos!$A$2:$A$301,0))),0)+N($G1663))</f>
        <v/>
      </c>
      <c r="I1663" s="18" t="n"/>
      <c r="J1663" s="21">
        <f>IF(OR($H1663="",$I1663=""),"",$H1663-$I1663)</f>
        <v/>
      </c>
      <c r="K1663" s="16">
        <f>IF($H1663="","",IFERROR(IF(INDEX(Vinos!$J$2:$J$301,MATCH($B1663,Vinos!$A$2:$A$301,0))="","",$H1663*INDEX(Vinos!$J$2:$J$301,MATCH($B1663,Vinos!$A$2:$A$301,0))),""))</f>
        <v/>
      </c>
      <c r="L1663" s="16">
        <f>IF($H1663="","",IFERROR(IF(INDEX(Vinos!$K$2:$K$301,MATCH($B1663,Vinos!$A$2:$A$301,0))="","",$H1663*INDEX(Vinos!$K$2:$K$301,MATCH($B1663,Vinos!$A$2:$A$301,0))),""))</f>
        <v/>
      </c>
      <c r="M1663" s="21">
        <f>IF(OR($A1663="",$B1663=""),"",SUMIFS($H$2:$H$2001,$A$2:$A$2001,$A1663,$B$2:$B$2001,$B1663))</f>
        <v/>
      </c>
      <c r="N1663" s="20">
        <f>IF($M1663="","",IF($M1663&lt;=0,"Sin stock: reponer ya",IF($M1663&lt;IFERROR(N(INDEX(Vinos!$N$2:$N$301,MATCH($B1663,Vinos!$A$2:$A$301,0))),0),"Bajo mínimo: reponer","OK")))</f>
        <v/>
      </c>
      <c r="O1663" s="14" t="n"/>
      <c r="P1663" s="14" t="n"/>
      <c r="Q1663" s="20">
        <f>IF($B1663="","",IFERROR(INDEX(Vinos!$C$2:$C$301,MATCH($B1663,Vinos!$A$2:$A$301,0)),""))</f>
        <v/>
      </c>
      <c r="R1663" s="20">
        <f>IF(OR($A1663="",$A1663&lt;&gt;'Resumen del inventario'!$C$3,$N1663="",$N1663="OK"),"",IF(COUNTIFS($A$2:$A1663,$A1663,$B$2:$B1663,$B1663)=1,1,""))</f>
        <v/>
      </c>
      <c r="S1663" s="20">
        <f>IF($R1663=1,COUNTIF($R$2:$R1663,1),"")</f>
        <v/>
      </c>
    </row>
    <row r="1664">
      <c r="A1664" s="19" t="n"/>
      <c r="B1664" s="14" t="n"/>
      <c r="C1664" s="20">
        <f>IF($B1664="","",IFERROR(INDEX(Vinos!$B$2:$B$301,MATCH($B1664,Vinos!$A$2:$A$301,0)),"Código no cargado"))</f>
        <v/>
      </c>
      <c r="D1664" s="14" t="n"/>
      <c r="E1664" s="14" t="n"/>
      <c r="F1664" s="18" t="n"/>
      <c r="G1664" s="18" t="n"/>
      <c r="H1664" s="21">
        <f>IF(AND($F1664="",$G1664=""),"",N($F1664)*IFERROR(N(INDEX(Vinos!$H$2:$H$301,MATCH($B1664,Vinos!$A$2:$A$301,0))),0)+N($G1664))</f>
        <v/>
      </c>
      <c r="I1664" s="18" t="n"/>
      <c r="J1664" s="21">
        <f>IF(OR($H1664="",$I1664=""),"",$H1664-$I1664)</f>
        <v/>
      </c>
      <c r="K1664" s="16">
        <f>IF($H1664="","",IFERROR(IF(INDEX(Vinos!$J$2:$J$301,MATCH($B1664,Vinos!$A$2:$A$301,0))="","",$H1664*INDEX(Vinos!$J$2:$J$301,MATCH($B1664,Vinos!$A$2:$A$301,0))),""))</f>
        <v/>
      </c>
      <c r="L1664" s="16">
        <f>IF($H1664="","",IFERROR(IF(INDEX(Vinos!$K$2:$K$301,MATCH($B1664,Vinos!$A$2:$A$301,0))="","",$H1664*INDEX(Vinos!$K$2:$K$301,MATCH($B1664,Vinos!$A$2:$A$301,0))),""))</f>
        <v/>
      </c>
      <c r="M1664" s="21">
        <f>IF(OR($A1664="",$B1664=""),"",SUMIFS($H$2:$H$2001,$A$2:$A$2001,$A1664,$B$2:$B$2001,$B1664))</f>
        <v/>
      </c>
      <c r="N1664" s="20">
        <f>IF($M1664="","",IF($M1664&lt;=0,"Sin stock: reponer ya",IF($M1664&lt;IFERROR(N(INDEX(Vinos!$N$2:$N$301,MATCH($B1664,Vinos!$A$2:$A$301,0))),0),"Bajo mínimo: reponer","OK")))</f>
        <v/>
      </c>
      <c r="O1664" s="14" t="n"/>
      <c r="P1664" s="14" t="n"/>
      <c r="Q1664" s="20">
        <f>IF($B1664="","",IFERROR(INDEX(Vinos!$C$2:$C$301,MATCH($B1664,Vinos!$A$2:$A$301,0)),""))</f>
        <v/>
      </c>
      <c r="R1664" s="20">
        <f>IF(OR($A1664="",$A1664&lt;&gt;'Resumen del inventario'!$C$3,$N1664="",$N1664="OK"),"",IF(COUNTIFS($A$2:$A1664,$A1664,$B$2:$B1664,$B1664)=1,1,""))</f>
        <v/>
      </c>
      <c r="S1664" s="20">
        <f>IF($R1664=1,COUNTIF($R$2:$R1664,1),"")</f>
        <v/>
      </c>
    </row>
    <row r="1665">
      <c r="A1665" s="19" t="n"/>
      <c r="B1665" s="14" t="n"/>
      <c r="C1665" s="20">
        <f>IF($B1665="","",IFERROR(INDEX(Vinos!$B$2:$B$301,MATCH($B1665,Vinos!$A$2:$A$301,0)),"Código no cargado"))</f>
        <v/>
      </c>
      <c r="D1665" s="14" t="n"/>
      <c r="E1665" s="14" t="n"/>
      <c r="F1665" s="18" t="n"/>
      <c r="G1665" s="18" t="n"/>
      <c r="H1665" s="21">
        <f>IF(AND($F1665="",$G1665=""),"",N($F1665)*IFERROR(N(INDEX(Vinos!$H$2:$H$301,MATCH($B1665,Vinos!$A$2:$A$301,0))),0)+N($G1665))</f>
        <v/>
      </c>
      <c r="I1665" s="18" t="n"/>
      <c r="J1665" s="21">
        <f>IF(OR($H1665="",$I1665=""),"",$H1665-$I1665)</f>
        <v/>
      </c>
      <c r="K1665" s="16">
        <f>IF($H1665="","",IFERROR(IF(INDEX(Vinos!$J$2:$J$301,MATCH($B1665,Vinos!$A$2:$A$301,0))="","",$H1665*INDEX(Vinos!$J$2:$J$301,MATCH($B1665,Vinos!$A$2:$A$301,0))),""))</f>
        <v/>
      </c>
      <c r="L1665" s="16">
        <f>IF($H1665="","",IFERROR(IF(INDEX(Vinos!$K$2:$K$301,MATCH($B1665,Vinos!$A$2:$A$301,0))="","",$H1665*INDEX(Vinos!$K$2:$K$301,MATCH($B1665,Vinos!$A$2:$A$301,0))),""))</f>
        <v/>
      </c>
      <c r="M1665" s="21">
        <f>IF(OR($A1665="",$B1665=""),"",SUMIFS($H$2:$H$2001,$A$2:$A$2001,$A1665,$B$2:$B$2001,$B1665))</f>
        <v/>
      </c>
      <c r="N1665" s="20">
        <f>IF($M1665="","",IF($M1665&lt;=0,"Sin stock: reponer ya",IF($M1665&lt;IFERROR(N(INDEX(Vinos!$N$2:$N$301,MATCH($B1665,Vinos!$A$2:$A$301,0))),0),"Bajo mínimo: reponer","OK")))</f>
        <v/>
      </c>
      <c r="O1665" s="14" t="n"/>
      <c r="P1665" s="14" t="n"/>
      <c r="Q1665" s="20">
        <f>IF($B1665="","",IFERROR(INDEX(Vinos!$C$2:$C$301,MATCH($B1665,Vinos!$A$2:$A$301,0)),""))</f>
        <v/>
      </c>
      <c r="R1665" s="20">
        <f>IF(OR($A1665="",$A1665&lt;&gt;'Resumen del inventario'!$C$3,$N1665="",$N1665="OK"),"",IF(COUNTIFS($A$2:$A1665,$A1665,$B$2:$B1665,$B1665)=1,1,""))</f>
        <v/>
      </c>
      <c r="S1665" s="20">
        <f>IF($R1665=1,COUNTIF($R$2:$R1665,1),"")</f>
        <v/>
      </c>
    </row>
    <row r="1666">
      <c r="A1666" s="19" t="n"/>
      <c r="B1666" s="14" t="n"/>
      <c r="C1666" s="20">
        <f>IF($B1666="","",IFERROR(INDEX(Vinos!$B$2:$B$301,MATCH($B1666,Vinos!$A$2:$A$301,0)),"Código no cargado"))</f>
        <v/>
      </c>
      <c r="D1666" s="14" t="n"/>
      <c r="E1666" s="14" t="n"/>
      <c r="F1666" s="18" t="n"/>
      <c r="G1666" s="18" t="n"/>
      <c r="H1666" s="21">
        <f>IF(AND($F1666="",$G1666=""),"",N($F1666)*IFERROR(N(INDEX(Vinos!$H$2:$H$301,MATCH($B1666,Vinos!$A$2:$A$301,0))),0)+N($G1666))</f>
        <v/>
      </c>
      <c r="I1666" s="18" t="n"/>
      <c r="J1666" s="21">
        <f>IF(OR($H1666="",$I1666=""),"",$H1666-$I1666)</f>
        <v/>
      </c>
      <c r="K1666" s="16">
        <f>IF($H1666="","",IFERROR(IF(INDEX(Vinos!$J$2:$J$301,MATCH($B1666,Vinos!$A$2:$A$301,0))="","",$H1666*INDEX(Vinos!$J$2:$J$301,MATCH($B1666,Vinos!$A$2:$A$301,0))),""))</f>
        <v/>
      </c>
      <c r="L1666" s="16">
        <f>IF($H1666="","",IFERROR(IF(INDEX(Vinos!$K$2:$K$301,MATCH($B1666,Vinos!$A$2:$A$301,0))="","",$H1666*INDEX(Vinos!$K$2:$K$301,MATCH($B1666,Vinos!$A$2:$A$301,0))),""))</f>
        <v/>
      </c>
      <c r="M1666" s="21">
        <f>IF(OR($A1666="",$B1666=""),"",SUMIFS($H$2:$H$2001,$A$2:$A$2001,$A1666,$B$2:$B$2001,$B1666))</f>
        <v/>
      </c>
      <c r="N1666" s="20">
        <f>IF($M1666="","",IF($M1666&lt;=0,"Sin stock: reponer ya",IF($M1666&lt;IFERROR(N(INDEX(Vinos!$N$2:$N$301,MATCH($B1666,Vinos!$A$2:$A$301,0))),0),"Bajo mínimo: reponer","OK")))</f>
        <v/>
      </c>
      <c r="O1666" s="14" t="n"/>
      <c r="P1666" s="14" t="n"/>
      <c r="Q1666" s="20">
        <f>IF($B1666="","",IFERROR(INDEX(Vinos!$C$2:$C$301,MATCH($B1666,Vinos!$A$2:$A$301,0)),""))</f>
        <v/>
      </c>
      <c r="R1666" s="20">
        <f>IF(OR($A1666="",$A1666&lt;&gt;'Resumen del inventario'!$C$3,$N1666="",$N1666="OK"),"",IF(COUNTIFS($A$2:$A1666,$A1666,$B$2:$B1666,$B1666)=1,1,""))</f>
        <v/>
      </c>
      <c r="S1666" s="20">
        <f>IF($R1666=1,COUNTIF($R$2:$R1666,1),"")</f>
        <v/>
      </c>
    </row>
    <row r="1667">
      <c r="A1667" s="19" t="n"/>
      <c r="B1667" s="14" t="n"/>
      <c r="C1667" s="20">
        <f>IF($B1667="","",IFERROR(INDEX(Vinos!$B$2:$B$301,MATCH($B1667,Vinos!$A$2:$A$301,0)),"Código no cargado"))</f>
        <v/>
      </c>
      <c r="D1667" s="14" t="n"/>
      <c r="E1667" s="14" t="n"/>
      <c r="F1667" s="18" t="n"/>
      <c r="G1667" s="18" t="n"/>
      <c r="H1667" s="21">
        <f>IF(AND($F1667="",$G1667=""),"",N($F1667)*IFERROR(N(INDEX(Vinos!$H$2:$H$301,MATCH($B1667,Vinos!$A$2:$A$301,0))),0)+N($G1667))</f>
        <v/>
      </c>
      <c r="I1667" s="18" t="n"/>
      <c r="J1667" s="21">
        <f>IF(OR($H1667="",$I1667=""),"",$H1667-$I1667)</f>
        <v/>
      </c>
      <c r="K1667" s="16">
        <f>IF($H1667="","",IFERROR(IF(INDEX(Vinos!$J$2:$J$301,MATCH($B1667,Vinos!$A$2:$A$301,0))="","",$H1667*INDEX(Vinos!$J$2:$J$301,MATCH($B1667,Vinos!$A$2:$A$301,0))),""))</f>
        <v/>
      </c>
      <c r="L1667" s="16">
        <f>IF($H1667="","",IFERROR(IF(INDEX(Vinos!$K$2:$K$301,MATCH($B1667,Vinos!$A$2:$A$301,0))="","",$H1667*INDEX(Vinos!$K$2:$K$301,MATCH($B1667,Vinos!$A$2:$A$301,0))),""))</f>
        <v/>
      </c>
      <c r="M1667" s="21">
        <f>IF(OR($A1667="",$B1667=""),"",SUMIFS($H$2:$H$2001,$A$2:$A$2001,$A1667,$B$2:$B$2001,$B1667))</f>
        <v/>
      </c>
      <c r="N1667" s="20">
        <f>IF($M1667="","",IF($M1667&lt;=0,"Sin stock: reponer ya",IF($M1667&lt;IFERROR(N(INDEX(Vinos!$N$2:$N$301,MATCH($B1667,Vinos!$A$2:$A$301,0))),0),"Bajo mínimo: reponer","OK")))</f>
        <v/>
      </c>
      <c r="O1667" s="14" t="n"/>
      <c r="P1667" s="14" t="n"/>
      <c r="Q1667" s="20">
        <f>IF($B1667="","",IFERROR(INDEX(Vinos!$C$2:$C$301,MATCH($B1667,Vinos!$A$2:$A$301,0)),""))</f>
        <v/>
      </c>
      <c r="R1667" s="20">
        <f>IF(OR($A1667="",$A1667&lt;&gt;'Resumen del inventario'!$C$3,$N1667="",$N1667="OK"),"",IF(COUNTIFS($A$2:$A1667,$A1667,$B$2:$B1667,$B1667)=1,1,""))</f>
        <v/>
      </c>
      <c r="S1667" s="20">
        <f>IF($R1667=1,COUNTIF($R$2:$R1667,1),"")</f>
        <v/>
      </c>
    </row>
    <row r="1668">
      <c r="A1668" s="19" t="n"/>
      <c r="B1668" s="14" t="n"/>
      <c r="C1668" s="20">
        <f>IF($B1668="","",IFERROR(INDEX(Vinos!$B$2:$B$301,MATCH($B1668,Vinos!$A$2:$A$301,0)),"Código no cargado"))</f>
        <v/>
      </c>
      <c r="D1668" s="14" t="n"/>
      <c r="E1668" s="14" t="n"/>
      <c r="F1668" s="18" t="n"/>
      <c r="G1668" s="18" t="n"/>
      <c r="H1668" s="21">
        <f>IF(AND($F1668="",$G1668=""),"",N($F1668)*IFERROR(N(INDEX(Vinos!$H$2:$H$301,MATCH($B1668,Vinos!$A$2:$A$301,0))),0)+N($G1668))</f>
        <v/>
      </c>
      <c r="I1668" s="18" t="n"/>
      <c r="J1668" s="21">
        <f>IF(OR($H1668="",$I1668=""),"",$H1668-$I1668)</f>
        <v/>
      </c>
      <c r="K1668" s="16">
        <f>IF($H1668="","",IFERROR(IF(INDEX(Vinos!$J$2:$J$301,MATCH($B1668,Vinos!$A$2:$A$301,0))="","",$H1668*INDEX(Vinos!$J$2:$J$301,MATCH($B1668,Vinos!$A$2:$A$301,0))),""))</f>
        <v/>
      </c>
      <c r="L1668" s="16">
        <f>IF($H1668="","",IFERROR(IF(INDEX(Vinos!$K$2:$K$301,MATCH($B1668,Vinos!$A$2:$A$301,0))="","",$H1668*INDEX(Vinos!$K$2:$K$301,MATCH($B1668,Vinos!$A$2:$A$301,0))),""))</f>
        <v/>
      </c>
      <c r="M1668" s="21">
        <f>IF(OR($A1668="",$B1668=""),"",SUMIFS($H$2:$H$2001,$A$2:$A$2001,$A1668,$B$2:$B$2001,$B1668))</f>
        <v/>
      </c>
      <c r="N1668" s="20">
        <f>IF($M1668="","",IF($M1668&lt;=0,"Sin stock: reponer ya",IF($M1668&lt;IFERROR(N(INDEX(Vinos!$N$2:$N$301,MATCH($B1668,Vinos!$A$2:$A$301,0))),0),"Bajo mínimo: reponer","OK")))</f>
        <v/>
      </c>
      <c r="O1668" s="14" t="n"/>
      <c r="P1668" s="14" t="n"/>
      <c r="Q1668" s="20">
        <f>IF($B1668="","",IFERROR(INDEX(Vinos!$C$2:$C$301,MATCH($B1668,Vinos!$A$2:$A$301,0)),""))</f>
        <v/>
      </c>
      <c r="R1668" s="20">
        <f>IF(OR($A1668="",$A1668&lt;&gt;'Resumen del inventario'!$C$3,$N1668="",$N1668="OK"),"",IF(COUNTIFS($A$2:$A1668,$A1668,$B$2:$B1668,$B1668)=1,1,""))</f>
        <v/>
      </c>
      <c r="S1668" s="20">
        <f>IF($R1668=1,COUNTIF($R$2:$R1668,1),"")</f>
        <v/>
      </c>
    </row>
    <row r="1669">
      <c r="A1669" s="19" t="n"/>
      <c r="B1669" s="14" t="n"/>
      <c r="C1669" s="20">
        <f>IF($B1669="","",IFERROR(INDEX(Vinos!$B$2:$B$301,MATCH($B1669,Vinos!$A$2:$A$301,0)),"Código no cargado"))</f>
        <v/>
      </c>
      <c r="D1669" s="14" t="n"/>
      <c r="E1669" s="14" t="n"/>
      <c r="F1669" s="18" t="n"/>
      <c r="G1669" s="18" t="n"/>
      <c r="H1669" s="21">
        <f>IF(AND($F1669="",$G1669=""),"",N($F1669)*IFERROR(N(INDEX(Vinos!$H$2:$H$301,MATCH($B1669,Vinos!$A$2:$A$301,0))),0)+N($G1669))</f>
        <v/>
      </c>
      <c r="I1669" s="18" t="n"/>
      <c r="J1669" s="21">
        <f>IF(OR($H1669="",$I1669=""),"",$H1669-$I1669)</f>
        <v/>
      </c>
      <c r="K1669" s="16">
        <f>IF($H1669="","",IFERROR(IF(INDEX(Vinos!$J$2:$J$301,MATCH($B1669,Vinos!$A$2:$A$301,0))="","",$H1669*INDEX(Vinos!$J$2:$J$301,MATCH($B1669,Vinos!$A$2:$A$301,0))),""))</f>
        <v/>
      </c>
      <c r="L1669" s="16">
        <f>IF($H1669="","",IFERROR(IF(INDEX(Vinos!$K$2:$K$301,MATCH($B1669,Vinos!$A$2:$A$301,0))="","",$H1669*INDEX(Vinos!$K$2:$K$301,MATCH($B1669,Vinos!$A$2:$A$301,0))),""))</f>
        <v/>
      </c>
      <c r="M1669" s="21">
        <f>IF(OR($A1669="",$B1669=""),"",SUMIFS($H$2:$H$2001,$A$2:$A$2001,$A1669,$B$2:$B$2001,$B1669))</f>
        <v/>
      </c>
      <c r="N1669" s="20">
        <f>IF($M1669="","",IF($M1669&lt;=0,"Sin stock: reponer ya",IF($M1669&lt;IFERROR(N(INDEX(Vinos!$N$2:$N$301,MATCH($B1669,Vinos!$A$2:$A$301,0))),0),"Bajo mínimo: reponer","OK")))</f>
        <v/>
      </c>
      <c r="O1669" s="14" t="n"/>
      <c r="P1669" s="14" t="n"/>
      <c r="Q1669" s="20">
        <f>IF($B1669="","",IFERROR(INDEX(Vinos!$C$2:$C$301,MATCH($B1669,Vinos!$A$2:$A$301,0)),""))</f>
        <v/>
      </c>
      <c r="R1669" s="20">
        <f>IF(OR($A1669="",$A1669&lt;&gt;'Resumen del inventario'!$C$3,$N1669="",$N1669="OK"),"",IF(COUNTIFS($A$2:$A1669,$A1669,$B$2:$B1669,$B1669)=1,1,""))</f>
        <v/>
      </c>
      <c r="S1669" s="20">
        <f>IF($R1669=1,COUNTIF($R$2:$R1669,1),"")</f>
        <v/>
      </c>
    </row>
    <row r="1670">
      <c r="A1670" s="19" t="n"/>
      <c r="B1670" s="14" t="n"/>
      <c r="C1670" s="20">
        <f>IF($B1670="","",IFERROR(INDEX(Vinos!$B$2:$B$301,MATCH($B1670,Vinos!$A$2:$A$301,0)),"Código no cargado"))</f>
        <v/>
      </c>
      <c r="D1670" s="14" t="n"/>
      <c r="E1670" s="14" t="n"/>
      <c r="F1670" s="18" t="n"/>
      <c r="G1670" s="18" t="n"/>
      <c r="H1670" s="21">
        <f>IF(AND($F1670="",$G1670=""),"",N($F1670)*IFERROR(N(INDEX(Vinos!$H$2:$H$301,MATCH($B1670,Vinos!$A$2:$A$301,0))),0)+N($G1670))</f>
        <v/>
      </c>
      <c r="I1670" s="18" t="n"/>
      <c r="J1670" s="21">
        <f>IF(OR($H1670="",$I1670=""),"",$H1670-$I1670)</f>
        <v/>
      </c>
      <c r="K1670" s="16">
        <f>IF($H1670="","",IFERROR(IF(INDEX(Vinos!$J$2:$J$301,MATCH($B1670,Vinos!$A$2:$A$301,0))="","",$H1670*INDEX(Vinos!$J$2:$J$301,MATCH($B1670,Vinos!$A$2:$A$301,0))),""))</f>
        <v/>
      </c>
      <c r="L1670" s="16">
        <f>IF($H1670="","",IFERROR(IF(INDEX(Vinos!$K$2:$K$301,MATCH($B1670,Vinos!$A$2:$A$301,0))="","",$H1670*INDEX(Vinos!$K$2:$K$301,MATCH($B1670,Vinos!$A$2:$A$301,0))),""))</f>
        <v/>
      </c>
      <c r="M1670" s="21">
        <f>IF(OR($A1670="",$B1670=""),"",SUMIFS($H$2:$H$2001,$A$2:$A$2001,$A1670,$B$2:$B$2001,$B1670))</f>
        <v/>
      </c>
      <c r="N1670" s="20">
        <f>IF($M1670="","",IF($M1670&lt;=0,"Sin stock: reponer ya",IF($M1670&lt;IFERROR(N(INDEX(Vinos!$N$2:$N$301,MATCH($B1670,Vinos!$A$2:$A$301,0))),0),"Bajo mínimo: reponer","OK")))</f>
        <v/>
      </c>
      <c r="O1670" s="14" t="n"/>
      <c r="P1670" s="14" t="n"/>
      <c r="Q1670" s="20">
        <f>IF($B1670="","",IFERROR(INDEX(Vinos!$C$2:$C$301,MATCH($B1670,Vinos!$A$2:$A$301,0)),""))</f>
        <v/>
      </c>
      <c r="R1670" s="20">
        <f>IF(OR($A1670="",$A1670&lt;&gt;'Resumen del inventario'!$C$3,$N1670="",$N1670="OK"),"",IF(COUNTIFS($A$2:$A1670,$A1670,$B$2:$B1670,$B1670)=1,1,""))</f>
        <v/>
      </c>
      <c r="S1670" s="20">
        <f>IF($R1670=1,COUNTIF($R$2:$R1670,1),"")</f>
        <v/>
      </c>
    </row>
    <row r="1671">
      <c r="A1671" s="19" t="n"/>
      <c r="B1671" s="14" t="n"/>
      <c r="C1671" s="20">
        <f>IF($B1671="","",IFERROR(INDEX(Vinos!$B$2:$B$301,MATCH($B1671,Vinos!$A$2:$A$301,0)),"Código no cargado"))</f>
        <v/>
      </c>
      <c r="D1671" s="14" t="n"/>
      <c r="E1671" s="14" t="n"/>
      <c r="F1671" s="18" t="n"/>
      <c r="G1671" s="18" t="n"/>
      <c r="H1671" s="21">
        <f>IF(AND($F1671="",$G1671=""),"",N($F1671)*IFERROR(N(INDEX(Vinos!$H$2:$H$301,MATCH($B1671,Vinos!$A$2:$A$301,0))),0)+N($G1671))</f>
        <v/>
      </c>
      <c r="I1671" s="18" t="n"/>
      <c r="J1671" s="21">
        <f>IF(OR($H1671="",$I1671=""),"",$H1671-$I1671)</f>
        <v/>
      </c>
      <c r="K1671" s="16">
        <f>IF($H1671="","",IFERROR(IF(INDEX(Vinos!$J$2:$J$301,MATCH($B1671,Vinos!$A$2:$A$301,0))="","",$H1671*INDEX(Vinos!$J$2:$J$301,MATCH($B1671,Vinos!$A$2:$A$301,0))),""))</f>
        <v/>
      </c>
      <c r="L1671" s="16">
        <f>IF($H1671="","",IFERROR(IF(INDEX(Vinos!$K$2:$K$301,MATCH($B1671,Vinos!$A$2:$A$301,0))="","",$H1671*INDEX(Vinos!$K$2:$K$301,MATCH($B1671,Vinos!$A$2:$A$301,0))),""))</f>
        <v/>
      </c>
      <c r="M1671" s="21">
        <f>IF(OR($A1671="",$B1671=""),"",SUMIFS($H$2:$H$2001,$A$2:$A$2001,$A1671,$B$2:$B$2001,$B1671))</f>
        <v/>
      </c>
      <c r="N1671" s="20">
        <f>IF($M1671="","",IF($M1671&lt;=0,"Sin stock: reponer ya",IF($M1671&lt;IFERROR(N(INDEX(Vinos!$N$2:$N$301,MATCH($B1671,Vinos!$A$2:$A$301,0))),0),"Bajo mínimo: reponer","OK")))</f>
        <v/>
      </c>
      <c r="O1671" s="14" t="n"/>
      <c r="P1671" s="14" t="n"/>
      <c r="Q1671" s="20">
        <f>IF($B1671="","",IFERROR(INDEX(Vinos!$C$2:$C$301,MATCH($B1671,Vinos!$A$2:$A$301,0)),""))</f>
        <v/>
      </c>
      <c r="R1671" s="20">
        <f>IF(OR($A1671="",$A1671&lt;&gt;'Resumen del inventario'!$C$3,$N1671="",$N1671="OK"),"",IF(COUNTIFS($A$2:$A1671,$A1671,$B$2:$B1671,$B1671)=1,1,""))</f>
        <v/>
      </c>
      <c r="S1671" s="20">
        <f>IF($R1671=1,COUNTIF($R$2:$R1671,1),"")</f>
        <v/>
      </c>
    </row>
    <row r="1672">
      <c r="A1672" s="19" t="n"/>
      <c r="B1672" s="14" t="n"/>
      <c r="C1672" s="20">
        <f>IF($B1672="","",IFERROR(INDEX(Vinos!$B$2:$B$301,MATCH($B1672,Vinos!$A$2:$A$301,0)),"Código no cargado"))</f>
        <v/>
      </c>
      <c r="D1672" s="14" t="n"/>
      <c r="E1672" s="14" t="n"/>
      <c r="F1672" s="18" t="n"/>
      <c r="G1672" s="18" t="n"/>
      <c r="H1672" s="21">
        <f>IF(AND($F1672="",$G1672=""),"",N($F1672)*IFERROR(N(INDEX(Vinos!$H$2:$H$301,MATCH($B1672,Vinos!$A$2:$A$301,0))),0)+N($G1672))</f>
        <v/>
      </c>
      <c r="I1672" s="18" t="n"/>
      <c r="J1672" s="21">
        <f>IF(OR($H1672="",$I1672=""),"",$H1672-$I1672)</f>
        <v/>
      </c>
      <c r="K1672" s="16">
        <f>IF($H1672="","",IFERROR(IF(INDEX(Vinos!$J$2:$J$301,MATCH($B1672,Vinos!$A$2:$A$301,0))="","",$H1672*INDEX(Vinos!$J$2:$J$301,MATCH($B1672,Vinos!$A$2:$A$301,0))),""))</f>
        <v/>
      </c>
      <c r="L1672" s="16">
        <f>IF($H1672="","",IFERROR(IF(INDEX(Vinos!$K$2:$K$301,MATCH($B1672,Vinos!$A$2:$A$301,0))="","",$H1672*INDEX(Vinos!$K$2:$K$301,MATCH($B1672,Vinos!$A$2:$A$301,0))),""))</f>
        <v/>
      </c>
      <c r="M1672" s="21">
        <f>IF(OR($A1672="",$B1672=""),"",SUMIFS($H$2:$H$2001,$A$2:$A$2001,$A1672,$B$2:$B$2001,$B1672))</f>
        <v/>
      </c>
      <c r="N1672" s="20">
        <f>IF($M1672="","",IF($M1672&lt;=0,"Sin stock: reponer ya",IF($M1672&lt;IFERROR(N(INDEX(Vinos!$N$2:$N$301,MATCH($B1672,Vinos!$A$2:$A$301,0))),0),"Bajo mínimo: reponer","OK")))</f>
        <v/>
      </c>
      <c r="O1672" s="14" t="n"/>
      <c r="P1672" s="14" t="n"/>
      <c r="Q1672" s="20">
        <f>IF($B1672="","",IFERROR(INDEX(Vinos!$C$2:$C$301,MATCH($B1672,Vinos!$A$2:$A$301,0)),""))</f>
        <v/>
      </c>
      <c r="R1672" s="20">
        <f>IF(OR($A1672="",$A1672&lt;&gt;'Resumen del inventario'!$C$3,$N1672="",$N1672="OK"),"",IF(COUNTIFS($A$2:$A1672,$A1672,$B$2:$B1672,$B1672)=1,1,""))</f>
        <v/>
      </c>
      <c r="S1672" s="20">
        <f>IF($R1672=1,COUNTIF($R$2:$R1672,1),"")</f>
        <v/>
      </c>
    </row>
    <row r="1673">
      <c r="A1673" s="19" t="n"/>
      <c r="B1673" s="14" t="n"/>
      <c r="C1673" s="20">
        <f>IF($B1673="","",IFERROR(INDEX(Vinos!$B$2:$B$301,MATCH($B1673,Vinos!$A$2:$A$301,0)),"Código no cargado"))</f>
        <v/>
      </c>
      <c r="D1673" s="14" t="n"/>
      <c r="E1673" s="14" t="n"/>
      <c r="F1673" s="18" t="n"/>
      <c r="G1673" s="18" t="n"/>
      <c r="H1673" s="21">
        <f>IF(AND($F1673="",$G1673=""),"",N($F1673)*IFERROR(N(INDEX(Vinos!$H$2:$H$301,MATCH($B1673,Vinos!$A$2:$A$301,0))),0)+N($G1673))</f>
        <v/>
      </c>
      <c r="I1673" s="18" t="n"/>
      <c r="J1673" s="21">
        <f>IF(OR($H1673="",$I1673=""),"",$H1673-$I1673)</f>
        <v/>
      </c>
      <c r="K1673" s="16">
        <f>IF($H1673="","",IFERROR(IF(INDEX(Vinos!$J$2:$J$301,MATCH($B1673,Vinos!$A$2:$A$301,0))="","",$H1673*INDEX(Vinos!$J$2:$J$301,MATCH($B1673,Vinos!$A$2:$A$301,0))),""))</f>
        <v/>
      </c>
      <c r="L1673" s="16">
        <f>IF($H1673="","",IFERROR(IF(INDEX(Vinos!$K$2:$K$301,MATCH($B1673,Vinos!$A$2:$A$301,0))="","",$H1673*INDEX(Vinos!$K$2:$K$301,MATCH($B1673,Vinos!$A$2:$A$301,0))),""))</f>
        <v/>
      </c>
      <c r="M1673" s="21">
        <f>IF(OR($A1673="",$B1673=""),"",SUMIFS($H$2:$H$2001,$A$2:$A$2001,$A1673,$B$2:$B$2001,$B1673))</f>
        <v/>
      </c>
      <c r="N1673" s="20">
        <f>IF($M1673="","",IF($M1673&lt;=0,"Sin stock: reponer ya",IF($M1673&lt;IFERROR(N(INDEX(Vinos!$N$2:$N$301,MATCH($B1673,Vinos!$A$2:$A$301,0))),0),"Bajo mínimo: reponer","OK")))</f>
        <v/>
      </c>
      <c r="O1673" s="14" t="n"/>
      <c r="P1673" s="14" t="n"/>
      <c r="Q1673" s="20">
        <f>IF($B1673="","",IFERROR(INDEX(Vinos!$C$2:$C$301,MATCH($B1673,Vinos!$A$2:$A$301,0)),""))</f>
        <v/>
      </c>
      <c r="R1673" s="20">
        <f>IF(OR($A1673="",$A1673&lt;&gt;'Resumen del inventario'!$C$3,$N1673="",$N1673="OK"),"",IF(COUNTIFS($A$2:$A1673,$A1673,$B$2:$B1673,$B1673)=1,1,""))</f>
        <v/>
      </c>
      <c r="S1673" s="20">
        <f>IF($R1673=1,COUNTIF($R$2:$R1673,1),"")</f>
        <v/>
      </c>
    </row>
    <row r="1674">
      <c r="A1674" s="19" t="n"/>
      <c r="B1674" s="14" t="n"/>
      <c r="C1674" s="20">
        <f>IF($B1674="","",IFERROR(INDEX(Vinos!$B$2:$B$301,MATCH($B1674,Vinos!$A$2:$A$301,0)),"Código no cargado"))</f>
        <v/>
      </c>
      <c r="D1674" s="14" t="n"/>
      <c r="E1674" s="14" t="n"/>
      <c r="F1674" s="18" t="n"/>
      <c r="G1674" s="18" t="n"/>
      <c r="H1674" s="21">
        <f>IF(AND($F1674="",$G1674=""),"",N($F1674)*IFERROR(N(INDEX(Vinos!$H$2:$H$301,MATCH($B1674,Vinos!$A$2:$A$301,0))),0)+N($G1674))</f>
        <v/>
      </c>
      <c r="I1674" s="18" t="n"/>
      <c r="J1674" s="21">
        <f>IF(OR($H1674="",$I1674=""),"",$H1674-$I1674)</f>
        <v/>
      </c>
      <c r="K1674" s="16">
        <f>IF($H1674="","",IFERROR(IF(INDEX(Vinos!$J$2:$J$301,MATCH($B1674,Vinos!$A$2:$A$301,0))="","",$H1674*INDEX(Vinos!$J$2:$J$301,MATCH($B1674,Vinos!$A$2:$A$301,0))),""))</f>
        <v/>
      </c>
      <c r="L1674" s="16">
        <f>IF($H1674="","",IFERROR(IF(INDEX(Vinos!$K$2:$K$301,MATCH($B1674,Vinos!$A$2:$A$301,0))="","",$H1674*INDEX(Vinos!$K$2:$K$301,MATCH($B1674,Vinos!$A$2:$A$301,0))),""))</f>
        <v/>
      </c>
      <c r="M1674" s="21">
        <f>IF(OR($A1674="",$B1674=""),"",SUMIFS($H$2:$H$2001,$A$2:$A$2001,$A1674,$B$2:$B$2001,$B1674))</f>
        <v/>
      </c>
      <c r="N1674" s="20">
        <f>IF($M1674="","",IF($M1674&lt;=0,"Sin stock: reponer ya",IF($M1674&lt;IFERROR(N(INDEX(Vinos!$N$2:$N$301,MATCH($B1674,Vinos!$A$2:$A$301,0))),0),"Bajo mínimo: reponer","OK")))</f>
        <v/>
      </c>
      <c r="O1674" s="14" t="n"/>
      <c r="P1674" s="14" t="n"/>
      <c r="Q1674" s="20">
        <f>IF($B1674="","",IFERROR(INDEX(Vinos!$C$2:$C$301,MATCH($B1674,Vinos!$A$2:$A$301,0)),""))</f>
        <v/>
      </c>
      <c r="R1674" s="20">
        <f>IF(OR($A1674="",$A1674&lt;&gt;'Resumen del inventario'!$C$3,$N1674="",$N1674="OK"),"",IF(COUNTIFS($A$2:$A1674,$A1674,$B$2:$B1674,$B1674)=1,1,""))</f>
        <v/>
      </c>
      <c r="S1674" s="20">
        <f>IF($R1674=1,COUNTIF($R$2:$R1674,1),"")</f>
        <v/>
      </c>
    </row>
    <row r="1675">
      <c r="A1675" s="19" t="n"/>
      <c r="B1675" s="14" t="n"/>
      <c r="C1675" s="20">
        <f>IF($B1675="","",IFERROR(INDEX(Vinos!$B$2:$B$301,MATCH($B1675,Vinos!$A$2:$A$301,0)),"Código no cargado"))</f>
        <v/>
      </c>
      <c r="D1675" s="14" t="n"/>
      <c r="E1675" s="14" t="n"/>
      <c r="F1675" s="18" t="n"/>
      <c r="G1675" s="18" t="n"/>
      <c r="H1675" s="21">
        <f>IF(AND($F1675="",$G1675=""),"",N($F1675)*IFERROR(N(INDEX(Vinos!$H$2:$H$301,MATCH($B1675,Vinos!$A$2:$A$301,0))),0)+N($G1675))</f>
        <v/>
      </c>
      <c r="I1675" s="18" t="n"/>
      <c r="J1675" s="21">
        <f>IF(OR($H1675="",$I1675=""),"",$H1675-$I1675)</f>
        <v/>
      </c>
      <c r="K1675" s="16">
        <f>IF($H1675="","",IFERROR(IF(INDEX(Vinos!$J$2:$J$301,MATCH($B1675,Vinos!$A$2:$A$301,0))="","",$H1675*INDEX(Vinos!$J$2:$J$301,MATCH($B1675,Vinos!$A$2:$A$301,0))),""))</f>
        <v/>
      </c>
      <c r="L1675" s="16">
        <f>IF($H1675="","",IFERROR(IF(INDEX(Vinos!$K$2:$K$301,MATCH($B1675,Vinos!$A$2:$A$301,0))="","",$H1675*INDEX(Vinos!$K$2:$K$301,MATCH($B1675,Vinos!$A$2:$A$301,0))),""))</f>
        <v/>
      </c>
      <c r="M1675" s="21">
        <f>IF(OR($A1675="",$B1675=""),"",SUMIFS($H$2:$H$2001,$A$2:$A$2001,$A1675,$B$2:$B$2001,$B1675))</f>
        <v/>
      </c>
      <c r="N1675" s="20">
        <f>IF($M1675="","",IF($M1675&lt;=0,"Sin stock: reponer ya",IF($M1675&lt;IFERROR(N(INDEX(Vinos!$N$2:$N$301,MATCH($B1675,Vinos!$A$2:$A$301,0))),0),"Bajo mínimo: reponer","OK")))</f>
        <v/>
      </c>
      <c r="O1675" s="14" t="n"/>
      <c r="P1675" s="14" t="n"/>
      <c r="Q1675" s="20">
        <f>IF($B1675="","",IFERROR(INDEX(Vinos!$C$2:$C$301,MATCH($B1675,Vinos!$A$2:$A$301,0)),""))</f>
        <v/>
      </c>
      <c r="R1675" s="20">
        <f>IF(OR($A1675="",$A1675&lt;&gt;'Resumen del inventario'!$C$3,$N1675="",$N1675="OK"),"",IF(COUNTIFS($A$2:$A1675,$A1675,$B$2:$B1675,$B1675)=1,1,""))</f>
        <v/>
      </c>
      <c r="S1675" s="20">
        <f>IF($R1675=1,COUNTIF($R$2:$R1675,1),"")</f>
        <v/>
      </c>
    </row>
    <row r="1676">
      <c r="A1676" s="19" t="n"/>
      <c r="B1676" s="14" t="n"/>
      <c r="C1676" s="20">
        <f>IF($B1676="","",IFERROR(INDEX(Vinos!$B$2:$B$301,MATCH($B1676,Vinos!$A$2:$A$301,0)),"Código no cargado"))</f>
        <v/>
      </c>
      <c r="D1676" s="14" t="n"/>
      <c r="E1676" s="14" t="n"/>
      <c r="F1676" s="18" t="n"/>
      <c r="G1676" s="18" t="n"/>
      <c r="H1676" s="21">
        <f>IF(AND($F1676="",$G1676=""),"",N($F1676)*IFERROR(N(INDEX(Vinos!$H$2:$H$301,MATCH($B1676,Vinos!$A$2:$A$301,0))),0)+N($G1676))</f>
        <v/>
      </c>
      <c r="I1676" s="18" t="n"/>
      <c r="J1676" s="21">
        <f>IF(OR($H1676="",$I1676=""),"",$H1676-$I1676)</f>
        <v/>
      </c>
      <c r="K1676" s="16">
        <f>IF($H1676="","",IFERROR(IF(INDEX(Vinos!$J$2:$J$301,MATCH($B1676,Vinos!$A$2:$A$301,0))="","",$H1676*INDEX(Vinos!$J$2:$J$301,MATCH($B1676,Vinos!$A$2:$A$301,0))),""))</f>
        <v/>
      </c>
      <c r="L1676" s="16">
        <f>IF($H1676="","",IFERROR(IF(INDEX(Vinos!$K$2:$K$301,MATCH($B1676,Vinos!$A$2:$A$301,0))="","",$H1676*INDEX(Vinos!$K$2:$K$301,MATCH($B1676,Vinos!$A$2:$A$301,0))),""))</f>
        <v/>
      </c>
      <c r="M1676" s="21">
        <f>IF(OR($A1676="",$B1676=""),"",SUMIFS($H$2:$H$2001,$A$2:$A$2001,$A1676,$B$2:$B$2001,$B1676))</f>
        <v/>
      </c>
      <c r="N1676" s="20">
        <f>IF($M1676="","",IF($M1676&lt;=0,"Sin stock: reponer ya",IF($M1676&lt;IFERROR(N(INDEX(Vinos!$N$2:$N$301,MATCH($B1676,Vinos!$A$2:$A$301,0))),0),"Bajo mínimo: reponer","OK")))</f>
        <v/>
      </c>
      <c r="O1676" s="14" t="n"/>
      <c r="P1676" s="14" t="n"/>
      <c r="Q1676" s="20">
        <f>IF($B1676="","",IFERROR(INDEX(Vinos!$C$2:$C$301,MATCH($B1676,Vinos!$A$2:$A$301,0)),""))</f>
        <v/>
      </c>
      <c r="R1676" s="20">
        <f>IF(OR($A1676="",$A1676&lt;&gt;'Resumen del inventario'!$C$3,$N1676="",$N1676="OK"),"",IF(COUNTIFS($A$2:$A1676,$A1676,$B$2:$B1676,$B1676)=1,1,""))</f>
        <v/>
      </c>
      <c r="S1676" s="20">
        <f>IF($R1676=1,COUNTIF($R$2:$R1676,1),"")</f>
        <v/>
      </c>
    </row>
    <row r="1677">
      <c r="A1677" s="19" t="n"/>
      <c r="B1677" s="14" t="n"/>
      <c r="C1677" s="20">
        <f>IF($B1677="","",IFERROR(INDEX(Vinos!$B$2:$B$301,MATCH($B1677,Vinos!$A$2:$A$301,0)),"Código no cargado"))</f>
        <v/>
      </c>
      <c r="D1677" s="14" t="n"/>
      <c r="E1677" s="14" t="n"/>
      <c r="F1677" s="18" t="n"/>
      <c r="G1677" s="18" t="n"/>
      <c r="H1677" s="21">
        <f>IF(AND($F1677="",$G1677=""),"",N($F1677)*IFERROR(N(INDEX(Vinos!$H$2:$H$301,MATCH($B1677,Vinos!$A$2:$A$301,0))),0)+N($G1677))</f>
        <v/>
      </c>
      <c r="I1677" s="18" t="n"/>
      <c r="J1677" s="21">
        <f>IF(OR($H1677="",$I1677=""),"",$H1677-$I1677)</f>
        <v/>
      </c>
      <c r="K1677" s="16">
        <f>IF($H1677="","",IFERROR(IF(INDEX(Vinos!$J$2:$J$301,MATCH($B1677,Vinos!$A$2:$A$301,0))="","",$H1677*INDEX(Vinos!$J$2:$J$301,MATCH($B1677,Vinos!$A$2:$A$301,0))),""))</f>
        <v/>
      </c>
      <c r="L1677" s="16">
        <f>IF($H1677="","",IFERROR(IF(INDEX(Vinos!$K$2:$K$301,MATCH($B1677,Vinos!$A$2:$A$301,0))="","",$H1677*INDEX(Vinos!$K$2:$K$301,MATCH($B1677,Vinos!$A$2:$A$301,0))),""))</f>
        <v/>
      </c>
      <c r="M1677" s="21">
        <f>IF(OR($A1677="",$B1677=""),"",SUMIFS($H$2:$H$2001,$A$2:$A$2001,$A1677,$B$2:$B$2001,$B1677))</f>
        <v/>
      </c>
      <c r="N1677" s="20">
        <f>IF($M1677="","",IF($M1677&lt;=0,"Sin stock: reponer ya",IF($M1677&lt;IFERROR(N(INDEX(Vinos!$N$2:$N$301,MATCH($B1677,Vinos!$A$2:$A$301,0))),0),"Bajo mínimo: reponer","OK")))</f>
        <v/>
      </c>
      <c r="O1677" s="14" t="n"/>
      <c r="P1677" s="14" t="n"/>
      <c r="Q1677" s="20">
        <f>IF($B1677="","",IFERROR(INDEX(Vinos!$C$2:$C$301,MATCH($B1677,Vinos!$A$2:$A$301,0)),""))</f>
        <v/>
      </c>
      <c r="R1677" s="20">
        <f>IF(OR($A1677="",$A1677&lt;&gt;'Resumen del inventario'!$C$3,$N1677="",$N1677="OK"),"",IF(COUNTIFS($A$2:$A1677,$A1677,$B$2:$B1677,$B1677)=1,1,""))</f>
        <v/>
      </c>
      <c r="S1677" s="20">
        <f>IF($R1677=1,COUNTIF($R$2:$R1677,1),"")</f>
        <v/>
      </c>
    </row>
    <row r="1678">
      <c r="A1678" s="19" t="n"/>
      <c r="B1678" s="14" t="n"/>
      <c r="C1678" s="20">
        <f>IF($B1678="","",IFERROR(INDEX(Vinos!$B$2:$B$301,MATCH($B1678,Vinos!$A$2:$A$301,0)),"Código no cargado"))</f>
        <v/>
      </c>
      <c r="D1678" s="14" t="n"/>
      <c r="E1678" s="14" t="n"/>
      <c r="F1678" s="18" t="n"/>
      <c r="G1678" s="18" t="n"/>
      <c r="H1678" s="21">
        <f>IF(AND($F1678="",$G1678=""),"",N($F1678)*IFERROR(N(INDEX(Vinos!$H$2:$H$301,MATCH($B1678,Vinos!$A$2:$A$301,0))),0)+N($G1678))</f>
        <v/>
      </c>
      <c r="I1678" s="18" t="n"/>
      <c r="J1678" s="21">
        <f>IF(OR($H1678="",$I1678=""),"",$H1678-$I1678)</f>
        <v/>
      </c>
      <c r="K1678" s="16">
        <f>IF($H1678="","",IFERROR(IF(INDEX(Vinos!$J$2:$J$301,MATCH($B1678,Vinos!$A$2:$A$301,0))="","",$H1678*INDEX(Vinos!$J$2:$J$301,MATCH($B1678,Vinos!$A$2:$A$301,0))),""))</f>
        <v/>
      </c>
      <c r="L1678" s="16">
        <f>IF($H1678="","",IFERROR(IF(INDEX(Vinos!$K$2:$K$301,MATCH($B1678,Vinos!$A$2:$A$301,0))="","",$H1678*INDEX(Vinos!$K$2:$K$301,MATCH($B1678,Vinos!$A$2:$A$301,0))),""))</f>
        <v/>
      </c>
      <c r="M1678" s="21">
        <f>IF(OR($A1678="",$B1678=""),"",SUMIFS($H$2:$H$2001,$A$2:$A$2001,$A1678,$B$2:$B$2001,$B1678))</f>
        <v/>
      </c>
      <c r="N1678" s="20">
        <f>IF($M1678="","",IF($M1678&lt;=0,"Sin stock: reponer ya",IF($M1678&lt;IFERROR(N(INDEX(Vinos!$N$2:$N$301,MATCH($B1678,Vinos!$A$2:$A$301,0))),0),"Bajo mínimo: reponer","OK")))</f>
        <v/>
      </c>
      <c r="O1678" s="14" t="n"/>
      <c r="P1678" s="14" t="n"/>
      <c r="Q1678" s="20">
        <f>IF($B1678="","",IFERROR(INDEX(Vinos!$C$2:$C$301,MATCH($B1678,Vinos!$A$2:$A$301,0)),""))</f>
        <v/>
      </c>
      <c r="R1678" s="20">
        <f>IF(OR($A1678="",$A1678&lt;&gt;'Resumen del inventario'!$C$3,$N1678="",$N1678="OK"),"",IF(COUNTIFS($A$2:$A1678,$A1678,$B$2:$B1678,$B1678)=1,1,""))</f>
        <v/>
      </c>
      <c r="S1678" s="20">
        <f>IF($R1678=1,COUNTIF($R$2:$R1678,1),"")</f>
        <v/>
      </c>
    </row>
    <row r="1679">
      <c r="A1679" s="19" t="n"/>
      <c r="B1679" s="14" t="n"/>
      <c r="C1679" s="20">
        <f>IF($B1679="","",IFERROR(INDEX(Vinos!$B$2:$B$301,MATCH($B1679,Vinos!$A$2:$A$301,0)),"Código no cargado"))</f>
        <v/>
      </c>
      <c r="D1679" s="14" t="n"/>
      <c r="E1679" s="14" t="n"/>
      <c r="F1679" s="18" t="n"/>
      <c r="G1679" s="18" t="n"/>
      <c r="H1679" s="21">
        <f>IF(AND($F1679="",$G1679=""),"",N($F1679)*IFERROR(N(INDEX(Vinos!$H$2:$H$301,MATCH($B1679,Vinos!$A$2:$A$301,0))),0)+N($G1679))</f>
        <v/>
      </c>
      <c r="I1679" s="18" t="n"/>
      <c r="J1679" s="21">
        <f>IF(OR($H1679="",$I1679=""),"",$H1679-$I1679)</f>
        <v/>
      </c>
      <c r="K1679" s="16">
        <f>IF($H1679="","",IFERROR(IF(INDEX(Vinos!$J$2:$J$301,MATCH($B1679,Vinos!$A$2:$A$301,0))="","",$H1679*INDEX(Vinos!$J$2:$J$301,MATCH($B1679,Vinos!$A$2:$A$301,0))),""))</f>
        <v/>
      </c>
      <c r="L1679" s="16">
        <f>IF($H1679="","",IFERROR(IF(INDEX(Vinos!$K$2:$K$301,MATCH($B1679,Vinos!$A$2:$A$301,0))="","",$H1679*INDEX(Vinos!$K$2:$K$301,MATCH($B1679,Vinos!$A$2:$A$301,0))),""))</f>
        <v/>
      </c>
      <c r="M1679" s="21">
        <f>IF(OR($A1679="",$B1679=""),"",SUMIFS($H$2:$H$2001,$A$2:$A$2001,$A1679,$B$2:$B$2001,$B1679))</f>
        <v/>
      </c>
      <c r="N1679" s="20">
        <f>IF($M1679="","",IF($M1679&lt;=0,"Sin stock: reponer ya",IF($M1679&lt;IFERROR(N(INDEX(Vinos!$N$2:$N$301,MATCH($B1679,Vinos!$A$2:$A$301,0))),0),"Bajo mínimo: reponer","OK")))</f>
        <v/>
      </c>
      <c r="O1679" s="14" t="n"/>
      <c r="P1679" s="14" t="n"/>
      <c r="Q1679" s="20">
        <f>IF($B1679="","",IFERROR(INDEX(Vinos!$C$2:$C$301,MATCH($B1679,Vinos!$A$2:$A$301,0)),""))</f>
        <v/>
      </c>
      <c r="R1679" s="20">
        <f>IF(OR($A1679="",$A1679&lt;&gt;'Resumen del inventario'!$C$3,$N1679="",$N1679="OK"),"",IF(COUNTIFS($A$2:$A1679,$A1679,$B$2:$B1679,$B1679)=1,1,""))</f>
        <v/>
      </c>
      <c r="S1679" s="20">
        <f>IF($R1679=1,COUNTIF($R$2:$R1679,1),"")</f>
        <v/>
      </c>
    </row>
    <row r="1680">
      <c r="A1680" s="19" t="n"/>
      <c r="B1680" s="14" t="n"/>
      <c r="C1680" s="20">
        <f>IF($B1680="","",IFERROR(INDEX(Vinos!$B$2:$B$301,MATCH($B1680,Vinos!$A$2:$A$301,0)),"Código no cargado"))</f>
        <v/>
      </c>
      <c r="D1680" s="14" t="n"/>
      <c r="E1680" s="14" t="n"/>
      <c r="F1680" s="18" t="n"/>
      <c r="G1680" s="18" t="n"/>
      <c r="H1680" s="21">
        <f>IF(AND($F1680="",$G1680=""),"",N($F1680)*IFERROR(N(INDEX(Vinos!$H$2:$H$301,MATCH($B1680,Vinos!$A$2:$A$301,0))),0)+N($G1680))</f>
        <v/>
      </c>
      <c r="I1680" s="18" t="n"/>
      <c r="J1680" s="21">
        <f>IF(OR($H1680="",$I1680=""),"",$H1680-$I1680)</f>
        <v/>
      </c>
      <c r="K1680" s="16">
        <f>IF($H1680="","",IFERROR(IF(INDEX(Vinos!$J$2:$J$301,MATCH($B1680,Vinos!$A$2:$A$301,0))="","",$H1680*INDEX(Vinos!$J$2:$J$301,MATCH($B1680,Vinos!$A$2:$A$301,0))),""))</f>
        <v/>
      </c>
      <c r="L1680" s="16">
        <f>IF($H1680="","",IFERROR(IF(INDEX(Vinos!$K$2:$K$301,MATCH($B1680,Vinos!$A$2:$A$301,0))="","",$H1680*INDEX(Vinos!$K$2:$K$301,MATCH($B1680,Vinos!$A$2:$A$301,0))),""))</f>
        <v/>
      </c>
      <c r="M1680" s="21">
        <f>IF(OR($A1680="",$B1680=""),"",SUMIFS($H$2:$H$2001,$A$2:$A$2001,$A1680,$B$2:$B$2001,$B1680))</f>
        <v/>
      </c>
      <c r="N1680" s="20">
        <f>IF($M1680="","",IF($M1680&lt;=0,"Sin stock: reponer ya",IF($M1680&lt;IFERROR(N(INDEX(Vinos!$N$2:$N$301,MATCH($B1680,Vinos!$A$2:$A$301,0))),0),"Bajo mínimo: reponer","OK")))</f>
        <v/>
      </c>
      <c r="O1680" s="14" t="n"/>
      <c r="P1680" s="14" t="n"/>
      <c r="Q1680" s="20">
        <f>IF($B1680="","",IFERROR(INDEX(Vinos!$C$2:$C$301,MATCH($B1680,Vinos!$A$2:$A$301,0)),""))</f>
        <v/>
      </c>
      <c r="R1680" s="20">
        <f>IF(OR($A1680="",$A1680&lt;&gt;'Resumen del inventario'!$C$3,$N1680="",$N1680="OK"),"",IF(COUNTIFS($A$2:$A1680,$A1680,$B$2:$B1680,$B1680)=1,1,""))</f>
        <v/>
      </c>
      <c r="S1680" s="20">
        <f>IF($R1680=1,COUNTIF($R$2:$R1680,1),"")</f>
        <v/>
      </c>
    </row>
    <row r="1681">
      <c r="A1681" s="19" t="n"/>
      <c r="B1681" s="14" t="n"/>
      <c r="C1681" s="20">
        <f>IF($B1681="","",IFERROR(INDEX(Vinos!$B$2:$B$301,MATCH($B1681,Vinos!$A$2:$A$301,0)),"Código no cargado"))</f>
        <v/>
      </c>
      <c r="D1681" s="14" t="n"/>
      <c r="E1681" s="14" t="n"/>
      <c r="F1681" s="18" t="n"/>
      <c r="G1681" s="18" t="n"/>
      <c r="H1681" s="21">
        <f>IF(AND($F1681="",$G1681=""),"",N($F1681)*IFERROR(N(INDEX(Vinos!$H$2:$H$301,MATCH($B1681,Vinos!$A$2:$A$301,0))),0)+N($G1681))</f>
        <v/>
      </c>
      <c r="I1681" s="18" t="n"/>
      <c r="J1681" s="21">
        <f>IF(OR($H1681="",$I1681=""),"",$H1681-$I1681)</f>
        <v/>
      </c>
      <c r="K1681" s="16">
        <f>IF($H1681="","",IFERROR(IF(INDEX(Vinos!$J$2:$J$301,MATCH($B1681,Vinos!$A$2:$A$301,0))="","",$H1681*INDEX(Vinos!$J$2:$J$301,MATCH($B1681,Vinos!$A$2:$A$301,0))),""))</f>
        <v/>
      </c>
      <c r="L1681" s="16">
        <f>IF($H1681="","",IFERROR(IF(INDEX(Vinos!$K$2:$K$301,MATCH($B1681,Vinos!$A$2:$A$301,0))="","",$H1681*INDEX(Vinos!$K$2:$K$301,MATCH($B1681,Vinos!$A$2:$A$301,0))),""))</f>
        <v/>
      </c>
      <c r="M1681" s="21">
        <f>IF(OR($A1681="",$B1681=""),"",SUMIFS($H$2:$H$2001,$A$2:$A$2001,$A1681,$B$2:$B$2001,$B1681))</f>
        <v/>
      </c>
      <c r="N1681" s="20">
        <f>IF($M1681="","",IF($M1681&lt;=0,"Sin stock: reponer ya",IF($M1681&lt;IFERROR(N(INDEX(Vinos!$N$2:$N$301,MATCH($B1681,Vinos!$A$2:$A$301,0))),0),"Bajo mínimo: reponer","OK")))</f>
        <v/>
      </c>
      <c r="O1681" s="14" t="n"/>
      <c r="P1681" s="14" t="n"/>
      <c r="Q1681" s="20">
        <f>IF($B1681="","",IFERROR(INDEX(Vinos!$C$2:$C$301,MATCH($B1681,Vinos!$A$2:$A$301,0)),""))</f>
        <v/>
      </c>
      <c r="R1681" s="20">
        <f>IF(OR($A1681="",$A1681&lt;&gt;'Resumen del inventario'!$C$3,$N1681="",$N1681="OK"),"",IF(COUNTIFS($A$2:$A1681,$A1681,$B$2:$B1681,$B1681)=1,1,""))</f>
        <v/>
      </c>
      <c r="S1681" s="20">
        <f>IF($R1681=1,COUNTIF($R$2:$R1681,1),"")</f>
        <v/>
      </c>
    </row>
    <row r="1682">
      <c r="A1682" s="19" t="n"/>
      <c r="B1682" s="14" t="n"/>
      <c r="C1682" s="20">
        <f>IF($B1682="","",IFERROR(INDEX(Vinos!$B$2:$B$301,MATCH($B1682,Vinos!$A$2:$A$301,0)),"Código no cargado"))</f>
        <v/>
      </c>
      <c r="D1682" s="14" t="n"/>
      <c r="E1682" s="14" t="n"/>
      <c r="F1682" s="18" t="n"/>
      <c r="G1682" s="18" t="n"/>
      <c r="H1682" s="21">
        <f>IF(AND($F1682="",$G1682=""),"",N($F1682)*IFERROR(N(INDEX(Vinos!$H$2:$H$301,MATCH($B1682,Vinos!$A$2:$A$301,0))),0)+N($G1682))</f>
        <v/>
      </c>
      <c r="I1682" s="18" t="n"/>
      <c r="J1682" s="21">
        <f>IF(OR($H1682="",$I1682=""),"",$H1682-$I1682)</f>
        <v/>
      </c>
      <c r="K1682" s="16">
        <f>IF($H1682="","",IFERROR(IF(INDEX(Vinos!$J$2:$J$301,MATCH($B1682,Vinos!$A$2:$A$301,0))="","",$H1682*INDEX(Vinos!$J$2:$J$301,MATCH($B1682,Vinos!$A$2:$A$301,0))),""))</f>
        <v/>
      </c>
      <c r="L1682" s="16">
        <f>IF($H1682="","",IFERROR(IF(INDEX(Vinos!$K$2:$K$301,MATCH($B1682,Vinos!$A$2:$A$301,0))="","",$H1682*INDEX(Vinos!$K$2:$K$301,MATCH($B1682,Vinos!$A$2:$A$301,0))),""))</f>
        <v/>
      </c>
      <c r="M1682" s="21">
        <f>IF(OR($A1682="",$B1682=""),"",SUMIFS($H$2:$H$2001,$A$2:$A$2001,$A1682,$B$2:$B$2001,$B1682))</f>
        <v/>
      </c>
      <c r="N1682" s="20">
        <f>IF($M1682="","",IF($M1682&lt;=0,"Sin stock: reponer ya",IF($M1682&lt;IFERROR(N(INDEX(Vinos!$N$2:$N$301,MATCH($B1682,Vinos!$A$2:$A$301,0))),0),"Bajo mínimo: reponer","OK")))</f>
        <v/>
      </c>
      <c r="O1682" s="14" t="n"/>
      <c r="P1682" s="14" t="n"/>
      <c r="Q1682" s="20">
        <f>IF($B1682="","",IFERROR(INDEX(Vinos!$C$2:$C$301,MATCH($B1682,Vinos!$A$2:$A$301,0)),""))</f>
        <v/>
      </c>
      <c r="R1682" s="20">
        <f>IF(OR($A1682="",$A1682&lt;&gt;'Resumen del inventario'!$C$3,$N1682="",$N1682="OK"),"",IF(COUNTIFS($A$2:$A1682,$A1682,$B$2:$B1682,$B1682)=1,1,""))</f>
        <v/>
      </c>
      <c r="S1682" s="20">
        <f>IF($R1682=1,COUNTIF($R$2:$R1682,1),"")</f>
        <v/>
      </c>
    </row>
    <row r="1683">
      <c r="A1683" s="19" t="n"/>
      <c r="B1683" s="14" t="n"/>
      <c r="C1683" s="20">
        <f>IF($B1683="","",IFERROR(INDEX(Vinos!$B$2:$B$301,MATCH($B1683,Vinos!$A$2:$A$301,0)),"Código no cargado"))</f>
        <v/>
      </c>
      <c r="D1683" s="14" t="n"/>
      <c r="E1683" s="14" t="n"/>
      <c r="F1683" s="18" t="n"/>
      <c r="G1683" s="18" t="n"/>
      <c r="H1683" s="21">
        <f>IF(AND($F1683="",$G1683=""),"",N($F1683)*IFERROR(N(INDEX(Vinos!$H$2:$H$301,MATCH($B1683,Vinos!$A$2:$A$301,0))),0)+N($G1683))</f>
        <v/>
      </c>
      <c r="I1683" s="18" t="n"/>
      <c r="J1683" s="21">
        <f>IF(OR($H1683="",$I1683=""),"",$H1683-$I1683)</f>
        <v/>
      </c>
      <c r="K1683" s="16">
        <f>IF($H1683="","",IFERROR(IF(INDEX(Vinos!$J$2:$J$301,MATCH($B1683,Vinos!$A$2:$A$301,0))="","",$H1683*INDEX(Vinos!$J$2:$J$301,MATCH($B1683,Vinos!$A$2:$A$301,0))),""))</f>
        <v/>
      </c>
      <c r="L1683" s="16">
        <f>IF($H1683="","",IFERROR(IF(INDEX(Vinos!$K$2:$K$301,MATCH($B1683,Vinos!$A$2:$A$301,0))="","",$H1683*INDEX(Vinos!$K$2:$K$301,MATCH($B1683,Vinos!$A$2:$A$301,0))),""))</f>
        <v/>
      </c>
      <c r="M1683" s="21">
        <f>IF(OR($A1683="",$B1683=""),"",SUMIFS($H$2:$H$2001,$A$2:$A$2001,$A1683,$B$2:$B$2001,$B1683))</f>
        <v/>
      </c>
      <c r="N1683" s="20">
        <f>IF($M1683="","",IF($M1683&lt;=0,"Sin stock: reponer ya",IF($M1683&lt;IFERROR(N(INDEX(Vinos!$N$2:$N$301,MATCH($B1683,Vinos!$A$2:$A$301,0))),0),"Bajo mínimo: reponer","OK")))</f>
        <v/>
      </c>
      <c r="O1683" s="14" t="n"/>
      <c r="P1683" s="14" t="n"/>
      <c r="Q1683" s="20">
        <f>IF($B1683="","",IFERROR(INDEX(Vinos!$C$2:$C$301,MATCH($B1683,Vinos!$A$2:$A$301,0)),""))</f>
        <v/>
      </c>
      <c r="R1683" s="20">
        <f>IF(OR($A1683="",$A1683&lt;&gt;'Resumen del inventario'!$C$3,$N1683="",$N1683="OK"),"",IF(COUNTIFS($A$2:$A1683,$A1683,$B$2:$B1683,$B1683)=1,1,""))</f>
        <v/>
      </c>
      <c r="S1683" s="20">
        <f>IF($R1683=1,COUNTIF($R$2:$R1683,1),"")</f>
        <v/>
      </c>
    </row>
    <row r="1684">
      <c r="A1684" s="19" t="n"/>
      <c r="B1684" s="14" t="n"/>
      <c r="C1684" s="20">
        <f>IF($B1684="","",IFERROR(INDEX(Vinos!$B$2:$B$301,MATCH($B1684,Vinos!$A$2:$A$301,0)),"Código no cargado"))</f>
        <v/>
      </c>
      <c r="D1684" s="14" t="n"/>
      <c r="E1684" s="14" t="n"/>
      <c r="F1684" s="18" t="n"/>
      <c r="G1684" s="18" t="n"/>
      <c r="H1684" s="21">
        <f>IF(AND($F1684="",$G1684=""),"",N($F1684)*IFERROR(N(INDEX(Vinos!$H$2:$H$301,MATCH($B1684,Vinos!$A$2:$A$301,0))),0)+N($G1684))</f>
        <v/>
      </c>
      <c r="I1684" s="18" t="n"/>
      <c r="J1684" s="21">
        <f>IF(OR($H1684="",$I1684=""),"",$H1684-$I1684)</f>
        <v/>
      </c>
      <c r="K1684" s="16">
        <f>IF($H1684="","",IFERROR(IF(INDEX(Vinos!$J$2:$J$301,MATCH($B1684,Vinos!$A$2:$A$301,0))="","",$H1684*INDEX(Vinos!$J$2:$J$301,MATCH($B1684,Vinos!$A$2:$A$301,0))),""))</f>
        <v/>
      </c>
      <c r="L1684" s="16">
        <f>IF($H1684="","",IFERROR(IF(INDEX(Vinos!$K$2:$K$301,MATCH($B1684,Vinos!$A$2:$A$301,0))="","",$H1684*INDEX(Vinos!$K$2:$K$301,MATCH($B1684,Vinos!$A$2:$A$301,0))),""))</f>
        <v/>
      </c>
      <c r="M1684" s="21">
        <f>IF(OR($A1684="",$B1684=""),"",SUMIFS($H$2:$H$2001,$A$2:$A$2001,$A1684,$B$2:$B$2001,$B1684))</f>
        <v/>
      </c>
      <c r="N1684" s="20">
        <f>IF($M1684="","",IF($M1684&lt;=0,"Sin stock: reponer ya",IF($M1684&lt;IFERROR(N(INDEX(Vinos!$N$2:$N$301,MATCH($B1684,Vinos!$A$2:$A$301,0))),0),"Bajo mínimo: reponer","OK")))</f>
        <v/>
      </c>
      <c r="O1684" s="14" t="n"/>
      <c r="P1684" s="14" t="n"/>
      <c r="Q1684" s="20">
        <f>IF($B1684="","",IFERROR(INDEX(Vinos!$C$2:$C$301,MATCH($B1684,Vinos!$A$2:$A$301,0)),""))</f>
        <v/>
      </c>
      <c r="R1684" s="20">
        <f>IF(OR($A1684="",$A1684&lt;&gt;'Resumen del inventario'!$C$3,$N1684="",$N1684="OK"),"",IF(COUNTIFS($A$2:$A1684,$A1684,$B$2:$B1684,$B1684)=1,1,""))</f>
        <v/>
      </c>
      <c r="S1684" s="20">
        <f>IF($R1684=1,COUNTIF($R$2:$R1684,1),"")</f>
        <v/>
      </c>
    </row>
    <row r="1685">
      <c r="A1685" s="19" t="n"/>
      <c r="B1685" s="14" t="n"/>
      <c r="C1685" s="20">
        <f>IF($B1685="","",IFERROR(INDEX(Vinos!$B$2:$B$301,MATCH($B1685,Vinos!$A$2:$A$301,0)),"Código no cargado"))</f>
        <v/>
      </c>
      <c r="D1685" s="14" t="n"/>
      <c r="E1685" s="14" t="n"/>
      <c r="F1685" s="18" t="n"/>
      <c r="G1685" s="18" t="n"/>
      <c r="H1685" s="21">
        <f>IF(AND($F1685="",$G1685=""),"",N($F1685)*IFERROR(N(INDEX(Vinos!$H$2:$H$301,MATCH($B1685,Vinos!$A$2:$A$301,0))),0)+N($G1685))</f>
        <v/>
      </c>
      <c r="I1685" s="18" t="n"/>
      <c r="J1685" s="21">
        <f>IF(OR($H1685="",$I1685=""),"",$H1685-$I1685)</f>
        <v/>
      </c>
      <c r="K1685" s="16">
        <f>IF($H1685="","",IFERROR(IF(INDEX(Vinos!$J$2:$J$301,MATCH($B1685,Vinos!$A$2:$A$301,0))="","",$H1685*INDEX(Vinos!$J$2:$J$301,MATCH($B1685,Vinos!$A$2:$A$301,0))),""))</f>
        <v/>
      </c>
      <c r="L1685" s="16">
        <f>IF($H1685="","",IFERROR(IF(INDEX(Vinos!$K$2:$K$301,MATCH($B1685,Vinos!$A$2:$A$301,0))="","",$H1685*INDEX(Vinos!$K$2:$K$301,MATCH($B1685,Vinos!$A$2:$A$301,0))),""))</f>
        <v/>
      </c>
      <c r="M1685" s="21">
        <f>IF(OR($A1685="",$B1685=""),"",SUMIFS($H$2:$H$2001,$A$2:$A$2001,$A1685,$B$2:$B$2001,$B1685))</f>
        <v/>
      </c>
      <c r="N1685" s="20">
        <f>IF($M1685="","",IF($M1685&lt;=0,"Sin stock: reponer ya",IF($M1685&lt;IFERROR(N(INDEX(Vinos!$N$2:$N$301,MATCH($B1685,Vinos!$A$2:$A$301,0))),0),"Bajo mínimo: reponer","OK")))</f>
        <v/>
      </c>
      <c r="O1685" s="14" t="n"/>
      <c r="P1685" s="14" t="n"/>
      <c r="Q1685" s="20">
        <f>IF($B1685="","",IFERROR(INDEX(Vinos!$C$2:$C$301,MATCH($B1685,Vinos!$A$2:$A$301,0)),""))</f>
        <v/>
      </c>
      <c r="R1685" s="20">
        <f>IF(OR($A1685="",$A1685&lt;&gt;'Resumen del inventario'!$C$3,$N1685="",$N1685="OK"),"",IF(COUNTIFS($A$2:$A1685,$A1685,$B$2:$B1685,$B1685)=1,1,""))</f>
        <v/>
      </c>
      <c r="S1685" s="20">
        <f>IF($R1685=1,COUNTIF($R$2:$R1685,1),"")</f>
        <v/>
      </c>
    </row>
    <row r="1686">
      <c r="A1686" s="19" t="n"/>
      <c r="B1686" s="14" t="n"/>
      <c r="C1686" s="20">
        <f>IF($B1686="","",IFERROR(INDEX(Vinos!$B$2:$B$301,MATCH($B1686,Vinos!$A$2:$A$301,0)),"Código no cargado"))</f>
        <v/>
      </c>
      <c r="D1686" s="14" t="n"/>
      <c r="E1686" s="14" t="n"/>
      <c r="F1686" s="18" t="n"/>
      <c r="G1686" s="18" t="n"/>
      <c r="H1686" s="21">
        <f>IF(AND($F1686="",$G1686=""),"",N($F1686)*IFERROR(N(INDEX(Vinos!$H$2:$H$301,MATCH($B1686,Vinos!$A$2:$A$301,0))),0)+N($G1686))</f>
        <v/>
      </c>
      <c r="I1686" s="18" t="n"/>
      <c r="J1686" s="21">
        <f>IF(OR($H1686="",$I1686=""),"",$H1686-$I1686)</f>
        <v/>
      </c>
      <c r="K1686" s="16">
        <f>IF($H1686="","",IFERROR(IF(INDEX(Vinos!$J$2:$J$301,MATCH($B1686,Vinos!$A$2:$A$301,0))="","",$H1686*INDEX(Vinos!$J$2:$J$301,MATCH($B1686,Vinos!$A$2:$A$301,0))),""))</f>
        <v/>
      </c>
      <c r="L1686" s="16">
        <f>IF($H1686="","",IFERROR(IF(INDEX(Vinos!$K$2:$K$301,MATCH($B1686,Vinos!$A$2:$A$301,0))="","",$H1686*INDEX(Vinos!$K$2:$K$301,MATCH($B1686,Vinos!$A$2:$A$301,0))),""))</f>
        <v/>
      </c>
      <c r="M1686" s="21">
        <f>IF(OR($A1686="",$B1686=""),"",SUMIFS($H$2:$H$2001,$A$2:$A$2001,$A1686,$B$2:$B$2001,$B1686))</f>
        <v/>
      </c>
      <c r="N1686" s="20">
        <f>IF($M1686="","",IF($M1686&lt;=0,"Sin stock: reponer ya",IF($M1686&lt;IFERROR(N(INDEX(Vinos!$N$2:$N$301,MATCH($B1686,Vinos!$A$2:$A$301,0))),0),"Bajo mínimo: reponer","OK")))</f>
        <v/>
      </c>
      <c r="O1686" s="14" t="n"/>
      <c r="P1686" s="14" t="n"/>
      <c r="Q1686" s="20">
        <f>IF($B1686="","",IFERROR(INDEX(Vinos!$C$2:$C$301,MATCH($B1686,Vinos!$A$2:$A$301,0)),""))</f>
        <v/>
      </c>
      <c r="R1686" s="20">
        <f>IF(OR($A1686="",$A1686&lt;&gt;'Resumen del inventario'!$C$3,$N1686="",$N1686="OK"),"",IF(COUNTIFS($A$2:$A1686,$A1686,$B$2:$B1686,$B1686)=1,1,""))</f>
        <v/>
      </c>
      <c r="S1686" s="20">
        <f>IF($R1686=1,COUNTIF($R$2:$R1686,1),"")</f>
        <v/>
      </c>
    </row>
    <row r="1687">
      <c r="A1687" s="19" t="n"/>
      <c r="B1687" s="14" t="n"/>
      <c r="C1687" s="20">
        <f>IF($B1687="","",IFERROR(INDEX(Vinos!$B$2:$B$301,MATCH($B1687,Vinos!$A$2:$A$301,0)),"Código no cargado"))</f>
        <v/>
      </c>
      <c r="D1687" s="14" t="n"/>
      <c r="E1687" s="14" t="n"/>
      <c r="F1687" s="18" t="n"/>
      <c r="G1687" s="18" t="n"/>
      <c r="H1687" s="21">
        <f>IF(AND($F1687="",$G1687=""),"",N($F1687)*IFERROR(N(INDEX(Vinos!$H$2:$H$301,MATCH($B1687,Vinos!$A$2:$A$301,0))),0)+N($G1687))</f>
        <v/>
      </c>
      <c r="I1687" s="18" t="n"/>
      <c r="J1687" s="21">
        <f>IF(OR($H1687="",$I1687=""),"",$H1687-$I1687)</f>
        <v/>
      </c>
      <c r="K1687" s="16">
        <f>IF($H1687="","",IFERROR(IF(INDEX(Vinos!$J$2:$J$301,MATCH($B1687,Vinos!$A$2:$A$301,0))="","",$H1687*INDEX(Vinos!$J$2:$J$301,MATCH($B1687,Vinos!$A$2:$A$301,0))),""))</f>
        <v/>
      </c>
      <c r="L1687" s="16">
        <f>IF($H1687="","",IFERROR(IF(INDEX(Vinos!$K$2:$K$301,MATCH($B1687,Vinos!$A$2:$A$301,0))="","",$H1687*INDEX(Vinos!$K$2:$K$301,MATCH($B1687,Vinos!$A$2:$A$301,0))),""))</f>
        <v/>
      </c>
      <c r="M1687" s="21">
        <f>IF(OR($A1687="",$B1687=""),"",SUMIFS($H$2:$H$2001,$A$2:$A$2001,$A1687,$B$2:$B$2001,$B1687))</f>
        <v/>
      </c>
      <c r="N1687" s="20">
        <f>IF($M1687="","",IF($M1687&lt;=0,"Sin stock: reponer ya",IF($M1687&lt;IFERROR(N(INDEX(Vinos!$N$2:$N$301,MATCH($B1687,Vinos!$A$2:$A$301,0))),0),"Bajo mínimo: reponer","OK")))</f>
        <v/>
      </c>
      <c r="O1687" s="14" t="n"/>
      <c r="P1687" s="14" t="n"/>
      <c r="Q1687" s="20">
        <f>IF($B1687="","",IFERROR(INDEX(Vinos!$C$2:$C$301,MATCH($B1687,Vinos!$A$2:$A$301,0)),""))</f>
        <v/>
      </c>
      <c r="R1687" s="20">
        <f>IF(OR($A1687="",$A1687&lt;&gt;'Resumen del inventario'!$C$3,$N1687="",$N1687="OK"),"",IF(COUNTIFS($A$2:$A1687,$A1687,$B$2:$B1687,$B1687)=1,1,""))</f>
        <v/>
      </c>
      <c r="S1687" s="20">
        <f>IF($R1687=1,COUNTIF($R$2:$R1687,1),"")</f>
        <v/>
      </c>
    </row>
    <row r="1688">
      <c r="A1688" s="19" t="n"/>
      <c r="B1688" s="14" t="n"/>
      <c r="C1688" s="20">
        <f>IF($B1688="","",IFERROR(INDEX(Vinos!$B$2:$B$301,MATCH($B1688,Vinos!$A$2:$A$301,0)),"Código no cargado"))</f>
        <v/>
      </c>
      <c r="D1688" s="14" t="n"/>
      <c r="E1688" s="14" t="n"/>
      <c r="F1688" s="18" t="n"/>
      <c r="G1688" s="18" t="n"/>
      <c r="H1688" s="21">
        <f>IF(AND($F1688="",$G1688=""),"",N($F1688)*IFERROR(N(INDEX(Vinos!$H$2:$H$301,MATCH($B1688,Vinos!$A$2:$A$301,0))),0)+N($G1688))</f>
        <v/>
      </c>
      <c r="I1688" s="18" t="n"/>
      <c r="J1688" s="21">
        <f>IF(OR($H1688="",$I1688=""),"",$H1688-$I1688)</f>
        <v/>
      </c>
      <c r="K1688" s="16">
        <f>IF($H1688="","",IFERROR(IF(INDEX(Vinos!$J$2:$J$301,MATCH($B1688,Vinos!$A$2:$A$301,0))="","",$H1688*INDEX(Vinos!$J$2:$J$301,MATCH($B1688,Vinos!$A$2:$A$301,0))),""))</f>
        <v/>
      </c>
      <c r="L1688" s="16">
        <f>IF($H1688="","",IFERROR(IF(INDEX(Vinos!$K$2:$K$301,MATCH($B1688,Vinos!$A$2:$A$301,0))="","",$H1688*INDEX(Vinos!$K$2:$K$301,MATCH($B1688,Vinos!$A$2:$A$301,0))),""))</f>
        <v/>
      </c>
      <c r="M1688" s="21">
        <f>IF(OR($A1688="",$B1688=""),"",SUMIFS($H$2:$H$2001,$A$2:$A$2001,$A1688,$B$2:$B$2001,$B1688))</f>
        <v/>
      </c>
      <c r="N1688" s="20">
        <f>IF($M1688="","",IF($M1688&lt;=0,"Sin stock: reponer ya",IF($M1688&lt;IFERROR(N(INDEX(Vinos!$N$2:$N$301,MATCH($B1688,Vinos!$A$2:$A$301,0))),0),"Bajo mínimo: reponer","OK")))</f>
        <v/>
      </c>
      <c r="O1688" s="14" t="n"/>
      <c r="P1688" s="14" t="n"/>
      <c r="Q1688" s="20">
        <f>IF($B1688="","",IFERROR(INDEX(Vinos!$C$2:$C$301,MATCH($B1688,Vinos!$A$2:$A$301,0)),""))</f>
        <v/>
      </c>
      <c r="R1688" s="20">
        <f>IF(OR($A1688="",$A1688&lt;&gt;'Resumen del inventario'!$C$3,$N1688="",$N1688="OK"),"",IF(COUNTIFS($A$2:$A1688,$A1688,$B$2:$B1688,$B1688)=1,1,""))</f>
        <v/>
      </c>
      <c r="S1688" s="20">
        <f>IF($R1688=1,COUNTIF($R$2:$R1688,1),"")</f>
        <v/>
      </c>
    </row>
    <row r="1689">
      <c r="A1689" s="19" t="n"/>
      <c r="B1689" s="14" t="n"/>
      <c r="C1689" s="20">
        <f>IF($B1689="","",IFERROR(INDEX(Vinos!$B$2:$B$301,MATCH($B1689,Vinos!$A$2:$A$301,0)),"Código no cargado"))</f>
        <v/>
      </c>
      <c r="D1689" s="14" t="n"/>
      <c r="E1689" s="14" t="n"/>
      <c r="F1689" s="18" t="n"/>
      <c r="G1689" s="18" t="n"/>
      <c r="H1689" s="21">
        <f>IF(AND($F1689="",$G1689=""),"",N($F1689)*IFERROR(N(INDEX(Vinos!$H$2:$H$301,MATCH($B1689,Vinos!$A$2:$A$301,0))),0)+N($G1689))</f>
        <v/>
      </c>
      <c r="I1689" s="18" t="n"/>
      <c r="J1689" s="21">
        <f>IF(OR($H1689="",$I1689=""),"",$H1689-$I1689)</f>
        <v/>
      </c>
      <c r="K1689" s="16">
        <f>IF($H1689="","",IFERROR(IF(INDEX(Vinos!$J$2:$J$301,MATCH($B1689,Vinos!$A$2:$A$301,0))="","",$H1689*INDEX(Vinos!$J$2:$J$301,MATCH($B1689,Vinos!$A$2:$A$301,0))),""))</f>
        <v/>
      </c>
      <c r="L1689" s="16">
        <f>IF($H1689="","",IFERROR(IF(INDEX(Vinos!$K$2:$K$301,MATCH($B1689,Vinos!$A$2:$A$301,0))="","",$H1689*INDEX(Vinos!$K$2:$K$301,MATCH($B1689,Vinos!$A$2:$A$301,0))),""))</f>
        <v/>
      </c>
      <c r="M1689" s="21">
        <f>IF(OR($A1689="",$B1689=""),"",SUMIFS($H$2:$H$2001,$A$2:$A$2001,$A1689,$B$2:$B$2001,$B1689))</f>
        <v/>
      </c>
      <c r="N1689" s="20">
        <f>IF($M1689="","",IF($M1689&lt;=0,"Sin stock: reponer ya",IF($M1689&lt;IFERROR(N(INDEX(Vinos!$N$2:$N$301,MATCH($B1689,Vinos!$A$2:$A$301,0))),0),"Bajo mínimo: reponer","OK")))</f>
        <v/>
      </c>
      <c r="O1689" s="14" t="n"/>
      <c r="P1689" s="14" t="n"/>
      <c r="Q1689" s="20">
        <f>IF($B1689="","",IFERROR(INDEX(Vinos!$C$2:$C$301,MATCH($B1689,Vinos!$A$2:$A$301,0)),""))</f>
        <v/>
      </c>
      <c r="R1689" s="20">
        <f>IF(OR($A1689="",$A1689&lt;&gt;'Resumen del inventario'!$C$3,$N1689="",$N1689="OK"),"",IF(COUNTIFS($A$2:$A1689,$A1689,$B$2:$B1689,$B1689)=1,1,""))</f>
        <v/>
      </c>
      <c r="S1689" s="20">
        <f>IF($R1689=1,COUNTIF($R$2:$R1689,1),"")</f>
        <v/>
      </c>
    </row>
    <row r="1690">
      <c r="A1690" s="19" t="n"/>
      <c r="B1690" s="14" t="n"/>
      <c r="C1690" s="20">
        <f>IF($B1690="","",IFERROR(INDEX(Vinos!$B$2:$B$301,MATCH($B1690,Vinos!$A$2:$A$301,0)),"Código no cargado"))</f>
        <v/>
      </c>
      <c r="D1690" s="14" t="n"/>
      <c r="E1690" s="14" t="n"/>
      <c r="F1690" s="18" t="n"/>
      <c r="G1690" s="18" t="n"/>
      <c r="H1690" s="21">
        <f>IF(AND($F1690="",$G1690=""),"",N($F1690)*IFERROR(N(INDEX(Vinos!$H$2:$H$301,MATCH($B1690,Vinos!$A$2:$A$301,0))),0)+N($G1690))</f>
        <v/>
      </c>
      <c r="I1690" s="18" t="n"/>
      <c r="J1690" s="21">
        <f>IF(OR($H1690="",$I1690=""),"",$H1690-$I1690)</f>
        <v/>
      </c>
      <c r="K1690" s="16">
        <f>IF($H1690="","",IFERROR(IF(INDEX(Vinos!$J$2:$J$301,MATCH($B1690,Vinos!$A$2:$A$301,0))="","",$H1690*INDEX(Vinos!$J$2:$J$301,MATCH($B1690,Vinos!$A$2:$A$301,0))),""))</f>
        <v/>
      </c>
      <c r="L1690" s="16">
        <f>IF($H1690="","",IFERROR(IF(INDEX(Vinos!$K$2:$K$301,MATCH($B1690,Vinos!$A$2:$A$301,0))="","",$H1690*INDEX(Vinos!$K$2:$K$301,MATCH($B1690,Vinos!$A$2:$A$301,0))),""))</f>
        <v/>
      </c>
      <c r="M1690" s="21">
        <f>IF(OR($A1690="",$B1690=""),"",SUMIFS($H$2:$H$2001,$A$2:$A$2001,$A1690,$B$2:$B$2001,$B1690))</f>
        <v/>
      </c>
      <c r="N1690" s="20">
        <f>IF($M1690="","",IF($M1690&lt;=0,"Sin stock: reponer ya",IF($M1690&lt;IFERROR(N(INDEX(Vinos!$N$2:$N$301,MATCH($B1690,Vinos!$A$2:$A$301,0))),0),"Bajo mínimo: reponer","OK")))</f>
        <v/>
      </c>
      <c r="O1690" s="14" t="n"/>
      <c r="P1690" s="14" t="n"/>
      <c r="Q1690" s="20">
        <f>IF($B1690="","",IFERROR(INDEX(Vinos!$C$2:$C$301,MATCH($B1690,Vinos!$A$2:$A$301,0)),""))</f>
        <v/>
      </c>
      <c r="R1690" s="20">
        <f>IF(OR($A1690="",$A1690&lt;&gt;'Resumen del inventario'!$C$3,$N1690="",$N1690="OK"),"",IF(COUNTIFS($A$2:$A1690,$A1690,$B$2:$B1690,$B1690)=1,1,""))</f>
        <v/>
      </c>
      <c r="S1690" s="20">
        <f>IF($R1690=1,COUNTIF($R$2:$R1690,1),"")</f>
        <v/>
      </c>
    </row>
    <row r="1691">
      <c r="A1691" s="19" t="n"/>
      <c r="B1691" s="14" t="n"/>
      <c r="C1691" s="20">
        <f>IF($B1691="","",IFERROR(INDEX(Vinos!$B$2:$B$301,MATCH($B1691,Vinos!$A$2:$A$301,0)),"Código no cargado"))</f>
        <v/>
      </c>
      <c r="D1691" s="14" t="n"/>
      <c r="E1691" s="14" t="n"/>
      <c r="F1691" s="18" t="n"/>
      <c r="G1691" s="18" t="n"/>
      <c r="H1691" s="21">
        <f>IF(AND($F1691="",$G1691=""),"",N($F1691)*IFERROR(N(INDEX(Vinos!$H$2:$H$301,MATCH($B1691,Vinos!$A$2:$A$301,0))),0)+N($G1691))</f>
        <v/>
      </c>
      <c r="I1691" s="18" t="n"/>
      <c r="J1691" s="21">
        <f>IF(OR($H1691="",$I1691=""),"",$H1691-$I1691)</f>
        <v/>
      </c>
      <c r="K1691" s="16">
        <f>IF($H1691="","",IFERROR(IF(INDEX(Vinos!$J$2:$J$301,MATCH($B1691,Vinos!$A$2:$A$301,0))="","",$H1691*INDEX(Vinos!$J$2:$J$301,MATCH($B1691,Vinos!$A$2:$A$301,0))),""))</f>
        <v/>
      </c>
      <c r="L1691" s="16">
        <f>IF($H1691="","",IFERROR(IF(INDEX(Vinos!$K$2:$K$301,MATCH($B1691,Vinos!$A$2:$A$301,0))="","",$H1691*INDEX(Vinos!$K$2:$K$301,MATCH($B1691,Vinos!$A$2:$A$301,0))),""))</f>
        <v/>
      </c>
      <c r="M1691" s="21">
        <f>IF(OR($A1691="",$B1691=""),"",SUMIFS($H$2:$H$2001,$A$2:$A$2001,$A1691,$B$2:$B$2001,$B1691))</f>
        <v/>
      </c>
      <c r="N1691" s="20">
        <f>IF($M1691="","",IF($M1691&lt;=0,"Sin stock: reponer ya",IF($M1691&lt;IFERROR(N(INDEX(Vinos!$N$2:$N$301,MATCH($B1691,Vinos!$A$2:$A$301,0))),0),"Bajo mínimo: reponer","OK")))</f>
        <v/>
      </c>
      <c r="O1691" s="14" t="n"/>
      <c r="P1691" s="14" t="n"/>
      <c r="Q1691" s="20">
        <f>IF($B1691="","",IFERROR(INDEX(Vinos!$C$2:$C$301,MATCH($B1691,Vinos!$A$2:$A$301,0)),""))</f>
        <v/>
      </c>
      <c r="R1691" s="20">
        <f>IF(OR($A1691="",$A1691&lt;&gt;'Resumen del inventario'!$C$3,$N1691="",$N1691="OK"),"",IF(COUNTIFS($A$2:$A1691,$A1691,$B$2:$B1691,$B1691)=1,1,""))</f>
        <v/>
      </c>
      <c r="S1691" s="20">
        <f>IF($R1691=1,COUNTIF($R$2:$R1691,1),"")</f>
        <v/>
      </c>
    </row>
    <row r="1692">
      <c r="A1692" s="19" t="n"/>
      <c r="B1692" s="14" t="n"/>
      <c r="C1692" s="20">
        <f>IF($B1692="","",IFERROR(INDEX(Vinos!$B$2:$B$301,MATCH($B1692,Vinos!$A$2:$A$301,0)),"Código no cargado"))</f>
        <v/>
      </c>
      <c r="D1692" s="14" t="n"/>
      <c r="E1692" s="14" t="n"/>
      <c r="F1692" s="18" t="n"/>
      <c r="G1692" s="18" t="n"/>
      <c r="H1692" s="21">
        <f>IF(AND($F1692="",$G1692=""),"",N($F1692)*IFERROR(N(INDEX(Vinos!$H$2:$H$301,MATCH($B1692,Vinos!$A$2:$A$301,0))),0)+N($G1692))</f>
        <v/>
      </c>
      <c r="I1692" s="18" t="n"/>
      <c r="J1692" s="21">
        <f>IF(OR($H1692="",$I1692=""),"",$H1692-$I1692)</f>
        <v/>
      </c>
      <c r="K1692" s="16">
        <f>IF($H1692="","",IFERROR(IF(INDEX(Vinos!$J$2:$J$301,MATCH($B1692,Vinos!$A$2:$A$301,0))="","",$H1692*INDEX(Vinos!$J$2:$J$301,MATCH($B1692,Vinos!$A$2:$A$301,0))),""))</f>
        <v/>
      </c>
      <c r="L1692" s="16">
        <f>IF($H1692="","",IFERROR(IF(INDEX(Vinos!$K$2:$K$301,MATCH($B1692,Vinos!$A$2:$A$301,0))="","",$H1692*INDEX(Vinos!$K$2:$K$301,MATCH($B1692,Vinos!$A$2:$A$301,0))),""))</f>
        <v/>
      </c>
      <c r="M1692" s="21">
        <f>IF(OR($A1692="",$B1692=""),"",SUMIFS($H$2:$H$2001,$A$2:$A$2001,$A1692,$B$2:$B$2001,$B1692))</f>
        <v/>
      </c>
      <c r="N1692" s="20">
        <f>IF($M1692="","",IF($M1692&lt;=0,"Sin stock: reponer ya",IF($M1692&lt;IFERROR(N(INDEX(Vinos!$N$2:$N$301,MATCH($B1692,Vinos!$A$2:$A$301,0))),0),"Bajo mínimo: reponer","OK")))</f>
        <v/>
      </c>
      <c r="O1692" s="14" t="n"/>
      <c r="P1692" s="14" t="n"/>
      <c r="Q1692" s="20">
        <f>IF($B1692="","",IFERROR(INDEX(Vinos!$C$2:$C$301,MATCH($B1692,Vinos!$A$2:$A$301,0)),""))</f>
        <v/>
      </c>
      <c r="R1692" s="20">
        <f>IF(OR($A1692="",$A1692&lt;&gt;'Resumen del inventario'!$C$3,$N1692="",$N1692="OK"),"",IF(COUNTIFS($A$2:$A1692,$A1692,$B$2:$B1692,$B1692)=1,1,""))</f>
        <v/>
      </c>
      <c r="S1692" s="20">
        <f>IF($R1692=1,COUNTIF($R$2:$R1692,1),"")</f>
        <v/>
      </c>
    </row>
    <row r="1693">
      <c r="A1693" s="19" t="n"/>
      <c r="B1693" s="14" t="n"/>
      <c r="C1693" s="20">
        <f>IF($B1693="","",IFERROR(INDEX(Vinos!$B$2:$B$301,MATCH($B1693,Vinos!$A$2:$A$301,0)),"Código no cargado"))</f>
        <v/>
      </c>
      <c r="D1693" s="14" t="n"/>
      <c r="E1693" s="14" t="n"/>
      <c r="F1693" s="18" t="n"/>
      <c r="G1693" s="18" t="n"/>
      <c r="H1693" s="21">
        <f>IF(AND($F1693="",$G1693=""),"",N($F1693)*IFERROR(N(INDEX(Vinos!$H$2:$H$301,MATCH($B1693,Vinos!$A$2:$A$301,0))),0)+N($G1693))</f>
        <v/>
      </c>
      <c r="I1693" s="18" t="n"/>
      <c r="J1693" s="21">
        <f>IF(OR($H1693="",$I1693=""),"",$H1693-$I1693)</f>
        <v/>
      </c>
      <c r="K1693" s="16">
        <f>IF($H1693="","",IFERROR(IF(INDEX(Vinos!$J$2:$J$301,MATCH($B1693,Vinos!$A$2:$A$301,0))="","",$H1693*INDEX(Vinos!$J$2:$J$301,MATCH($B1693,Vinos!$A$2:$A$301,0))),""))</f>
        <v/>
      </c>
      <c r="L1693" s="16">
        <f>IF($H1693="","",IFERROR(IF(INDEX(Vinos!$K$2:$K$301,MATCH($B1693,Vinos!$A$2:$A$301,0))="","",$H1693*INDEX(Vinos!$K$2:$K$301,MATCH($B1693,Vinos!$A$2:$A$301,0))),""))</f>
        <v/>
      </c>
      <c r="M1693" s="21">
        <f>IF(OR($A1693="",$B1693=""),"",SUMIFS($H$2:$H$2001,$A$2:$A$2001,$A1693,$B$2:$B$2001,$B1693))</f>
        <v/>
      </c>
      <c r="N1693" s="20">
        <f>IF($M1693="","",IF($M1693&lt;=0,"Sin stock: reponer ya",IF($M1693&lt;IFERROR(N(INDEX(Vinos!$N$2:$N$301,MATCH($B1693,Vinos!$A$2:$A$301,0))),0),"Bajo mínimo: reponer","OK")))</f>
        <v/>
      </c>
      <c r="O1693" s="14" t="n"/>
      <c r="P1693" s="14" t="n"/>
      <c r="Q1693" s="20">
        <f>IF($B1693="","",IFERROR(INDEX(Vinos!$C$2:$C$301,MATCH($B1693,Vinos!$A$2:$A$301,0)),""))</f>
        <v/>
      </c>
      <c r="R1693" s="20">
        <f>IF(OR($A1693="",$A1693&lt;&gt;'Resumen del inventario'!$C$3,$N1693="",$N1693="OK"),"",IF(COUNTIFS($A$2:$A1693,$A1693,$B$2:$B1693,$B1693)=1,1,""))</f>
        <v/>
      </c>
      <c r="S1693" s="20">
        <f>IF($R1693=1,COUNTIF($R$2:$R1693,1),"")</f>
        <v/>
      </c>
    </row>
    <row r="1694">
      <c r="A1694" s="19" t="n"/>
      <c r="B1694" s="14" t="n"/>
      <c r="C1694" s="20">
        <f>IF($B1694="","",IFERROR(INDEX(Vinos!$B$2:$B$301,MATCH($B1694,Vinos!$A$2:$A$301,0)),"Código no cargado"))</f>
        <v/>
      </c>
      <c r="D1694" s="14" t="n"/>
      <c r="E1694" s="14" t="n"/>
      <c r="F1694" s="18" t="n"/>
      <c r="G1694" s="18" t="n"/>
      <c r="H1694" s="21">
        <f>IF(AND($F1694="",$G1694=""),"",N($F1694)*IFERROR(N(INDEX(Vinos!$H$2:$H$301,MATCH($B1694,Vinos!$A$2:$A$301,0))),0)+N($G1694))</f>
        <v/>
      </c>
      <c r="I1694" s="18" t="n"/>
      <c r="J1694" s="21">
        <f>IF(OR($H1694="",$I1694=""),"",$H1694-$I1694)</f>
        <v/>
      </c>
      <c r="K1694" s="16">
        <f>IF($H1694="","",IFERROR(IF(INDEX(Vinos!$J$2:$J$301,MATCH($B1694,Vinos!$A$2:$A$301,0))="","",$H1694*INDEX(Vinos!$J$2:$J$301,MATCH($B1694,Vinos!$A$2:$A$301,0))),""))</f>
        <v/>
      </c>
      <c r="L1694" s="16">
        <f>IF($H1694="","",IFERROR(IF(INDEX(Vinos!$K$2:$K$301,MATCH($B1694,Vinos!$A$2:$A$301,0))="","",$H1694*INDEX(Vinos!$K$2:$K$301,MATCH($B1694,Vinos!$A$2:$A$301,0))),""))</f>
        <v/>
      </c>
      <c r="M1694" s="21">
        <f>IF(OR($A1694="",$B1694=""),"",SUMIFS($H$2:$H$2001,$A$2:$A$2001,$A1694,$B$2:$B$2001,$B1694))</f>
        <v/>
      </c>
      <c r="N1694" s="20">
        <f>IF($M1694="","",IF($M1694&lt;=0,"Sin stock: reponer ya",IF($M1694&lt;IFERROR(N(INDEX(Vinos!$N$2:$N$301,MATCH($B1694,Vinos!$A$2:$A$301,0))),0),"Bajo mínimo: reponer","OK")))</f>
        <v/>
      </c>
      <c r="O1694" s="14" t="n"/>
      <c r="P1694" s="14" t="n"/>
      <c r="Q1694" s="20">
        <f>IF($B1694="","",IFERROR(INDEX(Vinos!$C$2:$C$301,MATCH($B1694,Vinos!$A$2:$A$301,0)),""))</f>
        <v/>
      </c>
      <c r="R1694" s="20">
        <f>IF(OR($A1694="",$A1694&lt;&gt;'Resumen del inventario'!$C$3,$N1694="",$N1694="OK"),"",IF(COUNTIFS($A$2:$A1694,$A1694,$B$2:$B1694,$B1694)=1,1,""))</f>
        <v/>
      </c>
      <c r="S1694" s="20">
        <f>IF($R1694=1,COUNTIF($R$2:$R1694,1),"")</f>
        <v/>
      </c>
    </row>
    <row r="1695">
      <c r="A1695" s="19" t="n"/>
      <c r="B1695" s="14" t="n"/>
      <c r="C1695" s="20">
        <f>IF($B1695="","",IFERROR(INDEX(Vinos!$B$2:$B$301,MATCH($B1695,Vinos!$A$2:$A$301,0)),"Código no cargado"))</f>
        <v/>
      </c>
      <c r="D1695" s="14" t="n"/>
      <c r="E1695" s="14" t="n"/>
      <c r="F1695" s="18" t="n"/>
      <c r="G1695" s="18" t="n"/>
      <c r="H1695" s="21">
        <f>IF(AND($F1695="",$G1695=""),"",N($F1695)*IFERROR(N(INDEX(Vinos!$H$2:$H$301,MATCH($B1695,Vinos!$A$2:$A$301,0))),0)+N($G1695))</f>
        <v/>
      </c>
      <c r="I1695" s="18" t="n"/>
      <c r="J1695" s="21">
        <f>IF(OR($H1695="",$I1695=""),"",$H1695-$I1695)</f>
        <v/>
      </c>
      <c r="K1695" s="16">
        <f>IF($H1695="","",IFERROR(IF(INDEX(Vinos!$J$2:$J$301,MATCH($B1695,Vinos!$A$2:$A$301,0))="","",$H1695*INDEX(Vinos!$J$2:$J$301,MATCH($B1695,Vinos!$A$2:$A$301,0))),""))</f>
        <v/>
      </c>
      <c r="L1695" s="16">
        <f>IF($H1695="","",IFERROR(IF(INDEX(Vinos!$K$2:$K$301,MATCH($B1695,Vinos!$A$2:$A$301,0))="","",$H1695*INDEX(Vinos!$K$2:$K$301,MATCH($B1695,Vinos!$A$2:$A$301,0))),""))</f>
        <v/>
      </c>
      <c r="M1695" s="21">
        <f>IF(OR($A1695="",$B1695=""),"",SUMIFS($H$2:$H$2001,$A$2:$A$2001,$A1695,$B$2:$B$2001,$B1695))</f>
        <v/>
      </c>
      <c r="N1695" s="20">
        <f>IF($M1695="","",IF($M1695&lt;=0,"Sin stock: reponer ya",IF($M1695&lt;IFERROR(N(INDEX(Vinos!$N$2:$N$301,MATCH($B1695,Vinos!$A$2:$A$301,0))),0),"Bajo mínimo: reponer","OK")))</f>
        <v/>
      </c>
      <c r="O1695" s="14" t="n"/>
      <c r="P1695" s="14" t="n"/>
      <c r="Q1695" s="20">
        <f>IF($B1695="","",IFERROR(INDEX(Vinos!$C$2:$C$301,MATCH($B1695,Vinos!$A$2:$A$301,0)),""))</f>
        <v/>
      </c>
      <c r="R1695" s="20">
        <f>IF(OR($A1695="",$A1695&lt;&gt;'Resumen del inventario'!$C$3,$N1695="",$N1695="OK"),"",IF(COUNTIFS($A$2:$A1695,$A1695,$B$2:$B1695,$B1695)=1,1,""))</f>
        <v/>
      </c>
      <c r="S1695" s="20">
        <f>IF($R1695=1,COUNTIF($R$2:$R1695,1),"")</f>
        <v/>
      </c>
    </row>
    <row r="1696">
      <c r="A1696" s="19" t="n"/>
      <c r="B1696" s="14" t="n"/>
      <c r="C1696" s="20">
        <f>IF($B1696="","",IFERROR(INDEX(Vinos!$B$2:$B$301,MATCH($B1696,Vinos!$A$2:$A$301,0)),"Código no cargado"))</f>
        <v/>
      </c>
      <c r="D1696" s="14" t="n"/>
      <c r="E1696" s="14" t="n"/>
      <c r="F1696" s="18" t="n"/>
      <c r="G1696" s="18" t="n"/>
      <c r="H1696" s="21">
        <f>IF(AND($F1696="",$G1696=""),"",N($F1696)*IFERROR(N(INDEX(Vinos!$H$2:$H$301,MATCH($B1696,Vinos!$A$2:$A$301,0))),0)+N($G1696))</f>
        <v/>
      </c>
      <c r="I1696" s="18" t="n"/>
      <c r="J1696" s="21">
        <f>IF(OR($H1696="",$I1696=""),"",$H1696-$I1696)</f>
        <v/>
      </c>
      <c r="K1696" s="16">
        <f>IF($H1696="","",IFERROR(IF(INDEX(Vinos!$J$2:$J$301,MATCH($B1696,Vinos!$A$2:$A$301,0))="","",$H1696*INDEX(Vinos!$J$2:$J$301,MATCH($B1696,Vinos!$A$2:$A$301,0))),""))</f>
        <v/>
      </c>
      <c r="L1696" s="16">
        <f>IF($H1696="","",IFERROR(IF(INDEX(Vinos!$K$2:$K$301,MATCH($B1696,Vinos!$A$2:$A$301,0))="","",$H1696*INDEX(Vinos!$K$2:$K$301,MATCH($B1696,Vinos!$A$2:$A$301,0))),""))</f>
        <v/>
      </c>
      <c r="M1696" s="21">
        <f>IF(OR($A1696="",$B1696=""),"",SUMIFS($H$2:$H$2001,$A$2:$A$2001,$A1696,$B$2:$B$2001,$B1696))</f>
        <v/>
      </c>
      <c r="N1696" s="20">
        <f>IF($M1696="","",IF($M1696&lt;=0,"Sin stock: reponer ya",IF($M1696&lt;IFERROR(N(INDEX(Vinos!$N$2:$N$301,MATCH($B1696,Vinos!$A$2:$A$301,0))),0),"Bajo mínimo: reponer","OK")))</f>
        <v/>
      </c>
      <c r="O1696" s="14" t="n"/>
      <c r="P1696" s="14" t="n"/>
      <c r="Q1696" s="20">
        <f>IF($B1696="","",IFERROR(INDEX(Vinos!$C$2:$C$301,MATCH($B1696,Vinos!$A$2:$A$301,0)),""))</f>
        <v/>
      </c>
      <c r="R1696" s="20">
        <f>IF(OR($A1696="",$A1696&lt;&gt;'Resumen del inventario'!$C$3,$N1696="",$N1696="OK"),"",IF(COUNTIFS($A$2:$A1696,$A1696,$B$2:$B1696,$B1696)=1,1,""))</f>
        <v/>
      </c>
      <c r="S1696" s="20">
        <f>IF($R1696=1,COUNTIF($R$2:$R1696,1),"")</f>
        <v/>
      </c>
    </row>
    <row r="1697">
      <c r="A1697" s="19" t="n"/>
      <c r="B1697" s="14" t="n"/>
      <c r="C1697" s="20">
        <f>IF($B1697="","",IFERROR(INDEX(Vinos!$B$2:$B$301,MATCH($B1697,Vinos!$A$2:$A$301,0)),"Código no cargado"))</f>
        <v/>
      </c>
      <c r="D1697" s="14" t="n"/>
      <c r="E1697" s="14" t="n"/>
      <c r="F1697" s="18" t="n"/>
      <c r="G1697" s="18" t="n"/>
      <c r="H1697" s="21">
        <f>IF(AND($F1697="",$G1697=""),"",N($F1697)*IFERROR(N(INDEX(Vinos!$H$2:$H$301,MATCH($B1697,Vinos!$A$2:$A$301,0))),0)+N($G1697))</f>
        <v/>
      </c>
      <c r="I1697" s="18" t="n"/>
      <c r="J1697" s="21">
        <f>IF(OR($H1697="",$I1697=""),"",$H1697-$I1697)</f>
        <v/>
      </c>
      <c r="K1697" s="16">
        <f>IF($H1697="","",IFERROR(IF(INDEX(Vinos!$J$2:$J$301,MATCH($B1697,Vinos!$A$2:$A$301,0))="","",$H1697*INDEX(Vinos!$J$2:$J$301,MATCH($B1697,Vinos!$A$2:$A$301,0))),""))</f>
        <v/>
      </c>
      <c r="L1697" s="16">
        <f>IF($H1697="","",IFERROR(IF(INDEX(Vinos!$K$2:$K$301,MATCH($B1697,Vinos!$A$2:$A$301,0))="","",$H1697*INDEX(Vinos!$K$2:$K$301,MATCH($B1697,Vinos!$A$2:$A$301,0))),""))</f>
        <v/>
      </c>
      <c r="M1697" s="21">
        <f>IF(OR($A1697="",$B1697=""),"",SUMIFS($H$2:$H$2001,$A$2:$A$2001,$A1697,$B$2:$B$2001,$B1697))</f>
        <v/>
      </c>
      <c r="N1697" s="20">
        <f>IF($M1697="","",IF($M1697&lt;=0,"Sin stock: reponer ya",IF($M1697&lt;IFERROR(N(INDEX(Vinos!$N$2:$N$301,MATCH($B1697,Vinos!$A$2:$A$301,0))),0),"Bajo mínimo: reponer","OK")))</f>
        <v/>
      </c>
      <c r="O1697" s="14" t="n"/>
      <c r="P1697" s="14" t="n"/>
      <c r="Q1697" s="20">
        <f>IF($B1697="","",IFERROR(INDEX(Vinos!$C$2:$C$301,MATCH($B1697,Vinos!$A$2:$A$301,0)),""))</f>
        <v/>
      </c>
      <c r="R1697" s="20">
        <f>IF(OR($A1697="",$A1697&lt;&gt;'Resumen del inventario'!$C$3,$N1697="",$N1697="OK"),"",IF(COUNTIFS($A$2:$A1697,$A1697,$B$2:$B1697,$B1697)=1,1,""))</f>
        <v/>
      </c>
      <c r="S1697" s="20">
        <f>IF($R1697=1,COUNTIF($R$2:$R1697,1),"")</f>
        <v/>
      </c>
    </row>
    <row r="1698">
      <c r="A1698" s="19" t="n"/>
      <c r="B1698" s="14" t="n"/>
      <c r="C1698" s="20">
        <f>IF($B1698="","",IFERROR(INDEX(Vinos!$B$2:$B$301,MATCH($B1698,Vinos!$A$2:$A$301,0)),"Código no cargado"))</f>
        <v/>
      </c>
      <c r="D1698" s="14" t="n"/>
      <c r="E1698" s="14" t="n"/>
      <c r="F1698" s="18" t="n"/>
      <c r="G1698" s="18" t="n"/>
      <c r="H1698" s="21">
        <f>IF(AND($F1698="",$G1698=""),"",N($F1698)*IFERROR(N(INDEX(Vinos!$H$2:$H$301,MATCH($B1698,Vinos!$A$2:$A$301,0))),0)+N($G1698))</f>
        <v/>
      </c>
      <c r="I1698" s="18" t="n"/>
      <c r="J1698" s="21">
        <f>IF(OR($H1698="",$I1698=""),"",$H1698-$I1698)</f>
        <v/>
      </c>
      <c r="K1698" s="16">
        <f>IF($H1698="","",IFERROR(IF(INDEX(Vinos!$J$2:$J$301,MATCH($B1698,Vinos!$A$2:$A$301,0))="","",$H1698*INDEX(Vinos!$J$2:$J$301,MATCH($B1698,Vinos!$A$2:$A$301,0))),""))</f>
        <v/>
      </c>
      <c r="L1698" s="16">
        <f>IF($H1698="","",IFERROR(IF(INDEX(Vinos!$K$2:$K$301,MATCH($B1698,Vinos!$A$2:$A$301,0))="","",$H1698*INDEX(Vinos!$K$2:$K$301,MATCH($B1698,Vinos!$A$2:$A$301,0))),""))</f>
        <v/>
      </c>
      <c r="M1698" s="21">
        <f>IF(OR($A1698="",$B1698=""),"",SUMIFS($H$2:$H$2001,$A$2:$A$2001,$A1698,$B$2:$B$2001,$B1698))</f>
        <v/>
      </c>
      <c r="N1698" s="20">
        <f>IF($M1698="","",IF($M1698&lt;=0,"Sin stock: reponer ya",IF($M1698&lt;IFERROR(N(INDEX(Vinos!$N$2:$N$301,MATCH($B1698,Vinos!$A$2:$A$301,0))),0),"Bajo mínimo: reponer","OK")))</f>
        <v/>
      </c>
      <c r="O1698" s="14" t="n"/>
      <c r="P1698" s="14" t="n"/>
      <c r="Q1698" s="20">
        <f>IF($B1698="","",IFERROR(INDEX(Vinos!$C$2:$C$301,MATCH($B1698,Vinos!$A$2:$A$301,0)),""))</f>
        <v/>
      </c>
      <c r="R1698" s="20">
        <f>IF(OR($A1698="",$A1698&lt;&gt;'Resumen del inventario'!$C$3,$N1698="",$N1698="OK"),"",IF(COUNTIFS($A$2:$A1698,$A1698,$B$2:$B1698,$B1698)=1,1,""))</f>
        <v/>
      </c>
      <c r="S1698" s="20">
        <f>IF($R1698=1,COUNTIF($R$2:$R1698,1),"")</f>
        <v/>
      </c>
    </row>
    <row r="1699">
      <c r="A1699" s="19" t="n"/>
      <c r="B1699" s="14" t="n"/>
      <c r="C1699" s="20">
        <f>IF($B1699="","",IFERROR(INDEX(Vinos!$B$2:$B$301,MATCH($B1699,Vinos!$A$2:$A$301,0)),"Código no cargado"))</f>
        <v/>
      </c>
      <c r="D1699" s="14" t="n"/>
      <c r="E1699" s="14" t="n"/>
      <c r="F1699" s="18" t="n"/>
      <c r="G1699" s="18" t="n"/>
      <c r="H1699" s="21">
        <f>IF(AND($F1699="",$G1699=""),"",N($F1699)*IFERROR(N(INDEX(Vinos!$H$2:$H$301,MATCH($B1699,Vinos!$A$2:$A$301,0))),0)+N($G1699))</f>
        <v/>
      </c>
      <c r="I1699" s="18" t="n"/>
      <c r="J1699" s="21">
        <f>IF(OR($H1699="",$I1699=""),"",$H1699-$I1699)</f>
        <v/>
      </c>
      <c r="K1699" s="16">
        <f>IF($H1699="","",IFERROR(IF(INDEX(Vinos!$J$2:$J$301,MATCH($B1699,Vinos!$A$2:$A$301,0))="","",$H1699*INDEX(Vinos!$J$2:$J$301,MATCH($B1699,Vinos!$A$2:$A$301,0))),""))</f>
        <v/>
      </c>
      <c r="L1699" s="16">
        <f>IF($H1699="","",IFERROR(IF(INDEX(Vinos!$K$2:$K$301,MATCH($B1699,Vinos!$A$2:$A$301,0))="","",$H1699*INDEX(Vinos!$K$2:$K$301,MATCH($B1699,Vinos!$A$2:$A$301,0))),""))</f>
        <v/>
      </c>
      <c r="M1699" s="21">
        <f>IF(OR($A1699="",$B1699=""),"",SUMIFS($H$2:$H$2001,$A$2:$A$2001,$A1699,$B$2:$B$2001,$B1699))</f>
        <v/>
      </c>
      <c r="N1699" s="20">
        <f>IF($M1699="","",IF($M1699&lt;=0,"Sin stock: reponer ya",IF($M1699&lt;IFERROR(N(INDEX(Vinos!$N$2:$N$301,MATCH($B1699,Vinos!$A$2:$A$301,0))),0),"Bajo mínimo: reponer","OK")))</f>
        <v/>
      </c>
      <c r="O1699" s="14" t="n"/>
      <c r="P1699" s="14" t="n"/>
      <c r="Q1699" s="20">
        <f>IF($B1699="","",IFERROR(INDEX(Vinos!$C$2:$C$301,MATCH($B1699,Vinos!$A$2:$A$301,0)),""))</f>
        <v/>
      </c>
      <c r="R1699" s="20">
        <f>IF(OR($A1699="",$A1699&lt;&gt;'Resumen del inventario'!$C$3,$N1699="",$N1699="OK"),"",IF(COUNTIFS($A$2:$A1699,$A1699,$B$2:$B1699,$B1699)=1,1,""))</f>
        <v/>
      </c>
      <c r="S1699" s="20">
        <f>IF($R1699=1,COUNTIF($R$2:$R1699,1),"")</f>
        <v/>
      </c>
    </row>
    <row r="1700">
      <c r="A1700" s="19" t="n"/>
      <c r="B1700" s="14" t="n"/>
      <c r="C1700" s="20">
        <f>IF($B1700="","",IFERROR(INDEX(Vinos!$B$2:$B$301,MATCH($B1700,Vinos!$A$2:$A$301,0)),"Código no cargado"))</f>
        <v/>
      </c>
      <c r="D1700" s="14" t="n"/>
      <c r="E1700" s="14" t="n"/>
      <c r="F1700" s="18" t="n"/>
      <c r="G1700" s="18" t="n"/>
      <c r="H1700" s="21">
        <f>IF(AND($F1700="",$G1700=""),"",N($F1700)*IFERROR(N(INDEX(Vinos!$H$2:$H$301,MATCH($B1700,Vinos!$A$2:$A$301,0))),0)+N($G1700))</f>
        <v/>
      </c>
      <c r="I1700" s="18" t="n"/>
      <c r="J1700" s="21">
        <f>IF(OR($H1700="",$I1700=""),"",$H1700-$I1700)</f>
        <v/>
      </c>
      <c r="K1700" s="16">
        <f>IF($H1700="","",IFERROR(IF(INDEX(Vinos!$J$2:$J$301,MATCH($B1700,Vinos!$A$2:$A$301,0))="","",$H1700*INDEX(Vinos!$J$2:$J$301,MATCH($B1700,Vinos!$A$2:$A$301,0))),""))</f>
        <v/>
      </c>
      <c r="L1700" s="16">
        <f>IF($H1700="","",IFERROR(IF(INDEX(Vinos!$K$2:$K$301,MATCH($B1700,Vinos!$A$2:$A$301,0))="","",$H1700*INDEX(Vinos!$K$2:$K$301,MATCH($B1700,Vinos!$A$2:$A$301,0))),""))</f>
        <v/>
      </c>
      <c r="M1700" s="21">
        <f>IF(OR($A1700="",$B1700=""),"",SUMIFS($H$2:$H$2001,$A$2:$A$2001,$A1700,$B$2:$B$2001,$B1700))</f>
        <v/>
      </c>
      <c r="N1700" s="20">
        <f>IF($M1700="","",IF($M1700&lt;=0,"Sin stock: reponer ya",IF($M1700&lt;IFERROR(N(INDEX(Vinos!$N$2:$N$301,MATCH($B1700,Vinos!$A$2:$A$301,0))),0),"Bajo mínimo: reponer","OK")))</f>
        <v/>
      </c>
      <c r="O1700" s="14" t="n"/>
      <c r="P1700" s="14" t="n"/>
      <c r="Q1700" s="20">
        <f>IF($B1700="","",IFERROR(INDEX(Vinos!$C$2:$C$301,MATCH($B1700,Vinos!$A$2:$A$301,0)),""))</f>
        <v/>
      </c>
      <c r="R1700" s="20">
        <f>IF(OR($A1700="",$A1700&lt;&gt;'Resumen del inventario'!$C$3,$N1700="",$N1700="OK"),"",IF(COUNTIFS($A$2:$A1700,$A1700,$B$2:$B1700,$B1700)=1,1,""))</f>
        <v/>
      </c>
      <c r="S1700" s="20">
        <f>IF($R1700=1,COUNTIF($R$2:$R1700,1),"")</f>
        <v/>
      </c>
    </row>
    <row r="1701">
      <c r="A1701" s="19" t="n"/>
      <c r="B1701" s="14" t="n"/>
      <c r="C1701" s="20">
        <f>IF($B1701="","",IFERROR(INDEX(Vinos!$B$2:$B$301,MATCH($B1701,Vinos!$A$2:$A$301,0)),"Código no cargado"))</f>
        <v/>
      </c>
      <c r="D1701" s="14" t="n"/>
      <c r="E1701" s="14" t="n"/>
      <c r="F1701" s="18" t="n"/>
      <c r="G1701" s="18" t="n"/>
      <c r="H1701" s="21">
        <f>IF(AND($F1701="",$G1701=""),"",N($F1701)*IFERROR(N(INDEX(Vinos!$H$2:$H$301,MATCH($B1701,Vinos!$A$2:$A$301,0))),0)+N($G1701))</f>
        <v/>
      </c>
      <c r="I1701" s="18" t="n"/>
      <c r="J1701" s="21">
        <f>IF(OR($H1701="",$I1701=""),"",$H1701-$I1701)</f>
        <v/>
      </c>
      <c r="K1701" s="16">
        <f>IF($H1701="","",IFERROR(IF(INDEX(Vinos!$J$2:$J$301,MATCH($B1701,Vinos!$A$2:$A$301,0))="","",$H1701*INDEX(Vinos!$J$2:$J$301,MATCH($B1701,Vinos!$A$2:$A$301,0))),""))</f>
        <v/>
      </c>
      <c r="L1701" s="16">
        <f>IF($H1701="","",IFERROR(IF(INDEX(Vinos!$K$2:$K$301,MATCH($B1701,Vinos!$A$2:$A$301,0))="","",$H1701*INDEX(Vinos!$K$2:$K$301,MATCH($B1701,Vinos!$A$2:$A$301,0))),""))</f>
        <v/>
      </c>
      <c r="M1701" s="21">
        <f>IF(OR($A1701="",$B1701=""),"",SUMIFS($H$2:$H$2001,$A$2:$A$2001,$A1701,$B$2:$B$2001,$B1701))</f>
        <v/>
      </c>
      <c r="N1701" s="20">
        <f>IF($M1701="","",IF($M1701&lt;=0,"Sin stock: reponer ya",IF($M1701&lt;IFERROR(N(INDEX(Vinos!$N$2:$N$301,MATCH($B1701,Vinos!$A$2:$A$301,0))),0),"Bajo mínimo: reponer","OK")))</f>
        <v/>
      </c>
      <c r="O1701" s="14" t="n"/>
      <c r="P1701" s="14" t="n"/>
      <c r="Q1701" s="20">
        <f>IF($B1701="","",IFERROR(INDEX(Vinos!$C$2:$C$301,MATCH($B1701,Vinos!$A$2:$A$301,0)),""))</f>
        <v/>
      </c>
      <c r="R1701" s="20">
        <f>IF(OR($A1701="",$A1701&lt;&gt;'Resumen del inventario'!$C$3,$N1701="",$N1701="OK"),"",IF(COUNTIFS($A$2:$A1701,$A1701,$B$2:$B1701,$B1701)=1,1,""))</f>
        <v/>
      </c>
      <c r="S1701" s="20">
        <f>IF($R1701=1,COUNTIF($R$2:$R1701,1),"")</f>
        <v/>
      </c>
    </row>
    <row r="1702">
      <c r="A1702" s="19" t="n"/>
      <c r="B1702" s="14" t="n"/>
      <c r="C1702" s="20">
        <f>IF($B1702="","",IFERROR(INDEX(Vinos!$B$2:$B$301,MATCH($B1702,Vinos!$A$2:$A$301,0)),"Código no cargado"))</f>
        <v/>
      </c>
      <c r="D1702" s="14" t="n"/>
      <c r="E1702" s="14" t="n"/>
      <c r="F1702" s="18" t="n"/>
      <c r="G1702" s="18" t="n"/>
      <c r="H1702" s="21">
        <f>IF(AND($F1702="",$G1702=""),"",N($F1702)*IFERROR(N(INDEX(Vinos!$H$2:$H$301,MATCH($B1702,Vinos!$A$2:$A$301,0))),0)+N($G1702))</f>
        <v/>
      </c>
      <c r="I1702" s="18" t="n"/>
      <c r="J1702" s="21">
        <f>IF(OR($H1702="",$I1702=""),"",$H1702-$I1702)</f>
        <v/>
      </c>
      <c r="K1702" s="16">
        <f>IF($H1702="","",IFERROR(IF(INDEX(Vinos!$J$2:$J$301,MATCH($B1702,Vinos!$A$2:$A$301,0))="","",$H1702*INDEX(Vinos!$J$2:$J$301,MATCH($B1702,Vinos!$A$2:$A$301,0))),""))</f>
        <v/>
      </c>
      <c r="L1702" s="16">
        <f>IF($H1702="","",IFERROR(IF(INDEX(Vinos!$K$2:$K$301,MATCH($B1702,Vinos!$A$2:$A$301,0))="","",$H1702*INDEX(Vinos!$K$2:$K$301,MATCH($B1702,Vinos!$A$2:$A$301,0))),""))</f>
        <v/>
      </c>
      <c r="M1702" s="21">
        <f>IF(OR($A1702="",$B1702=""),"",SUMIFS($H$2:$H$2001,$A$2:$A$2001,$A1702,$B$2:$B$2001,$B1702))</f>
        <v/>
      </c>
      <c r="N1702" s="20">
        <f>IF($M1702="","",IF($M1702&lt;=0,"Sin stock: reponer ya",IF($M1702&lt;IFERROR(N(INDEX(Vinos!$N$2:$N$301,MATCH($B1702,Vinos!$A$2:$A$301,0))),0),"Bajo mínimo: reponer","OK")))</f>
        <v/>
      </c>
      <c r="O1702" s="14" t="n"/>
      <c r="P1702" s="14" t="n"/>
      <c r="Q1702" s="20">
        <f>IF($B1702="","",IFERROR(INDEX(Vinos!$C$2:$C$301,MATCH($B1702,Vinos!$A$2:$A$301,0)),""))</f>
        <v/>
      </c>
      <c r="R1702" s="20">
        <f>IF(OR($A1702="",$A1702&lt;&gt;'Resumen del inventario'!$C$3,$N1702="",$N1702="OK"),"",IF(COUNTIFS($A$2:$A1702,$A1702,$B$2:$B1702,$B1702)=1,1,""))</f>
        <v/>
      </c>
      <c r="S1702" s="20">
        <f>IF($R1702=1,COUNTIF($R$2:$R1702,1),"")</f>
        <v/>
      </c>
    </row>
    <row r="1703">
      <c r="A1703" s="19" t="n"/>
      <c r="B1703" s="14" t="n"/>
      <c r="C1703" s="20">
        <f>IF($B1703="","",IFERROR(INDEX(Vinos!$B$2:$B$301,MATCH($B1703,Vinos!$A$2:$A$301,0)),"Código no cargado"))</f>
        <v/>
      </c>
      <c r="D1703" s="14" t="n"/>
      <c r="E1703" s="14" t="n"/>
      <c r="F1703" s="18" t="n"/>
      <c r="G1703" s="18" t="n"/>
      <c r="H1703" s="21">
        <f>IF(AND($F1703="",$G1703=""),"",N($F1703)*IFERROR(N(INDEX(Vinos!$H$2:$H$301,MATCH($B1703,Vinos!$A$2:$A$301,0))),0)+N($G1703))</f>
        <v/>
      </c>
      <c r="I1703" s="18" t="n"/>
      <c r="J1703" s="21">
        <f>IF(OR($H1703="",$I1703=""),"",$H1703-$I1703)</f>
        <v/>
      </c>
      <c r="K1703" s="16">
        <f>IF($H1703="","",IFERROR(IF(INDEX(Vinos!$J$2:$J$301,MATCH($B1703,Vinos!$A$2:$A$301,0))="","",$H1703*INDEX(Vinos!$J$2:$J$301,MATCH($B1703,Vinos!$A$2:$A$301,0))),""))</f>
        <v/>
      </c>
      <c r="L1703" s="16">
        <f>IF($H1703="","",IFERROR(IF(INDEX(Vinos!$K$2:$K$301,MATCH($B1703,Vinos!$A$2:$A$301,0))="","",$H1703*INDEX(Vinos!$K$2:$K$301,MATCH($B1703,Vinos!$A$2:$A$301,0))),""))</f>
        <v/>
      </c>
      <c r="M1703" s="21">
        <f>IF(OR($A1703="",$B1703=""),"",SUMIFS($H$2:$H$2001,$A$2:$A$2001,$A1703,$B$2:$B$2001,$B1703))</f>
        <v/>
      </c>
      <c r="N1703" s="20">
        <f>IF($M1703="","",IF($M1703&lt;=0,"Sin stock: reponer ya",IF($M1703&lt;IFERROR(N(INDEX(Vinos!$N$2:$N$301,MATCH($B1703,Vinos!$A$2:$A$301,0))),0),"Bajo mínimo: reponer","OK")))</f>
        <v/>
      </c>
      <c r="O1703" s="14" t="n"/>
      <c r="P1703" s="14" t="n"/>
      <c r="Q1703" s="20">
        <f>IF($B1703="","",IFERROR(INDEX(Vinos!$C$2:$C$301,MATCH($B1703,Vinos!$A$2:$A$301,0)),""))</f>
        <v/>
      </c>
      <c r="R1703" s="20">
        <f>IF(OR($A1703="",$A1703&lt;&gt;'Resumen del inventario'!$C$3,$N1703="",$N1703="OK"),"",IF(COUNTIFS($A$2:$A1703,$A1703,$B$2:$B1703,$B1703)=1,1,""))</f>
        <v/>
      </c>
      <c r="S1703" s="20">
        <f>IF($R1703=1,COUNTIF($R$2:$R1703,1),"")</f>
        <v/>
      </c>
    </row>
    <row r="1704">
      <c r="A1704" s="19" t="n"/>
      <c r="B1704" s="14" t="n"/>
      <c r="C1704" s="20">
        <f>IF($B1704="","",IFERROR(INDEX(Vinos!$B$2:$B$301,MATCH($B1704,Vinos!$A$2:$A$301,0)),"Código no cargado"))</f>
        <v/>
      </c>
      <c r="D1704" s="14" t="n"/>
      <c r="E1704" s="14" t="n"/>
      <c r="F1704" s="18" t="n"/>
      <c r="G1704" s="18" t="n"/>
      <c r="H1704" s="21">
        <f>IF(AND($F1704="",$G1704=""),"",N($F1704)*IFERROR(N(INDEX(Vinos!$H$2:$H$301,MATCH($B1704,Vinos!$A$2:$A$301,0))),0)+N($G1704))</f>
        <v/>
      </c>
      <c r="I1704" s="18" t="n"/>
      <c r="J1704" s="21">
        <f>IF(OR($H1704="",$I1704=""),"",$H1704-$I1704)</f>
        <v/>
      </c>
      <c r="K1704" s="16">
        <f>IF($H1704="","",IFERROR(IF(INDEX(Vinos!$J$2:$J$301,MATCH($B1704,Vinos!$A$2:$A$301,0))="","",$H1704*INDEX(Vinos!$J$2:$J$301,MATCH($B1704,Vinos!$A$2:$A$301,0))),""))</f>
        <v/>
      </c>
      <c r="L1704" s="16">
        <f>IF($H1704="","",IFERROR(IF(INDEX(Vinos!$K$2:$K$301,MATCH($B1704,Vinos!$A$2:$A$301,0))="","",$H1704*INDEX(Vinos!$K$2:$K$301,MATCH($B1704,Vinos!$A$2:$A$301,0))),""))</f>
        <v/>
      </c>
      <c r="M1704" s="21">
        <f>IF(OR($A1704="",$B1704=""),"",SUMIFS($H$2:$H$2001,$A$2:$A$2001,$A1704,$B$2:$B$2001,$B1704))</f>
        <v/>
      </c>
      <c r="N1704" s="20">
        <f>IF($M1704="","",IF($M1704&lt;=0,"Sin stock: reponer ya",IF($M1704&lt;IFERROR(N(INDEX(Vinos!$N$2:$N$301,MATCH($B1704,Vinos!$A$2:$A$301,0))),0),"Bajo mínimo: reponer","OK")))</f>
        <v/>
      </c>
      <c r="O1704" s="14" t="n"/>
      <c r="P1704" s="14" t="n"/>
      <c r="Q1704" s="20">
        <f>IF($B1704="","",IFERROR(INDEX(Vinos!$C$2:$C$301,MATCH($B1704,Vinos!$A$2:$A$301,0)),""))</f>
        <v/>
      </c>
      <c r="R1704" s="20">
        <f>IF(OR($A1704="",$A1704&lt;&gt;'Resumen del inventario'!$C$3,$N1704="",$N1704="OK"),"",IF(COUNTIFS($A$2:$A1704,$A1704,$B$2:$B1704,$B1704)=1,1,""))</f>
        <v/>
      </c>
      <c r="S1704" s="20">
        <f>IF($R1704=1,COUNTIF($R$2:$R1704,1),"")</f>
        <v/>
      </c>
    </row>
    <row r="1705">
      <c r="A1705" s="19" t="n"/>
      <c r="B1705" s="14" t="n"/>
      <c r="C1705" s="20">
        <f>IF($B1705="","",IFERROR(INDEX(Vinos!$B$2:$B$301,MATCH($B1705,Vinos!$A$2:$A$301,0)),"Código no cargado"))</f>
        <v/>
      </c>
      <c r="D1705" s="14" t="n"/>
      <c r="E1705" s="14" t="n"/>
      <c r="F1705" s="18" t="n"/>
      <c r="G1705" s="18" t="n"/>
      <c r="H1705" s="21">
        <f>IF(AND($F1705="",$G1705=""),"",N($F1705)*IFERROR(N(INDEX(Vinos!$H$2:$H$301,MATCH($B1705,Vinos!$A$2:$A$301,0))),0)+N($G1705))</f>
        <v/>
      </c>
      <c r="I1705" s="18" t="n"/>
      <c r="J1705" s="21">
        <f>IF(OR($H1705="",$I1705=""),"",$H1705-$I1705)</f>
        <v/>
      </c>
      <c r="K1705" s="16">
        <f>IF($H1705="","",IFERROR(IF(INDEX(Vinos!$J$2:$J$301,MATCH($B1705,Vinos!$A$2:$A$301,0))="","",$H1705*INDEX(Vinos!$J$2:$J$301,MATCH($B1705,Vinos!$A$2:$A$301,0))),""))</f>
        <v/>
      </c>
      <c r="L1705" s="16">
        <f>IF($H1705="","",IFERROR(IF(INDEX(Vinos!$K$2:$K$301,MATCH($B1705,Vinos!$A$2:$A$301,0))="","",$H1705*INDEX(Vinos!$K$2:$K$301,MATCH($B1705,Vinos!$A$2:$A$301,0))),""))</f>
        <v/>
      </c>
      <c r="M1705" s="21">
        <f>IF(OR($A1705="",$B1705=""),"",SUMIFS($H$2:$H$2001,$A$2:$A$2001,$A1705,$B$2:$B$2001,$B1705))</f>
        <v/>
      </c>
      <c r="N1705" s="20">
        <f>IF($M1705="","",IF($M1705&lt;=0,"Sin stock: reponer ya",IF($M1705&lt;IFERROR(N(INDEX(Vinos!$N$2:$N$301,MATCH($B1705,Vinos!$A$2:$A$301,0))),0),"Bajo mínimo: reponer","OK")))</f>
        <v/>
      </c>
      <c r="O1705" s="14" t="n"/>
      <c r="P1705" s="14" t="n"/>
      <c r="Q1705" s="20">
        <f>IF($B1705="","",IFERROR(INDEX(Vinos!$C$2:$C$301,MATCH($B1705,Vinos!$A$2:$A$301,0)),""))</f>
        <v/>
      </c>
      <c r="R1705" s="20">
        <f>IF(OR($A1705="",$A1705&lt;&gt;'Resumen del inventario'!$C$3,$N1705="",$N1705="OK"),"",IF(COUNTIFS($A$2:$A1705,$A1705,$B$2:$B1705,$B1705)=1,1,""))</f>
        <v/>
      </c>
      <c r="S1705" s="20">
        <f>IF($R1705=1,COUNTIF($R$2:$R1705,1),"")</f>
        <v/>
      </c>
    </row>
    <row r="1706">
      <c r="A1706" s="19" t="n"/>
      <c r="B1706" s="14" t="n"/>
      <c r="C1706" s="20">
        <f>IF($B1706="","",IFERROR(INDEX(Vinos!$B$2:$B$301,MATCH($B1706,Vinos!$A$2:$A$301,0)),"Código no cargado"))</f>
        <v/>
      </c>
      <c r="D1706" s="14" t="n"/>
      <c r="E1706" s="14" t="n"/>
      <c r="F1706" s="18" t="n"/>
      <c r="G1706" s="18" t="n"/>
      <c r="H1706" s="21">
        <f>IF(AND($F1706="",$G1706=""),"",N($F1706)*IFERROR(N(INDEX(Vinos!$H$2:$H$301,MATCH($B1706,Vinos!$A$2:$A$301,0))),0)+N($G1706))</f>
        <v/>
      </c>
      <c r="I1706" s="18" t="n"/>
      <c r="J1706" s="21">
        <f>IF(OR($H1706="",$I1706=""),"",$H1706-$I1706)</f>
        <v/>
      </c>
      <c r="K1706" s="16">
        <f>IF($H1706="","",IFERROR(IF(INDEX(Vinos!$J$2:$J$301,MATCH($B1706,Vinos!$A$2:$A$301,0))="","",$H1706*INDEX(Vinos!$J$2:$J$301,MATCH($B1706,Vinos!$A$2:$A$301,0))),""))</f>
        <v/>
      </c>
      <c r="L1706" s="16">
        <f>IF($H1706="","",IFERROR(IF(INDEX(Vinos!$K$2:$K$301,MATCH($B1706,Vinos!$A$2:$A$301,0))="","",$H1706*INDEX(Vinos!$K$2:$K$301,MATCH($B1706,Vinos!$A$2:$A$301,0))),""))</f>
        <v/>
      </c>
      <c r="M1706" s="21">
        <f>IF(OR($A1706="",$B1706=""),"",SUMIFS($H$2:$H$2001,$A$2:$A$2001,$A1706,$B$2:$B$2001,$B1706))</f>
        <v/>
      </c>
      <c r="N1706" s="20">
        <f>IF($M1706="","",IF($M1706&lt;=0,"Sin stock: reponer ya",IF($M1706&lt;IFERROR(N(INDEX(Vinos!$N$2:$N$301,MATCH($B1706,Vinos!$A$2:$A$301,0))),0),"Bajo mínimo: reponer","OK")))</f>
        <v/>
      </c>
      <c r="O1706" s="14" t="n"/>
      <c r="P1706" s="14" t="n"/>
      <c r="Q1706" s="20">
        <f>IF($B1706="","",IFERROR(INDEX(Vinos!$C$2:$C$301,MATCH($B1706,Vinos!$A$2:$A$301,0)),""))</f>
        <v/>
      </c>
      <c r="R1706" s="20">
        <f>IF(OR($A1706="",$A1706&lt;&gt;'Resumen del inventario'!$C$3,$N1706="",$N1706="OK"),"",IF(COUNTIFS($A$2:$A1706,$A1706,$B$2:$B1706,$B1706)=1,1,""))</f>
        <v/>
      </c>
      <c r="S1706" s="20">
        <f>IF($R1706=1,COUNTIF($R$2:$R1706,1),"")</f>
        <v/>
      </c>
    </row>
    <row r="1707">
      <c r="A1707" s="19" t="n"/>
      <c r="B1707" s="14" t="n"/>
      <c r="C1707" s="20">
        <f>IF($B1707="","",IFERROR(INDEX(Vinos!$B$2:$B$301,MATCH($B1707,Vinos!$A$2:$A$301,0)),"Código no cargado"))</f>
        <v/>
      </c>
      <c r="D1707" s="14" t="n"/>
      <c r="E1707" s="14" t="n"/>
      <c r="F1707" s="18" t="n"/>
      <c r="G1707" s="18" t="n"/>
      <c r="H1707" s="21">
        <f>IF(AND($F1707="",$G1707=""),"",N($F1707)*IFERROR(N(INDEX(Vinos!$H$2:$H$301,MATCH($B1707,Vinos!$A$2:$A$301,0))),0)+N($G1707))</f>
        <v/>
      </c>
      <c r="I1707" s="18" t="n"/>
      <c r="J1707" s="21">
        <f>IF(OR($H1707="",$I1707=""),"",$H1707-$I1707)</f>
        <v/>
      </c>
      <c r="K1707" s="16">
        <f>IF($H1707="","",IFERROR(IF(INDEX(Vinos!$J$2:$J$301,MATCH($B1707,Vinos!$A$2:$A$301,0))="","",$H1707*INDEX(Vinos!$J$2:$J$301,MATCH($B1707,Vinos!$A$2:$A$301,0))),""))</f>
        <v/>
      </c>
      <c r="L1707" s="16">
        <f>IF($H1707="","",IFERROR(IF(INDEX(Vinos!$K$2:$K$301,MATCH($B1707,Vinos!$A$2:$A$301,0))="","",$H1707*INDEX(Vinos!$K$2:$K$301,MATCH($B1707,Vinos!$A$2:$A$301,0))),""))</f>
        <v/>
      </c>
      <c r="M1707" s="21">
        <f>IF(OR($A1707="",$B1707=""),"",SUMIFS($H$2:$H$2001,$A$2:$A$2001,$A1707,$B$2:$B$2001,$B1707))</f>
        <v/>
      </c>
      <c r="N1707" s="20">
        <f>IF($M1707="","",IF($M1707&lt;=0,"Sin stock: reponer ya",IF($M1707&lt;IFERROR(N(INDEX(Vinos!$N$2:$N$301,MATCH($B1707,Vinos!$A$2:$A$301,0))),0),"Bajo mínimo: reponer","OK")))</f>
        <v/>
      </c>
      <c r="O1707" s="14" t="n"/>
      <c r="P1707" s="14" t="n"/>
      <c r="Q1707" s="20">
        <f>IF($B1707="","",IFERROR(INDEX(Vinos!$C$2:$C$301,MATCH($B1707,Vinos!$A$2:$A$301,0)),""))</f>
        <v/>
      </c>
      <c r="R1707" s="20">
        <f>IF(OR($A1707="",$A1707&lt;&gt;'Resumen del inventario'!$C$3,$N1707="",$N1707="OK"),"",IF(COUNTIFS($A$2:$A1707,$A1707,$B$2:$B1707,$B1707)=1,1,""))</f>
        <v/>
      </c>
      <c r="S1707" s="20">
        <f>IF($R1707=1,COUNTIF($R$2:$R1707,1),"")</f>
        <v/>
      </c>
    </row>
    <row r="1708">
      <c r="A1708" s="19" t="n"/>
      <c r="B1708" s="14" t="n"/>
      <c r="C1708" s="20">
        <f>IF($B1708="","",IFERROR(INDEX(Vinos!$B$2:$B$301,MATCH($B1708,Vinos!$A$2:$A$301,0)),"Código no cargado"))</f>
        <v/>
      </c>
      <c r="D1708" s="14" t="n"/>
      <c r="E1708" s="14" t="n"/>
      <c r="F1708" s="18" t="n"/>
      <c r="G1708" s="18" t="n"/>
      <c r="H1708" s="21">
        <f>IF(AND($F1708="",$G1708=""),"",N($F1708)*IFERROR(N(INDEX(Vinos!$H$2:$H$301,MATCH($B1708,Vinos!$A$2:$A$301,0))),0)+N($G1708))</f>
        <v/>
      </c>
      <c r="I1708" s="18" t="n"/>
      <c r="J1708" s="21">
        <f>IF(OR($H1708="",$I1708=""),"",$H1708-$I1708)</f>
        <v/>
      </c>
      <c r="K1708" s="16">
        <f>IF($H1708="","",IFERROR(IF(INDEX(Vinos!$J$2:$J$301,MATCH($B1708,Vinos!$A$2:$A$301,0))="","",$H1708*INDEX(Vinos!$J$2:$J$301,MATCH($B1708,Vinos!$A$2:$A$301,0))),""))</f>
        <v/>
      </c>
      <c r="L1708" s="16">
        <f>IF($H1708="","",IFERROR(IF(INDEX(Vinos!$K$2:$K$301,MATCH($B1708,Vinos!$A$2:$A$301,0))="","",$H1708*INDEX(Vinos!$K$2:$K$301,MATCH($B1708,Vinos!$A$2:$A$301,0))),""))</f>
        <v/>
      </c>
      <c r="M1708" s="21">
        <f>IF(OR($A1708="",$B1708=""),"",SUMIFS($H$2:$H$2001,$A$2:$A$2001,$A1708,$B$2:$B$2001,$B1708))</f>
        <v/>
      </c>
      <c r="N1708" s="20">
        <f>IF($M1708="","",IF($M1708&lt;=0,"Sin stock: reponer ya",IF($M1708&lt;IFERROR(N(INDEX(Vinos!$N$2:$N$301,MATCH($B1708,Vinos!$A$2:$A$301,0))),0),"Bajo mínimo: reponer","OK")))</f>
        <v/>
      </c>
      <c r="O1708" s="14" t="n"/>
      <c r="P1708" s="14" t="n"/>
      <c r="Q1708" s="20">
        <f>IF($B1708="","",IFERROR(INDEX(Vinos!$C$2:$C$301,MATCH($B1708,Vinos!$A$2:$A$301,0)),""))</f>
        <v/>
      </c>
      <c r="R1708" s="20">
        <f>IF(OR($A1708="",$A1708&lt;&gt;'Resumen del inventario'!$C$3,$N1708="",$N1708="OK"),"",IF(COUNTIFS($A$2:$A1708,$A1708,$B$2:$B1708,$B1708)=1,1,""))</f>
        <v/>
      </c>
      <c r="S1708" s="20">
        <f>IF($R1708=1,COUNTIF($R$2:$R1708,1),"")</f>
        <v/>
      </c>
    </row>
    <row r="1709">
      <c r="A1709" s="19" t="n"/>
      <c r="B1709" s="14" t="n"/>
      <c r="C1709" s="20">
        <f>IF($B1709="","",IFERROR(INDEX(Vinos!$B$2:$B$301,MATCH($B1709,Vinos!$A$2:$A$301,0)),"Código no cargado"))</f>
        <v/>
      </c>
      <c r="D1709" s="14" t="n"/>
      <c r="E1709" s="14" t="n"/>
      <c r="F1709" s="18" t="n"/>
      <c r="G1709" s="18" t="n"/>
      <c r="H1709" s="21">
        <f>IF(AND($F1709="",$G1709=""),"",N($F1709)*IFERROR(N(INDEX(Vinos!$H$2:$H$301,MATCH($B1709,Vinos!$A$2:$A$301,0))),0)+N($G1709))</f>
        <v/>
      </c>
      <c r="I1709" s="18" t="n"/>
      <c r="J1709" s="21">
        <f>IF(OR($H1709="",$I1709=""),"",$H1709-$I1709)</f>
        <v/>
      </c>
      <c r="K1709" s="16">
        <f>IF($H1709="","",IFERROR(IF(INDEX(Vinos!$J$2:$J$301,MATCH($B1709,Vinos!$A$2:$A$301,0))="","",$H1709*INDEX(Vinos!$J$2:$J$301,MATCH($B1709,Vinos!$A$2:$A$301,0))),""))</f>
        <v/>
      </c>
      <c r="L1709" s="16">
        <f>IF($H1709="","",IFERROR(IF(INDEX(Vinos!$K$2:$K$301,MATCH($B1709,Vinos!$A$2:$A$301,0))="","",$H1709*INDEX(Vinos!$K$2:$K$301,MATCH($B1709,Vinos!$A$2:$A$301,0))),""))</f>
        <v/>
      </c>
      <c r="M1709" s="21">
        <f>IF(OR($A1709="",$B1709=""),"",SUMIFS($H$2:$H$2001,$A$2:$A$2001,$A1709,$B$2:$B$2001,$B1709))</f>
        <v/>
      </c>
      <c r="N1709" s="20">
        <f>IF($M1709="","",IF($M1709&lt;=0,"Sin stock: reponer ya",IF($M1709&lt;IFERROR(N(INDEX(Vinos!$N$2:$N$301,MATCH($B1709,Vinos!$A$2:$A$301,0))),0),"Bajo mínimo: reponer","OK")))</f>
        <v/>
      </c>
      <c r="O1709" s="14" t="n"/>
      <c r="P1709" s="14" t="n"/>
      <c r="Q1709" s="20">
        <f>IF($B1709="","",IFERROR(INDEX(Vinos!$C$2:$C$301,MATCH($B1709,Vinos!$A$2:$A$301,0)),""))</f>
        <v/>
      </c>
      <c r="R1709" s="20">
        <f>IF(OR($A1709="",$A1709&lt;&gt;'Resumen del inventario'!$C$3,$N1709="",$N1709="OK"),"",IF(COUNTIFS($A$2:$A1709,$A1709,$B$2:$B1709,$B1709)=1,1,""))</f>
        <v/>
      </c>
      <c r="S1709" s="20">
        <f>IF($R1709=1,COUNTIF($R$2:$R1709,1),"")</f>
        <v/>
      </c>
    </row>
    <row r="1710">
      <c r="A1710" s="19" t="n"/>
      <c r="B1710" s="14" t="n"/>
      <c r="C1710" s="20">
        <f>IF($B1710="","",IFERROR(INDEX(Vinos!$B$2:$B$301,MATCH($B1710,Vinos!$A$2:$A$301,0)),"Código no cargado"))</f>
        <v/>
      </c>
      <c r="D1710" s="14" t="n"/>
      <c r="E1710" s="14" t="n"/>
      <c r="F1710" s="18" t="n"/>
      <c r="G1710" s="18" t="n"/>
      <c r="H1710" s="21">
        <f>IF(AND($F1710="",$G1710=""),"",N($F1710)*IFERROR(N(INDEX(Vinos!$H$2:$H$301,MATCH($B1710,Vinos!$A$2:$A$301,0))),0)+N($G1710))</f>
        <v/>
      </c>
      <c r="I1710" s="18" t="n"/>
      <c r="J1710" s="21">
        <f>IF(OR($H1710="",$I1710=""),"",$H1710-$I1710)</f>
        <v/>
      </c>
      <c r="K1710" s="16">
        <f>IF($H1710="","",IFERROR(IF(INDEX(Vinos!$J$2:$J$301,MATCH($B1710,Vinos!$A$2:$A$301,0))="","",$H1710*INDEX(Vinos!$J$2:$J$301,MATCH($B1710,Vinos!$A$2:$A$301,0))),""))</f>
        <v/>
      </c>
      <c r="L1710" s="16">
        <f>IF($H1710="","",IFERROR(IF(INDEX(Vinos!$K$2:$K$301,MATCH($B1710,Vinos!$A$2:$A$301,0))="","",$H1710*INDEX(Vinos!$K$2:$K$301,MATCH($B1710,Vinos!$A$2:$A$301,0))),""))</f>
        <v/>
      </c>
      <c r="M1710" s="21">
        <f>IF(OR($A1710="",$B1710=""),"",SUMIFS($H$2:$H$2001,$A$2:$A$2001,$A1710,$B$2:$B$2001,$B1710))</f>
        <v/>
      </c>
      <c r="N1710" s="20">
        <f>IF($M1710="","",IF($M1710&lt;=0,"Sin stock: reponer ya",IF($M1710&lt;IFERROR(N(INDEX(Vinos!$N$2:$N$301,MATCH($B1710,Vinos!$A$2:$A$301,0))),0),"Bajo mínimo: reponer","OK")))</f>
        <v/>
      </c>
      <c r="O1710" s="14" t="n"/>
      <c r="P1710" s="14" t="n"/>
      <c r="Q1710" s="20">
        <f>IF($B1710="","",IFERROR(INDEX(Vinos!$C$2:$C$301,MATCH($B1710,Vinos!$A$2:$A$301,0)),""))</f>
        <v/>
      </c>
      <c r="R1710" s="20">
        <f>IF(OR($A1710="",$A1710&lt;&gt;'Resumen del inventario'!$C$3,$N1710="",$N1710="OK"),"",IF(COUNTIFS($A$2:$A1710,$A1710,$B$2:$B1710,$B1710)=1,1,""))</f>
        <v/>
      </c>
      <c r="S1710" s="20">
        <f>IF($R1710=1,COUNTIF($R$2:$R1710,1),"")</f>
        <v/>
      </c>
    </row>
    <row r="1711">
      <c r="A1711" s="19" t="n"/>
      <c r="B1711" s="14" t="n"/>
      <c r="C1711" s="20">
        <f>IF($B1711="","",IFERROR(INDEX(Vinos!$B$2:$B$301,MATCH($B1711,Vinos!$A$2:$A$301,0)),"Código no cargado"))</f>
        <v/>
      </c>
      <c r="D1711" s="14" t="n"/>
      <c r="E1711" s="14" t="n"/>
      <c r="F1711" s="18" t="n"/>
      <c r="G1711" s="18" t="n"/>
      <c r="H1711" s="21">
        <f>IF(AND($F1711="",$G1711=""),"",N($F1711)*IFERROR(N(INDEX(Vinos!$H$2:$H$301,MATCH($B1711,Vinos!$A$2:$A$301,0))),0)+N($G1711))</f>
        <v/>
      </c>
      <c r="I1711" s="18" t="n"/>
      <c r="J1711" s="21">
        <f>IF(OR($H1711="",$I1711=""),"",$H1711-$I1711)</f>
        <v/>
      </c>
      <c r="K1711" s="16">
        <f>IF($H1711="","",IFERROR(IF(INDEX(Vinos!$J$2:$J$301,MATCH($B1711,Vinos!$A$2:$A$301,0))="","",$H1711*INDEX(Vinos!$J$2:$J$301,MATCH($B1711,Vinos!$A$2:$A$301,0))),""))</f>
        <v/>
      </c>
      <c r="L1711" s="16">
        <f>IF($H1711="","",IFERROR(IF(INDEX(Vinos!$K$2:$K$301,MATCH($B1711,Vinos!$A$2:$A$301,0))="","",$H1711*INDEX(Vinos!$K$2:$K$301,MATCH($B1711,Vinos!$A$2:$A$301,0))),""))</f>
        <v/>
      </c>
      <c r="M1711" s="21">
        <f>IF(OR($A1711="",$B1711=""),"",SUMIFS($H$2:$H$2001,$A$2:$A$2001,$A1711,$B$2:$B$2001,$B1711))</f>
        <v/>
      </c>
      <c r="N1711" s="20">
        <f>IF($M1711="","",IF($M1711&lt;=0,"Sin stock: reponer ya",IF($M1711&lt;IFERROR(N(INDEX(Vinos!$N$2:$N$301,MATCH($B1711,Vinos!$A$2:$A$301,0))),0),"Bajo mínimo: reponer","OK")))</f>
        <v/>
      </c>
      <c r="O1711" s="14" t="n"/>
      <c r="P1711" s="14" t="n"/>
      <c r="Q1711" s="20">
        <f>IF($B1711="","",IFERROR(INDEX(Vinos!$C$2:$C$301,MATCH($B1711,Vinos!$A$2:$A$301,0)),""))</f>
        <v/>
      </c>
      <c r="R1711" s="20">
        <f>IF(OR($A1711="",$A1711&lt;&gt;'Resumen del inventario'!$C$3,$N1711="",$N1711="OK"),"",IF(COUNTIFS($A$2:$A1711,$A1711,$B$2:$B1711,$B1711)=1,1,""))</f>
        <v/>
      </c>
      <c r="S1711" s="20">
        <f>IF($R1711=1,COUNTIF($R$2:$R1711,1),"")</f>
        <v/>
      </c>
    </row>
    <row r="1712">
      <c r="A1712" s="19" t="n"/>
      <c r="B1712" s="14" t="n"/>
      <c r="C1712" s="20">
        <f>IF($B1712="","",IFERROR(INDEX(Vinos!$B$2:$B$301,MATCH($B1712,Vinos!$A$2:$A$301,0)),"Código no cargado"))</f>
        <v/>
      </c>
      <c r="D1712" s="14" t="n"/>
      <c r="E1712" s="14" t="n"/>
      <c r="F1712" s="18" t="n"/>
      <c r="G1712" s="18" t="n"/>
      <c r="H1712" s="21">
        <f>IF(AND($F1712="",$G1712=""),"",N($F1712)*IFERROR(N(INDEX(Vinos!$H$2:$H$301,MATCH($B1712,Vinos!$A$2:$A$301,0))),0)+N($G1712))</f>
        <v/>
      </c>
      <c r="I1712" s="18" t="n"/>
      <c r="J1712" s="21">
        <f>IF(OR($H1712="",$I1712=""),"",$H1712-$I1712)</f>
        <v/>
      </c>
      <c r="K1712" s="16">
        <f>IF($H1712="","",IFERROR(IF(INDEX(Vinos!$J$2:$J$301,MATCH($B1712,Vinos!$A$2:$A$301,0))="","",$H1712*INDEX(Vinos!$J$2:$J$301,MATCH($B1712,Vinos!$A$2:$A$301,0))),""))</f>
        <v/>
      </c>
      <c r="L1712" s="16">
        <f>IF($H1712="","",IFERROR(IF(INDEX(Vinos!$K$2:$K$301,MATCH($B1712,Vinos!$A$2:$A$301,0))="","",$H1712*INDEX(Vinos!$K$2:$K$301,MATCH($B1712,Vinos!$A$2:$A$301,0))),""))</f>
        <v/>
      </c>
      <c r="M1712" s="21">
        <f>IF(OR($A1712="",$B1712=""),"",SUMIFS($H$2:$H$2001,$A$2:$A$2001,$A1712,$B$2:$B$2001,$B1712))</f>
        <v/>
      </c>
      <c r="N1712" s="20">
        <f>IF($M1712="","",IF($M1712&lt;=0,"Sin stock: reponer ya",IF($M1712&lt;IFERROR(N(INDEX(Vinos!$N$2:$N$301,MATCH($B1712,Vinos!$A$2:$A$301,0))),0),"Bajo mínimo: reponer","OK")))</f>
        <v/>
      </c>
      <c r="O1712" s="14" t="n"/>
      <c r="P1712" s="14" t="n"/>
      <c r="Q1712" s="20">
        <f>IF($B1712="","",IFERROR(INDEX(Vinos!$C$2:$C$301,MATCH($B1712,Vinos!$A$2:$A$301,0)),""))</f>
        <v/>
      </c>
      <c r="R1712" s="20">
        <f>IF(OR($A1712="",$A1712&lt;&gt;'Resumen del inventario'!$C$3,$N1712="",$N1712="OK"),"",IF(COUNTIFS($A$2:$A1712,$A1712,$B$2:$B1712,$B1712)=1,1,""))</f>
        <v/>
      </c>
      <c r="S1712" s="20">
        <f>IF($R1712=1,COUNTIF($R$2:$R1712,1),"")</f>
        <v/>
      </c>
    </row>
    <row r="1713">
      <c r="A1713" s="19" t="n"/>
      <c r="B1713" s="14" t="n"/>
      <c r="C1713" s="20">
        <f>IF($B1713="","",IFERROR(INDEX(Vinos!$B$2:$B$301,MATCH($B1713,Vinos!$A$2:$A$301,0)),"Código no cargado"))</f>
        <v/>
      </c>
      <c r="D1713" s="14" t="n"/>
      <c r="E1713" s="14" t="n"/>
      <c r="F1713" s="18" t="n"/>
      <c r="G1713" s="18" t="n"/>
      <c r="H1713" s="21">
        <f>IF(AND($F1713="",$G1713=""),"",N($F1713)*IFERROR(N(INDEX(Vinos!$H$2:$H$301,MATCH($B1713,Vinos!$A$2:$A$301,0))),0)+N($G1713))</f>
        <v/>
      </c>
      <c r="I1713" s="18" t="n"/>
      <c r="J1713" s="21">
        <f>IF(OR($H1713="",$I1713=""),"",$H1713-$I1713)</f>
        <v/>
      </c>
      <c r="K1713" s="16">
        <f>IF($H1713="","",IFERROR(IF(INDEX(Vinos!$J$2:$J$301,MATCH($B1713,Vinos!$A$2:$A$301,0))="","",$H1713*INDEX(Vinos!$J$2:$J$301,MATCH($B1713,Vinos!$A$2:$A$301,0))),""))</f>
        <v/>
      </c>
      <c r="L1713" s="16">
        <f>IF($H1713="","",IFERROR(IF(INDEX(Vinos!$K$2:$K$301,MATCH($B1713,Vinos!$A$2:$A$301,0))="","",$H1713*INDEX(Vinos!$K$2:$K$301,MATCH($B1713,Vinos!$A$2:$A$301,0))),""))</f>
        <v/>
      </c>
      <c r="M1713" s="21">
        <f>IF(OR($A1713="",$B1713=""),"",SUMIFS($H$2:$H$2001,$A$2:$A$2001,$A1713,$B$2:$B$2001,$B1713))</f>
        <v/>
      </c>
      <c r="N1713" s="20">
        <f>IF($M1713="","",IF($M1713&lt;=0,"Sin stock: reponer ya",IF($M1713&lt;IFERROR(N(INDEX(Vinos!$N$2:$N$301,MATCH($B1713,Vinos!$A$2:$A$301,0))),0),"Bajo mínimo: reponer","OK")))</f>
        <v/>
      </c>
      <c r="O1713" s="14" t="n"/>
      <c r="P1713" s="14" t="n"/>
      <c r="Q1713" s="20">
        <f>IF($B1713="","",IFERROR(INDEX(Vinos!$C$2:$C$301,MATCH($B1713,Vinos!$A$2:$A$301,0)),""))</f>
        <v/>
      </c>
      <c r="R1713" s="20">
        <f>IF(OR($A1713="",$A1713&lt;&gt;'Resumen del inventario'!$C$3,$N1713="",$N1713="OK"),"",IF(COUNTIFS($A$2:$A1713,$A1713,$B$2:$B1713,$B1713)=1,1,""))</f>
        <v/>
      </c>
      <c r="S1713" s="20">
        <f>IF($R1713=1,COUNTIF($R$2:$R1713,1),"")</f>
        <v/>
      </c>
    </row>
    <row r="1714">
      <c r="A1714" s="19" t="n"/>
      <c r="B1714" s="14" t="n"/>
      <c r="C1714" s="20">
        <f>IF($B1714="","",IFERROR(INDEX(Vinos!$B$2:$B$301,MATCH($B1714,Vinos!$A$2:$A$301,0)),"Código no cargado"))</f>
        <v/>
      </c>
      <c r="D1714" s="14" t="n"/>
      <c r="E1714" s="14" t="n"/>
      <c r="F1714" s="18" t="n"/>
      <c r="G1714" s="18" t="n"/>
      <c r="H1714" s="21">
        <f>IF(AND($F1714="",$G1714=""),"",N($F1714)*IFERROR(N(INDEX(Vinos!$H$2:$H$301,MATCH($B1714,Vinos!$A$2:$A$301,0))),0)+N($G1714))</f>
        <v/>
      </c>
      <c r="I1714" s="18" t="n"/>
      <c r="J1714" s="21">
        <f>IF(OR($H1714="",$I1714=""),"",$H1714-$I1714)</f>
        <v/>
      </c>
      <c r="K1714" s="16">
        <f>IF($H1714="","",IFERROR(IF(INDEX(Vinos!$J$2:$J$301,MATCH($B1714,Vinos!$A$2:$A$301,0))="","",$H1714*INDEX(Vinos!$J$2:$J$301,MATCH($B1714,Vinos!$A$2:$A$301,0))),""))</f>
        <v/>
      </c>
      <c r="L1714" s="16">
        <f>IF($H1714="","",IFERROR(IF(INDEX(Vinos!$K$2:$K$301,MATCH($B1714,Vinos!$A$2:$A$301,0))="","",$H1714*INDEX(Vinos!$K$2:$K$301,MATCH($B1714,Vinos!$A$2:$A$301,0))),""))</f>
        <v/>
      </c>
      <c r="M1714" s="21">
        <f>IF(OR($A1714="",$B1714=""),"",SUMIFS($H$2:$H$2001,$A$2:$A$2001,$A1714,$B$2:$B$2001,$B1714))</f>
        <v/>
      </c>
      <c r="N1714" s="20">
        <f>IF($M1714="","",IF($M1714&lt;=0,"Sin stock: reponer ya",IF($M1714&lt;IFERROR(N(INDEX(Vinos!$N$2:$N$301,MATCH($B1714,Vinos!$A$2:$A$301,0))),0),"Bajo mínimo: reponer","OK")))</f>
        <v/>
      </c>
      <c r="O1714" s="14" t="n"/>
      <c r="P1714" s="14" t="n"/>
      <c r="Q1714" s="20">
        <f>IF($B1714="","",IFERROR(INDEX(Vinos!$C$2:$C$301,MATCH($B1714,Vinos!$A$2:$A$301,0)),""))</f>
        <v/>
      </c>
      <c r="R1714" s="20">
        <f>IF(OR($A1714="",$A1714&lt;&gt;'Resumen del inventario'!$C$3,$N1714="",$N1714="OK"),"",IF(COUNTIFS($A$2:$A1714,$A1714,$B$2:$B1714,$B1714)=1,1,""))</f>
        <v/>
      </c>
      <c r="S1714" s="20">
        <f>IF($R1714=1,COUNTIF($R$2:$R1714,1),"")</f>
        <v/>
      </c>
    </row>
    <row r="1715">
      <c r="A1715" s="19" t="n"/>
      <c r="B1715" s="14" t="n"/>
      <c r="C1715" s="20">
        <f>IF($B1715="","",IFERROR(INDEX(Vinos!$B$2:$B$301,MATCH($B1715,Vinos!$A$2:$A$301,0)),"Código no cargado"))</f>
        <v/>
      </c>
      <c r="D1715" s="14" t="n"/>
      <c r="E1715" s="14" t="n"/>
      <c r="F1715" s="18" t="n"/>
      <c r="G1715" s="18" t="n"/>
      <c r="H1715" s="21">
        <f>IF(AND($F1715="",$G1715=""),"",N($F1715)*IFERROR(N(INDEX(Vinos!$H$2:$H$301,MATCH($B1715,Vinos!$A$2:$A$301,0))),0)+N($G1715))</f>
        <v/>
      </c>
      <c r="I1715" s="18" t="n"/>
      <c r="J1715" s="21">
        <f>IF(OR($H1715="",$I1715=""),"",$H1715-$I1715)</f>
        <v/>
      </c>
      <c r="K1715" s="16">
        <f>IF($H1715="","",IFERROR(IF(INDEX(Vinos!$J$2:$J$301,MATCH($B1715,Vinos!$A$2:$A$301,0))="","",$H1715*INDEX(Vinos!$J$2:$J$301,MATCH($B1715,Vinos!$A$2:$A$301,0))),""))</f>
        <v/>
      </c>
      <c r="L1715" s="16">
        <f>IF($H1715="","",IFERROR(IF(INDEX(Vinos!$K$2:$K$301,MATCH($B1715,Vinos!$A$2:$A$301,0))="","",$H1715*INDEX(Vinos!$K$2:$K$301,MATCH($B1715,Vinos!$A$2:$A$301,0))),""))</f>
        <v/>
      </c>
      <c r="M1715" s="21">
        <f>IF(OR($A1715="",$B1715=""),"",SUMIFS($H$2:$H$2001,$A$2:$A$2001,$A1715,$B$2:$B$2001,$B1715))</f>
        <v/>
      </c>
      <c r="N1715" s="20">
        <f>IF($M1715="","",IF($M1715&lt;=0,"Sin stock: reponer ya",IF($M1715&lt;IFERROR(N(INDEX(Vinos!$N$2:$N$301,MATCH($B1715,Vinos!$A$2:$A$301,0))),0),"Bajo mínimo: reponer","OK")))</f>
        <v/>
      </c>
      <c r="O1715" s="14" t="n"/>
      <c r="P1715" s="14" t="n"/>
      <c r="Q1715" s="20">
        <f>IF($B1715="","",IFERROR(INDEX(Vinos!$C$2:$C$301,MATCH($B1715,Vinos!$A$2:$A$301,0)),""))</f>
        <v/>
      </c>
      <c r="R1715" s="20">
        <f>IF(OR($A1715="",$A1715&lt;&gt;'Resumen del inventario'!$C$3,$N1715="",$N1715="OK"),"",IF(COUNTIFS($A$2:$A1715,$A1715,$B$2:$B1715,$B1715)=1,1,""))</f>
        <v/>
      </c>
      <c r="S1715" s="20">
        <f>IF($R1715=1,COUNTIF($R$2:$R1715,1),"")</f>
        <v/>
      </c>
    </row>
    <row r="1716">
      <c r="A1716" s="19" t="n"/>
      <c r="B1716" s="14" t="n"/>
      <c r="C1716" s="20">
        <f>IF($B1716="","",IFERROR(INDEX(Vinos!$B$2:$B$301,MATCH($B1716,Vinos!$A$2:$A$301,0)),"Código no cargado"))</f>
        <v/>
      </c>
      <c r="D1716" s="14" t="n"/>
      <c r="E1716" s="14" t="n"/>
      <c r="F1716" s="18" t="n"/>
      <c r="G1716" s="18" t="n"/>
      <c r="H1716" s="21">
        <f>IF(AND($F1716="",$G1716=""),"",N($F1716)*IFERROR(N(INDEX(Vinos!$H$2:$H$301,MATCH($B1716,Vinos!$A$2:$A$301,0))),0)+N($G1716))</f>
        <v/>
      </c>
      <c r="I1716" s="18" t="n"/>
      <c r="J1716" s="21">
        <f>IF(OR($H1716="",$I1716=""),"",$H1716-$I1716)</f>
        <v/>
      </c>
      <c r="K1716" s="16">
        <f>IF($H1716="","",IFERROR(IF(INDEX(Vinos!$J$2:$J$301,MATCH($B1716,Vinos!$A$2:$A$301,0))="","",$H1716*INDEX(Vinos!$J$2:$J$301,MATCH($B1716,Vinos!$A$2:$A$301,0))),""))</f>
        <v/>
      </c>
      <c r="L1716" s="16">
        <f>IF($H1716="","",IFERROR(IF(INDEX(Vinos!$K$2:$K$301,MATCH($B1716,Vinos!$A$2:$A$301,0))="","",$H1716*INDEX(Vinos!$K$2:$K$301,MATCH($B1716,Vinos!$A$2:$A$301,0))),""))</f>
        <v/>
      </c>
      <c r="M1716" s="21">
        <f>IF(OR($A1716="",$B1716=""),"",SUMIFS($H$2:$H$2001,$A$2:$A$2001,$A1716,$B$2:$B$2001,$B1716))</f>
        <v/>
      </c>
      <c r="N1716" s="20">
        <f>IF($M1716="","",IF($M1716&lt;=0,"Sin stock: reponer ya",IF($M1716&lt;IFERROR(N(INDEX(Vinos!$N$2:$N$301,MATCH($B1716,Vinos!$A$2:$A$301,0))),0),"Bajo mínimo: reponer","OK")))</f>
        <v/>
      </c>
      <c r="O1716" s="14" t="n"/>
      <c r="P1716" s="14" t="n"/>
      <c r="Q1716" s="20">
        <f>IF($B1716="","",IFERROR(INDEX(Vinos!$C$2:$C$301,MATCH($B1716,Vinos!$A$2:$A$301,0)),""))</f>
        <v/>
      </c>
      <c r="R1716" s="20">
        <f>IF(OR($A1716="",$A1716&lt;&gt;'Resumen del inventario'!$C$3,$N1716="",$N1716="OK"),"",IF(COUNTIFS($A$2:$A1716,$A1716,$B$2:$B1716,$B1716)=1,1,""))</f>
        <v/>
      </c>
      <c r="S1716" s="20">
        <f>IF($R1716=1,COUNTIF($R$2:$R1716,1),"")</f>
        <v/>
      </c>
    </row>
    <row r="1717">
      <c r="A1717" s="19" t="n"/>
      <c r="B1717" s="14" t="n"/>
      <c r="C1717" s="20">
        <f>IF($B1717="","",IFERROR(INDEX(Vinos!$B$2:$B$301,MATCH($B1717,Vinos!$A$2:$A$301,0)),"Código no cargado"))</f>
        <v/>
      </c>
      <c r="D1717" s="14" t="n"/>
      <c r="E1717" s="14" t="n"/>
      <c r="F1717" s="18" t="n"/>
      <c r="G1717" s="18" t="n"/>
      <c r="H1717" s="21">
        <f>IF(AND($F1717="",$G1717=""),"",N($F1717)*IFERROR(N(INDEX(Vinos!$H$2:$H$301,MATCH($B1717,Vinos!$A$2:$A$301,0))),0)+N($G1717))</f>
        <v/>
      </c>
      <c r="I1717" s="18" t="n"/>
      <c r="J1717" s="21">
        <f>IF(OR($H1717="",$I1717=""),"",$H1717-$I1717)</f>
        <v/>
      </c>
      <c r="K1717" s="16">
        <f>IF($H1717="","",IFERROR(IF(INDEX(Vinos!$J$2:$J$301,MATCH($B1717,Vinos!$A$2:$A$301,0))="","",$H1717*INDEX(Vinos!$J$2:$J$301,MATCH($B1717,Vinos!$A$2:$A$301,0))),""))</f>
        <v/>
      </c>
      <c r="L1717" s="16">
        <f>IF($H1717="","",IFERROR(IF(INDEX(Vinos!$K$2:$K$301,MATCH($B1717,Vinos!$A$2:$A$301,0))="","",$H1717*INDEX(Vinos!$K$2:$K$301,MATCH($B1717,Vinos!$A$2:$A$301,0))),""))</f>
        <v/>
      </c>
      <c r="M1717" s="21">
        <f>IF(OR($A1717="",$B1717=""),"",SUMIFS($H$2:$H$2001,$A$2:$A$2001,$A1717,$B$2:$B$2001,$B1717))</f>
        <v/>
      </c>
      <c r="N1717" s="20">
        <f>IF($M1717="","",IF($M1717&lt;=0,"Sin stock: reponer ya",IF($M1717&lt;IFERROR(N(INDEX(Vinos!$N$2:$N$301,MATCH($B1717,Vinos!$A$2:$A$301,0))),0),"Bajo mínimo: reponer","OK")))</f>
        <v/>
      </c>
      <c r="O1717" s="14" t="n"/>
      <c r="P1717" s="14" t="n"/>
      <c r="Q1717" s="20">
        <f>IF($B1717="","",IFERROR(INDEX(Vinos!$C$2:$C$301,MATCH($B1717,Vinos!$A$2:$A$301,0)),""))</f>
        <v/>
      </c>
      <c r="R1717" s="20">
        <f>IF(OR($A1717="",$A1717&lt;&gt;'Resumen del inventario'!$C$3,$N1717="",$N1717="OK"),"",IF(COUNTIFS($A$2:$A1717,$A1717,$B$2:$B1717,$B1717)=1,1,""))</f>
        <v/>
      </c>
      <c r="S1717" s="20">
        <f>IF($R1717=1,COUNTIF($R$2:$R1717,1),"")</f>
        <v/>
      </c>
    </row>
    <row r="1718">
      <c r="A1718" s="19" t="n"/>
      <c r="B1718" s="14" t="n"/>
      <c r="C1718" s="20">
        <f>IF($B1718="","",IFERROR(INDEX(Vinos!$B$2:$B$301,MATCH($B1718,Vinos!$A$2:$A$301,0)),"Código no cargado"))</f>
        <v/>
      </c>
      <c r="D1718" s="14" t="n"/>
      <c r="E1718" s="14" t="n"/>
      <c r="F1718" s="18" t="n"/>
      <c r="G1718" s="18" t="n"/>
      <c r="H1718" s="21">
        <f>IF(AND($F1718="",$G1718=""),"",N($F1718)*IFERROR(N(INDEX(Vinos!$H$2:$H$301,MATCH($B1718,Vinos!$A$2:$A$301,0))),0)+N($G1718))</f>
        <v/>
      </c>
      <c r="I1718" s="18" t="n"/>
      <c r="J1718" s="21">
        <f>IF(OR($H1718="",$I1718=""),"",$H1718-$I1718)</f>
        <v/>
      </c>
      <c r="K1718" s="16">
        <f>IF($H1718="","",IFERROR(IF(INDEX(Vinos!$J$2:$J$301,MATCH($B1718,Vinos!$A$2:$A$301,0))="","",$H1718*INDEX(Vinos!$J$2:$J$301,MATCH($B1718,Vinos!$A$2:$A$301,0))),""))</f>
        <v/>
      </c>
      <c r="L1718" s="16">
        <f>IF($H1718="","",IFERROR(IF(INDEX(Vinos!$K$2:$K$301,MATCH($B1718,Vinos!$A$2:$A$301,0))="","",$H1718*INDEX(Vinos!$K$2:$K$301,MATCH($B1718,Vinos!$A$2:$A$301,0))),""))</f>
        <v/>
      </c>
      <c r="M1718" s="21">
        <f>IF(OR($A1718="",$B1718=""),"",SUMIFS($H$2:$H$2001,$A$2:$A$2001,$A1718,$B$2:$B$2001,$B1718))</f>
        <v/>
      </c>
      <c r="N1718" s="20">
        <f>IF($M1718="","",IF($M1718&lt;=0,"Sin stock: reponer ya",IF($M1718&lt;IFERROR(N(INDEX(Vinos!$N$2:$N$301,MATCH($B1718,Vinos!$A$2:$A$301,0))),0),"Bajo mínimo: reponer","OK")))</f>
        <v/>
      </c>
      <c r="O1718" s="14" t="n"/>
      <c r="P1718" s="14" t="n"/>
      <c r="Q1718" s="20">
        <f>IF($B1718="","",IFERROR(INDEX(Vinos!$C$2:$C$301,MATCH($B1718,Vinos!$A$2:$A$301,0)),""))</f>
        <v/>
      </c>
      <c r="R1718" s="20">
        <f>IF(OR($A1718="",$A1718&lt;&gt;'Resumen del inventario'!$C$3,$N1718="",$N1718="OK"),"",IF(COUNTIFS($A$2:$A1718,$A1718,$B$2:$B1718,$B1718)=1,1,""))</f>
        <v/>
      </c>
      <c r="S1718" s="20">
        <f>IF($R1718=1,COUNTIF($R$2:$R1718,1),"")</f>
        <v/>
      </c>
    </row>
    <row r="1719">
      <c r="A1719" s="19" t="n"/>
      <c r="B1719" s="14" t="n"/>
      <c r="C1719" s="20">
        <f>IF($B1719="","",IFERROR(INDEX(Vinos!$B$2:$B$301,MATCH($B1719,Vinos!$A$2:$A$301,0)),"Código no cargado"))</f>
        <v/>
      </c>
      <c r="D1719" s="14" t="n"/>
      <c r="E1719" s="14" t="n"/>
      <c r="F1719" s="18" t="n"/>
      <c r="G1719" s="18" t="n"/>
      <c r="H1719" s="21">
        <f>IF(AND($F1719="",$G1719=""),"",N($F1719)*IFERROR(N(INDEX(Vinos!$H$2:$H$301,MATCH($B1719,Vinos!$A$2:$A$301,0))),0)+N($G1719))</f>
        <v/>
      </c>
      <c r="I1719" s="18" t="n"/>
      <c r="J1719" s="21">
        <f>IF(OR($H1719="",$I1719=""),"",$H1719-$I1719)</f>
        <v/>
      </c>
      <c r="K1719" s="16">
        <f>IF($H1719="","",IFERROR(IF(INDEX(Vinos!$J$2:$J$301,MATCH($B1719,Vinos!$A$2:$A$301,0))="","",$H1719*INDEX(Vinos!$J$2:$J$301,MATCH($B1719,Vinos!$A$2:$A$301,0))),""))</f>
        <v/>
      </c>
      <c r="L1719" s="16">
        <f>IF($H1719="","",IFERROR(IF(INDEX(Vinos!$K$2:$K$301,MATCH($B1719,Vinos!$A$2:$A$301,0))="","",$H1719*INDEX(Vinos!$K$2:$K$301,MATCH($B1719,Vinos!$A$2:$A$301,0))),""))</f>
        <v/>
      </c>
      <c r="M1719" s="21">
        <f>IF(OR($A1719="",$B1719=""),"",SUMIFS($H$2:$H$2001,$A$2:$A$2001,$A1719,$B$2:$B$2001,$B1719))</f>
        <v/>
      </c>
      <c r="N1719" s="20">
        <f>IF($M1719="","",IF($M1719&lt;=0,"Sin stock: reponer ya",IF($M1719&lt;IFERROR(N(INDEX(Vinos!$N$2:$N$301,MATCH($B1719,Vinos!$A$2:$A$301,0))),0),"Bajo mínimo: reponer","OK")))</f>
        <v/>
      </c>
      <c r="O1719" s="14" t="n"/>
      <c r="P1719" s="14" t="n"/>
      <c r="Q1719" s="20">
        <f>IF($B1719="","",IFERROR(INDEX(Vinos!$C$2:$C$301,MATCH($B1719,Vinos!$A$2:$A$301,0)),""))</f>
        <v/>
      </c>
      <c r="R1719" s="20">
        <f>IF(OR($A1719="",$A1719&lt;&gt;'Resumen del inventario'!$C$3,$N1719="",$N1719="OK"),"",IF(COUNTIFS($A$2:$A1719,$A1719,$B$2:$B1719,$B1719)=1,1,""))</f>
        <v/>
      </c>
      <c r="S1719" s="20">
        <f>IF($R1719=1,COUNTIF($R$2:$R1719,1),"")</f>
        <v/>
      </c>
    </row>
    <row r="1720">
      <c r="A1720" s="19" t="n"/>
      <c r="B1720" s="14" t="n"/>
      <c r="C1720" s="20">
        <f>IF($B1720="","",IFERROR(INDEX(Vinos!$B$2:$B$301,MATCH($B1720,Vinos!$A$2:$A$301,0)),"Código no cargado"))</f>
        <v/>
      </c>
      <c r="D1720" s="14" t="n"/>
      <c r="E1720" s="14" t="n"/>
      <c r="F1720" s="18" t="n"/>
      <c r="G1720" s="18" t="n"/>
      <c r="H1720" s="21">
        <f>IF(AND($F1720="",$G1720=""),"",N($F1720)*IFERROR(N(INDEX(Vinos!$H$2:$H$301,MATCH($B1720,Vinos!$A$2:$A$301,0))),0)+N($G1720))</f>
        <v/>
      </c>
      <c r="I1720" s="18" t="n"/>
      <c r="J1720" s="21">
        <f>IF(OR($H1720="",$I1720=""),"",$H1720-$I1720)</f>
        <v/>
      </c>
      <c r="K1720" s="16">
        <f>IF($H1720="","",IFERROR(IF(INDEX(Vinos!$J$2:$J$301,MATCH($B1720,Vinos!$A$2:$A$301,0))="","",$H1720*INDEX(Vinos!$J$2:$J$301,MATCH($B1720,Vinos!$A$2:$A$301,0))),""))</f>
        <v/>
      </c>
      <c r="L1720" s="16">
        <f>IF($H1720="","",IFERROR(IF(INDEX(Vinos!$K$2:$K$301,MATCH($B1720,Vinos!$A$2:$A$301,0))="","",$H1720*INDEX(Vinos!$K$2:$K$301,MATCH($B1720,Vinos!$A$2:$A$301,0))),""))</f>
        <v/>
      </c>
      <c r="M1720" s="21">
        <f>IF(OR($A1720="",$B1720=""),"",SUMIFS($H$2:$H$2001,$A$2:$A$2001,$A1720,$B$2:$B$2001,$B1720))</f>
        <v/>
      </c>
      <c r="N1720" s="20">
        <f>IF($M1720="","",IF($M1720&lt;=0,"Sin stock: reponer ya",IF($M1720&lt;IFERROR(N(INDEX(Vinos!$N$2:$N$301,MATCH($B1720,Vinos!$A$2:$A$301,0))),0),"Bajo mínimo: reponer","OK")))</f>
        <v/>
      </c>
      <c r="O1720" s="14" t="n"/>
      <c r="P1720" s="14" t="n"/>
      <c r="Q1720" s="20">
        <f>IF($B1720="","",IFERROR(INDEX(Vinos!$C$2:$C$301,MATCH($B1720,Vinos!$A$2:$A$301,0)),""))</f>
        <v/>
      </c>
      <c r="R1720" s="20">
        <f>IF(OR($A1720="",$A1720&lt;&gt;'Resumen del inventario'!$C$3,$N1720="",$N1720="OK"),"",IF(COUNTIFS($A$2:$A1720,$A1720,$B$2:$B1720,$B1720)=1,1,""))</f>
        <v/>
      </c>
      <c r="S1720" s="20">
        <f>IF($R1720=1,COUNTIF($R$2:$R1720,1),"")</f>
        <v/>
      </c>
    </row>
    <row r="1721">
      <c r="A1721" s="19" t="n"/>
      <c r="B1721" s="14" t="n"/>
      <c r="C1721" s="20">
        <f>IF($B1721="","",IFERROR(INDEX(Vinos!$B$2:$B$301,MATCH($B1721,Vinos!$A$2:$A$301,0)),"Código no cargado"))</f>
        <v/>
      </c>
      <c r="D1721" s="14" t="n"/>
      <c r="E1721" s="14" t="n"/>
      <c r="F1721" s="18" t="n"/>
      <c r="G1721" s="18" t="n"/>
      <c r="H1721" s="21">
        <f>IF(AND($F1721="",$G1721=""),"",N($F1721)*IFERROR(N(INDEX(Vinos!$H$2:$H$301,MATCH($B1721,Vinos!$A$2:$A$301,0))),0)+N($G1721))</f>
        <v/>
      </c>
      <c r="I1721" s="18" t="n"/>
      <c r="J1721" s="21">
        <f>IF(OR($H1721="",$I1721=""),"",$H1721-$I1721)</f>
        <v/>
      </c>
      <c r="K1721" s="16">
        <f>IF($H1721="","",IFERROR(IF(INDEX(Vinos!$J$2:$J$301,MATCH($B1721,Vinos!$A$2:$A$301,0))="","",$H1721*INDEX(Vinos!$J$2:$J$301,MATCH($B1721,Vinos!$A$2:$A$301,0))),""))</f>
        <v/>
      </c>
      <c r="L1721" s="16">
        <f>IF($H1721="","",IFERROR(IF(INDEX(Vinos!$K$2:$K$301,MATCH($B1721,Vinos!$A$2:$A$301,0))="","",$H1721*INDEX(Vinos!$K$2:$K$301,MATCH($B1721,Vinos!$A$2:$A$301,0))),""))</f>
        <v/>
      </c>
      <c r="M1721" s="21">
        <f>IF(OR($A1721="",$B1721=""),"",SUMIFS($H$2:$H$2001,$A$2:$A$2001,$A1721,$B$2:$B$2001,$B1721))</f>
        <v/>
      </c>
      <c r="N1721" s="20">
        <f>IF($M1721="","",IF($M1721&lt;=0,"Sin stock: reponer ya",IF($M1721&lt;IFERROR(N(INDEX(Vinos!$N$2:$N$301,MATCH($B1721,Vinos!$A$2:$A$301,0))),0),"Bajo mínimo: reponer","OK")))</f>
        <v/>
      </c>
      <c r="O1721" s="14" t="n"/>
      <c r="P1721" s="14" t="n"/>
      <c r="Q1721" s="20">
        <f>IF($B1721="","",IFERROR(INDEX(Vinos!$C$2:$C$301,MATCH($B1721,Vinos!$A$2:$A$301,0)),""))</f>
        <v/>
      </c>
      <c r="R1721" s="20">
        <f>IF(OR($A1721="",$A1721&lt;&gt;'Resumen del inventario'!$C$3,$N1721="",$N1721="OK"),"",IF(COUNTIFS($A$2:$A1721,$A1721,$B$2:$B1721,$B1721)=1,1,""))</f>
        <v/>
      </c>
      <c r="S1721" s="20">
        <f>IF($R1721=1,COUNTIF($R$2:$R1721,1),"")</f>
        <v/>
      </c>
    </row>
    <row r="1722">
      <c r="A1722" s="19" t="n"/>
      <c r="B1722" s="14" t="n"/>
      <c r="C1722" s="20">
        <f>IF($B1722="","",IFERROR(INDEX(Vinos!$B$2:$B$301,MATCH($B1722,Vinos!$A$2:$A$301,0)),"Código no cargado"))</f>
        <v/>
      </c>
      <c r="D1722" s="14" t="n"/>
      <c r="E1722" s="14" t="n"/>
      <c r="F1722" s="18" t="n"/>
      <c r="G1722" s="18" t="n"/>
      <c r="H1722" s="21">
        <f>IF(AND($F1722="",$G1722=""),"",N($F1722)*IFERROR(N(INDEX(Vinos!$H$2:$H$301,MATCH($B1722,Vinos!$A$2:$A$301,0))),0)+N($G1722))</f>
        <v/>
      </c>
      <c r="I1722" s="18" t="n"/>
      <c r="J1722" s="21">
        <f>IF(OR($H1722="",$I1722=""),"",$H1722-$I1722)</f>
        <v/>
      </c>
      <c r="K1722" s="16">
        <f>IF($H1722="","",IFERROR(IF(INDEX(Vinos!$J$2:$J$301,MATCH($B1722,Vinos!$A$2:$A$301,0))="","",$H1722*INDEX(Vinos!$J$2:$J$301,MATCH($B1722,Vinos!$A$2:$A$301,0))),""))</f>
        <v/>
      </c>
      <c r="L1722" s="16">
        <f>IF($H1722="","",IFERROR(IF(INDEX(Vinos!$K$2:$K$301,MATCH($B1722,Vinos!$A$2:$A$301,0))="","",$H1722*INDEX(Vinos!$K$2:$K$301,MATCH($B1722,Vinos!$A$2:$A$301,0))),""))</f>
        <v/>
      </c>
      <c r="M1722" s="21">
        <f>IF(OR($A1722="",$B1722=""),"",SUMIFS($H$2:$H$2001,$A$2:$A$2001,$A1722,$B$2:$B$2001,$B1722))</f>
        <v/>
      </c>
      <c r="N1722" s="20">
        <f>IF($M1722="","",IF($M1722&lt;=0,"Sin stock: reponer ya",IF($M1722&lt;IFERROR(N(INDEX(Vinos!$N$2:$N$301,MATCH($B1722,Vinos!$A$2:$A$301,0))),0),"Bajo mínimo: reponer","OK")))</f>
        <v/>
      </c>
      <c r="O1722" s="14" t="n"/>
      <c r="P1722" s="14" t="n"/>
      <c r="Q1722" s="20">
        <f>IF($B1722="","",IFERROR(INDEX(Vinos!$C$2:$C$301,MATCH($B1722,Vinos!$A$2:$A$301,0)),""))</f>
        <v/>
      </c>
      <c r="R1722" s="20">
        <f>IF(OR($A1722="",$A1722&lt;&gt;'Resumen del inventario'!$C$3,$N1722="",$N1722="OK"),"",IF(COUNTIFS($A$2:$A1722,$A1722,$B$2:$B1722,$B1722)=1,1,""))</f>
        <v/>
      </c>
      <c r="S1722" s="20">
        <f>IF($R1722=1,COUNTIF($R$2:$R1722,1),"")</f>
        <v/>
      </c>
    </row>
    <row r="1723">
      <c r="A1723" s="19" t="n"/>
      <c r="B1723" s="14" t="n"/>
      <c r="C1723" s="20">
        <f>IF($B1723="","",IFERROR(INDEX(Vinos!$B$2:$B$301,MATCH($B1723,Vinos!$A$2:$A$301,0)),"Código no cargado"))</f>
        <v/>
      </c>
      <c r="D1723" s="14" t="n"/>
      <c r="E1723" s="14" t="n"/>
      <c r="F1723" s="18" t="n"/>
      <c r="G1723" s="18" t="n"/>
      <c r="H1723" s="21">
        <f>IF(AND($F1723="",$G1723=""),"",N($F1723)*IFERROR(N(INDEX(Vinos!$H$2:$H$301,MATCH($B1723,Vinos!$A$2:$A$301,0))),0)+N($G1723))</f>
        <v/>
      </c>
      <c r="I1723" s="18" t="n"/>
      <c r="J1723" s="21">
        <f>IF(OR($H1723="",$I1723=""),"",$H1723-$I1723)</f>
        <v/>
      </c>
      <c r="K1723" s="16">
        <f>IF($H1723="","",IFERROR(IF(INDEX(Vinos!$J$2:$J$301,MATCH($B1723,Vinos!$A$2:$A$301,0))="","",$H1723*INDEX(Vinos!$J$2:$J$301,MATCH($B1723,Vinos!$A$2:$A$301,0))),""))</f>
        <v/>
      </c>
      <c r="L1723" s="16">
        <f>IF($H1723="","",IFERROR(IF(INDEX(Vinos!$K$2:$K$301,MATCH($B1723,Vinos!$A$2:$A$301,0))="","",$H1723*INDEX(Vinos!$K$2:$K$301,MATCH($B1723,Vinos!$A$2:$A$301,0))),""))</f>
        <v/>
      </c>
      <c r="M1723" s="21">
        <f>IF(OR($A1723="",$B1723=""),"",SUMIFS($H$2:$H$2001,$A$2:$A$2001,$A1723,$B$2:$B$2001,$B1723))</f>
        <v/>
      </c>
      <c r="N1723" s="20">
        <f>IF($M1723="","",IF($M1723&lt;=0,"Sin stock: reponer ya",IF($M1723&lt;IFERROR(N(INDEX(Vinos!$N$2:$N$301,MATCH($B1723,Vinos!$A$2:$A$301,0))),0),"Bajo mínimo: reponer","OK")))</f>
        <v/>
      </c>
      <c r="O1723" s="14" t="n"/>
      <c r="P1723" s="14" t="n"/>
      <c r="Q1723" s="20">
        <f>IF($B1723="","",IFERROR(INDEX(Vinos!$C$2:$C$301,MATCH($B1723,Vinos!$A$2:$A$301,0)),""))</f>
        <v/>
      </c>
      <c r="R1723" s="20">
        <f>IF(OR($A1723="",$A1723&lt;&gt;'Resumen del inventario'!$C$3,$N1723="",$N1723="OK"),"",IF(COUNTIFS($A$2:$A1723,$A1723,$B$2:$B1723,$B1723)=1,1,""))</f>
        <v/>
      </c>
      <c r="S1723" s="20">
        <f>IF($R1723=1,COUNTIF($R$2:$R1723,1),"")</f>
        <v/>
      </c>
    </row>
    <row r="1724">
      <c r="A1724" s="19" t="n"/>
      <c r="B1724" s="14" t="n"/>
      <c r="C1724" s="20">
        <f>IF($B1724="","",IFERROR(INDEX(Vinos!$B$2:$B$301,MATCH($B1724,Vinos!$A$2:$A$301,0)),"Código no cargado"))</f>
        <v/>
      </c>
      <c r="D1724" s="14" t="n"/>
      <c r="E1724" s="14" t="n"/>
      <c r="F1724" s="18" t="n"/>
      <c r="G1724" s="18" t="n"/>
      <c r="H1724" s="21">
        <f>IF(AND($F1724="",$G1724=""),"",N($F1724)*IFERROR(N(INDEX(Vinos!$H$2:$H$301,MATCH($B1724,Vinos!$A$2:$A$301,0))),0)+N($G1724))</f>
        <v/>
      </c>
      <c r="I1724" s="18" t="n"/>
      <c r="J1724" s="21">
        <f>IF(OR($H1724="",$I1724=""),"",$H1724-$I1724)</f>
        <v/>
      </c>
      <c r="K1724" s="16">
        <f>IF($H1724="","",IFERROR(IF(INDEX(Vinos!$J$2:$J$301,MATCH($B1724,Vinos!$A$2:$A$301,0))="","",$H1724*INDEX(Vinos!$J$2:$J$301,MATCH($B1724,Vinos!$A$2:$A$301,0))),""))</f>
        <v/>
      </c>
      <c r="L1724" s="16">
        <f>IF($H1724="","",IFERROR(IF(INDEX(Vinos!$K$2:$K$301,MATCH($B1724,Vinos!$A$2:$A$301,0))="","",$H1724*INDEX(Vinos!$K$2:$K$301,MATCH($B1724,Vinos!$A$2:$A$301,0))),""))</f>
        <v/>
      </c>
      <c r="M1724" s="21">
        <f>IF(OR($A1724="",$B1724=""),"",SUMIFS($H$2:$H$2001,$A$2:$A$2001,$A1724,$B$2:$B$2001,$B1724))</f>
        <v/>
      </c>
      <c r="N1724" s="20">
        <f>IF($M1724="","",IF($M1724&lt;=0,"Sin stock: reponer ya",IF($M1724&lt;IFERROR(N(INDEX(Vinos!$N$2:$N$301,MATCH($B1724,Vinos!$A$2:$A$301,0))),0),"Bajo mínimo: reponer","OK")))</f>
        <v/>
      </c>
      <c r="O1724" s="14" t="n"/>
      <c r="P1724" s="14" t="n"/>
      <c r="Q1724" s="20">
        <f>IF($B1724="","",IFERROR(INDEX(Vinos!$C$2:$C$301,MATCH($B1724,Vinos!$A$2:$A$301,0)),""))</f>
        <v/>
      </c>
      <c r="R1724" s="20">
        <f>IF(OR($A1724="",$A1724&lt;&gt;'Resumen del inventario'!$C$3,$N1724="",$N1724="OK"),"",IF(COUNTIFS($A$2:$A1724,$A1724,$B$2:$B1724,$B1724)=1,1,""))</f>
        <v/>
      </c>
      <c r="S1724" s="20">
        <f>IF($R1724=1,COUNTIF($R$2:$R1724,1),"")</f>
        <v/>
      </c>
    </row>
    <row r="1725">
      <c r="A1725" s="19" t="n"/>
      <c r="B1725" s="14" t="n"/>
      <c r="C1725" s="20">
        <f>IF($B1725="","",IFERROR(INDEX(Vinos!$B$2:$B$301,MATCH($B1725,Vinos!$A$2:$A$301,0)),"Código no cargado"))</f>
        <v/>
      </c>
      <c r="D1725" s="14" t="n"/>
      <c r="E1725" s="14" t="n"/>
      <c r="F1725" s="18" t="n"/>
      <c r="G1725" s="18" t="n"/>
      <c r="H1725" s="21">
        <f>IF(AND($F1725="",$G1725=""),"",N($F1725)*IFERROR(N(INDEX(Vinos!$H$2:$H$301,MATCH($B1725,Vinos!$A$2:$A$301,0))),0)+N($G1725))</f>
        <v/>
      </c>
      <c r="I1725" s="18" t="n"/>
      <c r="J1725" s="21">
        <f>IF(OR($H1725="",$I1725=""),"",$H1725-$I1725)</f>
        <v/>
      </c>
      <c r="K1725" s="16">
        <f>IF($H1725="","",IFERROR(IF(INDEX(Vinos!$J$2:$J$301,MATCH($B1725,Vinos!$A$2:$A$301,0))="","",$H1725*INDEX(Vinos!$J$2:$J$301,MATCH($B1725,Vinos!$A$2:$A$301,0))),""))</f>
        <v/>
      </c>
      <c r="L1725" s="16">
        <f>IF($H1725="","",IFERROR(IF(INDEX(Vinos!$K$2:$K$301,MATCH($B1725,Vinos!$A$2:$A$301,0))="","",$H1725*INDEX(Vinos!$K$2:$K$301,MATCH($B1725,Vinos!$A$2:$A$301,0))),""))</f>
        <v/>
      </c>
      <c r="M1725" s="21">
        <f>IF(OR($A1725="",$B1725=""),"",SUMIFS($H$2:$H$2001,$A$2:$A$2001,$A1725,$B$2:$B$2001,$B1725))</f>
        <v/>
      </c>
      <c r="N1725" s="20">
        <f>IF($M1725="","",IF($M1725&lt;=0,"Sin stock: reponer ya",IF($M1725&lt;IFERROR(N(INDEX(Vinos!$N$2:$N$301,MATCH($B1725,Vinos!$A$2:$A$301,0))),0),"Bajo mínimo: reponer","OK")))</f>
        <v/>
      </c>
      <c r="O1725" s="14" t="n"/>
      <c r="P1725" s="14" t="n"/>
      <c r="Q1725" s="20">
        <f>IF($B1725="","",IFERROR(INDEX(Vinos!$C$2:$C$301,MATCH($B1725,Vinos!$A$2:$A$301,0)),""))</f>
        <v/>
      </c>
      <c r="R1725" s="20">
        <f>IF(OR($A1725="",$A1725&lt;&gt;'Resumen del inventario'!$C$3,$N1725="",$N1725="OK"),"",IF(COUNTIFS($A$2:$A1725,$A1725,$B$2:$B1725,$B1725)=1,1,""))</f>
        <v/>
      </c>
      <c r="S1725" s="20">
        <f>IF($R1725=1,COUNTIF($R$2:$R1725,1),"")</f>
        <v/>
      </c>
    </row>
    <row r="1726">
      <c r="A1726" s="19" t="n"/>
      <c r="B1726" s="14" t="n"/>
      <c r="C1726" s="20">
        <f>IF($B1726="","",IFERROR(INDEX(Vinos!$B$2:$B$301,MATCH($B1726,Vinos!$A$2:$A$301,0)),"Código no cargado"))</f>
        <v/>
      </c>
      <c r="D1726" s="14" t="n"/>
      <c r="E1726" s="14" t="n"/>
      <c r="F1726" s="18" t="n"/>
      <c r="G1726" s="18" t="n"/>
      <c r="H1726" s="21">
        <f>IF(AND($F1726="",$G1726=""),"",N($F1726)*IFERROR(N(INDEX(Vinos!$H$2:$H$301,MATCH($B1726,Vinos!$A$2:$A$301,0))),0)+N($G1726))</f>
        <v/>
      </c>
      <c r="I1726" s="18" t="n"/>
      <c r="J1726" s="21">
        <f>IF(OR($H1726="",$I1726=""),"",$H1726-$I1726)</f>
        <v/>
      </c>
      <c r="K1726" s="16">
        <f>IF($H1726="","",IFERROR(IF(INDEX(Vinos!$J$2:$J$301,MATCH($B1726,Vinos!$A$2:$A$301,0))="","",$H1726*INDEX(Vinos!$J$2:$J$301,MATCH($B1726,Vinos!$A$2:$A$301,0))),""))</f>
        <v/>
      </c>
      <c r="L1726" s="16">
        <f>IF($H1726="","",IFERROR(IF(INDEX(Vinos!$K$2:$K$301,MATCH($B1726,Vinos!$A$2:$A$301,0))="","",$H1726*INDEX(Vinos!$K$2:$K$301,MATCH($B1726,Vinos!$A$2:$A$301,0))),""))</f>
        <v/>
      </c>
      <c r="M1726" s="21">
        <f>IF(OR($A1726="",$B1726=""),"",SUMIFS($H$2:$H$2001,$A$2:$A$2001,$A1726,$B$2:$B$2001,$B1726))</f>
        <v/>
      </c>
      <c r="N1726" s="20">
        <f>IF($M1726="","",IF($M1726&lt;=0,"Sin stock: reponer ya",IF($M1726&lt;IFERROR(N(INDEX(Vinos!$N$2:$N$301,MATCH($B1726,Vinos!$A$2:$A$301,0))),0),"Bajo mínimo: reponer","OK")))</f>
        <v/>
      </c>
      <c r="O1726" s="14" t="n"/>
      <c r="P1726" s="14" t="n"/>
      <c r="Q1726" s="20">
        <f>IF($B1726="","",IFERROR(INDEX(Vinos!$C$2:$C$301,MATCH($B1726,Vinos!$A$2:$A$301,0)),""))</f>
        <v/>
      </c>
      <c r="R1726" s="20">
        <f>IF(OR($A1726="",$A1726&lt;&gt;'Resumen del inventario'!$C$3,$N1726="",$N1726="OK"),"",IF(COUNTIFS($A$2:$A1726,$A1726,$B$2:$B1726,$B1726)=1,1,""))</f>
        <v/>
      </c>
      <c r="S1726" s="20">
        <f>IF($R1726=1,COUNTIF($R$2:$R1726,1),"")</f>
        <v/>
      </c>
    </row>
    <row r="1727">
      <c r="A1727" s="19" t="n"/>
      <c r="B1727" s="14" t="n"/>
      <c r="C1727" s="20">
        <f>IF($B1727="","",IFERROR(INDEX(Vinos!$B$2:$B$301,MATCH($B1727,Vinos!$A$2:$A$301,0)),"Código no cargado"))</f>
        <v/>
      </c>
      <c r="D1727" s="14" t="n"/>
      <c r="E1727" s="14" t="n"/>
      <c r="F1727" s="18" t="n"/>
      <c r="G1727" s="18" t="n"/>
      <c r="H1727" s="21">
        <f>IF(AND($F1727="",$G1727=""),"",N($F1727)*IFERROR(N(INDEX(Vinos!$H$2:$H$301,MATCH($B1727,Vinos!$A$2:$A$301,0))),0)+N($G1727))</f>
        <v/>
      </c>
      <c r="I1727" s="18" t="n"/>
      <c r="J1727" s="21">
        <f>IF(OR($H1727="",$I1727=""),"",$H1727-$I1727)</f>
        <v/>
      </c>
      <c r="K1727" s="16">
        <f>IF($H1727="","",IFERROR(IF(INDEX(Vinos!$J$2:$J$301,MATCH($B1727,Vinos!$A$2:$A$301,0))="","",$H1727*INDEX(Vinos!$J$2:$J$301,MATCH($B1727,Vinos!$A$2:$A$301,0))),""))</f>
        <v/>
      </c>
      <c r="L1727" s="16">
        <f>IF($H1727="","",IFERROR(IF(INDEX(Vinos!$K$2:$K$301,MATCH($B1727,Vinos!$A$2:$A$301,0))="","",$H1727*INDEX(Vinos!$K$2:$K$301,MATCH($B1727,Vinos!$A$2:$A$301,0))),""))</f>
        <v/>
      </c>
      <c r="M1727" s="21">
        <f>IF(OR($A1727="",$B1727=""),"",SUMIFS($H$2:$H$2001,$A$2:$A$2001,$A1727,$B$2:$B$2001,$B1727))</f>
        <v/>
      </c>
      <c r="N1727" s="20">
        <f>IF($M1727="","",IF($M1727&lt;=0,"Sin stock: reponer ya",IF($M1727&lt;IFERROR(N(INDEX(Vinos!$N$2:$N$301,MATCH($B1727,Vinos!$A$2:$A$301,0))),0),"Bajo mínimo: reponer","OK")))</f>
        <v/>
      </c>
      <c r="O1727" s="14" t="n"/>
      <c r="P1727" s="14" t="n"/>
      <c r="Q1727" s="20">
        <f>IF($B1727="","",IFERROR(INDEX(Vinos!$C$2:$C$301,MATCH($B1727,Vinos!$A$2:$A$301,0)),""))</f>
        <v/>
      </c>
      <c r="R1727" s="20">
        <f>IF(OR($A1727="",$A1727&lt;&gt;'Resumen del inventario'!$C$3,$N1727="",$N1727="OK"),"",IF(COUNTIFS($A$2:$A1727,$A1727,$B$2:$B1727,$B1727)=1,1,""))</f>
        <v/>
      </c>
      <c r="S1727" s="20">
        <f>IF($R1727=1,COUNTIF($R$2:$R1727,1),"")</f>
        <v/>
      </c>
    </row>
    <row r="1728">
      <c r="A1728" s="19" t="n"/>
      <c r="B1728" s="14" t="n"/>
      <c r="C1728" s="20">
        <f>IF($B1728="","",IFERROR(INDEX(Vinos!$B$2:$B$301,MATCH($B1728,Vinos!$A$2:$A$301,0)),"Código no cargado"))</f>
        <v/>
      </c>
      <c r="D1728" s="14" t="n"/>
      <c r="E1728" s="14" t="n"/>
      <c r="F1728" s="18" t="n"/>
      <c r="G1728" s="18" t="n"/>
      <c r="H1728" s="21">
        <f>IF(AND($F1728="",$G1728=""),"",N($F1728)*IFERROR(N(INDEX(Vinos!$H$2:$H$301,MATCH($B1728,Vinos!$A$2:$A$301,0))),0)+N($G1728))</f>
        <v/>
      </c>
      <c r="I1728" s="18" t="n"/>
      <c r="J1728" s="21">
        <f>IF(OR($H1728="",$I1728=""),"",$H1728-$I1728)</f>
        <v/>
      </c>
      <c r="K1728" s="16">
        <f>IF($H1728="","",IFERROR(IF(INDEX(Vinos!$J$2:$J$301,MATCH($B1728,Vinos!$A$2:$A$301,0))="","",$H1728*INDEX(Vinos!$J$2:$J$301,MATCH($B1728,Vinos!$A$2:$A$301,0))),""))</f>
        <v/>
      </c>
      <c r="L1728" s="16">
        <f>IF($H1728="","",IFERROR(IF(INDEX(Vinos!$K$2:$K$301,MATCH($B1728,Vinos!$A$2:$A$301,0))="","",$H1728*INDEX(Vinos!$K$2:$K$301,MATCH($B1728,Vinos!$A$2:$A$301,0))),""))</f>
        <v/>
      </c>
      <c r="M1728" s="21">
        <f>IF(OR($A1728="",$B1728=""),"",SUMIFS($H$2:$H$2001,$A$2:$A$2001,$A1728,$B$2:$B$2001,$B1728))</f>
        <v/>
      </c>
      <c r="N1728" s="20">
        <f>IF($M1728="","",IF($M1728&lt;=0,"Sin stock: reponer ya",IF($M1728&lt;IFERROR(N(INDEX(Vinos!$N$2:$N$301,MATCH($B1728,Vinos!$A$2:$A$301,0))),0),"Bajo mínimo: reponer","OK")))</f>
        <v/>
      </c>
      <c r="O1728" s="14" t="n"/>
      <c r="P1728" s="14" t="n"/>
      <c r="Q1728" s="20">
        <f>IF($B1728="","",IFERROR(INDEX(Vinos!$C$2:$C$301,MATCH($B1728,Vinos!$A$2:$A$301,0)),""))</f>
        <v/>
      </c>
      <c r="R1728" s="20">
        <f>IF(OR($A1728="",$A1728&lt;&gt;'Resumen del inventario'!$C$3,$N1728="",$N1728="OK"),"",IF(COUNTIFS($A$2:$A1728,$A1728,$B$2:$B1728,$B1728)=1,1,""))</f>
        <v/>
      </c>
      <c r="S1728" s="20">
        <f>IF($R1728=1,COUNTIF($R$2:$R1728,1),"")</f>
        <v/>
      </c>
    </row>
    <row r="1729">
      <c r="A1729" s="19" t="n"/>
      <c r="B1729" s="14" t="n"/>
      <c r="C1729" s="20">
        <f>IF($B1729="","",IFERROR(INDEX(Vinos!$B$2:$B$301,MATCH($B1729,Vinos!$A$2:$A$301,0)),"Código no cargado"))</f>
        <v/>
      </c>
      <c r="D1729" s="14" t="n"/>
      <c r="E1729" s="14" t="n"/>
      <c r="F1729" s="18" t="n"/>
      <c r="G1729" s="18" t="n"/>
      <c r="H1729" s="21">
        <f>IF(AND($F1729="",$G1729=""),"",N($F1729)*IFERROR(N(INDEX(Vinos!$H$2:$H$301,MATCH($B1729,Vinos!$A$2:$A$301,0))),0)+N($G1729))</f>
        <v/>
      </c>
      <c r="I1729" s="18" t="n"/>
      <c r="J1729" s="21">
        <f>IF(OR($H1729="",$I1729=""),"",$H1729-$I1729)</f>
        <v/>
      </c>
      <c r="K1729" s="16">
        <f>IF($H1729="","",IFERROR(IF(INDEX(Vinos!$J$2:$J$301,MATCH($B1729,Vinos!$A$2:$A$301,0))="","",$H1729*INDEX(Vinos!$J$2:$J$301,MATCH($B1729,Vinos!$A$2:$A$301,0))),""))</f>
        <v/>
      </c>
      <c r="L1729" s="16">
        <f>IF($H1729="","",IFERROR(IF(INDEX(Vinos!$K$2:$K$301,MATCH($B1729,Vinos!$A$2:$A$301,0))="","",$H1729*INDEX(Vinos!$K$2:$K$301,MATCH($B1729,Vinos!$A$2:$A$301,0))),""))</f>
        <v/>
      </c>
      <c r="M1729" s="21">
        <f>IF(OR($A1729="",$B1729=""),"",SUMIFS($H$2:$H$2001,$A$2:$A$2001,$A1729,$B$2:$B$2001,$B1729))</f>
        <v/>
      </c>
      <c r="N1729" s="20">
        <f>IF($M1729="","",IF($M1729&lt;=0,"Sin stock: reponer ya",IF($M1729&lt;IFERROR(N(INDEX(Vinos!$N$2:$N$301,MATCH($B1729,Vinos!$A$2:$A$301,0))),0),"Bajo mínimo: reponer","OK")))</f>
        <v/>
      </c>
      <c r="O1729" s="14" t="n"/>
      <c r="P1729" s="14" t="n"/>
      <c r="Q1729" s="20">
        <f>IF($B1729="","",IFERROR(INDEX(Vinos!$C$2:$C$301,MATCH($B1729,Vinos!$A$2:$A$301,0)),""))</f>
        <v/>
      </c>
      <c r="R1729" s="20">
        <f>IF(OR($A1729="",$A1729&lt;&gt;'Resumen del inventario'!$C$3,$N1729="",$N1729="OK"),"",IF(COUNTIFS($A$2:$A1729,$A1729,$B$2:$B1729,$B1729)=1,1,""))</f>
        <v/>
      </c>
      <c r="S1729" s="20">
        <f>IF($R1729=1,COUNTIF($R$2:$R1729,1),"")</f>
        <v/>
      </c>
    </row>
    <row r="1730">
      <c r="A1730" s="19" t="n"/>
      <c r="B1730" s="14" t="n"/>
      <c r="C1730" s="20">
        <f>IF($B1730="","",IFERROR(INDEX(Vinos!$B$2:$B$301,MATCH($B1730,Vinos!$A$2:$A$301,0)),"Código no cargado"))</f>
        <v/>
      </c>
      <c r="D1730" s="14" t="n"/>
      <c r="E1730" s="14" t="n"/>
      <c r="F1730" s="18" t="n"/>
      <c r="G1730" s="18" t="n"/>
      <c r="H1730" s="21">
        <f>IF(AND($F1730="",$G1730=""),"",N($F1730)*IFERROR(N(INDEX(Vinos!$H$2:$H$301,MATCH($B1730,Vinos!$A$2:$A$301,0))),0)+N($G1730))</f>
        <v/>
      </c>
      <c r="I1730" s="18" t="n"/>
      <c r="J1730" s="21">
        <f>IF(OR($H1730="",$I1730=""),"",$H1730-$I1730)</f>
        <v/>
      </c>
      <c r="K1730" s="16">
        <f>IF($H1730="","",IFERROR(IF(INDEX(Vinos!$J$2:$J$301,MATCH($B1730,Vinos!$A$2:$A$301,0))="","",$H1730*INDEX(Vinos!$J$2:$J$301,MATCH($B1730,Vinos!$A$2:$A$301,0))),""))</f>
        <v/>
      </c>
      <c r="L1730" s="16">
        <f>IF($H1730="","",IFERROR(IF(INDEX(Vinos!$K$2:$K$301,MATCH($B1730,Vinos!$A$2:$A$301,0))="","",$H1730*INDEX(Vinos!$K$2:$K$301,MATCH($B1730,Vinos!$A$2:$A$301,0))),""))</f>
        <v/>
      </c>
      <c r="M1730" s="21">
        <f>IF(OR($A1730="",$B1730=""),"",SUMIFS($H$2:$H$2001,$A$2:$A$2001,$A1730,$B$2:$B$2001,$B1730))</f>
        <v/>
      </c>
      <c r="N1730" s="20">
        <f>IF($M1730="","",IF($M1730&lt;=0,"Sin stock: reponer ya",IF($M1730&lt;IFERROR(N(INDEX(Vinos!$N$2:$N$301,MATCH($B1730,Vinos!$A$2:$A$301,0))),0),"Bajo mínimo: reponer","OK")))</f>
        <v/>
      </c>
      <c r="O1730" s="14" t="n"/>
      <c r="P1730" s="14" t="n"/>
      <c r="Q1730" s="20">
        <f>IF($B1730="","",IFERROR(INDEX(Vinos!$C$2:$C$301,MATCH($B1730,Vinos!$A$2:$A$301,0)),""))</f>
        <v/>
      </c>
      <c r="R1730" s="20">
        <f>IF(OR($A1730="",$A1730&lt;&gt;'Resumen del inventario'!$C$3,$N1730="",$N1730="OK"),"",IF(COUNTIFS($A$2:$A1730,$A1730,$B$2:$B1730,$B1730)=1,1,""))</f>
        <v/>
      </c>
      <c r="S1730" s="20">
        <f>IF($R1730=1,COUNTIF($R$2:$R1730,1),"")</f>
        <v/>
      </c>
    </row>
    <row r="1731">
      <c r="A1731" s="19" t="n"/>
      <c r="B1731" s="14" t="n"/>
      <c r="C1731" s="20">
        <f>IF($B1731="","",IFERROR(INDEX(Vinos!$B$2:$B$301,MATCH($B1731,Vinos!$A$2:$A$301,0)),"Código no cargado"))</f>
        <v/>
      </c>
      <c r="D1731" s="14" t="n"/>
      <c r="E1731" s="14" t="n"/>
      <c r="F1731" s="18" t="n"/>
      <c r="G1731" s="18" t="n"/>
      <c r="H1731" s="21">
        <f>IF(AND($F1731="",$G1731=""),"",N($F1731)*IFERROR(N(INDEX(Vinos!$H$2:$H$301,MATCH($B1731,Vinos!$A$2:$A$301,0))),0)+N($G1731))</f>
        <v/>
      </c>
      <c r="I1731" s="18" t="n"/>
      <c r="J1731" s="21">
        <f>IF(OR($H1731="",$I1731=""),"",$H1731-$I1731)</f>
        <v/>
      </c>
      <c r="K1731" s="16">
        <f>IF($H1731="","",IFERROR(IF(INDEX(Vinos!$J$2:$J$301,MATCH($B1731,Vinos!$A$2:$A$301,0))="","",$H1731*INDEX(Vinos!$J$2:$J$301,MATCH($B1731,Vinos!$A$2:$A$301,0))),""))</f>
        <v/>
      </c>
      <c r="L1731" s="16">
        <f>IF($H1731="","",IFERROR(IF(INDEX(Vinos!$K$2:$K$301,MATCH($B1731,Vinos!$A$2:$A$301,0))="","",$H1731*INDEX(Vinos!$K$2:$K$301,MATCH($B1731,Vinos!$A$2:$A$301,0))),""))</f>
        <v/>
      </c>
      <c r="M1731" s="21">
        <f>IF(OR($A1731="",$B1731=""),"",SUMIFS($H$2:$H$2001,$A$2:$A$2001,$A1731,$B$2:$B$2001,$B1731))</f>
        <v/>
      </c>
      <c r="N1731" s="20">
        <f>IF($M1731="","",IF($M1731&lt;=0,"Sin stock: reponer ya",IF($M1731&lt;IFERROR(N(INDEX(Vinos!$N$2:$N$301,MATCH($B1731,Vinos!$A$2:$A$301,0))),0),"Bajo mínimo: reponer","OK")))</f>
        <v/>
      </c>
      <c r="O1731" s="14" t="n"/>
      <c r="P1731" s="14" t="n"/>
      <c r="Q1731" s="20">
        <f>IF($B1731="","",IFERROR(INDEX(Vinos!$C$2:$C$301,MATCH($B1731,Vinos!$A$2:$A$301,0)),""))</f>
        <v/>
      </c>
      <c r="R1731" s="20">
        <f>IF(OR($A1731="",$A1731&lt;&gt;'Resumen del inventario'!$C$3,$N1731="",$N1731="OK"),"",IF(COUNTIFS($A$2:$A1731,$A1731,$B$2:$B1731,$B1731)=1,1,""))</f>
        <v/>
      </c>
      <c r="S1731" s="20">
        <f>IF($R1731=1,COUNTIF($R$2:$R1731,1),"")</f>
        <v/>
      </c>
    </row>
    <row r="1732">
      <c r="A1732" s="19" t="n"/>
      <c r="B1732" s="14" t="n"/>
      <c r="C1732" s="20">
        <f>IF($B1732="","",IFERROR(INDEX(Vinos!$B$2:$B$301,MATCH($B1732,Vinos!$A$2:$A$301,0)),"Código no cargado"))</f>
        <v/>
      </c>
      <c r="D1732" s="14" t="n"/>
      <c r="E1732" s="14" t="n"/>
      <c r="F1732" s="18" t="n"/>
      <c r="G1732" s="18" t="n"/>
      <c r="H1732" s="21">
        <f>IF(AND($F1732="",$G1732=""),"",N($F1732)*IFERROR(N(INDEX(Vinos!$H$2:$H$301,MATCH($B1732,Vinos!$A$2:$A$301,0))),0)+N($G1732))</f>
        <v/>
      </c>
      <c r="I1732" s="18" t="n"/>
      <c r="J1732" s="21">
        <f>IF(OR($H1732="",$I1732=""),"",$H1732-$I1732)</f>
        <v/>
      </c>
      <c r="K1732" s="16">
        <f>IF($H1732="","",IFERROR(IF(INDEX(Vinos!$J$2:$J$301,MATCH($B1732,Vinos!$A$2:$A$301,0))="","",$H1732*INDEX(Vinos!$J$2:$J$301,MATCH($B1732,Vinos!$A$2:$A$301,0))),""))</f>
        <v/>
      </c>
      <c r="L1732" s="16">
        <f>IF($H1732="","",IFERROR(IF(INDEX(Vinos!$K$2:$K$301,MATCH($B1732,Vinos!$A$2:$A$301,0))="","",$H1732*INDEX(Vinos!$K$2:$K$301,MATCH($B1732,Vinos!$A$2:$A$301,0))),""))</f>
        <v/>
      </c>
      <c r="M1732" s="21">
        <f>IF(OR($A1732="",$B1732=""),"",SUMIFS($H$2:$H$2001,$A$2:$A$2001,$A1732,$B$2:$B$2001,$B1732))</f>
        <v/>
      </c>
      <c r="N1732" s="20">
        <f>IF($M1732="","",IF($M1732&lt;=0,"Sin stock: reponer ya",IF($M1732&lt;IFERROR(N(INDEX(Vinos!$N$2:$N$301,MATCH($B1732,Vinos!$A$2:$A$301,0))),0),"Bajo mínimo: reponer","OK")))</f>
        <v/>
      </c>
      <c r="O1732" s="14" t="n"/>
      <c r="P1732" s="14" t="n"/>
      <c r="Q1732" s="20">
        <f>IF($B1732="","",IFERROR(INDEX(Vinos!$C$2:$C$301,MATCH($B1732,Vinos!$A$2:$A$301,0)),""))</f>
        <v/>
      </c>
      <c r="R1732" s="20">
        <f>IF(OR($A1732="",$A1732&lt;&gt;'Resumen del inventario'!$C$3,$N1732="",$N1732="OK"),"",IF(COUNTIFS($A$2:$A1732,$A1732,$B$2:$B1732,$B1732)=1,1,""))</f>
        <v/>
      </c>
      <c r="S1732" s="20">
        <f>IF($R1732=1,COUNTIF($R$2:$R1732,1),"")</f>
        <v/>
      </c>
    </row>
    <row r="1733">
      <c r="A1733" s="19" t="n"/>
      <c r="B1733" s="14" t="n"/>
      <c r="C1733" s="20">
        <f>IF($B1733="","",IFERROR(INDEX(Vinos!$B$2:$B$301,MATCH($B1733,Vinos!$A$2:$A$301,0)),"Código no cargado"))</f>
        <v/>
      </c>
      <c r="D1733" s="14" t="n"/>
      <c r="E1733" s="14" t="n"/>
      <c r="F1733" s="18" t="n"/>
      <c r="G1733" s="18" t="n"/>
      <c r="H1733" s="21">
        <f>IF(AND($F1733="",$G1733=""),"",N($F1733)*IFERROR(N(INDEX(Vinos!$H$2:$H$301,MATCH($B1733,Vinos!$A$2:$A$301,0))),0)+N($G1733))</f>
        <v/>
      </c>
      <c r="I1733" s="18" t="n"/>
      <c r="J1733" s="21">
        <f>IF(OR($H1733="",$I1733=""),"",$H1733-$I1733)</f>
        <v/>
      </c>
      <c r="K1733" s="16">
        <f>IF($H1733="","",IFERROR(IF(INDEX(Vinos!$J$2:$J$301,MATCH($B1733,Vinos!$A$2:$A$301,0))="","",$H1733*INDEX(Vinos!$J$2:$J$301,MATCH($B1733,Vinos!$A$2:$A$301,0))),""))</f>
        <v/>
      </c>
      <c r="L1733" s="16">
        <f>IF($H1733="","",IFERROR(IF(INDEX(Vinos!$K$2:$K$301,MATCH($B1733,Vinos!$A$2:$A$301,0))="","",$H1733*INDEX(Vinos!$K$2:$K$301,MATCH($B1733,Vinos!$A$2:$A$301,0))),""))</f>
        <v/>
      </c>
      <c r="M1733" s="21">
        <f>IF(OR($A1733="",$B1733=""),"",SUMIFS($H$2:$H$2001,$A$2:$A$2001,$A1733,$B$2:$B$2001,$B1733))</f>
        <v/>
      </c>
      <c r="N1733" s="20">
        <f>IF($M1733="","",IF($M1733&lt;=0,"Sin stock: reponer ya",IF($M1733&lt;IFERROR(N(INDEX(Vinos!$N$2:$N$301,MATCH($B1733,Vinos!$A$2:$A$301,0))),0),"Bajo mínimo: reponer","OK")))</f>
        <v/>
      </c>
      <c r="O1733" s="14" t="n"/>
      <c r="P1733" s="14" t="n"/>
      <c r="Q1733" s="20">
        <f>IF($B1733="","",IFERROR(INDEX(Vinos!$C$2:$C$301,MATCH($B1733,Vinos!$A$2:$A$301,0)),""))</f>
        <v/>
      </c>
      <c r="R1733" s="20">
        <f>IF(OR($A1733="",$A1733&lt;&gt;'Resumen del inventario'!$C$3,$N1733="",$N1733="OK"),"",IF(COUNTIFS($A$2:$A1733,$A1733,$B$2:$B1733,$B1733)=1,1,""))</f>
        <v/>
      </c>
      <c r="S1733" s="20">
        <f>IF($R1733=1,COUNTIF($R$2:$R1733,1),"")</f>
        <v/>
      </c>
    </row>
    <row r="1734">
      <c r="A1734" s="19" t="n"/>
      <c r="B1734" s="14" t="n"/>
      <c r="C1734" s="20">
        <f>IF($B1734="","",IFERROR(INDEX(Vinos!$B$2:$B$301,MATCH($B1734,Vinos!$A$2:$A$301,0)),"Código no cargado"))</f>
        <v/>
      </c>
      <c r="D1734" s="14" t="n"/>
      <c r="E1734" s="14" t="n"/>
      <c r="F1734" s="18" t="n"/>
      <c r="G1734" s="18" t="n"/>
      <c r="H1734" s="21">
        <f>IF(AND($F1734="",$G1734=""),"",N($F1734)*IFERROR(N(INDEX(Vinos!$H$2:$H$301,MATCH($B1734,Vinos!$A$2:$A$301,0))),0)+N($G1734))</f>
        <v/>
      </c>
      <c r="I1734" s="18" t="n"/>
      <c r="J1734" s="21">
        <f>IF(OR($H1734="",$I1734=""),"",$H1734-$I1734)</f>
        <v/>
      </c>
      <c r="K1734" s="16">
        <f>IF($H1734="","",IFERROR(IF(INDEX(Vinos!$J$2:$J$301,MATCH($B1734,Vinos!$A$2:$A$301,0))="","",$H1734*INDEX(Vinos!$J$2:$J$301,MATCH($B1734,Vinos!$A$2:$A$301,0))),""))</f>
        <v/>
      </c>
      <c r="L1734" s="16">
        <f>IF($H1734="","",IFERROR(IF(INDEX(Vinos!$K$2:$K$301,MATCH($B1734,Vinos!$A$2:$A$301,0))="","",$H1734*INDEX(Vinos!$K$2:$K$301,MATCH($B1734,Vinos!$A$2:$A$301,0))),""))</f>
        <v/>
      </c>
      <c r="M1734" s="21">
        <f>IF(OR($A1734="",$B1734=""),"",SUMIFS($H$2:$H$2001,$A$2:$A$2001,$A1734,$B$2:$B$2001,$B1734))</f>
        <v/>
      </c>
      <c r="N1734" s="20">
        <f>IF($M1734="","",IF($M1734&lt;=0,"Sin stock: reponer ya",IF($M1734&lt;IFERROR(N(INDEX(Vinos!$N$2:$N$301,MATCH($B1734,Vinos!$A$2:$A$301,0))),0),"Bajo mínimo: reponer","OK")))</f>
        <v/>
      </c>
      <c r="O1734" s="14" t="n"/>
      <c r="P1734" s="14" t="n"/>
      <c r="Q1734" s="20">
        <f>IF($B1734="","",IFERROR(INDEX(Vinos!$C$2:$C$301,MATCH($B1734,Vinos!$A$2:$A$301,0)),""))</f>
        <v/>
      </c>
      <c r="R1734" s="20">
        <f>IF(OR($A1734="",$A1734&lt;&gt;'Resumen del inventario'!$C$3,$N1734="",$N1734="OK"),"",IF(COUNTIFS($A$2:$A1734,$A1734,$B$2:$B1734,$B1734)=1,1,""))</f>
        <v/>
      </c>
      <c r="S1734" s="20">
        <f>IF($R1734=1,COUNTIF($R$2:$R1734,1),"")</f>
        <v/>
      </c>
    </row>
    <row r="1735">
      <c r="A1735" s="19" t="n"/>
      <c r="B1735" s="14" t="n"/>
      <c r="C1735" s="20">
        <f>IF($B1735="","",IFERROR(INDEX(Vinos!$B$2:$B$301,MATCH($B1735,Vinos!$A$2:$A$301,0)),"Código no cargado"))</f>
        <v/>
      </c>
      <c r="D1735" s="14" t="n"/>
      <c r="E1735" s="14" t="n"/>
      <c r="F1735" s="18" t="n"/>
      <c r="G1735" s="18" t="n"/>
      <c r="H1735" s="21">
        <f>IF(AND($F1735="",$G1735=""),"",N($F1735)*IFERROR(N(INDEX(Vinos!$H$2:$H$301,MATCH($B1735,Vinos!$A$2:$A$301,0))),0)+N($G1735))</f>
        <v/>
      </c>
      <c r="I1735" s="18" t="n"/>
      <c r="J1735" s="21">
        <f>IF(OR($H1735="",$I1735=""),"",$H1735-$I1735)</f>
        <v/>
      </c>
      <c r="K1735" s="16">
        <f>IF($H1735="","",IFERROR(IF(INDEX(Vinos!$J$2:$J$301,MATCH($B1735,Vinos!$A$2:$A$301,0))="","",$H1735*INDEX(Vinos!$J$2:$J$301,MATCH($B1735,Vinos!$A$2:$A$301,0))),""))</f>
        <v/>
      </c>
      <c r="L1735" s="16">
        <f>IF($H1735="","",IFERROR(IF(INDEX(Vinos!$K$2:$K$301,MATCH($B1735,Vinos!$A$2:$A$301,0))="","",$H1735*INDEX(Vinos!$K$2:$K$301,MATCH($B1735,Vinos!$A$2:$A$301,0))),""))</f>
        <v/>
      </c>
      <c r="M1735" s="21">
        <f>IF(OR($A1735="",$B1735=""),"",SUMIFS($H$2:$H$2001,$A$2:$A$2001,$A1735,$B$2:$B$2001,$B1735))</f>
        <v/>
      </c>
      <c r="N1735" s="20">
        <f>IF($M1735="","",IF($M1735&lt;=0,"Sin stock: reponer ya",IF($M1735&lt;IFERROR(N(INDEX(Vinos!$N$2:$N$301,MATCH($B1735,Vinos!$A$2:$A$301,0))),0),"Bajo mínimo: reponer","OK")))</f>
        <v/>
      </c>
      <c r="O1735" s="14" t="n"/>
      <c r="P1735" s="14" t="n"/>
      <c r="Q1735" s="20">
        <f>IF($B1735="","",IFERROR(INDEX(Vinos!$C$2:$C$301,MATCH($B1735,Vinos!$A$2:$A$301,0)),""))</f>
        <v/>
      </c>
      <c r="R1735" s="20">
        <f>IF(OR($A1735="",$A1735&lt;&gt;'Resumen del inventario'!$C$3,$N1735="",$N1735="OK"),"",IF(COUNTIFS($A$2:$A1735,$A1735,$B$2:$B1735,$B1735)=1,1,""))</f>
        <v/>
      </c>
      <c r="S1735" s="20">
        <f>IF($R1735=1,COUNTIF($R$2:$R1735,1),"")</f>
        <v/>
      </c>
    </row>
    <row r="1736">
      <c r="A1736" s="19" t="n"/>
      <c r="B1736" s="14" t="n"/>
      <c r="C1736" s="20">
        <f>IF($B1736="","",IFERROR(INDEX(Vinos!$B$2:$B$301,MATCH($B1736,Vinos!$A$2:$A$301,0)),"Código no cargado"))</f>
        <v/>
      </c>
      <c r="D1736" s="14" t="n"/>
      <c r="E1736" s="14" t="n"/>
      <c r="F1736" s="18" t="n"/>
      <c r="G1736" s="18" t="n"/>
      <c r="H1736" s="21">
        <f>IF(AND($F1736="",$G1736=""),"",N($F1736)*IFERROR(N(INDEX(Vinos!$H$2:$H$301,MATCH($B1736,Vinos!$A$2:$A$301,0))),0)+N($G1736))</f>
        <v/>
      </c>
      <c r="I1736" s="18" t="n"/>
      <c r="J1736" s="21">
        <f>IF(OR($H1736="",$I1736=""),"",$H1736-$I1736)</f>
        <v/>
      </c>
      <c r="K1736" s="16">
        <f>IF($H1736="","",IFERROR(IF(INDEX(Vinos!$J$2:$J$301,MATCH($B1736,Vinos!$A$2:$A$301,0))="","",$H1736*INDEX(Vinos!$J$2:$J$301,MATCH($B1736,Vinos!$A$2:$A$301,0))),""))</f>
        <v/>
      </c>
      <c r="L1736" s="16">
        <f>IF($H1736="","",IFERROR(IF(INDEX(Vinos!$K$2:$K$301,MATCH($B1736,Vinos!$A$2:$A$301,0))="","",$H1736*INDEX(Vinos!$K$2:$K$301,MATCH($B1736,Vinos!$A$2:$A$301,0))),""))</f>
        <v/>
      </c>
      <c r="M1736" s="21">
        <f>IF(OR($A1736="",$B1736=""),"",SUMIFS($H$2:$H$2001,$A$2:$A$2001,$A1736,$B$2:$B$2001,$B1736))</f>
        <v/>
      </c>
      <c r="N1736" s="20">
        <f>IF($M1736="","",IF($M1736&lt;=0,"Sin stock: reponer ya",IF($M1736&lt;IFERROR(N(INDEX(Vinos!$N$2:$N$301,MATCH($B1736,Vinos!$A$2:$A$301,0))),0),"Bajo mínimo: reponer","OK")))</f>
        <v/>
      </c>
      <c r="O1736" s="14" t="n"/>
      <c r="P1736" s="14" t="n"/>
      <c r="Q1736" s="20">
        <f>IF($B1736="","",IFERROR(INDEX(Vinos!$C$2:$C$301,MATCH($B1736,Vinos!$A$2:$A$301,0)),""))</f>
        <v/>
      </c>
      <c r="R1736" s="20">
        <f>IF(OR($A1736="",$A1736&lt;&gt;'Resumen del inventario'!$C$3,$N1736="",$N1736="OK"),"",IF(COUNTIFS($A$2:$A1736,$A1736,$B$2:$B1736,$B1736)=1,1,""))</f>
        <v/>
      </c>
      <c r="S1736" s="20">
        <f>IF($R1736=1,COUNTIF($R$2:$R1736,1),"")</f>
        <v/>
      </c>
    </row>
    <row r="1737">
      <c r="A1737" s="19" t="n"/>
      <c r="B1737" s="14" t="n"/>
      <c r="C1737" s="20">
        <f>IF($B1737="","",IFERROR(INDEX(Vinos!$B$2:$B$301,MATCH($B1737,Vinos!$A$2:$A$301,0)),"Código no cargado"))</f>
        <v/>
      </c>
      <c r="D1737" s="14" t="n"/>
      <c r="E1737" s="14" t="n"/>
      <c r="F1737" s="18" t="n"/>
      <c r="G1737" s="18" t="n"/>
      <c r="H1737" s="21">
        <f>IF(AND($F1737="",$G1737=""),"",N($F1737)*IFERROR(N(INDEX(Vinos!$H$2:$H$301,MATCH($B1737,Vinos!$A$2:$A$301,0))),0)+N($G1737))</f>
        <v/>
      </c>
      <c r="I1737" s="18" t="n"/>
      <c r="J1737" s="21">
        <f>IF(OR($H1737="",$I1737=""),"",$H1737-$I1737)</f>
        <v/>
      </c>
      <c r="K1737" s="16">
        <f>IF($H1737="","",IFERROR(IF(INDEX(Vinos!$J$2:$J$301,MATCH($B1737,Vinos!$A$2:$A$301,0))="","",$H1737*INDEX(Vinos!$J$2:$J$301,MATCH($B1737,Vinos!$A$2:$A$301,0))),""))</f>
        <v/>
      </c>
      <c r="L1737" s="16">
        <f>IF($H1737="","",IFERROR(IF(INDEX(Vinos!$K$2:$K$301,MATCH($B1737,Vinos!$A$2:$A$301,0))="","",$H1737*INDEX(Vinos!$K$2:$K$301,MATCH($B1737,Vinos!$A$2:$A$301,0))),""))</f>
        <v/>
      </c>
      <c r="M1737" s="21">
        <f>IF(OR($A1737="",$B1737=""),"",SUMIFS($H$2:$H$2001,$A$2:$A$2001,$A1737,$B$2:$B$2001,$B1737))</f>
        <v/>
      </c>
      <c r="N1737" s="20">
        <f>IF($M1737="","",IF($M1737&lt;=0,"Sin stock: reponer ya",IF($M1737&lt;IFERROR(N(INDEX(Vinos!$N$2:$N$301,MATCH($B1737,Vinos!$A$2:$A$301,0))),0),"Bajo mínimo: reponer","OK")))</f>
        <v/>
      </c>
      <c r="O1737" s="14" t="n"/>
      <c r="P1737" s="14" t="n"/>
      <c r="Q1737" s="20">
        <f>IF($B1737="","",IFERROR(INDEX(Vinos!$C$2:$C$301,MATCH($B1737,Vinos!$A$2:$A$301,0)),""))</f>
        <v/>
      </c>
      <c r="R1737" s="20">
        <f>IF(OR($A1737="",$A1737&lt;&gt;'Resumen del inventario'!$C$3,$N1737="",$N1737="OK"),"",IF(COUNTIFS($A$2:$A1737,$A1737,$B$2:$B1737,$B1737)=1,1,""))</f>
        <v/>
      </c>
      <c r="S1737" s="20">
        <f>IF($R1737=1,COUNTIF($R$2:$R1737,1),"")</f>
        <v/>
      </c>
    </row>
    <row r="1738">
      <c r="A1738" s="19" t="n"/>
      <c r="B1738" s="14" t="n"/>
      <c r="C1738" s="20">
        <f>IF($B1738="","",IFERROR(INDEX(Vinos!$B$2:$B$301,MATCH($B1738,Vinos!$A$2:$A$301,0)),"Código no cargado"))</f>
        <v/>
      </c>
      <c r="D1738" s="14" t="n"/>
      <c r="E1738" s="14" t="n"/>
      <c r="F1738" s="18" t="n"/>
      <c r="G1738" s="18" t="n"/>
      <c r="H1738" s="21">
        <f>IF(AND($F1738="",$G1738=""),"",N($F1738)*IFERROR(N(INDEX(Vinos!$H$2:$H$301,MATCH($B1738,Vinos!$A$2:$A$301,0))),0)+N($G1738))</f>
        <v/>
      </c>
      <c r="I1738" s="18" t="n"/>
      <c r="J1738" s="21">
        <f>IF(OR($H1738="",$I1738=""),"",$H1738-$I1738)</f>
        <v/>
      </c>
      <c r="K1738" s="16">
        <f>IF($H1738="","",IFERROR(IF(INDEX(Vinos!$J$2:$J$301,MATCH($B1738,Vinos!$A$2:$A$301,0))="","",$H1738*INDEX(Vinos!$J$2:$J$301,MATCH($B1738,Vinos!$A$2:$A$301,0))),""))</f>
        <v/>
      </c>
      <c r="L1738" s="16">
        <f>IF($H1738="","",IFERROR(IF(INDEX(Vinos!$K$2:$K$301,MATCH($B1738,Vinos!$A$2:$A$301,0))="","",$H1738*INDEX(Vinos!$K$2:$K$301,MATCH($B1738,Vinos!$A$2:$A$301,0))),""))</f>
        <v/>
      </c>
      <c r="M1738" s="21">
        <f>IF(OR($A1738="",$B1738=""),"",SUMIFS($H$2:$H$2001,$A$2:$A$2001,$A1738,$B$2:$B$2001,$B1738))</f>
        <v/>
      </c>
      <c r="N1738" s="20">
        <f>IF($M1738="","",IF($M1738&lt;=0,"Sin stock: reponer ya",IF($M1738&lt;IFERROR(N(INDEX(Vinos!$N$2:$N$301,MATCH($B1738,Vinos!$A$2:$A$301,0))),0),"Bajo mínimo: reponer","OK")))</f>
        <v/>
      </c>
      <c r="O1738" s="14" t="n"/>
      <c r="P1738" s="14" t="n"/>
      <c r="Q1738" s="20">
        <f>IF($B1738="","",IFERROR(INDEX(Vinos!$C$2:$C$301,MATCH($B1738,Vinos!$A$2:$A$301,0)),""))</f>
        <v/>
      </c>
      <c r="R1738" s="20">
        <f>IF(OR($A1738="",$A1738&lt;&gt;'Resumen del inventario'!$C$3,$N1738="",$N1738="OK"),"",IF(COUNTIFS($A$2:$A1738,$A1738,$B$2:$B1738,$B1738)=1,1,""))</f>
        <v/>
      </c>
      <c r="S1738" s="20">
        <f>IF($R1738=1,COUNTIF($R$2:$R1738,1),"")</f>
        <v/>
      </c>
    </row>
    <row r="1739">
      <c r="A1739" s="19" t="n"/>
      <c r="B1739" s="14" t="n"/>
      <c r="C1739" s="20">
        <f>IF($B1739="","",IFERROR(INDEX(Vinos!$B$2:$B$301,MATCH($B1739,Vinos!$A$2:$A$301,0)),"Código no cargado"))</f>
        <v/>
      </c>
      <c r="D1739" s="14" t="n"/>
      <c r="E1739" s="14" t="n"/>
      <c r="F1739" s="18" t="n"/>
      <c r="G1739" s="18" t="n"/>
      <c r="H1739" s="21">
        <f>IF(AND($F1739="",$G1739=""),"",N($F1739)*IFERROR(N(INDEX(Vinos!$H$2:$H$301,MATCH($B1739,Vinos!$A$2:$A$301,0))),0)+N($G1739))</f>
        <v/>
      </c>
      <c r="I1739" s="18" t="n"/>
      <c r="J1739" s="21">
        <f>IF(OR($H1739="",$I1739=""),"",$H1739-$I1739)</f>
        <v/>
      </c>
      <c r="K1739" s="16">
        <f>IF($H1739="","",IFERROR(IF(INDEX(Vinos!$J$2:$J$301,MATCH($B1739,Vinos!$A$2:$A$301,0))="","",$H1739*INDEX(Vinos!$J$2:$J$301,MATCH($B1739,Vinos!$A$2:$A$301,0))),""))</f>
        <v/>
      </c>
      <c r="L1739" s="16">
        <f>IF($H1739="","",IFERROR(IF(INDEX(Vinos!$K$2:$K$301,MATCH($B1739,Vinos!$A$2:$A$301,0))="","",$H1739*INDEX(Vinos!$K$2:$K$301,MATCH($B1739,Vinos!$A$2:$A$301,0))),""))</f>
        <v/>
      </c>
      <c r="M1739" s="21">
        <f>IF(OR($A1739="",$B1739=""),"",SUMIFS($H$2:$H$2001,$A$2:$A$2001,$A1739,$B$2:$B$2001,$B1739))</f>
        <v/>
      </c>
      <c r="N1739" s="20">
        <f>IF($M1739="","",IF($M1739&lt;=0,"Sin stock: reponer ya",IF($M1739&lt;IFERROR(N(INDEX(Vinos!$N$2:$N$301,MATCH($B1739,Vinos!$A$2:$A$301,0))),0),"Bajo mínimo: reponer","OK")))</f>
        <v/>
      </c>
      <c r="O1739" s="14" t="n"/>
      <c r="P1739" s="14" t="n"/>
      <c r="Q1739" s="20">
        <f>IF($B1739="","",IFERROR(INDEX(Vinos!$C$2:$C$301,MATCH($B1739,Vinos!$A$2:$A$301,0)),""))</f>
        <v/>
      </c>
      <c r="R1739" s="20">
        <f>IF(OR($A1739="",$A1739&lt;&gt;'Resumen del inventario'!$C$3,$N1739="",$N1739="OK"),"",IF(COUNTIFS($A$2:$A1739,$A1739,$B$2:$B1739,$B1739)=1,1,""))</f>
        <v/>
      </c>
      <c r="S1739" s="20">
        <f>IF($R1739=1,COUNTIF($R$2:$R1739,1),"")</f>
        <v/>
      </c>
    </row>
    <row r="1740">
      <c r="A1740" s="19" t="n"/>
      <c r="B1740" s="14" t="n"/>
      <c r="C1740" s="20">
        <f>IF($B1740="","",IFERROR(INDEX(Vinos!$B$2:$B$301,MATCH($B1740,Vinos!$A$2:$A$301,0)),"Código no cargado"))</f>
        <v/>
      </c>
      <c r="D1740" s="14" t="n"/>
      <c r="E1740" s="14" t="n"/>
      <c r="F1740" s="18" t="n"/>
      <c r="G1740" s="18" t="n"/>
      <c r="H1740" s="21">
        <f>IF(AND($F1740="",$G1740=""),"",N($F1740)*IFERROR(N(INDEX(Vinos!$H$2:$H$301,MATCH($B1740,Vinos!$A$2:$A$301,0))),0)+N($G1740))</f>
        <v/>
      </c>
      <c r="I1740" s="18" t="n"/>
      <c r="J1740" s="21">
        <f>IF(OR($H1740="",$I1740=""),"",$H1740-$I1740)</f>
        <v/>
      </c>
      <c r="K1740" s="16">
        <f>IF($H1740="","",IFERROR(IF(INDEX(Vinos!$J$2:$J$301,MATCH($B1740,Vinos!$A$2:$A$301,0))="","",$H1740*INDEX(Vinos!$J$2:$J$301,MATCH($B1740,Vinos!$A$2:$A$301,0))),""))</f>
        <v/>
      </c>
      <c r="L1740" s="16">
        <f>IF($H1740="","",IFERROR(IF(INDEX(Vinos!$K$2:$K$301,MATCH($B1740,Vinos!$A$2:$A$301,0))="","",$H1740*INDEX(Vinos!$K$2:$K$301,MATCH($B1740,Vinos!$A$2:$A$301,0))),""))</f>
        <v/>
      </c>
      <c r="M1740" s="21">
        <f>IF(OR($A1740="",$B1740=""),"",SUMIFS($H$2:$H$2001,$A$2:$A$2001,$A1740,$B$2:$B$2001,$B1740))</f>
        <v/>
      </c>
      <c r="N1740" s="20">
        <f>IF($M1740="","",IF($M1740&lt;=0,"Sin stock: reponer ya",IF($M1740&lt;IFERROR(N(INDEX(Vinos!$N$2:$N$301,MATCH($B1740,Vinos!$A$2:$A$301,0))),0),"Bajo mínimo: reponer","OK")))</f>
        <v/>
      </c>
      <c r="O1740" s="14" t="n"/>
      <c r="P1740" s="14" t="n"/>
      <c r="Q1740" s="20">
        <f>IF($B1740="","",IFERROR(INDEX(Vinos!$C$2:$C$301,MATCH($B1740,Vinos!$A$2:$A$301,0)),""))</f>
        <v/>
      </c>
      <c r="R1740" s="20">
        <f>IF(OR($A1740="",$A1740&lt;&gt;'Resumen del inventario'!$C$3,$N1740="",$N1740="OK"),"",IF(COUNTIFS($A$2:$A1740,$A1740,$B$2:$B1740,$B1740)=1,1,""))</f>
        <v/>
      </c>
      <c r="S1740" s="20">
        <f>IF($R1740=1,COUNTIF($R$2:$R1740,1),"")</f>
        <v/>
      </c>
    </row>
    <row r="1741">
      <c r="A1741" s="19" t="n"/>
      <c r="B1741" s="14" t="n"/>
      <c r="C1741" s="20">
        <f>IF($B1741="","",IFERROR(INDEX(Vinos!$B$2:$B$301,MATCH($B1741,Vinos!$A$2:$A$301,0)),"Código no cargado"))</f>
        <v/>
      </c>
      <c r="D1741" s="14" t="n"/>
      <c r="E1741" s="14" t="n"/>
      <c r="F1741" s="18" t="n"/>
      <c r="G1741" s="18" t="n"/>
      <c r="H1741" s="21">
        <f>IF(AND($F1741="",$G1741=""),"",N($F1741)*IFERROR(N(INDEX(Vinos!$H$2:$H$301,MATCH($B1741,Vinos!$A$2:$A$301,0))),0)+N($G1741))</f>
        <v/>
      </c>
      <c r="I1741" s="18" t="n"/>
      <c r="J1741" s="21">
        <f>IF(OR($H1741="",$I1741=""),"",$H1741-$I1741)</f>
        <v/>
      </c>
      <c r="K1741" s="16">
        <f>IF($H1741="","",IFERROR(IF(INDEX(Vinos!$J$2:$J$301,MATCH($B1741,Vinos!$A$2:$A$301,0))="","",$H1741*INDEX(Vinos!$J$2:$J$301,MATCH($B1741,Vinos!$A$2:$A$301,0))),""))</f>
        <v/>
      </c>
      <c r="L1741" s="16">
        <f>IF($H1741="","",IFERROR(IF(INDEX(Vinos!$K$2:$K$301,MATCH($B1741,Vinos!$A$2:$A$301,0))="","",$H1741*INDEX(Vinos!$K$2:$K$301,MATCH($B1741,Vinos!$A$2:$A$301,0))),""))</f>
        <v/>
      </c>
      <c r="M1741" s="21">
        <f>IF(OR($A1741="",$B1741=""),"",SUMIFS($H$2:$H$2001,$A$2:$A$2001,$A1741,$B$2:$B$2001,$B1741))</f>
        <v/>
      </c>
      <c r="N1741" s="20">
        <f>IF($M1741="","",IF($M1741&lt;=0,"Sin stock: reponer ya",IF($M1741&lt;IFERROR(N(INDEX(Vinos!$N$2:$N$301,MATCH($B1741,Vinos!$A$2:$A$301,0))),0),"Bajo mínimo: reponer","OK")))</f>
        <v/>
      </c>
      <c r="O1741" s="14" t="n"/>
      <c r="P1741" s="14" t="n"/>
      <c r="Q1741" s="20">
        <f>IF($B1741="","",IFERROR(INDEX(Vinos!$C$2:$C$301,MATCH($B1741,Vinos!$A$2:$A$301,0)),""))</f>
        <v/>
      </c>
      <c r="R1741" s="20">
        <f>IF(OR($A1741="",$A1741&lt;&gt;'Resumen del inventario'!$C$3,$N1741="",$N1741="OK"),"",IF(COUNTIFS($A$2:$A1741,$A1741,$B$2:$B1741,$B1741)=1,1,""))</f>
        <v/>
      </c>
      <c r="S1741" s="20">
        <f>IF($R1741=1,COUNTIF($R$2:$R1741,1),"")</f>
        <v/>
      </c>
    </row>
    <row r="1742">
      <c r="A1742" s="19" t="n"/>
      <c r="B1742" s="14" t="n"/>
      <c r="C1742" s="20">
        <f>IF($B1742="","",IFERROR(INDEX(Vinos!$B$2:$B$301,MATCH($B1742,Vinos!$A$2:$A$301,0)),"Código no cargado"))</f>
        <v/>
      </c>
      <c r="D1742" s="14" t="n"/>
      <c r="E1742" s="14" t="n"/>
      <c r="F1742" s="18" t="n"/>
      <c r="G1742" s="18" t="n"/>
      <c r="H1742" s="21">
        <f>IF(AND($F1742="",$G1742=""),"",N($F1742)*IFERROR(N(INDEX(Vinos!$H$2:$H$301,MATCH($B1742,Vinos!$A$2:$A$301,0))),0)+N($G1742))</f>
        <v/>
      </c>
      <c r="I1742" s="18" t="n"/>
      <c r="J1742" s="21">
        <f>IF(OR($H1742="",$I1742=""),"",$H1742-$I1742)</f>
        <v/>
      </c>
      <c r="K1742" s="16">
        <f>IF($H1742="","",IFERROR(IF(INDEX(Vinos!$J$2:$J$301,MATCH($B1742,Vinos!$A$2:$A$301,0))="","",$H1742*INDEX(Vinos!$J$2:$J$301,MATCH($B1742,Vinos!$A$2:$A$301,0))),""))</f>
        <v/>
      </c>
      <c r="L1742" s="16">
        <f>IF($H1742="","",IFERROR(IF(INDEX(Vinos!$K$2:$K$301,MATCH($B1742,Vinos!$A$2:$A$301,0))="","",$H1742*INDEX(Vinos!$K$2:$K$301,MATCH($B1742,Vinos!$A$2:$A$301,0))),""))</f>
        <v/>
      </c>
      <c r="M1742" s="21">
        <f>IF(OR($A1742="",$B1742=""),"",SUMIFS($H$2:$H$2001,$A$2:$A$2001,$A1742,$B$2:$B$2001,$B1742))</f>
        <v/>
      </c>
      <c r="N1742" s="20">
        <f>IF($M1742="","",IF($M1742&lt;=0,"Sin stock: reponer ya",IF($M1742&lt;IFERROR(N(INDEX(Vinos!$N$2:$N$301,MATCH($B1742,Vinos!$A$2:$A$301,0))),0),"Bajo mínimo: reponer","OK")))</f>
        <v/>
      </c>
      <c r="O1742" s="14" t="n"/>
      <c r="P1742" s="14" t="n"/>
      <c r="Q1742" s="20">
        <f>IF($B1742="","",IFERROR(INDEX(Vinos!$C$2:$C$301,MATCH($B1742,Vinos!$A$2:$A$301,0)),""))</f>
        <v/>
      </c>
      <c r="R1742" s="20">
        <f>IF(OR($A1742="",$A1742&lt;&gt;'Resumen del inventario'!$C$3,$N1742="",$N1742="OK"),"",IF(COUNTIFS($A$2:$A1742,$A1742,$B$2:$B1742,$B1742)=1,1,""))</f>
        <v/>
      </c>
      <c r="S1742" s="20">
        <f>IF($R1742=1,COUNTIF($R$2:$R1742,1),"")</f>
        <v/>
      </c>
    </row>
    <row r="1743">
      <c r="A1743" s="19" t="n"/>
      <c r="B1743" s="14" t="n"/>
      <c r="C1743" s="20">
        <f>IF($B1743="","",IFERROR(INDEX(Vinos!$B$2:$B$301,MATCH($B1743,Vinos!$A$2:$A$301,0)),"Código no cargado"))</f>
        <v/>
      </c>
      <c r="D1743" s="14" t="n"/>
      <c r="E1743" s="14" t="n"/>
      <c r="F1743" s="18" t="n"/>
      <c r="G1743" s="18" t="n"/>
      <c r="H1743" s="21">
        <f>IF(AND($F1743="",$G1743=""),"",N($F1743)*IFERROR(N(INDEX(Vinos!$H$2:$H$301,MATCH($B1743,Vinos!$A$2:$A$301,0))),0)+N($G1743))</f>
        <v/>
      </c>
      <c r="I1743" s="18" t="n"/>
      <c r="J1743" s="21">
        <f>IF(OR($H1743="",$I1743=""),"",$H1743-$I1743)</f>
        <v/>
      </c>
      <c r="K1743" s="16">
        <f>IF($H1743="","",IFERROR(IF(INDEX(Vinos!$J$2:$J$301,MATCH($B1743,Vinos!$A$2:$A$301,0))="","",$H1743*INDEX(Vinos!$J$2:$J$301,MATCH($B1743,Vinos!$A$2:$A$301,0))),""))</f>
        <v/>
      </c>
      <c r="L1743" s="16">
        <f>IF($H1743="","",IFERROR(IF(INDEX(Vinos!$K$2:$K$301,MATCH($B1743,Vinos!$A$2:$A$301,0))="","",$H1743*INDEX(Vinos!$K$2:$K$301,MATCH($B1743,Vinos!$A$2:$A$301,0))),""))</f>
        <v/>
      </c>
      <c r="M1743" s="21">
        <f>IF(OR($A1743="",$B1743=""),"",SUMIFS($H$2:$H$2001,$A$2:$A$2001,$A1743,$B$2:$B$2001,$B1743))</f>
        <v/>
      </c>
      <c r="N1743" s="20">
        <f>IF($M1743="","",IF($M1743&lt;=0,"Sin stock: reponer ya",IF($M1743&lt;IFERROR(N(INDEX(Vinos!$N$2:$N$301,MATCH($B1743,Vinos!$A$2:$A$301,0))),0),"Bajo mínimo: reponer","OK")))</f>
        <v/>
      </c>
      <c r="O1743" s="14" t="n"/>
      <c r="P1743" s="14" t="n"/>
      <c r="Q1743" s="20">
        <f>IF($B1743="","",IFERROR(INDEX(Vinos!$C$2:$C$301,MATCH($B1743,Vinos!$A$2:$A$301,0)),""))</f>
        <v/>
      </c>
      <c r="R1743" s="20">
        <f>IF(OR($A1743="",$A1743&lt;&gt;'Resumen del inventario'!$C$3,$N1743="",$N1743="OK"),"",IF(COUNTIFS($A$2:$A1743,$A1743,$B$2:$B1743,$B1743)=1,1,""))</f>
        <v/>
      </c>
      <c r="S1743" s="20">
        <f>IF($R1743=1,COUNTIF($R$2:$R1743,1),"")</f>
        <v/>
      </c>
    </row>
    <row r="1744">
      <c r="A1744" s="19" t="n"/>
      <c r="B1744" s="14" t="n"/>
      <c r="C1744" s="20">
        <f>IF($B1744="","",IFERROR(INDEX(Vinos!$B$2:$B$301,MATCH($B1744,Vinos!$A$2:$A$301,0)),"Código no cargado"))</f>
        <v/>
      </c>
      <c r="D1744" s="14" t="n"/>
      <c r="E1744" s="14" t="n"/>
      <c r="F1744" s="18" t="n"/>
      <c r="G1744" s="18" t="n"/>
      <c r="H1744" s="21">
        <f>IF(AND($F1744="",$G1744=""),"",N($F1744)*IFERROR(N(INDEX(Vinos!$H$2:$H$301,MATCH($B1744,Vinos!$A$2:$A$301,0))),0)+N($G1744))</f>
        <v/>
      </c>
      <c r="I1744" s="18" t="n"/>
      <c r="J1744" s="21">
        <f>IF(OR($H1744="",$I1744=""),"",$H1744-$I1744)</f>
        <v/>
      </c>
      <c r="K1744" s="16">
        <f>IF($H1744="","",IFERROR(IF(INDEX(Vinos!$J$2:$J$301,MATCH($B1744,Vinos!$A$2:$A$301,0))="","",$H1744*INDEX(Vinos!$J$2:$J$301,MATCH($B1744,Vinos!$A$2:$A$301,0))),""))</f>
        <v/>
      </c>
      <c r="L1744" s="16">
        <f>IF($H1744="","",IFERROR(IF(INDEX(Vinos!$K$2:$K$301,MATCH($B1744,Vinos!$A$2:$A$301,0))="","",$H1744*INDEX(Vinos!$K$2:$K$301,MATCH($B1744,Vinos!$A$2:$A$301,0))),""))</f>
        <v/>
      </c>
      <c r="M1744" s="21">
        <f>IF(OR($A1744="",$B1744=""),"",SUMIFS($H$2:$H$2001,$A$2:$A$2001,$A1744,$B$2:$B$2001,$B1744))</f>
        <v/>
      </c>
      <c r="N1744" s="20">
        <f>IF($M1744="","",IF($M1744&lt;=0,"Sin stock: reponer ya",IF($M1744&lt;IFERROR(N(INDEX(Vinos!$N$2:$N$301,MATCH($B1744,Vinos!$A$2:$A$301,0))),0),"Bajo mínimo: reponer","OK")))</f>
        <v/>
      </c>
      <c r="O1744" s="14" t="n"/>
      <c r="P1744" s="14" t="n"/>
      <c r="Q1744" s="20">
        <f>IF($B1744="","",IFERROR(INDEX(Vinos!$C$2:$C$301,MATCH($B1744,Vinos!$A$2:$A$301,0)),""))</f>
        <v/>
      </c>
      <c r="R1744" s="20">
        <f>IF(OR($A1744="",$A1744&lt;&gt;'Resumen del inventario'!$C$3,$N1744="",$N1744="OK"),"",IF(COUNTIFS($A$2:$A1744,$A1744,$B$2:$B1744,$B1744)=1,1,""))</f>
        <v/>
      </c>
      <c r="S1744" s="20">
        <f>IF($R1744=1,COUNTIF($R$2:$R1744,1),"")</f>
        <v/>
      </c>
    </row>
    <row r="1745">
      <c r="A1745" s="19" t="n"/>
      <c r="B1745" s="14" t="n"/>
      <c r="C1745" s="20">
        <f>IF($B1745="","",IFERROR(INDEX(Vinos!$B$2:$B$301,MATCH($B1745,Vinos!$A$2:$A$301,0)),"Código no cargado"))</f>
        <v/>
      </c>
      <c r="D1745" s="14" t="n"/>
      <c r="E1745" s="14" t="n"/>
      <c r="F1745" s="18" t="n"/>
      <c r="G1745" s="18" t="n"/>
      <c r="H1745" s="21">
        <f>IF(AND($F1745="",$G1745=""),"",N($F1745)*IFERROR(N(INDEX(Vinos!$H$2:$H$301,MATCH($B1745,Vinos!$A$2:$A$301,0))),0)+N($G1745))</f>
        <v/>
      </c>
      <c r="I1745" s="18" t="n"/>
      <c r="J1745" s="21">
        <f>IF(OR($H1745="",$I1745=""),"",$H1745-$I1745)</f>
        <v/>
      </c>
      <c r="K1745" s="16">
        <f>IF($H1745="","",IFERROR(IF(INDEX(Vinos!$J$2:$J$301,MATCH($B1745,Vinos!$A$2:$A$301,0))="","",$H1745*INDEX(Vinos!$J$2:$J$301,MATCH($B1745,Vinos!$A$2:$A$301,0))),""))</f>
        <v/>
      </c>
      <c r="L1745" s="16">
        <f>IF($H1745="","",IFERROR(IF(INDEX(Vinos!$K$2:$K$301,MATCH($B1745,Vinos!$A$2:$A$301,0))="","",$H1745*INDEX(Vinos!$K$2:$K$301,MATCH($B1745,Vinos!$A$2:$A$301,0))),""))</f>
        <v/>
      </c>
      <c r="M1745" s="21">
        <f>IF(OR($A1745="",$B1745=""),"",SUMIFS($H$2:$H$2001,$A$2:$A$2001,$A1745,$B$2:$B$2001,$B1745))</f>
        <v/>
      </c>
      <c r="N1745" s="20">
        <f>IF($M1745="","",IF($M1745&lt;=0,"Sin stock: reponer ya",IF($M1745&lt;IFERROR(N(INDEX(Vinos!$N$2:$N$301,MATCH($B1745,Vinos!$A$2:$A$301,0))),0),"Bajo mínimo: reponer","OK")))</f>
        <v/>
      </c>
      <c r="O1745" s="14" t="n"/>
      <c r="P1745" s="14" t="n"/>
      <c r="Q1745" s="20">
        <f>IF($B1745="","",IFERROR(INDEX(Vinos!$C$2:$C$301,MATCH($B1745,Vinos!$A$2:$A$301,0)),""))</f>
        <v/>
      </c>
      <c r="R1745" s="20">
        <f>IF(OR($A1745="",$A1745&lt;&gt;'Resumen del inventario'!$C$3,$N1745="",$N1745="OK"),"",IF(COUNTIFS($A$2:$A1745,$A1745,$B$2:$B1745,$B1745)=1,1,""))</f>
        <v/>
      </c>
      <c r="S1745" s="20">
        <f>IF($R1745=1,COUNTIF($R$2:$R1745,1),"")</f>
        <v/>
      </c>
    </row>
    <row r="1746">
      <c r="A1746" s="19" t="n"/>
      <c r="B1746" s="14" t="n"/>
      <c r="C1746" s="20">
        <f>IF($B1746="","",IFERROR(INDEX(Vinos!$B$2:$B$301,MATCH($B1746,Vinos!$A$2:$A$301,0)),"Código no cargado"))</f>
        <v/>
      </c>
      <c r="D1746" s="14" t="n"/>
      <c r="E1746" s="14" t="n"/>
      <c r="F1746" s="18" t="n"/>
      <c r="G1746" s="18" t="n"/>
      <c r="H1746" s="21">
        <f>IF(AND($F1746="",$G1746=""),"",N($F1746)*IFERROR(N(INDEX(Vinos!$H$2:$H$301,MATCH($B1746,Vinos!$A$2:$A$301,0))),0)+N($G1746))</f>
        <v/>
      </c>
      <c r="I1746" s="18" t="n"/>
      <c r="J1746" s="21">
        <f>IF(OR($H1746="",$I1746=""),"",$H1746-$I1746)</f>
        <v/>
      </c>
      <c r="K1746" s="16">
        <f>IF($H1746="","",IFERROR(IF(INDEX(Vinos!$J$2:$J$301,MATCH($B1746,Vinos!$A$2:$A$301,0))="","",$H1746*INDEX(Vinos!$J$2:$J$301,MATCH($B1746,Vinos!$A$2:$A$301,0))),""))</f>
        <v/>
      </c>
      <c r="L1746" s="16">
        <f>IF($H1746="","",IFERROR(IF(INDEX(Vinos!$K$2:$K$301,MATCH($B1746,Vinos!$A$2:$A$301,0))="","",$H1746*INDEX(Vinos!$K$2:$K$301,MATCH($B1746,Vinos!$A$2:$A$301,0))),""))</f>
        <v/>
      </c>
      <c r="M1746" s="21">
        <f>IF(OR($A1746="",$B1746=""),"",SUMIFS($H$2:$H$2001,$A$2:$A$2001,$A1746,$B$2:$B$2001,$B1746))</f>
        <v/>
      </c>
      <c r="N1746" s="20">
        <f>IF($M1746="","",IF($M1746&lt;=0,"Sin stock: reponer ya",IF($M1746&lt;IFERROR(N(INDEX(Vinos!$N$2:$N$301,MATCH($B1746,Vinos!$A$2:$A$301,0))),0),"Bajo mínimo: reponer","OK")))</f>
        <v/>
      </c>
      <c r="O1746" s="14" t="n"/>
      <c r="P1746" s="14" t="n"/>
      <c r="Q1746" s="20">
        <f>IF($B1746="","",IFERROR(INDEX(Vinos!$C$2:$C$301,MATCH($B1746,Vinos!$A$2:$A$301,0)),""))</f>
        <v/>
      </c>
      <c r="R1746" s="20">
        <f>IF(OR($A1746="",$A1746&lt;&gt;'Resumen del inventario'!$C$3,$N1746="",$N1746="OK"),"",IF(COUNTIFS($A$2:$A1746,$A1746,$B$2:$B1746,$B1746)=1,1,""))</f>
        <v/>
      </c>
      <c r="S1746" s="20">
        <f>IF($R1746=1,COUNTIF($R$2:$R1746,1),"")</f>
        <v/>
      </c>
    </row>
    <row r="1747">
      <c r="A1747" s="19" t="n"/>
      <c r="B1747" s="14" t="n"/>
      <c r="C1747" s="20">
        <f>IF($B1747="","",IFERROR(INDEX(Vinos!$B$2:$B$301,MATCH($B1747,Vinos!$A$2:$A$301,0)),"Código no cargado"))</f>
        <v/>
      </c>
      <c r="D1747" s="14" t="n"/>
      <c r="E1747" s="14" t="n"/>
      <c r="F1747" s="18" t="n"/>
      <c r="G1747" s="18" t="n"/>
      <c r="H1747" s="21">
        <f>IF(AND($F1747="",$G1747=""),"",N($F1747)*IFERROR(N(INDEX(Vinos!$H$2:$H$301,MATCH($B1747,Vinos!$A$2:$A$301,0))),0)+N($G1747))</f>
        <v/>
      </c>
      <c r="I1747" s="18" t="n"/>
      <c r="J1747" s="21">
        <f>IF(OR($H1747="",$I1747=""),"",$H1747-$I1747)</f>
        <v/>
      </c>
      <c r="K1747" s="16">
        <f>IF($H1747="","",IFERROR(IF(INDEX(Vinos!$J$2:$J$301,MATCH($B1747,Vinos!$A$2:$A$301,0))="","",$H1747*INDEX(Vinos!$J$2:$J$301,MATCH($B1747,Vinos!$A$2:$A$301,0))),""))</f>
        <v/>
      </c>
      <c r="L1747" s="16">
        <f>IF($H1747="","",IFERROR(IF(INDEX(Vinos!$K$2:$K$301,MATCH($B1747,Vinos!$A$2:$A$301,0))="","",$H1747*INDEX(Vinos!$K$2:$K$301,MATCH($B1747,Vinos!$A$2:$A$301,0))),""))</f>
        <v/>
      </c>
      <c r="M1747" s="21">
        <f>IF(OR($A1747="",$B1747=""),"",SUMIFS($H$2:$H$2001,$A$2:$A$2001,$A1747,$B$2:$B$2001,$B1747))</f>
        <v/>
      </c>
      <c r="N1747" s="20">
        <f>IF($M1747="","",IF($M1747&lt;=0,"Sin stock: reponer ya",IF($M1747&lt;IFERROR(N(INDEX(Vinos!$N$2:$N$301,MATCH($B1747,Vinos!$A$2:$A$301,0))),0),"Bajo mínimo: reponer","OK")))</f>
        <v/>
      </c>
      <c r="O1747" s="14" t="n"/>
      <c r="P1747" s="14" t="n"/>
      <c r="Q1747" s="20">
        <f>IF($B1747="","",IFERROR(INDEX(Vinos!$C$2:$C$301,MATCH($B1747,Vinos!$A$2:$A$301,0)),""))</f>
        <v/>
      </c>
      <c r="R1747" s="20">
        <f>IF(OR($A1747="",$A1747&lt;&gt;'Resumen del inventario'!$C$3,$N1747="",$N1747="OK"),"",IF(COUNTIFS($A$2:$A1747,$A1747,$B$2:$B1747,$B1747)=1,1,""))</f>
        <v/>
      </c>
      <c r="S1747" s="20">
        <f>IF($R1747=1,COUNTIF($R$2:$R1747,1),"")</f>
        <v/>
      </c>
    </row>
    <row r="1748">
      <c r="A1748" s="19" t="n"/>
      <c r="B1748" s="14" t="n"/>
      <c r="C1748" s="20">
        <f>IF($B1748="","",IFERROR(INDEX(Vinos!$B$2:$B$301,MATCH($B1748,Vinos!$A$2:$A$301,0)),"Código no cargado"))</f>
        <v/>
      </c>
      <c r="D1748" s="14" t="n"/>
      <c r="E1748" s="14" t="n"/>
      <c r="F1748" s="18" t="n"/>
      <c r="G1748" s="18" t="n"/>
      <c r="H1748" s="21">
        <f>IF(AND($F1748="",$G1748=""),"",N($F1748)*IFERROR(N(INDEX(Vinos!$H$2:$H$301,MATCH($B1748,Vinos!$A$2:$A$301,0))),0)+N($G1748))</f>
        <v/>
      </c>
      <c r="I1748" s="18" t="n"/>
      <c r="J1748" s="21">
        <f>IF(OR($H1748="",$I1748=""),"",$H1748-$I1748)</f>
        <v/>
      </c>
      <c r="K1748" s="16">
        <f>IF($H1748="","",IFERROR(IF(INDEX(Vinos!$J$2:$J$301,MATCH($B1748,Vinos!$A$2:$A$301,0))="","",$H1748*INDEX(Vinos!$J$2:$J$301,MATCH($B1748,Vinos!$A$2:$A$301,0))),""))</f>
        <v/>
      </c>
      <c r="L1748" s="16">
        <f>IF($H1748="","",IFERROR(IF(INDEX(Vinos!$K$2:$K$301,MATCH($B1748,Vinos!$A$2:$A$301,0))="","",$H1748*INDEX(Vinos!$K$2:$K$301,MATCH($B1748,Vinos!$A$2:$A$301,0))),""))</f>
        <v/>
      </c>
      <c r="M1748" s="21">
        <f>IF(OR($A1748="",$B1748=""),"",SUMIFS($H$2:$H$2001,$A$2:$A$2001,$A1748,$B$2:$B$2001,$B1748))</f>
        <v/>
      </c>
      <c r="N1748" s="20">
        <f>IF($M1748="","",IF($M1748&lt;=0,"Sin stock: reponer ya",IF($M1748&lt;IFERROR(N(INDEX(Vinos!$N$2:$N$301,MATCH($B1748,Vinos!$A$2:$A$301,0))),0),"Bajo mínimo: reponer","OK")))</f>
        <v/>
      </c>
      <c r="O1748" s="14" t="n"/>
      <c r="P1748" s="14" t="n"/>
      <c r="Q1748" s="20">
        <f>IF($B1748="","",IFERROR(INDEX(Vinos!$C$2:$C$301,MATCH($B1748,Vinos!$A$2:$A$301,0)),""))</f>
        <v/>
      </c>
      <c r="R1748" s="20">
        <f>IF(OR($A1748="",$A1748&lt;&gt;'Resumen del inventario'!$C$3,$N1748="",$N1748="OK"),"",IF(COUNTIFS($A$2:$A1748,$A1748,$B$2:$B1748,$B1748)=1,1,""))</f>
        <v/>
      </c>
      <c r="S1748" s="20">
        <f>IF($R1748=1,COUNTIF($R$2:$R1748,1),"")</f>
        <v/>
      </c>
    </row>
    <row r="1749">
      <c r="A1749" s="19" t="n"/>
      <c r="B1749" s="14" t="n"/>
      <c r="C1749" s="20">
        <f>IF($B1749="","",IFERROR(INDEX(Vinos!$B$2:$B$301,MATCH($B1749,Vinos!$A$2:$A$301,0)),"Código no cargado"))</f>
        <v/>
      </c>
      <c r="D1749" s="14" t="n"/>
      <c r="E1749" s="14" t="n"/>
      <c r="F1749" s="18" t="n"/>
      <c r="G1749" s="18" t="n"/>
      <c r="H1749" s="21">
        <f>IF(AND($F1749="",$G1749=""),"",N($F1749)*IFERROR(N(INDEX(Vinos!$H$2:$H$301,MATCH($B1749,Vinos!$A$2:$A$301,0))),0)+N($G1749))</f>
        <v/>
      </c>
      <c r="I1749" s="18" t="n"/>
      <c r="J1749" s="21">
        <f>IF(OR($H1749="",$I1749=""),"",$H1749-$I1749)</f>
        <v/>
      </c>
      <c r="K1749" s="16">
        <f>IF($H1749="","",IFERROR(IF(INDEX(Vinos!$J$2:$J$301,MATCH($B1749,Vinos!$A$2:$A$301,0))="","",$H1749*INDEX(Vinos!$J$2:$J$301,MATCH($B1749,Vinos!$A$2:$A$301,0))),""))</f>
        <v/>
      </c>
      <c r="L1749" s="16">
        <f>IF($H1749="","",IFERROR(IF(INDEX(Vinos!$K$2:$K$301,MATCH($B1749,Vinos!$A$2:$A$301,0))="","",$H1749*INDEX(Vinos!$K$2:$K$301,MATCH($B1749,Vinos!$A$2:$A$301,0))),""))</f>
        <v/>
      </c>
      <c r="M1749" s="21">
        <f>IF(OR($A1749="",$B1749=""),"",SUMIFS($H$2:$H$2001,$A$2:$A$2001,$A1749,$B$2:$B$2001,$B1749))</f>
        <v/>
      </c>
      <c r="N1749" s="20">
        <f>IF($M1749="","",IF($M1749&lt;=0,"Sin stock: reponer ya",IF($M1749&lt;IFERROR(N(INDEX(Vinos!$N$2:$N$301,MATCH($B1749,Vinos!$A$2:$A$301,0))),0),"Bajo mínimo: reponer","OK")))</f>
        <v/>
      </c>
      <c r="O1749" s="14" t="n"/>
      <c r="P1749" s="14" t="n"/>
      <c r="Q1749" s="20">
        <f>IF($B1749="","",IFERROR(INDEX(Vinos!$C$2:$C$301,MATCH($B1749,Vinos!$A$2:$A$301,0)),""))</f>
        <v/>
      </c>
      <c r="R1749" s="20">
        <f>IF(OR($A1749="",$A1749&lt;&gt;'Resumen del inventario'!$C$3,$N1749="",$N1749="OK"),"",IF(COUNTIFS($A$2:$A1749,$A1749,$B$2:$B1749,$B1749)=1,1,""))</f>
        <v/>
      </c>
      <c r="S1749" s="20">
        <f>IF($R1749=1,COUNTIF($R$2:$R1749,1),"")</f>
        <v/>
      </c>
    </row>
    <row r="1750">
      <c r="A1750" s="19" t="n"/>
      <c r="B1750" s="14" t="n"/>
      <c r="C1750" s="20">
        <f>IF($B1750="","",IFERROR(INDEX(Vinos!$B$2:$B$301,MATCH($B1750,Vinos!$A$2:$A$301,0)),"Código no cargado"))</f>
        <v/>
      </c>
      <c r="D1750" s="14" t="n"/>
      <c r="E1750" s="14" t="n"/>
      <c r="F1750" s="18" t="n"/>
      <c r="G1750" s="18" t="n"/>
      <c r="H1750" s="21">
        <f>IF(AND($F1750="",$G1750=""),"",N($F1750)*IFERROR(N(INDEX(Vinos!$H$2:$H$301,MATCH($B1750,Vinos!$A$2:$A$301,0))),0)+N($G1750))</f>
        <v/>
      </c>
      <c r="I1750" s="18" t="n"/>
      <c r="J1750" s="21">
        <f>IF(OR($H1750="",$I1750=""),"",$H1750-$I1750)</f>
        <v/>
      </c>
      <c r="K1750" s="16">
        <f>IF($H1750="","",IFERROR(IF(INDEX(Vinos!$J$2:$J$301,MATCH($B1750,Vinos!$A$2:$A$301,0))="","",$H1750*INDEX(Vinos!$J$2:$J$301,MATCH($B1750,Vinos!$A$2:$A$301,0))),""))</f>
        <v/>
      </c>
      <c r="L1750" s="16">
        <f>IF($H1750="","",IFERROR(IF(INDEX(Vinos!$K$2:$K$301,MATCH($B1750,Vinos!$A$2:$A$301,0))="","",$H1750*INDEX(Vinos!$K$2:$K$301,MATCH($B1750,Vinos!$A$2:$A$301,0))),""))</f>
        <v/>
      </c>
      <c r="M1750" s="21">
        <f>IF(OR($A1750="",$B1750=""),"",SUMIFS($H$2:$H$2001,$A$2:$A$2001,$A1750,$B$2:$B$2001,$B1750))</f>
        <v/>
      </c>
      <c r="N1750" s="20">
        <f>IF($M1750="","",IF($M1750&lt;=0,"Sin stock: reponer ya",IF($M1750&lt;IFERROR(N(INDEX(Vinos!$N$2:$N$301,MATCH($B1750,Vinos!$A$2:$A$301,0))),0),"Bajo mínimo: reponer","OK")))</f>
        <v/>
      </c>
      <c r="O1750" s="14" t="n"/>
      <c r="P1750" s="14" t="n"/>
      <c r="Q1750" s="20">
        <f>IF($B1750="","",IFERROR(INDEX(Vinos!$C$2:$C$301,MATCH($B1750,Vinos!$A$2:$A$301,0)),""))</f>
        <v/>
      </c>
      <c r="R1750" s="20">
        <f>IF(OR($A1750="",$A1750&lt;&gt;'Resumen del inventario'!$C$3,$N1750="",$N1750="OK"),"",IF(COUNTIFS($A$2:$A1750,$A1750,$B$2:$B1750,$B1750)=1,1,""))</f>
        <v/>
      </c>
      <c r="S1750" s="20">
        <f>IF($R1750=1,COUNTIF($R$2:$R1750,1),"")</f>
        <v/>
      </c>
    </row>
    <row r="1751">
      <c r="A1751" s="19" t="n"/>
      <c r="B1751" s="14" t="n"/>
      <c r="C1751" s="20">
        <f>IF($B1751="","",IFERROR(INDEX(Vinos!$B$2:$B$301,MATCH($B1751,Vinos!$A$2:$A$301,0)),"Código no cargado"))</f>
        <v/>
      </c>
      <c r="D1751" s="14" t="n"/>
      <c r="E1751" s="14" t="n"/>
      <c r="F1751" s="18" t="n"/>
      <c r="G1751" s="18" t="n"/>
      <c r="H1751" s="21">
        <f>IF(AND($F1751="",$G1751=""),"",N($F1751)*IFERROR(N(INDEX(Vinos!$H$2:$H$301,MATCH($B1751,Vinos!$A$2:$A$301,0))),0)+N($G1751))</f>
        <v/>
      </c>
      <c r="I1751" s="18" t="n"/>
      <c r="J1751" s="21">
        <f>IF(OR($H1751="",$I1751=""),"",$H1751-$I1751)</f>
        <v/>
      </c>
      <c r="K1751" s="16">
        <f>IF($H1751="","",IFERROR(IF(INDEX(Vinos!$J$2:$J$301,MATCH($B1751,Vinos!$A$2:$A$301,0))="","",$H1751*INDEX(Vinos!$J$2:$J$301,MATCH($B1751,Vinos!$A$2:$A$301,0))),""))</f>
        <v/>
      </c>
      <c r="L1751" s="16">
        <f>IF($H1751="","",IFERROR(IF(INDEX(Vinos!$K$2:$K$301,MATCH($B1751,Vinos!$A$2:$A$301,0))="","",$H1751*INDEX(Vinos!$K$2:$K$301,MATCH($B1751,Vinos!$A$2:$A$301,0))),""))</f>
        <v/>
      </c>
      <c r="M1751" s="21">
        <f>IF(OR($A1751="",$B1751=""),"",SUMIFS($H$2:$H$2001,$A$2:$A$2001,$A1751,$B$2:$B$2001,$B1751))</f>
        <v/>
      </c>
      <c r="N1751" s="20">
        <f>IF($M1751="","",IF($M1751&lt;=0,"Sin stock: reponer ya",IF($M1751&lt;IFERROR(N(INDEX(Vinos!$N$2:$N$301,MATCH($B1751,Vinos!$A$2:$A$301,0))),0),"Bajo mínimo: reponer","OK")))</f>
        <v/>
      </c>
      <c r="O1751" s="14" t="n"/>
      <c r="P1751" s="14" t="n"/>
      <c r="Q1751" s="20">
        <f>IF($B1751="","",IFERROR(INDEX(Vinos!$C$2:$C$301,MATCH($B1751,Vinos!$A$2:$A$301,0)),""))</f>
        <v/>
      </c>
      <c r="R1751" s="20">
        <f>IF(OR($A1751="",$A1751&lt;&gt;'Resumen del inventario'!$C$3,$N1751="",$N1751="OK"),"",IF(COUNTIFS($A$2:$A1751,$A1751,$B$2:$B1751,$B1751)=1,1,""))</f>
        <v/>
      </c>
      <c r="S1751" s="20">
        <f>IF($R1751=1,COUNTIF($R$2:$R1751,1),"")</f>
        <v/>
      </c>
    </row>
    <row r="1752">
      <c r="A1752" s="19" t="n"/>
      <c r="B1752" s="14" t="n"/>
      <c r="C1752" s="20">
        <f>IF($B1752="","",IFERROR(INDEX(Vinos!$B$2:$B$301,MATCH($B1752,Vinos!$A$2:$A$301,0)),"Código no cargado"))</f>
        <v/>
      </c>
      <c r="D1752" s="14" t="n"/>
      <c r="E1752" s="14" t="n"/>
      <c r="F1752" s="18" t="n"/>
      <c r="G1752" s="18" t="n"/>
      <c r="H1752" s="21">
        <f>IF(AND($F1752="",$G1752=""),"",N($F1752)*IFERROR(N(INDEX(Vinos!$H$2:$H$301,MATCH($B1752,Vinos!$A$2:$A$301,0))),0)+N($G1752))</f>
        <v/>
      </c>
      <c r="I1752" s="18" t="n"/>
      <c r="J1752" s="21">
        <f>IF(OR($H1752="",$I1752=""),"",$H1752-$I1752)</f>
        <v/>
      </c>
      <c r="K1752" s="16">
        <f>IF($H1752="","",IFERROR(IF(INDEX(Vinos!$J$2:$J$301,MATCH($B1752,Vinos!$A$2:$A$301,0))="","",$H1752*INDEX(Vinos!$J$2:$J$301,MATCH($B1752,Vinos!$A$2:$A$301,0))),""))</f>
        <v/>
      </c>
      <c r="L1752" s="16">
        <f>IF($H1752="","",IFERROR(IF(INDEX(Vinos!$K$2:$K$301,MATCH($B1752,Vinos!$A$2:$A$301,0))="","",$H1752*INDEX(Vinos!$K$2:$K$301,MATCH($B1752,Vinos!$A$2:$A$301,0))),""))</f>
        <v/>
      </c>
      <c r="M1752" s="21">
        <f>IF(OR($A1752="",$B1752=""),"",SUMIFS($H$2:$H$2001,$A$2:$A$2001,$A1752,$B$2:$B$2001,$B1752))</f>
        <v/>
      </c>
      <c r="N1752" s="20">
        <f>IF($M1752="","",IF($M1752&lt;=0,"Sin stock: reponer ya",IF($M1752&lt;IFERROR(N(INDEX(Vinos!$N$2:$N$301,MATCH($B1752,Vinos!$A$2:$A$301,0))),0),"Bajo mínimo: reponer","OK")))</f>
        <v/>
      </c>
      <c r="O1752" s="14" t="n"/>
      <c r="P1752" s="14" t="n"/>
      <c r="Q1752" s="20">
        <f>IF($B1752="","",IFERROR(INDEX(Vinos!$C$2:$C$301,MATCH($B1752,Vinos!$A$2:$A$301,0)),""))</f>
        <v/>
      </c>
      <c r="R1752" s="20">
        <f>IF(OR($A1752="",$A1752&lt;&gt;'Resumen del inventario'!$C$3,$N1752="",$N1752="OK"),"",IF(COUNTIFS($A$2:$A1752,$A1752,$B$2:$B1752,$B1752)=1,1,""))</f>
        <v/>
      </c>
      <c r="S1752" s="20">
        <f>IF($R1752=1,COUNTIF($R$2:$R1752,1),"")</f>
        <v/>
      </c>
    </row>
    <row r="1753">
      <c r="A1753" s="19" t="n"/>
      <c r="B1753" s="14" t="n"/>
      <c r="C1753" s="20">
        <f>IF($B1753="","",IFERROR(INDEX(Vinos!$B$2:$B$301,MATCH($B1753,Vinos!$A$2:$A$301,0)),"Código no cargado"))</f>
        <v/>
      </c>
      <c r="D1753" s="14" t="n"/>
      <c r="E1753" s="14" t="n"/>
      <c r="F1753" s="18" t="n"/>
      <c r="G1753" s="18" t="n"/>
      <c r="H1753" s="21">
        <f>IF(AND($F1753="",$G1753=""),"",N($F1753)*IFERROR(N(INDEX(Vinos!$H$2:$H$301,MATCH($B1753,Vinos!$A$2:$A$301,0))),0)+N($G1753))</f>
        <v/>
      </c>
      <c r="I1753" s="18" t="n"/>
      <c r="J1753" s="21">
        <f>IF(OR($H1753="",$I1753=""),"",$H1753-$I1753)</f>
        <v/>
      </c>
      <c r="K1753" s="16">
        <f>IF($H1753="","",IFERROR(IF(INDEX(Vinos!$J$2:$J$301,MATCH($B1753,Vinos!$A$2:$A$301,0))="","",$H1753*INDEX(Vinos!$J$2:$J$301,MATCH($B1753,Vinos!$A$2:$A$301,0))),""))</f>
        <v/>
      </c>
      <c r="L1753" s="16">
        <f>IF($H1753="","",IFERROR(IF(INDEX(Vinos!$K$2:$K$301,MATCH($B1753,Vinos!$A$2:$A$301,0))="","",$H1753*INDEX(Vinos!$K$2:$K$301,MATCH($B1753,Vinos!$A$2:$A$301,0))),""))</f>
        <v/>
      </c>
      <c r="M1753" s="21">
        <f>IF(OR($A1753="",$B1753=""),"",SUMIFS($H$2:$H$2001,$A$2:$A$2001,$A1753,$B$2:$B$2001,$B1753))</f>
        <v/>
      </c>
      <c r="N1753" s="20">
        <f>IF($M1753="","",IF($M1753&lt;=0,"Sin stock: reponer ya",IF($M1753&lt;IFERROR(N(INDEX(Vinos!$N$2:$N$301,MATCH($B1753,Vinos!$A$2:$A$301,0))),0),"Bajo mínimo: reponer","OK")))</f>
        <v/>
      </c>
      <c r="O1753" s="14" t="n"/>
      <c r="P1753" s="14" t="n"/>
      <c r="Q1753" s="20">
        <f>IF($B1753="","",IFERROR(INDEX(Vinos!$C$2:$C$301,MATCH($B1753,Vinos!$A$2:$A$301,0)),""))</f>
        <v/>
      </c>
      <c r="R1753" s="20">
        <f>IF(OR($A1753="",$A1753&lt;&gt;'Resumen del inventario'!$C$3,$N1753="",$N1753="OK"),"",IF(COUNTIFS($A$2:$A1753,$A1753,$B$2:$B1753,$B1753)=1,1,""))</f>
        <v/>
      </c>
      <c r="S1753" s="20">
        <f>IF($R1753=1,COUNTIF($R$2:$R1753,1),"")</f>
        <v/>
      </c>
    </row>
    <row r="1754">
      <c r="A1754" s="19" t="n"/>
      <c r="B1754" s="14" t="n"/>
      <c r="C1754" s="20">
        <f>IF($B1754="","",IFERROR(INDEX(Vinos!$B$2:$B$301,MATCH($B1754,Vinos!$A$2:$A$301,0)),"Código no cargado"))</f>
        <v/>
      </c>
      <c r="D1754" s="14" t="n"/>
      <c r="E1754" s="14" t="n"/>
      <c r="F1754" s="18" t="n"/>
      <c r="G1754" s="18" t="n"/>
      <c r="H1754" s="21">
        <f>IF(AND($F1754="",$G1754=""),"",N($F1754)*IFERROR(N(INDEX(Vinos!$H$2:$H$301,MATCH($B1754,Vinos!$A$2:$A$301,0))),0)+N($G1754))</f>
        <v/>
      </c>
      <c r="I1754" s="18" t="n"/>
      <c r="J1754" s="21">
        <f>IF(OR($H1754="",$I1754=""),"",$H1754-$I1754)</f>
        <v/>
      </c>
      <c r="K1754" s="16">
        <f>IF($H1754="","",IFERROR(IF(INDEX(Vinos!$J$2:$J$301,MATCH($B1754,Vinos!$A$2:$A$301,0))="","",$H1754*INDEX(Vinos!$J$2:$J$301,MATCH($B1754,Vinos!$A$2:$A$301,0))),""))</f>
        <v/>
      </c>
      <c r="L1754" s="16">
        <f>IF($H1754="","",IFERROR(IF(INDEX(Vinos!$K$2:$K$301,MATCH($B1754,Vinos!$A$2:$A$301,0))="","",$H1754*INDEX(Vinos!$K$2:$K$301,MATCH($B1754,Vinos!$A$2:$A$301,0))),""))</f>
        <v/>
      </c>
      <c r="M1754" s="21">
        <f>IF(OR($A1754="",$B1754=""),"",SUMIFS($H$2:$H$2001,$A$2:$A$2001,$A1754,$B$2:$B$2001,$B1754))</f>
        <v/>
      </c>
      <c r="N1754" s="20">
        <f>IF($M1754="","",IF($M1754&lt;=0,"Sin stock: reponer ya",IF($M1754&lt;IFERROR(N(INDEX(Vinos!$N$2:$N$301,MATCH($B1754,Vinos!$A$2:$A$301,0))),0),"Bajo mínimo: reponer","OK")))</f>
        <v/>
      </c>
      <c r="O1754" s="14" t="n"/>
      <c r="P1754" s="14" t="n"/>
      <c r="Q1754" s="20">
        <f>IF($B1754="","",IFERROR(INDEX(Vinos!$C$2:$C$301,MATCH($B1754,Vinos!$A$2:$A$301,0)),""))</f>
        <v/>
      </c>
      <c r="R1754" s="20">
        <f>IF(OR($A1754="",$A1754&lt;&gt;'Resumen del inventario'!$C$3,$N1754="",$N1754="OK"),"",IF(COUNTIFS($A$2:$A1754,$A1754,$B$2:$B1754,$B1754)=1,1,""))</f>
        <v/>
      </c>
      <c r="S1754" s="20">
        <f>IF($R1754=1,COUNTIF($R$2:$R1754,1),"")</f>
        <v/>
      </c>
    </row>
    <row r="1755">
      <c r="A1755" s="19" t="n"/>
      <c r="B1755" s="14" t="n"/>
      <c r="C1755" s="20">
        <f>IF($B1755="","",IFERROR(INDEX(Vinos!$B$2:$B$301,MATCH($B1755,Vinos!$A$2:$A$301,0)),"Código no cargado"))</f>
        <v/>
      </c>
      <c r="D1755" s="14" t="n"/>
      <c r="E1755" s="14" t="n"/>
      <c r="F1755" s="18" t="n"/>
      <c r="G1755" s="18" t="n"/>
      <c r="H1755" s="21">
        <f>IF(AND($F1755="",$G1755=""),"",N($F1755)*IFERROR(N(INDEX(Vinos!$H$2:$H$301,MATCH($B1755,Vinos!$A$2:$A$301,0))),0)+N($G1755))</f>
        <v/>
      </c>
      <c r="I1755" s="18" t="n"/>
      <c r="J1755" s="21">
        <f>IF(OR($H1755="",$I1755=""),"",$H1755-$I1755)</f>
        <v/>
      </c>
      <c r="K1755" s="16">
        <f>IF($H1755="","",IFERROR(IF(INDEX(Vinos!$J$2:$J$301,MATCH($B1755,Vinos!$A$2:$A$301,0))="","",$H1755*INDEX(Vinos!$J$2:$J$301,MATCH($B1755,Vinos!$A$2:$A$301,0))),""))</f>
        <v/>
      </c>
      <c r="L1755" s="16">
        <f>IF($H1755="","",IFERROR(IF(INDEX(Vinos!$K$2:$K$301,MATCH($B1755,Vinos!$A$2:$A$301,0))="","",$H1755*INDEX(Vinos!$K$2:$K$301,MATCH($B1755,Vinos!$A$2:$A$301,0))),""))</f>
        <v/>
      </c>
      <c r="M1755" s="21">
        <f>IF(OR($A1755="",$B1755=""),"",SUMIFS($H$2:$H$2001,$A$2:$A$2001,$A1755,$B$2:$B$2001,$B1755))</f>
        <v/>
      </c>
      <c r="N1755" s="20">
        <f>IF($M1755="","",IF($M1755&lt;=0,"Sin stock: reponer ya",IF($M1755&lt;IFERROR(N(INDEX(Vinos!$N$2:$N$301,MATCH($B1755,Vinos!$A$2:$A$301,0))),0),"Bajo mínimo: reponer","OK")))</f>
        <v/>
      </c>
      <c r="O1755" s="14" t="n"/>
      <c r="P1755" s="14" t="n"/>
      <c r="Q1755" s="20">
        <f>IF($B1755="","",IFERROR(INDEX(Vinos!$C$2:$C$301,MATCH($B1755,Vinos!$A$2:$A$301,0)),""))</f>
        <v/>
      </c>
      <c r="R1755" s="20">
        <f>IF(OR($A1755="",$A1755&lt;&gt;'Resumen del inventario'!$C$3,$N1755="",$N1755="OK"),"",IF(COUNTIFS($A$2:$A1755,$A1755,$B$2:$B1755,$B1755)=1,1,""))</f>
        <v/>
      </c>
      <c r="S1755" s="20">
        <f>IF($R1755=1,COUNTIF($R$2:$R1755,1),"")</f>
        <v/>
      </c>
    </row>
    <row r="1756">
      <c r="A1756" s="19" t="n"/>
      <c r="B1756" s="14" t="n"/>
      <c r="C1756" s="20">
        <f>IF($B1756="","",IFERROR(INDEX(Vinos!$B$2:$B$301,MATCH($B1756,Vinos!$A$2:$A$301,0)),"Código no cargado"))</f>
        <v/>
      </c>
      <c r="D1756" s="14" t="n"/>
      <c r="E1756" s="14" t="n"/>
      <c r="F1756" s="18" t="n"/>
      <c r="G1756" s="18" t="n"/>
      <c r="H1756" s="21">
        <f>IF(AND($F1756="",$G1756=""),"",N($F1756)*IFERROR(N(INDEX(Vinos!$H$2:$H$301,MATCH($B1756,Vinos!$A$2:$A$301,0))),0)+N($G1756))</f>
        <v/>
      </c>
      <c r="I1756" s="18" t="n"/>
      <c r="J1756" s="21">
        <f>IF(OR($H1756="",$I1756=""),"",$H1756-$I1756)</f>
        <v/>
      </c>
      <c r="K1756" s="16">
        <f>IF($H1756="","",IFERROR(IF(INDEX(Vinos!$J$2:$J$301,MATCH($B1756,Vinos!$A$2:$A$301,0))="","",$H1756*INDEX(Vinos!$J$2:$J$301,MATCH($B1756,Vinos!$A$2:$A$301,0))),""))</f>
        <v/>
      </c>
      <c r="L1756" s="16">
        <f>IF($H1756="","",IFERROR(IF(INDEX(Vinos!$K$2:$K$301,MATCH($B1756,Vinos!$A$2:$A$301,0))="","",$H1756*INDEX(Vinos!$K$2:$K$301,MATCH($B1756,Vinos!$A$2:$A$301,0))),""))</f>
        <v/>
      </c>
      <c r="M1756" s="21">
        <f>IF(OR($A1756="",$B1756=""),"",SUMIFS($H$2:$H$2001,$A$2:$A$2001,$A1756,$B$2:$B$2001,$B1756))</f>
        <v/>
      </c>
      <c r="N1756" s="20">
        <f>IF($M1756="","",IF($M1756&lt;=0,"Sin stock: reponer ya",IF($M1756&lt;IFERROR(N(INDEX(Vinos!$N$2:$N$301,MATCH($B1756,Vinos!$A$2:$A$301,0))),0),"Bajo mínimo: reponer","OK")))</f>
        <v/>
      </c>
      <c r="O1756" s="14" t="n"/>
      <c r="P1756" s="14" t="n"/>
      <c r="Q1756" s="20">
        <f>IF($B1756="","",IFERROR(INDEX(Vinos!$C$2:$C$301,MATCH($B1756,Vinos!$A$2:$A$301,0)),""))</f>
        <v/>
      </c>
      <c r="R1756" s="20">
        <f>IF(OR($A1756="",$A1756&lt;&gt;'Resumen del inventario'!$C$3,$N1756="",$N1756="OK"),"",IF(COUNTIFS($A$2:$A1756,$A1756,$B$2:$B1756,$B1756)=1,1,""))</f>
        <v/>
      </c>
      <c r="S1756" s="20">
        <f>IF($R1756=1,COUNTIF($R$2:$R1756,1),"")</f>
        <v/>
      </c>
    </row>
    <row r="1757">
      <c r="A1757" s="19" t="n"/>
      <c r="B1757" s="14" t="n"/>
      <c r="C1757" s="20">
        <f>IF($B1757="","",IFERROR(INDEX(Vinos!$B$2:$B$301,MATCH($B1757,Vinos!$A$2:$A$301,0)),"Código no cargado"))</f>
        <v/>
      </c>
      <c r="D1757" s="14" t="n"/>
      <c r="E1757" s="14" t="n"/>
      <c r="F1757" s="18" t="n"/>
      <c r="G1757" s="18" t="n"/>
      <c r="H1757" s="21">
        <f>IF(AND($F1757="",$G1757=""),"",N($F1757)*IFERROR(N(INDEX(Vinos!$H$2:$H$301,MATCH($B1757,Vinos!$A$2:$A$301,0))),0)+N($G1757))</f>
        <v/>
      </c>
      <c r="I1757" s="18" t="n"/>
      <c r="J1757" s="21">
        <f>IF(OR($H1757="",$I1757=""),"",$H1757-$I1757)</f>
        <v/>
      </c>
      <c r="K1757" s="16">
        <f>IF($H1757="","",IFERROR(IF(INDEX(Vinos!$J$2:$J$301,MATCH($B1757,Vinos!$A$2:$A$301,0))="","",$H1757*INDEX(Vinos!$J$2:$J$301,MATCH($B1757,Vinos!$A$2:$A$301,0))),""))</f>
        <v/>
      </c>
      <c r="L1757" s="16">
        <f>IF($H1757="","",IFERROR(IF(INDEX(Vinos!$K$2:$K$301,MATCH($B1757,Vinos!$A$2:$A$301,0))="","",$H1757*INDEX(Vinos!$K$2:$K$301,MATCH($B1757,Vinos!$A$2:$A$301,0))),""))</f>
        <v/>
      </c>
      <c r="M1757" s="21">
        <f>IF(OR($A1757="",$B1757=""),"",SUMIFS($H$2:$H$2001,$A$2:$A$2001,$A1757,$B$2:$B$2001,$B1757))</f>
        <v/>
      </c>
      <c r="N1757" s="20">
        <f>IF($M1757="","",IF($M1757&lt;=0,"Sin stock: reponer ya",IF($M1757&lt;IFERROR(N(INDEX(Vinos!$N$2:$N$301,MATCH($B1757,Vinos!$A$2:$A$301,0))),0),"Bajo mínimo: reponer","OK")))</f>
        <v/>
      </c>
      <c r="O1757" s="14" t="n"/>
      <c r="P1757" s="14" t="n"/>
      <c r="Q1757" s="20">
        <f>IF($B1757="","",IFERROR(INDEX(Vinos!$C$2:$C$301,MATCH($B1757,Vinos!$A$2:$A$301,0)),""))</f>
        <v/>
      </c>
      <c r="R1757" s="20">
        <f>IF(OR($A1757="",$A1757&lt;&gt;'Resumen del inventario'!$C$3,$N1757="",$N1757="OK"),"",IF(COUNTIFS($A$2:$A1757,$A1757,$B$2:$B1757,$B1757)=1,1,""))</f>
        <v/>
      </c>
      <c r="S1757" s="20">
        <f>IF($R1757=1,COUNTIF($R$2:$R1757,1),"")</f>
        <v/>
      </c>
    </row>
    <row r="1758">
      <c r="A1758" s="19" t="n"/>
      <c r="B1758" s="14" t="n"/>
      <c r="C1758" s="20">
        <f>IF($B1758="","",IFERROR(INDEX(Vinos!$B$2:$B$301,MATCH($B1758,Vinos!$A$2:$A$301,0)),"Código no cargado"))</f>
        <v/>
      </c>
      <c r="D1758" s="14" t="n"/>
      <c r="E1758" s="14" t="n"/>
      <c r="F1758" s="18" t="n"/>
      <c r="G1758" s="18" t="n"/>
      <c r="H1758" s="21">
        <f>IF(AND($F1758="",$G1758=""),"",N($F1758)*IFERROR(N(INDEX(Vinos!$H$2:$H$301,MATCH($B1758,Vinos!$A$2:$A$301,0))),0)+N($G1758))</f>
        <v/>
      </c>
      <c r="I1758" s="18" t="n"/>
      <c r="J1758" s="21">
        <f>IF(OR($H1758="",$I1758=""),"",$H1758-$I1758)</f>
        <v/>
      </c>
      <c r="K1758" s="16">
        <f>IF($H1758="","",IFERROR(IF(INDEX(Vinos!$J$2:$J$301,MATCH($B1758,Vinos!$A$2:$A$301,0))="","",$H1758*INDEX(Vinos!$J$2:$J$301,MATCH($B1758,Vinos!$A$2:$A$301,0))),""))</f>
        <v/>
      </c>
      <c r="L1758" s="16">
        <f>IF($H1758="","",IFERROR(IF(INDEX(Vinos!$K$2:$K$301,MATCH($B1758,Vinos!$A$2:$A$301,0))="","",$H1758*INDEX(Vinos!$K$2:$K$301,MATCH($B1758,Vinos!$A$2:$A$301,0))),""))</f>
        <v/>
      </c>
      <c r="M1758" s="21">
        <f>IF(OR($A1758="",$B1758=""),"",SUMIFS($H$2:$H$2001,$A$2:$A$2001,$A1758,$B$2:$B$2001,$B1758))</f>
        <v/>
      </c>
      <c r="N1758" s="20">
        <f>IF($M1758="","",IF($M1758&lt;=0,"Sin stock: reponer ya",IF($M1758&lt;IFERROR(N(INDEX(Vinos!$N$2:$N$301,MATCH($B1758,Vinos!$A$2:$A$301,0))),0),"Bajo mínimo: reponer","OK")))</f>
        <v/>
      </c>
      <c r="O1758" s="14" t="n"/>
      <c r="P1758" s="14" t="n"/>
      <c r="Q1758" s="20">
        <f>IF($B1758="","",IFERROR(INDEX(Vinos!$C$2:$C$301,MATCH($B1758,Vinos!$A$2:$A$301,0)),""))</f>
        <v/>
      </c>
      <c r="R1758" s="20">
        <f>IF(OR($A1758="",$A1758&lt;&gt;'Resumen del inventario'!$C$3,$N1758="",$N1758="OK"),"",IF(COUNTIFS($A$2:$A1758,$A1758,$B$2:$B1758,$B1758)=1,1,""))</f>
        <v/>
      </c>
      <c r="S1758" s="20">
        <f>IF($R1758=1,COUNTIF($R$2:$R1758,1),"")</f>
        <v/>
      </c>
    </row>
    <row r="1759">
      <c r="A1759" s="19" t="n"/>
      <c r="B1759" s="14" t="n"/>
      <c r="C1759" s="20">
        <f>IF($B1759="","",IFERROR(INDEX(Vinos!$B$2:$B$301,MATCH($B1759,Vinos!$A$2:$A$301,0)),"Código no cargado"))</f>
        <v/>
      </c>
      <c r="D1759" s="14" t="n"/>
      <c r="E1759" s="14" t="n"/>
      <c r="F1759" s="18" t="n"/>
      <c r="G1759" s="18" t="n"/>
      <c r="H1759" s="21">
        <f>IF(AND($F1759="",$G1759=""),"",N($F1759)*IFERROR(N(INDEX(Vinos!$H$2:$H$301,MATCH($B1759,Vinos!$A$2:$A$301,0))),0)+N($G1759))</f>
        <v/>
      </c>
      <c r="I1759" s="18" t="n"/>
      <c r="J1759" s="21">
        <f>IF(OR($H1759="",$I1759=""),"",$H1759-$I1759)</f>
        <v/>
      </c>
      <c r="K1759" s="16">
        <f>IF($H1759="","",IFERROR(IF(INDEX(Vinos!$J$2:$J$301,MATCH($B1759,Vinos!$A$2:$A$301,0))="","",$H1759*INDEX(Vinos!$J$2:$J$301,MATCH($B1759,Vinos!$A$2:$A$301,0))),""))</f>
        <v/>
      </c>
      <c r="L1759" s="16">
        <f>IF($H1759="","",IFERROR(IF(INDEX(Vinos!$K$2:$K$301,MATCH($B1759,Vinos!$A$2:$A$301,0))="","",$H1759*INDEX(Vinos!$K$2:$K$301,MATCH($B1759,Vinos!$A$2:$A$301,0))),""))</f>
        <v/>
      </c>
      <c r="M1759" s="21">
        <f>IF(OR($A1759="",$B1759=""),"",SUMIFS($H$2:$H$2001,$A$2:$A$2001,$A1759,$B$2:$B$2001,$B1759))</f>
        <v/>
      </c>
      <c r="N1759" s="20">
        <f>IF($M1759="","",IF($M1759&lt;=0,"Sin stock: reponer ya",IF($M1759&lt;IFERROR(N(INDEX(Vinos!$N$2:$N$301,MATCH($B1759,Vinos!$A$2:$A$301,0))),0),"Bajo mínimo: reponer","OK")))</f>
        <v/>
      </c>
      <c r="O1759" s="14" t="n"/>
      <c r="P1759" s="14" t="n"/>
      <c r="Q1759" s="20">
        <f>IF($B1759="","",IFERROR(INDEX(Vinos!$C$2:$C$301,MATCH($B1759,Vinos!$A$2:$A$301,0)),""))</f>
        <v/>
      </c>
      <c r="R1759" s="20">
        <f>IF(OR($A1759="",$A1759&lt;&gt;'Resumen del inventario'!$C$3,$N1759="",$N1759="OK"),"",IF(COUNTIFS($A$2:$A1759,$A1759,$B$2:$B1759,$B1759)=1,1,""))</f>
        <v/>
      </c>
      <c r="S1759" s="20">
        <f>IF($R1759=1,COUNTIF($R$2:$R1759,1),"")</f>
        <v/>
      </c>
    </row>
    <row r="1760">
      <c r="A1760" s="19" t="n"/>
      <c r="B1760" s="14" t="n"/>
      <c r="C1760" s="20">
        <f>IF($B1760="","",IFERROR(INDEX(Vinos!$B$2:$B$301,MATCH($B1760,Vinos!$A$2:$A$301,0)),"Código no cargado"))</f>
        <v/>
      </c>
      <c r="D1760" s="14" t="n"/>
      <c r="E1760" s="14" t="n"/>
      <c r="F1760" s="18" t="n"/>
      <c r="G1760" s="18" t="n"/>
      <c r="H1760" s="21">
        <f>IF(AND($F1760="",$G1760=""),"",N($F1760)*IFERROR(N(INDEX(Vinos!$H$2:$H$301,MATCH($B1760,Vinos!$A$2:$A$301,0))),0)+N($G1760))</f>
        <v/>
      </c>
      <c r="I1760" s="18" t="n"/>
      <c r="J1760" s="21">
        <f>IF(OR($H1760="",$I1760=""),"",$H1760-$I1760)</f>
        <v/>
      </c>
      <c r="K1760" s="16">
        <f>IF($H1760="","",IFERROR(IF(INDEX(Vinos!$J$2:$J$301,MATCH($B1760,Vinos!$A$2:$A$301,0))="","",$H1760*INDEX(Vinos!$J$2:$J$301,MATCH($B1760,Vinos!$A$2:$A$301,0))),""))</f>
        <v/>
      </c>
      <c r="L1760" s="16">
        <f>IF($H1760="","",IFERROR(IF(INDEX(Vinos!$K$2:$K$301,MATCH($B1760,Vinos!$A$2:$A$301,0))="","",$H1760*INDEX(Vinos!$K$2:$K$301,MATCH($B1760,Vinos!$A$2:$A$301,0))),""))</f>
        <v/>
      </c>
      <c r="M1760" s="21">
        <f>IF(OR($A1760="",$B1760=""),"",SUMIFS($H$2:$H$2001,$A$2:$A$2001,$A1760,$B$2:$B$2001,$B1760))</f>
        <v/>
      </c>
      <c r="N1760" s="20">
        <f>IF($M1760="","",IF($M1760&lt;=0,"Sin stock: reponer ya",IF($M1760&lt;IFERROR(N(INDEX(Vinos!$N$2:$N$301,MATCH($B1760,Vinos!$A$2:$A$301,0))),0),"Bajo mínimo: reponer","OK")))</f>
        <v/>
      </c>
      <c r="O1760" s="14" t="n"/>
      <c r="P1760" s="14" t="n"/>
      <c r="Q1760" s="20">
        <f>IF($B1760="","",IFERROR(INDEX(Vinos!$C$2:$C$301,MATCH($B1760,Vinos!$A$2:$A$301,0)),""))</f>
        <v/>
      </c>
      <c r="R1760" s="20">
        <f>IF(OR($A1760="",$A1760&lt;&gt;'Resumen del inventario'!$C$3,$N1760="",$N1760="OK"),"",IF(COUNTIFS($A$2:$A1760,$A1760,$B$2:$B1760,$B1760)=1,1,""))</f>
        <v/>
      </c>
      <c r="S1760" s="20">
        <f>IF($R1760=1,COUNTIF($R$2:$R1760,1),"")</f>
        <v/>
      </c>
    </row>
    <row r="1761">
      <c r="A1761" s="19" t="n"/>
      <c r="B1761" s="14" t="n"/>
      <c r="C1761" s="20">
        <f>IF($B1761="","",IFERROR(INDEX(Vinos!$B$2:$B$301,MATCH($B1761,Vinos!$A$2:$A$301,0)),"Código no cargado"))</f>
        <v/>
      </c>
      <c r="D1761" s="14" t="n"/>
      <c r="E1761" s="14" t="n"/>
      <c r="F1761" s="18" t="n"/>
      <c r="G1761" s="18" t="n"/>
      <c r="H1761" s="21">
        <f>IF(AND($F1761="",$G1761=""),"",N($F1761)*IFERROR(N(INDEX(Vinos!$H$2:$H$301,MATCH($B1761,Vinos!$A$2:$A$301,0))),0)+N($G1761))</f>
        <v/>
      </c>
      <c r="I1761" s="18" t="n"/>
      <c r="J1761" s="21">
        <f>IF(OR($H1761="",$I1761=""),"",$H1761-$I1761)</f>
        <v/>
      </c>
      <c r="K1761" s="16">
        <f>IF($H1761="","",IFERROR(IF(INDEX(Vinos!$J$2:$J$301,MATCH($B1761,Vinos!$A$2:$A$301,0))="","",$H1761*INDEX(Vinos!$J$2:$J$301,MATCH($B1761,Vinos!$A$2:$A$301,0))),""))</f>
        <v/>
      </c>
      <c r="L1761" s="16">
        <f>IF($H1761="","",IFERROR(IF(INDEX(Vinos!$K$2:$K$301,MATCH($B1761,Vinos!$A$2:$A$301,0))="","",$H1761*INDEX(Vinos!$K$2:$K$301,MATCH($B1761,Vinos!$A$2:$A$301,0))),""))</f>
        <v/>
      </c>
      <c r="M1761" s="21">
        <f>IF(OR($A1761="",$B1761=""),"",SUMIFS($H$2:$H$2001,$A$2:$A$2001,$A1761,$B$2:$B$2001,$B1761))</f>
        <v/>
      </c>
      <c r="N1761" s="20">
        <f>IF($M1761="","",IF($M1761&lt;=0,"Sin stock: reponer ya",IF($M1761&lt;IFERROR(N(INDEX(Vinos!$N$2:$N$301,MATCH($B1761,Vinos!$A$2:$A$301,0))),0),"Bajo mínimo: reponer","OK")))</f>
        <v/>
      </c>
      <c r="O1761" s="14" t="n"/>
      <c r="P1761" s="14" t="n"/>
      <c r="Q1761" s="20">
        <f>IF($B1761="","",IFERROR(INDEX(Vinos!$C$2:$C$301,MATCH($B1761,Vinos!$A$2:$A$301,0)),""))</f>
        <v/>
      </c>
      <c r="R1761" s="20">
        <f>IF(OR($A1761="",$A1761&lt;&gt;'Resumen del inventario'!$C$3,$N1761="",$N1761="OK"),"",IF(COUNTIFS($A$2:$A1761,$A1761,$B$2:$B1761,$B1761)=1,1,""))</f>
        <v/>
      </c>
      <c r="S1761" s="20">
        <f>IF($R1761=1,COUNTIF($R$2:$R1761,1),"")</f>
        <v/>
      </c>
    </row>
    <row r="1762">
      <c r="A1762" s="19" t="n"/>
      <c r="B1762" s="14" t="n"/>
      <c r="C1762" s="20">
        <f>IF($B1762="","",IFERROR(INDEX(Vinos!$B$2:$B$301,MATCH($B1762,Vinos!$A$2:$A$301,0)),"Código no cargado"))</f>
        <v/>
      </c>
      <c r="D1762" s="14" t="n"/>
      <c r="E1762" s="14" t="n"/>
      <c r="F1762" s="18" t="n"/>
      <c r="G1762" s="18" t="n"/>
      <c r="H1762" s="21">
        <f>IF(AND($F1762="",$G1762=""),"",N($F1762)*IFERROR(N(INDEX(Vinos!$H$2:$H$301,MATCH($B1762,Vinos!$A$2:$A$301,0))),0)+N($G1762))</f>
        <v/>
      </c>
      <c r="I1762" s="18" t="n"/>
      <c r="J1762" s="21">
        <f>IF(OR($H1762="",$I1762=""),"",$H1762-$I1762)</f>
        <v/>
      </c>
      <c r="K1762" s="16">
        <f>IF($H1762="","",IFERROR(IF(INDEX(Vinos!$J$2:$J$301,MATCH($B1762,Vinos!$A$2:$A$301,0))="","",$H1762*INDEX(Vinos!$J$2:$J$301,MATCH($B1762,Vinos!$A$2:$A$301,0))),""))</f>
        <v/>
      </c>
      <c r="L1762" s="16">
        <f>IF($H1762="","",IFERROR(IF(INDEX(Vinos!$K$2:$K$301,MATCH($B1762,Vinos!$A$2:$A$301,0))="","",$H1762*INDEX(Vinos!$K$2:$K$301,MATCH($B1762,Vinos!$A$2:$A$301,0))),""))</f>
        <v/>
      </c>
      <c r="M1762" s="21">
        <f>IF(OR($A1762="",$B1762=""),"",SUMIFS($H$2:$H$2001,$A$2:$A$2001,$A1762,$B$2:$B$2001,$B1762))</f>
        <v/>
      </c>
      <c r="N1762" s="20">
        <f>IF($M1762="","",IF($M1762&lt;=0,"Sin stock: reponer ya",IF($M1762&lt;IFERROR(N(INDEX(Vinos!$N$2:$N$301,MATCH($B1762,Vinos!$A$2:$A$301,0))),0),"Bajo mínimo: reponer","OK")))</f>
        <v/>
      </c>
      <c r="O1762" s="14" t="n"/>
      <c r="P1762" s="14" t="n"/>
      <c r="Q1762" s="20">
        <f>IF($B1762="","",IFERROR(INDEX(Vinos!$C$2:$C$301,MATCH($B1762,Vinos!$A$2:$A$301,0)),""))</f>
        <v/>
      </c>
      <c r="R1762" s="20">
        <f>IF(OR($A1762="",$A1762&lt;&gt;'Resumen del inventario'!$C$3,$N1762="",$N1762="OK"),"",IF(COUNTIFS($A$2:$A1762,$A1762,$B$2:$B1762,$B1762)=1,1,""))</f>
        <v/>
      </c>
      <c r="S1762" s="20">
        <f>IF($R1762=1,COUNTIF($R$2:$R1762,1),"")</f>
        <v/>
      </c>
    </row>
    <row r="1763">
      <c r="A1763" s="19" t="n"/>
      <c r="B1763" s="14" t="n"/>
      <c r="C1763" s="20">
        <f>IF($B1763="","",IFERROR(INDEX(Vinos!$B$2:$B$301,MATCH($B1763,Vinos!$A$2:$A$301,0)),"Código no cargado"))</f>
        <v/>
      </c>
      <c r="D1763" s="14" t="n"/>
      <c r="E1763" s="14" t="n"/>
      <c r="F1763" s="18" t="n"/>
      <c r="G1763" s="18" t="n"/>
      <c r="H1763" s="21">
        <f>IF(AND($F1763="",$G1763=""),"",N($F1763)*IFERROR(N(INDEX(Vinos!$H$2:$H$301,MATCH($B1763,Vinos!$A$2:$A$301,0))),0)+N($G1763))</f>
        <v/>
      </c>
      <c r="I1763" s="18" t="n"/>
      <c r="J1763" s="21">
        <f>IF(OR($H1763="",$I1763=""),"",$H1763-$I1763)</f>
        <v/>
      </c>
      <c r="K1763" s="16">
        <f>IF($H1763="","",IFERROR(IF(INDEX(Vinos!$J$2:$J$301,MATCH($B1763,Vinos!$A$2:$A$301,0))="","",$H1763*INDEX(Vinos!$J$2:$J$301,MATCH($B1763,Vinos!$A$2:$A$301,0))),""))</f>
        <v/>
      </c>
      <c r="L1763" s="16">
        <f>IF($H1763="","",IFERROR(IF(INDEX(Vinos!$K$2:$K$301,MATCH($B1763,Vinos!$A$2:$A$301,0))="","",$H1763*INDEX(Vinos!$K$2:$K$301,MATCH($B1763,Vinos!$A$2:$A$301,0))),""))</f>
        <v/>
      </c>
      <c r="M1763" s="21">
        <f>IF(OR($A1763="",$B1763=""),"",SUMIFS($H$2:$H$2001,$A$2:$A$2001,$A1763,$B$2:$B$2001,$B1763))</f>
        <v/>
      </c>
      <c r="N1763" s="20">
        <f>IF($M1763="","",IF($M1763&lt;=0,"Sin stock: reponer ya",IF($M1763&lt;IFERROR(N(INDEX(Vinos!$N$2:$N$301,MATCH($B1763,Vinos!$A$2:$A$301,0))),0),"Bajo mínimo: reponer","OK")))</f>
        <v/>
      </c>
      <c r="O1763" s="14" t="n"/>
      <c r="P1763" s="14" t="n"/>
      <c r="Q1763" s="20">
        <f>IF($B1763="","",IFERROR(INDEX(Vinos!$C$2:$C$301,MATCH($B1763,Vinos!$A$2:$A$301,0)),""))</f>
        <v/>
      </c>
      <c r="R1763" s="20">
        <f>IF(OR($A1763="",$A1763&lt;&gt;'Resumen del inventario'!$C$3,$N1763="",$N1763="OK"),"",IF(COUNTIFS($A$2:$A1763,$A1763,$B$2:$B1763,$B1763)=1,1,""))</f>
        <v/>
      </c>
      <c r="S1763" s="20">
        <f>IF($R1763=1,COUNTIF($R$2:$R1763,1),"")</f>
        <v/>
      </c>
    </row>
    <row r="1764">
      <c r="A1764" s="19" t="n"/>
      <c r="B1764" s="14" t="n"/>
      <c r="C1764" s="20">
        <f>IF($B1764="","",IFERROR(INDEX(Vinos!$B$2:$B$301,MATCH($B1764,Vinos!$A$2:$A$301,0)),"Código no cargado"))</f>
        <v/>
      </c>
      <c r="D1764" s="14" t="n"/>
      <c r="E1764" s="14" t="n"/>
      <c r="F1764" s="18" t="n"/>
      <c r="G1764" s="18" t="n"/>
      <c r="H1764" s="21">
        <f>IF(AND($F1764="",$G1764=""),"",N($F1764)*IFERROR(N(INDEX(Vinos!$H$2:$H$301,MATCH($B1764,Vinos!$A$2:$A$301,0))),0)+N($G1764))</f>
        <v/>
      </c>
      <c r="I1764" s="18" t="n"/>
      <c r="J1764" s="21">
        <f>IF(OR($H1764="",$I1764=""),"",$H1764-$I1764)</f>
        <v/>
      </c>
      <c r="K1764" s="16">
        <f>IF($H1764="","",IFERROR(IF(INDEX(Vinos!$J$2:$J$301,MATCH($B1764,Vinos!$A$2:$A$301,0))="","",$H1764*INDEX(Vinos!$J$2:$J$301,MATCH($B1764,Vinos!$A$2:$A$301,0))),""))</f>
        <v/>
      </c>
      <c r="L1764" s="16">
        <f>IF($H1764="","",IFERROR(IF(INDEX(Vinos!$K$2:$K$301,MATCH($B1764,Vinos!$A$2:$A$301,0))="","",$H1764*INDEX(Vinos!$K$2:$K$301,MATCH($B1764,Vinos!$A$2:$A$301,0))),""))</f>
        <v/>
      </c>
      <c r="M1764" s="21">
        <f>IF(OR($A1764="",$B1764=""),"",SUMIFS($H$2:$H$2001,$A$2:$A$2001,$A1764,$B$2:$B$2001,$B1764))</f>
        <v/>
      </c>
      <c r="N1764" s="20">
        <f>IF($M1764="","",IF($M1764&lt;=0,"Sin stock: reponer ya",IF($M1764&lt;IFERROR(N(INDEX(Vinos!$N$2:$N$301,MATCH($B1764,Vinos!$A$2:$A$301,0))),0),"Bajo mínimo: reponer","OK")))</f>
        <v/>
      </c>
      <c r="O1764" s="14" t="n"/>
      <c r="P1764" s="14" t="n"/>
      <c r="Q1764" s="20">
        <f>IF($B1764="","",IFERROR(INDEX(Vinos!$C$2:$C$301,MATCH($B1764,Vinos!$A$2:$A$301,0)),""))</f>
        <v/>
      </c>
      <c r="R1764" s="20">
        <f>IF(OR($A1764="",$A1764&lt;&gt;'Resumen del inventario'!$C$3,$N1764="",$N1764="OK"),"",IF(COUNTIFS($A$2:$A1764,$A1764,$B$2:$B1764,$B1764)=1,1,""))</f>
        <v/>
      </c>
      <c r="S1764" s="20">
        <f>IF($R1764=1,COUNTIF($R$2:$R1764,1),"")</f>
        <v/>
      </c>
    </row>
    <row r="1765">
      <c r="A1765" s="19" t="n"/>
      <c r="B1765" s="14" t="n"/>
      <c r="C1765" s="20">
        <f>IF($B1765="","",IFERROR(INDEX(Vinos!$B$2:$B$301,MATCH($B1765,Vinos!$A$2:$A$301,0)),"Código no cargado"))</f>
        <v/>
      </c>
      <c r="D1765" s="14" t="n"/>
      <c r="E1765" s="14" t="n"/>
      <c r="F1765" s="18" t="n"/>
      <c r="G1765" s="18" t="n"/>
      <c r="H1765" s="21">
        <f>IF(AND($F1765="",$G1765=""),"",N($F1765)*IFERROR(N(INDEX(Vinos!$H$2:$H$301,MATCH($B1765,Vinos!$A$2:$A$301,0))),0)+N($G1765))</f>
        <v/>
      </c>
      <c r="I1765" s="18" t="n"/>
      <c r="J1765" s="21">
        <f>IF(OR($H1765="",$I1765=""),"",$H1765-$I1765)</f>
        <v/>
      </c>
      <c r="K1765" s="16">
        <f>IF($H1765="","",IFERROR(IF(INDEX(Vinos!$J$2:$J$301,MATCH($B1765,Vinos!$A$2:$A$301,0))="","",$H1765*INDEX(Vinos!$J$2:$J$301,MATCH($B1765,Vinos!$A$2:$A$301,0))),""))</f>
        <v/>
      </c>
      <c r="L1765" s="16">
        <f>IF($H1765="","",IFERROR(IF(INDEX(Vinos!$K$2:$K$301,MATCH($B1765,Vinos!$A$2:$A$301,0))="","",$H1765*INDEX(Vinos!$K$2:$K$301,MATCH($B1765,Vinos!$A$2:$A$301,0))),""))</f>
        <v/>
      </c>
      <c r="M1765" s="21">
        <f>IF(OR($A1765="",$B1765=""),"",SUMIFS($H$2:$H$2001,$A$2:$A$2001,$A1765,$B$2:$B$2001,$B1765))</f>
        <v/>
      </c>
      <c r="N1765" s="20">
        <f>IF($M1765="","",IF($M1765&lt;=0,"Sin stock: reponer ya",IF($M1765&lt;IFERROR(N(INDEX(Vinos!$N$2:$N$301,MATCH($B1765,Vinos!$A$2:$A$301,0))),0),"Bajo mínimo: reponer","OK")))</f>
        <v/>
      </c>
      <c r="O1765" s="14" t="n"/>
      <c r="P1765" s="14" t="n"/>
      <c r="Q1765" s="20">
        <f>IF($B1765="","",IFERROR(INDEX(Vinos!$C$2:$C$301,MATCH($B1765,Vinos!$A$2:$A$301,0)),""))</f>
        <v/>
      </c>
      <c r="R1765" s="20">
        <f>IF(OR($A1765="",$A1765&lt;&gt;'Resumen del inventario'!$C$3,$N1765="",$N1765="OK"),"",IF(COUNTIFS($A$2:$A1765,$A1765,$B$2:$B1765,$B1765)=1,1,""))</f>
        <v/>
      </c>
      <c r="S1765" s="20">
        <f>IF($R1765=1,COUNTIF($R$2:$R1765,1),"")</f>
        <v/>
      </c>
    </row>
    <row r="1766">
      <c r="A1766" s="19" t="n"/>
      <c r="B1766" s="14" t="n"/>
      <c r="C1766" s="20">
        <f>IF($B1766="","",IFERROR(INDEX(Vinos!$B$2:$B$301,MATCH($B1766,Vinos!$A$2:$A$301,0)),"Código no cargado"))</f>
        <v/>
      </c>
      <c r="D1766" s="14" t="n"/>
      <c r="E1766" s="14" t="n"/>
      <c r="F1766" s="18" t="n"/>
      <c r="G1766" s="18" t="n"/>
      <c r="H1766" s="21">
        <f>IF(AND($F1766="",$G1766=""),"",N($F1766)*IFERROR(N(INDEX(Vinos!$H$2:$H$301,MATCH($B1766,Vinos!$A$2:$A$301,0))),0)+N($G1766))</f>
        <v/>
      </c>
      <c r="I1766" s="18" t="n"/>
      <c r="J1766" s="21">
        <f>IF(OR($H1766="",$I1766=""),"",$H1766-$I1766)</f>
        <v/>
      </c>
      <c r="K1766" s="16">
        <f>IF($H1766="","",IFERROR(IF(INDEX(Vinos!$J$2:$J$301,MATCH($B1766,Vinos!$A$2:$A$301,0))="","",$H1766*INDEX(Vinos!$J$2:$J$301,MATCH($B1766,Vinos!$A$2:$A$301,0))),""))</f>
        <v/>
      </c>
      <c r="L1766" s="16">
        <f>IF($H1766="","",IFERROR(IF(INDEX(Vinos!$K$2:$K$301,MATCH($B1766,Vinos!$A$2:$A$301,0))="","",$H1766*INDEX(Vinos!$K$2:$K$301,MATCH($B1766,Vinos!$A$2:$A$301,0))),""))</f>
        <v/>
      </c>
      <c r="M1766" s="21">
        <f>IF(OR($A1766="",$B1766=""),"",SUMIFS($H$2:$H$2001,$A$2:$A$2001,$A1766,$B$2:$B$2001,$B1766))</f>
        <v/>
      </c>
      <c r="N1766" s="20">
        <f>IF($M1766="","",IF($M1766&lt;=0,"Sin stock: reponer ya",IF($M1766&lt;IFERROR(N(INDEX(Vinos!$N$2:$N$301,MATCH($B1766,Vinos!$A$2:$A$301,0))),0),"Bajo mínimo: reponer","OK")))</f>
        <v/>
      </c>
      <c r="O1766" s="14" t="n"/>
      <c r="P1766" s="14" t="n"/>
      <c r="Q1766" s="20">
        <f>IF($B1766="","",IFERROR(INDEX(Vinos!$C$2:$C$301,MATCH($B1766,Vinos!$A$2:$A$301,0)),""))</f>
        <v/>
      </c>
      <c r="R1766" s="20">
        <f>IF(OR($A1766="",$A1766&lt;&gt;'Resumen del inventario'!$C$3,$N1766="",$N1766="OK"),"",IF(COUNTIFS($A$2:$A1766,$A1766,$B$2:$B1766,$B1766)=1,1,""))</f>
        <v/>
      </c>
      <c r="S1766" s="20">
        <f>IF($R1766=1,COUNTIF($R$2:$R1766,1),"")</f>
        <v/>
      </c>
    </row>
    <row r="1767">
      <c r="A1767" s="19" t="n"/>
      <c r="B1767" s="14" t="n"/>
      <c r="C1767" s="20">
        <f>IF($B1767="","",IFERROR(INDEX(Vinos!$B$2:$B$301,MATCH($B1767,Vinos!$A$2:$A$301,0)),"Código no cargado"))</f>
        <v/>
      </c>
      <c r="D1767" s="14" t="n"/>
      <c r="E1767" s="14" t="n"/>
      <c r="F1767" s="18" t="n"/>
      <c r="G1767" s="18" t="n"/>
      <c r="H1767" s="21">
        <f>IF(AND($F1767="",$G1767=""),"",N($F1767)*IFERROR(N(INDEX(Vinos!$H$2:$H$301,MATCH($B1767,Vinos!$A$2:$A$301,0))),0)+N($G1767))</f>
        <v/>
      </c>
      <c r="I1767" s="18" t="n"/>
      <c r="J1767" s="21">
        <f>IF(OR($H1767="",$I1767=""),"",$H1767-$I1767)</f>
        <v/>
      </c>
      <c r="K1767" s="16">
        <f>IF($H1767="","",IFERROR(IF(INDEX(Vinos!$J$2:$J$301,MATCH($B1767,Vinos!$A$2:$A$301,0))="","",$H1767*INDEX(Vinos!$J$2:$J$301,MATCH($B1767,Vinos!$A$2:$A$301,0))),""))</f>
        <v/>
      </c>
      <c r="L1767" s="16">
        <f>IF($H1767="","",IFERROR(IF(INDEX(Vinos!$K$2:$K$301,MATCH($B1767,Vinos!$A$2:$A$301,0))="","",$H1767*INDEX(Vinos!$K$2:$K$301,MATCH($B1767,Vinos!$A$2:$A$301,0))),""))</f>
        <v/>
      </c>
      <c r="M1767" s="21">
        <f>IF(OR($A1767="",$B1767=""),"",SUMIFS($H$2:$H$2001,$A$2:$A$2001,$A1767,$B$2:$B$2001,$B1767))</f>
        <v/>
      </c>
      <c r="N1767" s="20">
        <f>IF($M1767="","",IF($M1767&lt;=0,"Sin stock: reponer ya",IF($M1767&lt;IFERROR(N(INDEX(Vinos!$N$2:$N$301,MATCH($B1767,Vinos!$A$2:$A$301,0))),0),"Bajo mínimo: reponer","OK")))</f>
        <v/>
      </c>
      <c r="O1767" s="14" t="n"/>
      <c r="P1767" s="14" t="n"/>
      <c r="Q1767" s="20">
        <f>IF($B1767="","",IFERROR(INDEX(Vinos!$C$2:$C$301,MATCH($B1767,Vinos!$A$2:$A$301,0)),""))</f>
        <v/>
      </c>
      <c r="R1767" s="20">
        <f>IF(OR($A1767="",$A1767&lt;&gt;'Resumen del inventario'!$C$3,$N1767="",$N1767="OK"),"",IF(COUNTIFS($A$2:$A1767,$A1767,$B$2:$B1767,$B1767)=1,1,""))</f>
        <v/>
      </c>
      <c r="S1767" s="20">
        <f>IF($R1767=1,COUNTIF($R$2:$R1767,1),"")</f>
        <v/>
      </c>
    </row>
    <row r="1768">
      <c r="A1768" s="19" t="n"/>
      <c r="B1768" s="14" t="n"/>
      <c r="C1768" s="20">
        <f>IF($B1768="","",IFERROR(INDEX(Vinos!$B$2:$B$301,MATCH($B1768,Vinos!$A$2:$A$301,0)),"Código no cargado"))</f>
        <v/>
      </c>
      <c r="D1768" s="14" t="n"/>
      <c r="E1768" s="14" t="n"/>
      <c r="F1768" s="18" t="n"/>
      <c r="G1768" s="18" t="n"/>
      <c r="H1768" s="21">
        <f>IF(AND($F1768="",$G1768=""),"",N($F1768)*IFERROR(N(INDEX(Vinos!$H$2:$H$301,MATCH($B1768,Vinos!$A$2:$A$301,0))),0)+N($G1768))</f>
        <v/>
      </c>
      <c r="I1768" s="18" t="n"/>
      <c r="J1768" s="21">
        <f>IF(OR($H1768="",$I1768=""),"",$H1768-$I1768)</f>
        <v/>
      </c>
      <c r="K1768" s="16">
        <f>IF($H1768="","",IFERROR(IF(INDEX(Vinos!$J$2:$J$301,MATCH($B1768,Vinos!$A$2:$A$301,0))="","",$H1768*INDEX(Vinos!$J$2:$J$301,MATCH($B1768,Vinos!$A$2:$A$301,0))),""))</f>
        <v/>
      </c>
      <c r="L1768" s="16">
        <f>IF($H1768="","",IFERROR(IF(INDEX(Vinos!$K$2:$K$301,MATCH($B1768,Vinos!$A$2:$A$301,0))="","",$H1768*INDEX(Vinos!$K$2:$K$301,MATCH($B1768,Vinos!$A$2:$A$301,0))),""))</f>
        <v/>
      </c>
      <c r="M1768" s="21">
        <f>IF(OR($A1768="",$B1768=""),"",SUMIFS($H$2:$H$2001,$A$2:$A$2001,$A1768,$B$2:$B$2001,$B1768))</f>
        <v/>
      </c>
      <c r="N1768" s="20">
        <f>IF($M1768="","",IF($M1768&lt;=0,"Sin stock: reponer ya",IF($M1768&lt;IFERROR(N(INDEX(Vinos!$N$2:$N$301,MATCH($B1768,Vinos!$A$2:$A$301,0))),0),"Bajo mínimo: reponer","OK")))</f>
        <v/>
      </c>
      <c r="O1768" s="14" t="n"/>
      <c r="P1768" s="14" t="n"/>
      <c r="Q1768" s="20">
        <f>IF($B1768="","",IFERROR(INDEX(Vinos!$C$2:$C$301,MATCH($B1768,Vinos!$A$2:$A$301,0)),""))</f>
        <v/>
      </c>
      <c r="R1768" s="20">
        <f>IF(OR($A1768="",$A1768&lt;&gt;'Resumen del inventario'!$C$3,$N1768="",$N1768="OK"),"",IF(COUNTIFS($A$2:$A1768,$A1768,$B$2:$B1768,$B1768)=1,1,""))</f>
        <v/>
      </c>
      <c r="S1768" s="20">
        <f>IF($R1768=1,COUNTIF($R$2:$R1768,1),"")</f>
        <v/>
      </c>
    </row>
    <row r="1769">
      <c r="A1769" s="19" t="n"/>
      <c r="B1769" s="14" t="n"/>
      <c r="C1769" s="20">
        <f>IF($B1769="","",IFERROR(INDEX(Vinos!$B$2:$B$301,MATCH($B1769,Vinos!$A$2:$A$301,0)),"Código no cargado"))</f>
        <v/>
      </c>
      <c r="D1769" s="14" t="n"/>
      <c r="E1769" s="14" t="n"/>
      <c r="F1769" s="18" t="n"/>
      <c r="G1769" s="18" t="n"/>
      <c r="H1769" s="21">
        <f>IF(AND($F1769="",$G1769=""),"",N($F1769)*IFERROR(N(INDEX(Vinos!$H$2:$H$301,MATCH($B1769,Vinos!$A$2:$A$301,0))),0)+N($G1769))</f>
        <v/>
      </c>
      <c r="I1769" s="18" t="n"/>
      <c r="J1769" s="21">
        <f>IF(OR($H1769="",$I1769=""),"",$H1769-$I1769)</f>
        <v/>
      </c>
      <c r="K1769" s="16">
        <f>IF($H1769="","",IFERROR(IF(INDEX(Vinos!$J$2:$J$301,MATCH($B1769,Vinos!$A$2:$A$301,0))="","",$H1769*INDEX(Vinos!$J$2:$J$301,MATCH($B1769,Vinos!$A$2:$A$301,0))),""))</f>
        <v/>
      </c>
      <c r="L1769" s="16">
        <f>IF($H1769="","",IFERROR(IF(INDEX(Vinos!$K$2:$K$301,MATCH($B1769,Vinos!$A$2:$A$301,0))="","",$H1769*INDEX(Vinos!$K$2:$K$301,MATCH($B1769,Vinos!$A$2:$A$301,0))),""))</f>
        <v/>
      </c>
      <c r="M1769" s="21">
        <f>IF(OR($A1769="",$B1769=""),"",SUMIFS($H$2:$H$2001,$A$2:$A$2001,$A1769,$B$2:$B$2001,$B1769))</f>
        <v/>
      </c>
      <c r="N1769" s="20">
        <f>IF($M1769="","",IF($M1769&lt;=0,"Sin stock: reponer ya",IF($M1769&lt;IFERROR(N(INDEX(Vinos!$N$2:$N$301,MATCH($B1769,Vinos!$A$2:$A$301,0))),0),"Bajo mínimo: reponer","OK")))</f>
        <v/>
      </c>
      <c r="O1769" s="14" t="n"/>
      <c r="P1769" s="14" t="n"/>
      <c r="Q1769" s="20">
        <f>IF($B1769="","",IFERROR(INDEX(Vinos!$C$2:$C$301,MATCH($B1769,Vinos!$A$2:$A$301,0)),""))</f>
        <v/>
      </c>
      <c r="R1769" s="20">
        <f>IF(OR($A1769="",$A1769&lt;&gt;'Resumen del inventario'!$C$3,$N1769="",$N1769="OK"),"",IF(COUNTIFS($A$2:$A1769,$A1769,$B$2:$B1769,$B1769)=1,1,""))</f>
        <v/>
      </c>
      <c r="S1769" s="20">
        <f>IF($R1769=1,COUNTIF($R$2:$R1769,1),"")</f>
        <v/>
      </c>
    </row>
    <row r="1770">
      <c r="A1770" s="19" t="n"/>
      <c r="B1770" s="14" t="n"/>
      <c r="C1770" s="20">
        <f>IF($B1770="","",IFERROR(INDEX(Vinos!$B$2:$B$301,MATCH($B1770,Vinos!$A$2:$A$301,0)),"Código no cargado"))</f>
        <v/>
      </c>
      <c r="D1770" s="14" t="n"/>
      <c r="E1770" s="14" t="n"/>
      <c r="F1770" s="18" t="n"/>
      <c r="G1770" s="18" t="n"/>
      <c r="H1770" s="21">
        <f>IF(AND($F1770="",$G1770=""),"",N($F1770)*IFERROR(N(INDEX(Vinos!$H$2:$H$301,MATCH($B1770,Vinos!$A$2:$A$301,0))),0)+N($G1770))</f>
        <v/>
      </c>
      <c r="I1770" s="18" t="n"/>
      <c r="J1770" s="21">
        <f>IF(OR($H1770="",$I1770=""),"",$H1770-$I1770)</f>
        <v/>
      </c>
      <c r="K1770" s="16">
        <f>IF($H1770="","",IFERROR(IF(INDEX(Vinos!$J$2:$J$301,MATCH($B1770,Vinos!$A$2:$A$301,0))="","",$H1770*INDEX(Vinos!$J$2:$J$301,MATCH($B1770,Vinos!$A$2:$A$301,0))),""))</f>
        <v/>
      </c>
      <c r="L1770" s="16">
        <f>IF($H1770="","",IFERROR(IF(INDEX(Vinos!$K$2:$K$301,MATCH($B1770,Vinos!$A$2:$A$301,0))="","",$H1770*INDEX(Vinos!$K$2:$K$301,MATCH($B1770,Vinos!$A$2:$A$301,0))),""))</f>
        <v/>
      </c>
      <c r="M1770" s="21">
        <f>IF(OR($A1770="",$B1770=""),"",SUMIFS($H$2:$H$2001,$A$2:$A$2001,$A1770,$B$2:$B$2001,$B1770))</f>
        <v/>
      </c>
      <c r="N1770" s="20">
        <f>IF($M1770="","",IF($M1770&lt;=0,"Sin stock: reponer ya",IF($M1770&lt;IFERROR(N(INDEX(Vinos!$N$2:$N$301,MATCH($B1770,Vinos!$A$2:$A$301,0))),0),"Bajo mínimo: reponer","OK")))</f>
        <v/>
      </c>
      <c r="O1770" s="14" t="n"/>
      <c r="P1770" s="14" t="n"/>
      <c r="Q1770" s="20">
        <f>IF($B1770="","",IFERROR(INDEX(Vinos!$C$2:$C$301,MATCH($B1770,Vinos!$A$2:$A$301,0)),""))</f>
        <v/>
      </c>
      <c r="R1770" s="20">
        <f>IF(OR($A1770="",$A1770&lt;&gt;'Resumen del inventario'!$C$3,$N1770="",$N1770="OK"),"",IF(COUNTIFS($A$2:$A1770,$A1770,$B$2:$B1770,$B1770)=1,1,""))</f>
        <v/>
      </c>
      <c r="S1770" s="20">
        <f>IF($R1770=1,COUNTIF($R$2:$R1770,1),"")</f>
        <v/>
      </c>
    </row>
    <row r="1771">
      <c r="A1771" s="19" t="n"/>
      <c r="B1771" s="14" t="n"/>
      <c r="C1771" s="20">
        <f>IF($B1771="","",IFERROR(INDEX(Vinos!$B$2:$B$301,MATCH($B1771,Vinos!$A$2:$A$301,0)),"Código no cargado"))</f>
        <v/>
      </c>
      <c r="D1771" s="14" t="n"/>
      <c r="E1771" s="14" t="n"/>
      <c r="F1771" s="18" t="n"/>
      <c r="G1771" s="18" t="n"/>
      <c r="H1771" s="21">
        <f>IF(AND($F1771="",$G1771=""),"",N($F1771)*IFERROR(N(INDEX(Vinos!$H$2:$H$301,MATCH($B1771,Vinos!$A$2:$A$301,0))),0)+N($G1771))</f>
        <v/>
      </c>
      <c r="I1771" s="18" t="n"/>
      <c r="J1771" s="21">
        <f>IF(OR($H1771="",$I1771=""),"",$H1771-$I1771)</f>
        <v/>
      </c>
      <c r="K1771" s="16">
        <f>IF($H1771="","",IFERROR(IF(INDEX(Vinos!$J$2:$J$301,MATCH($B1771,Vinos!$A$2:$A$301,0))="","",$H1771*INDEX(Vinos!$J$2:$J$301,MATCH($B1771,Vinos!$A$2:$A$301,0))),""))</f>
        <v/>
      </c>
      <c r="L1771" s="16">
        <f>IF($H1771="","",IFERROR(IF(INDEX(Vinos!$K$2:$K$301,MATCH($B1771,Vinos!$A$2:$A$301,0))="","",$H1771*INDEX(Vinos!$K$2:$K$301,MATCH($B1771,Vinos!$A$2:$A$301,0))),""))</f>
        <v/>
      </c>
      <c r="M1771" s="21">
        <f>IF(OR($A1771="",$B1771=""),"",SUMIFS($H$2:$H$2001,$A$2:$A$2001,$A1771,$B$2:$B$2001,$B1771))</f>
        <v/>
      </c>
      <c r="N1771" s="20">
        <f>IF($M1771="","",IF($M1771&lt;=0,"Sin stock: reponer ya",IF($M1771&lt;IFERROR(N(INDEX(Vinos!$N$2:$N$301,MATCH($B1771,Vinos!$A$2:$A$301,0))),0),"Bajo mínimo: reponer","OK")))</f>
        <v/>
      </c>
      <c r="O1771" s="14" t="n"/>
      <c r="P1771" s="14" t="n"/>
      <c r="Q1771" s="20">
        <f>IF($B1771="","",IFERROR(INDEX(Vinos!$C$2:$C$301,MATCH($B1771,Vinos!$A$2:$A$301,0)),""))</f>
        <v/>
      </c>
      <c r="R1771" s="20">
        <f>IF(OR($A1771="",$A1771&lt;&gt;'Resumen del inventario'!$C$3,$N1771="",$N1771="OK"),"",IF(COUNTIFS($A$2:$A1771,$A1771,$B$2:$B1771,$B1771)=1,1,""))</f>
        <v/>
      </c>
      <c r="S1771" s="20">
        <f>IF($R1771=1,COUNTIF($R$2:$R1771,1),"")</f>
        <v/>
      </c>
    </row>
    <row r="1772">
      <c r="A1772" s="19" t="n"/>
      <c r="B1772" s="14" t="n"/>
      <c r="C1772" s="20">
        <f>IF($B1772="","",IFERROR(INDEX(Vinos!$B$2:$B$301,MATCH($B1772,Vinos!$A$2:$A$301,0)),"Código no cargado"))</f>
        <v/>
      </c>
      <c r="D1772" s="14" t="n"/>
      <c r="E1772" s="14" t="n"/>
      <c r="F1772" s="18" t="n"/>
      <c r="G1772" s="18" t="n"/>
      <c r="H1772" s="21">
        <f>IF(AND($F1772="",$G1772=""),"",N($F1772)*IFERROR(N(INDEX(Vinos!$H$2:$H$301,MATCH($B1772,Vinos!$A$2:$A$301,0))),0)+N($G1772))</f>
        <v/>
      </c>
      <c r="I1772" s="18" t="n"/>
      <c r="J1772" s="21">
        <f>IF(OR($H1772="",$I1772=""),"",$H1772-$I1772)</f>
        <v/>
      </c>
      <c r="K1772" s="16">
        <f>IF($H1772="","",IFERROR(IF(INDEX(Vinos!$J$2:$J$301,MATCH($B1772,Vinos!$A$2:$A$301,0))="","",$H1772*INDEX(Vinos!$J$2:$J$301,MATCH($B1772,Vinos!$A$2:$A$301,0))),""))</f>
        <v/>
      </c>
      <c r="L1772" s="16">
        <f>IF($H1772="","",IFERROR(IF(INDEX(Vinos!$K$2:$K$301,MATCH($B1772,Vinos!$A$2:$A$301,0))="","",$H1772*INDEX(Vinos!$K$2:$K$301,MATCH($B1772,Vinos!$A$2:$A$301,0))),""))</f>
        <v/>
      </c>
      <c r="M1772" s="21">
        <f>IF(OR($A1772="",$B1772=""),"",SUMIFS($H$2:$H$2001,$A$2:$A$2001,$A1772,$B$2:$B$2001,$B1772))</f>
        <v/>
      </c>
      <c r="N1772" s="20">
        <f>IF($M1772="","",IF($M1772&lt;=0,"Sin stock: reponer ya",IF($M1772&lt;IFERROR(N(INDEX(Vinos!$N$2:$N$301,MATCH($B1772,Vinos!$A$2:$A$301,0))),0),"Bajo mínimo: reponer","OK")))</f>
        <v/>
      </c>
      <c r="O1772" s="14" t="n"/>
      <c r="P1772" s="14" t="n"/>
      <c r="Q1772" s="20">
        <f>IF($B1772="","",IFERROR(INDEX(Vinos!$C$2:$C$301,MATCH($B1772,Vinos!$A$2:$A$301,0)),""))</f>
        <v/>
      </c>
      <c r="R1772" s="20">
        <f>IF(OR($A1772="",$A1772&lt;&gt;'Resumen del inventario'!$C$3,$N1772="",$N1772="OK"),"",IF(COUNTIFS($A$2:$A1772,$A1772,$B$2:$B1772,$B1772)=1,1,""))</f>
        <v/>
      </c>
      <c r="S1772" s="20">
        <f>IF($R1772=1,COUNTIF($R$2:$R1772,1),"")</f>
        <v/>
      </c>
    </row>
    <row r="1773">
      <c r="A1773" s="19" t="n"/>
      <c r="B1773" s="14" t="n"/>
      <c r="C1773" s="20">
        <f>IF($B1773="","",IFERROR(INDEX(Vinos!$B$2:$B$301,MATCH($B1773,Vinos!$A$2:$A$301,0)),"Código no cargado"))</f>
        <v/>
      </c>
      <c r="D1773" s="14" t="n"/>
      <c r="E1773" s="14" t="n"/>
      <c r="F1773" s="18" t="n"/>
      <c r="G1773" s="18" t="n"/>
      <c r="H1773" s="21">
        <f>IF(AND($F1773="",$G1773=""),"",N($F1773)*IFERROR(N(INDEX(Vinos!$H$2:$H$301,MATCH($B1773,Vinos!$A$2:$A$301,0))),0)+N($G1773))</f>
        <v/>
      </c>
      <c r="I1773" s="18" t="n"/>
      <c r="J1773" s="21">
        <f>IF(OR($H1773="",$I1773=""),"",$H1773-$I1773)</f>
        <v/>
      </c>
      <c r="K1773" s="16">
        <f>IF($H1773="","",IFERROR(IF(INDEX(Vinos!$J$2:$J$301,MATCH($B1773,Vinos!$A$2:$A$301,0))="","",$H1773*INDEX(Vinos!$J$2:$J$301,MATCH($B1773,Vinos!$A$2:$A$301,0))),""))</f>
        <v/>
      </c>
      <c r="L1773" s="16">
        <f>IF($H1773="","",IFERROR(IF(INDEX(Vinos!$K$2:$K$301,MATCH($B1773,Vinos!$A$2:$A$301,0))="","",$H1773*INDEX(Vinos!$K$2:$K$301,MATCH($B1773,Vinos!$A$2:$A$301,0))),""))</f>
        <v/>
      </c>
      <c r="M1773" s="21">
        <f>IF(OR($A1773="",$B1773=""),"",SUMIFS($H$2:$H$2001,$A$2:$A$2001,$A1773,$B$2:$B$2001,$B1773))</f>
        <v/>
      </c>
      <c r="N1773" s="20">
        <f>IF($M1773="","",IF($M1773&lt;=0,"Sin stock: reponer ya",IF($M1773&lt;IFERROR(N(INDEX(Vinos!$N$2:$N$301,MATCH($B1773,Vinos!$A$2:$A$301,0))),0),"Bajo mínimo: reponer","OK")))</f>
        <v/>
      </c>
      <c r="O1773" s="14" t="n"/>
      <c r="P1773" s="14" t="n"/>
      <c r="Q1773" s="20">
        <f>IF($B1773="","",IFERROR(INDEX(Vinos!$C$2:$C$301,MATCH($B1773,Vinos!$A$2:$A$301,0)),""))</f>
        <v/>
      </c>
      <c r="R1773" s="20">
        <f>IF(OR($A1773="",$A1773&lt;&gt;'Resumen del inventario'!$C$3,$N1773="",$N1773="OK"),"",IF(COUNTIFS($A$2:$A1773,$A1773,$B$2:$B1773,$B1773)=1,1,""))</f>
        <v/>
      </c>
      <c r="S1773" s="20">
        <f>IF($R1773=1,COUNTIF($R$2:$R1773,1),"")</f>
        <v/>
      </c>
    </row>
    <row r="1774">
      <c r="A1774" s="19" t="n"/>
      <c r="B1774" s="14" t="n"/>
      <c r="C1774" s="20">
        <f>IF($B1774="","",IFERROR(INDEX(Vinos!$B$2:$B$301,MATCH($B1774,Vinos!$A$2:$A$301,0)),"Código no cargado"))</f>
        <v/>
      </c>
      <c r="D1774" s="14" t="n"/>
      <c r="E1774" s="14" t="n"/>
      <c r="F1774" s="18" t="n"/>
      <c r="G1774" s="18" t="n"/>
      <c r="H1774" s="21">
        <f>IF(AND($F1774="",$G1774=""),"",N($F1774)*IFERROR(N(INDEX(Vinos!$H$2:$H$301,MATCH($B1774,Vinos!$A$2:$A$301,0))),0)+N($G1774))</f>
        <v/>
      </c>
      <c r="I1774" s="18" t="n"/>
      <c r="J1774" s="21">
        <f>IF(OR($H1774="",$I1774=""),"",$H1774-$I1774)</f>
        <v/>
      </c>
      <c r="K1774" s="16">
        <f>IF($H1774="","",IFERROR(IF(INDEX(Vinos!$J$2:$J$301,MATCH($B1774,Vinos!$A$2:$A$301,0))="","",$H1774*INDEX(Vinos!$J$2:$J$301,MATCH($B1774,Vinos!$A$2:$A$301,0))),""))</f>
        <v/>
      </c>
      <c r="L1774" s="16">
        <f>IF($H1774="","",IFERROR(IF(INDEX(Vinos!$K$2:$K$301,MATCH($B1774,Vinos!$A$2:$A$301,0))="","",$H1774*INDEX(Vinos!$K$2:$K$301,MATCH($B1774,Vinos!$A$2:$A$301,0))),""))</f>
        <v/>
      </c>
      <c r="M1774" s="21">
        <f>IF(OR($A1774="",$B1774=""),"",SUMIFS($H$2:$H$2001,$A$2:$A$2001,$A1774,$B$2:$B$2001,$B1774))</f>
        <v/>
      </c>
      <c r="N1774" s="20">
        <f>IF($M1774="","",IF($M1774&lt;=0,"Sin stock: reponer ya",IF($M1774&lt;IFERROR(N(INDEX(Vinos!$N$2:$N$301,MATCH($B1774,Vinos!$A$2:$A$301,0))),0),"Bajo mínimo: reponer","OK")))</f>
        <v/>
      </c>
      <c r="O1774" s="14" t="n"/>
      <c r="P1774" s="14" t="n"/>
      <c r="Q1774" s="20">
        <f>IF($B1774="","",IFERROR(INDEX(Vinos!$C$2:$C$301,MATCH($B1774,Vinos!$A$2:$A$301,0)),""))</f>
        <v/>
      </c>
      <c r="R1774" s="20">
        <f>IF(OR($A1774="",$A1774&lt;&gt;'Resumen del inventario'!$C$3,$N1774="",$N1774="OK"),"",IF(COUNTIFS($A$2:$A1774,$A1774,$B$2:$B1774,$B1774)=1,1,""))</f>
        <v/>
      </c>
      <c r="S1774" s="20">
        <f>IF($R1774=1,COUNTIF($R$2:$R1774,1),"")</f>
        <v/>
      </c>
    </row>
    <row r="1775">
      <c r="A1775" s="19" t="n"/>
      <c r="B1775" s="14" t="n"/>
      <c r="C1775" s="20">
        <f>IF($B1775="","",IFERROR(INDEX(Vinos!$B$2:$B$301,MATCH($B1775,Vinos!$A$2:$A$301,0)),"Código no cargado"))</f>
        <v/>
      </c>
      <c r="D1775" s="14" t="n"/>
      <c r="E1775" s="14" t="n"/>
      <c r="F1775" s="18" t="n"/>
      <c r="G1775" s="18" t="n"/>
      <c r="H1775" s="21">
        <f>IF(AND($F1775="",$G1775=""),"",N($F1775)*IFERROR(N(INDEX(Vinos!$H$2:$H$301,MATCH($B1775,Vinos!$A$2:$A$301,0))),0)+N($G1775))</f>
        <v/>
      </c>
      <c r="I1775" s="18" t="n"/>
      <c r="J1775" s="21">
        <f>IF(OR($H1775="",$I1775=""),"",$H1775-$I1775)</f>
        <v/>
      </c>
      <c r="K1775" s="16">
        <f>IF($H1775="","",IFERROR(IF(INDEX(Vinos!$J$2:$J$301,MATCH($B1775,Vinos!$A$2:$A$301,0))="","",$H1775*INDEX(Vinos!$J$2:$J$301,MATCH($B1775,Vinos!$A$2:$A$301,0))),""))</f>
        <v/>
      </c>
      <c r="L1775" s="16">
        <f>IF($H1775="","",IFERROR(IF(INDEX(Vinos!$K$2:$K$301,MATCH($B1775,Vinos!$A$2:$A$301,0))="","",$H1775*INDEX(Vinos!$K$2:$K$301,MATCH($B1775,Vinos!$A$2:$A$301,0))),""))</f>
        <v/>
      </c>
      <c r="M1775" s="21">
        <f>IF(OR($A1775="",$B1775=""),"",SUMIFS($H$2:$H$2001,$A$2:$A$2001,$A1775,$B$2:$B$2001,$B1775))</f>
        <v/>
      </c>
      <c r="N1775" s="20">
        <f>IF($M1775="","",IF($M1775&lt;=0,"Sin stock: reponer ya",IF($M1775&lt;IFERROR(N(INDEX(Vinos!$N$2:$N$301,MATCH($B1775,Vinos!$A$2:$A$301,0))),0),"Bajo mínimo: reponer","OK")))</f>
        <v/>
      </c>
      <c r="O1775" s="14" t="n"/>
      <c r="P1775" s="14" t="n"/>
      <c r="Q1775" s="20">
        <f>IF($B1775="","",IFERROR(INDEX(Vinos!$C$2:$C$301,MATCH($B1775,Vinos!$A$2:$A$301,0)),""))</f>
        <v/>
      </c>
      <c r="R1775" s="20">
        <f>IF(OR($A1775="",$A1775&lt;&gt;'Resumen del inventario'!$C$3,$N1775="",$N1775="OK"),"",IF(COUNTIFS($A$2:$A1775,$A1775,$B$2:$B1775,$B1775)=1,1,""))</f>
        <v/>
      </c>
      <c r="S1775" s="20">
        <f>IF($R1775=1,COUNTIF($R$2:$R1775,1),"")</f>
        <v/>
      </c>
    </row>
    <row r="1776">
      <c r="A1776" s="19" t="n"/>
      <c r="B1776" s="14" t="n"/>
      <c r="C1776" s="20">
        <f>IF($B1776="","",IFERROR(INDEX(Vinos!$B$2:$B$301,MATCH($B1776,Vinos!$A$2:$A$301,0)),"Código no cargado"))</f>
        <v/>
      </c>
      <c r="D1776" s="14" t="n"/>
      <c r="E1776" s="14" t="n"/>
      <c r="F1776" s="18" t="n"/>
      <c r="G1776" s="18" t="n"/>
      <c r="H1776" s="21">
        <f>IF(AND($F1776="",$G1776=""),"",N($F1776)*IFERROR(N(INDEX(Vinos!$H$2:$H$301,MATCH($B1776,Vinos!$A$2:$A$301,0))),0)+N($G1776))</f>
        <v/>
      </c>
      <c r="I1776" s="18" t="n"/>
      <c r="J1776" s="21">
        <f>IF(OR($H1776="",$I1776=""),"",$H1776-$I1776)</f>
        <v/>
      </c>
      <c r="K1776" s="16">
        <f>IF($H1776="","",IFERROR(IF(INDEX(Vinos!$J$2:$J$301,MATCH($B1776,Vinos!$A$2:$A$301,0))="","",$H1776*INDEX(Vinos!$J$2:$J$301,MATCH($B1776,Vinos!$A$2:$A$301,0))),""))</f>
        <v/>
      </c>
      <c r="L1776" s="16">
        <f>IF($H1776="","",IFERROR(IF(INDEX(Vinos!$K$2:$K$301,MATCH($B1776,Vinos!$A$2:$A$301,0))="","",$H1776*INDEX(Vinos!$K$2:$K$301,MATCH($B1776,Vinos!$A$2:$A$301,0))),""))</f>
        <v/>
      </c>
      <c r="M1776" s="21">
        <f>IF(OR($A1776="",$B1776=""),"",SUMIFS($H$2:$H$2001,$A$2:$A$2001,$A1776,$B$2:$B$2001,$B1776))</f>
        <v/>
      </c>
      <c r="N1776" s="20">
        <f>IF($M1776="","",IF($M1776&lt;=0,"Sin stock: reponer ya",IF($M1776&lt;IFERROR(N(INDEX(Vinos!$N$2:$N$301,MATCH($B1776,Vinos!$A$2:$A$301,0))),0),"Bajo mínimo: reponer","OK")))</f>
        <v/>
      </c>
      <c r="O1776" s="14" t="n"/>
      <c r="P1776" s="14" t="n"/>
      <c r="Q1776" s="20">
        <f>IF($B1776="","",IFERROR(INDEX(Vinos!$C$2:$C$301,MATCH($B1776,Vinos!$A$2:$A$301,0)),""))</f>
        <v/>
      </c>
      <c r="R1776" s="20">
        <f>IF(OR($A1776="",$A1776&lt;&gt;'Resumen del inventario'!$C$3,$N1776="",$N1776="OK"),"",IF(COUNTIFS($A$2:$A1776,$A1776,$B$2:$B1776,$B1776)=1,1,""))</f>
        <v/>
      </c>
      <c r="S1776" s="20">
        <f>IF($R1776=1,COUNTIF($R$2:$R1776,1),"")</f>
        <v/>
      </c>
    </row>
    <row r="1777">
      <c r="A1777" s="19" t="n"/>
      <c r="B1777" s="14" t="n"/>
      <c r="C1777" s="20">
        <f>IF($B1777="","",IFERROR(INDEX(Vinos!$B$2:$B$301,MATCH($B1777,Vinos!$A$2:$A$301,0)),"Código no cargado"))</f>
        <v/>
      </c>
      <c r="D1777" s="14" t="n"/>
      <c r="E1777" s="14" t="n"/>
      <c r="F1777" s="18" t="n"/>
      <c r="G1777" s="18" t="n"/>
      <c r="H1777" s="21">
        <f>IF(AND($F1777="",$G1777=""),"",N($F1777)*IFERROR(N(INDEX(Vinos!$H$2:$H$301,MATCH($B1777,Vinos!$A$2:$A$301,0))),0)+N($G1777))</f>
        <v/>
      </c>
      <c r="I1777" s="18" t="n"/>
      <c r="J1777" s="21">
        <f>IF(OR($H1777="",$I1777=""),"",$H1777-$I1777)</f>
        <v/>
      </c>
      <c r="K1777" s="16">
        <f>IF($H1777="","",IFERROR(IF(INDEX(Vinos!$J$2:$J$301,MATCH($B1777,Vinos!$A$2:$A$301,0))="","",$H1777*INDEX(Vinos!$J$2:$J$301,MATCH($B1777,Vinos!$A$2:$A$301,0))),""))</f>
        <v/>
      </c>
      <c r="L1777" s="16">
        <f>IF($H1777="","",IFERROR(IF(INDEX(Vinos!$K$2:$K$301,MATCH($B1777,Vinos!$A$2:$A$301,0))="","",$H1777*INDEX(Vinos!$K$2:$K$301,MATCH($B1777,Vinos!$A$2:$A$301,0))),""))</f>
        <v/>
      </c>
      <c r="M1777" s="21">
        <f>IF(OR($A1777="",$B1777=""),"",SUMIFS($H$2:$H$2001,$A$2:$A$2001,$A1777,$B$2:$B$2001,$B1777))</f>
        <v/>
      </c>
      <c r="N1777" s="20">
        <f>IF($M1777="","",IF($M1777&lt;=0,"Sin stock: reponer ya",IF($M1777&lt;IFERROR(N(INDEX(Vinos!$N$2:$N$301,MATCH($B1777,Vinos!$A$2:$A$301,0))),0),"Bajo mínimo: reponer","OK")))</f>
        <v/>
      </c>
      <c r="O1777" s="14" t="n"/>
      <c r="P1777" s="14" t="n"/>
      <c r="Q1777" s="20">
        <f>IF($B1777="","",IFERROR(INDEX(Vinos!$C$2:$C$301,MATCH($B1777,Vinos!$A$2:$A$301,0)),""))</f>
        <v/>
      </c>
      <c r="R1777" s="20">
        <f>IF(OR($A1777="",$A1777&lt;&gt;'Resumen del inventario'!$C$3,$N1777="",$N1777="OK"),"",IF(COUNTIFS($A$2:$A1777,$A1777,$B$2:$B1777,$B1777)=1,1,""))</f>
        <v/>
      </c>
      <c r="S1777" s="20">
        <f>IF($R1777=1,COUNTIF($R$2:$R1777,1),"")</f>
        <v/>
      </c>
    </row>
    <row r="1778">
      <c r="A1778" s="19" t="n"/>
      <c r="B1778" s="14" t="n"/>
      <c r="C1778" s="20">
        <f>IF($B1778="","",IFERROR(INDEX(Vinos!$B$2:$B$301,MATCH($B1778,Vinos!$A$2:$A$301,0)),"Código no cargado"))</f>
        <v/>
      </c>
      <c r="D1778" s="14" t="n"/>
      <c r="E1778" s="14" t="n"/>
      <c r="F1778" s="18" t="n"/>
      <c r="G1778" s="18" t="n"/>
      <c r="H1778" s="21">
        <f>IF(AND($F1778="",$G1778=""),"",N($F1778)*IFERROR(N(INDEX(Vinos!$H$2:$H$301,MATCH($B1778,Vinos!$A$2:$A$301,0))),0)+N($G1778))</f>
        <v/>
      </c>
      <c r="I1778" s="18" t="n"/>
      <c r="J1778" s="21">
        <f>IF(OR($H1778="",$I1778=""),"",$H1778-$I1778)</f>
        <v/>
      </c>
      <c r="K1778" s="16">
        <f>IF($H1778="","",IFERROR(IF(INDEX(Vinos!$J$2:$J$301,MATCH($B1778,Vinos!$A$2:$A$301,0))="","",$H1778*INDEX(Vinos!$J$2:$J$301,MATCH($B1778,Vinos!$A$2:$A$301,0))),""))</f>
        <v/>
      </c>
      <c r="L1778" s="16">
        <f>IF($H1778="","",IFERROR(IF(INDEX(Vinos!$K$2:$K$301,MATCH($B1778,Vinos!$A$2:$A$301,0))="","",$H1778*INDEX(Vinos!$K$2:$K$301,MATCH($B1778,Vinos!$A$2:$A$301,0))),""))</f>
        <v/>
      </c>
      <c r="M1778" s="21">
        <f>IF(OR($A1778="",$B1778=""),"",SUMIFS($H$2:$H$2001,$A$2:$A$2001,$A1778,$B$2:$B$2001,$B1778))</f>
        <v/>
      </c>
      <c r="N1778" s="20">
        <f>IF($M1778="","",IF($M1778&lt;=0,"Sin stock: reponer ya",IF($M1778&lt;IFERROR(N(INDEX(Vinos!$N$2:$N$301,MATCH($B1778,Vinos!$A$2:$A$301,0))),0),"Bajo mínimo: reponer","OK")))</f>
        <v/>
      </c>
      <c r="O1778" s="14" t="n"/>
      <c r="P1778" s="14" t="n"/>
      <c r="Q1778" s="20">
        <f>IF($B1778="","",IFERROR(INDEX(Vinos!$C$2:$C$301,MATCH($B1778,Vinos!$A$2:$A$301,0)),""))</f>
        <v/>
      </c>
      <c r="R1778" s="20">
        <f>IF(OR($A1778="",$A1778&lt;&gt;'Resumen del inventario'!$C$3,$N1778="",$N1778="OK"),"",IF(COUNTIFS($A$2:$A1778,$A1778,$B$2:$B1778,$B1778)=1,1,""))</f>
        <v/>
      </c>
      <c r="S1778" s="20">
        <f>IF($R1778=1,COUNTIF($R$2:$R1778,1),"")</f>
        <v/>
      </c>
    </row>
    <row r="1779">
      <c r="A1779" s="19" t="n"/>
      <c r="B1779" s="14" t="n"/>
      <c r="C1779" s="20">
        <f>IF($B1779="","",IFERROR(INDEX(Vinos!$B$2:$B$301,MATCH($B1779,Vinos!$A$2:$A$301,0)),"Código no cargado"))</f>
        <v/>
      </c>
      <c r="D1779" s="14" t="n"/>
      <c r="E1779" s="14" t="n"/>
      <c r="F1779" s="18" t="n"/>
      <c r="G1779" s="18" t="n"/>
      <c r="H1779" s="21">
        <f>IF(AND($F1779="",$G1779=""),"",N($F1779)*IFERROR(N(INDEX(Vinos!$H$2:$H$301,MATCH($B1779,Vinos!$A$2:$A$301,0))),0)+N($G1779))</f>
        <v/>
      </c>
      <c r="I1779" s="18" t="n"/>
      <c r="J1779" s="21">
        <f>IF(OR($H1779="",$I1779=""),"",$H1779-$I1779)</f>
        <v/>
      </c>
      <c r="K1779" s="16">
        <f>IF($H1779="","",IFERROR(IF(INDEX(Vinos!$J$2:$J$301,MATCH($B1779,Vinos!$A$2:$A$301,0))="","",$H1779*INDEX(Vinos!$J$2:$J$301,MATCH($B1779,Vinos!$A$2:$A$301,0))),""))</f>
        <v/>
      </c>
      <c r="L1779" s="16">
        <f>IF($H1779="","",IFERROR(IF(INDEX(Vinos!$K$2:$K$301,MATCH($B1779,Vinos!$A$2:$A$301,0))="","",$H1779*INDEX(Vinos!$K$2:$K$301,MATCH($B1779,Vinos!$A$2:$A$301,0))),""))</f>
        <v/>
      </c>
      <c r="M1779" s="21">
        <f>IF(OR($A1779="",$B1779=""),"",SUMIFS($H$2:$H$2001,$A$2:$A$2001,$A1779,$B$2:$B$2001,$B1779))</f>
        <v/>
      </c>
      <c r="N1779" s="20">
        <f>IF($M1779="","",IF($M1779&lt;=0,"Sin stock: reponer ya",IF($M1779&lt;IFERROR(N(INDEX(Vinos!$N$2:$N$301,MATCH($B1779,Vinos!$A$2:$A$301,0))),0),"Bajo mínimo: reponer","OK")))</f>
        <v/>
      </c>
      <c r="O1779" s="14" t="n"/>
      <c r="P1779" s="14" t="n"/>
      <c r="Q1779" s="20">
        <f>IF($B1779="","",IFERROR(INDEX(Vinos!$C$2:$C$301,MATCH($B1779,Vinos!$A$2:$A$301,0)),""))</f>
        <v/>
      </c>
      <c r="R1779" s="20">
        <f>IF(OR($A1779="",$A1779&lt;&gt;'Resumen del inventario'!$C$3,$N1779="",$N1779="OK"),"",IF(COUNTIFS($A$2:$A1779,$A1779,$B$2:$B1779,$B1779)=1,1,""))</f>
        <v/>
      </c>
      <c r="S1779" s="20">
        <f>IF($R1779=1,COUNTIF($R$2:$R1779,1),"")</f>
        <v/>
      </c>
    </row>
    <row r="1780">
      <c r="A1780" s="19" t="n"/>
      <c r="B1780" s="14" t="n"/>
      <c r="C1780" s="20">
        <f>IF($B1780="","",IFERROR(INDEX(Vinos!$B$2:$B$301,MATCH($B1780,Vinos!$A$2:$A$301,0)),"Código no cargado"))</f>
        <v/>
      </c>
      <c r="D1780" s="14" t="n"/>
      <c r="E1780" s="14" t="n"/>
      <c r="F1780" s="18" t="n"/>
      <c r="G1780" s="18" t="n"/>
      <c r="H1780" s="21">
        <f>IF(AND($F1780="",$G1780=""),"",N($F1780)*IFERROR(N(INDEX(Vinos!$H$2:$H$301,MATCH($B1780,Vinos!$A$2:$A$301,0))),0)+N($G1780))</f>
        <v/>
      </c>
      <c r="I1780" s="18" t="n"/>
      <c r="J1780" s="21">
        <f>IF(OR($H1780="",$I1780=""),"",$H1780-$I1780)</f>
        <v/>
      </c>
      <c r="K1780" s="16">
        <f>IF($H1780="","",IFERROR(IF(INDEX(Vinos!$J$2:$J$301,MATCH($B1780,Vinos!$A$2:$A$301,0))="","",$H1780*INDEX(Vinos!$J$2:$J$301,MATCH($B1780,Vinos!$A$2:$A$301,0))),""))</f>
        <v/>
      </c>
      <c r="L1780" s="16">
        <f>IF($H1780="","",IFERROR(IF(INDEX(Vinos!$K$2:$K$301,MATCH($B1780,Vinos!$A$2:$A$301,0))="","",$H1780*INDEX(Vinos!$K$2:$K$301,MATCH($B1780,Vinos!$A$2:$A$301,0))),""))</f>
        <v/>
      </c>
      <c r="M1780" s="21">
        <f>IF(OR($A1780="",$B1780=""),"",SUMIFS($H$2:$H$2001,$A$2:$A$2001,$A1780,$B$2:$B$2001,$B1780))</f>
        <v/>
      </c>
      <c r="N1780" s="20">
        <f>IF($M1780="","",IF($M1780&lt;=0,"Sin stock: reponer ya",IF($M1780&lt;IFERROR(N(INDEX(Vinos!$N$2:$N$301,MATCH($B1780,Vinos!$A$2:$A$301,0))),0),"Bajo mínimo: reponer","OK")))</f>
        <v/>
      </c>
      <c r="O1780" s="14" t="n"/>
      <c r="P1780" s="14" t="n"/>
      <c r="Q1780" s="20">
        <f>IF($B1780="","",IFERROR(INDEX(Vinos!$C$2:$C$301,MATCH($B1780,Vinos!$A$2:$A$301,0)),""))</f>
        <v/>
      </c>
      <c r="R1780" s="20">
        <f>IF(OR($A1780="",$A1780&lt;&gt;'Resumen del inventario'!$C$3,$N1780="",$N1780="OK"),"",IF(COUNTIFS($A$2:$A1780,$A1780,$B$2:$B1780,$B1780)=1,1,""))</f>
        <v/>
      </c>
      <c r="S1780" s="20">
        <f>IF($R1780=1,COUNTIF($R$2:$R1780,1),"")</f>
        <v/>
      </c>
    </row>
    <row r="1781">
      <c r="A1781" s="19" t="n"/>
      <c r="B1781" s="14" t="n"/>
      <c r="C1781" s="20">
        <f>IF($B1781="","",IFERROR(INDEX(Vinos!$B$2:$B$301,MATCH($B1781,Vinos!$A$2:$A$301,0)),"Código no cargado"))</f>
        <v/>
      </c>
      <c r="D1781" s="14" t="n"/>
      <c r="E1781" s="14" t="n"/>
      <c r="F1781" s="18" t="n"/>
      <c r="G1781" s="18" t="n"/>
      <c r="H1781" s="21">
        <f>IF(AND($F1781="",$G1781=""),"",N($F1781)*IFERROR(N(INDEX(Vinos!$H$2:$H$301,MATCH($B1781,Vinos!$A$2:$A$301,0))),0)+N($G1781))</f>
        <v/>
      </c>
      <c r="I1781" s="18" t="n"/>
      <c r="J1781" s="21">
        <f>IF(OR($H1781="",$I1781=""),"",$H1781-$I1781)</f>
        <v/>
      </c>
      <c r="K1781" s="16">
        <f>IF($H1781="","",IFERROR(IF(INDEX(Vinos!$J$2:$J$301,MATCH($B1781,Vinos!$A$2:$A$301,0))="","",$H1781*INDEX(Vinos!$J$2:$J$301,MATCH($B1781,Vinos!$A$2:$A$301,0))),""))</f>
        <v/>
      </c>
      <c r="L1781" s="16">
        <f>IF($H1781="","",IFERROR(IF(INDEX(Vinos!$K$2:$K$301,MATCH($B1781,Vinos!$A$2:$A$301,0))="","",$H1781*INDEX(Vinos!$K$2:$K$301,MATCH($B1781,Vinos!$A$2:$A$301,0))),""))</f>
        <v/>
      </c>
      <c r="M1781" s="21">
        <f>IF(OR($A1781="",$B1781=""),"",SUMIFS($H$2:$H$2001,$A$2:$A$2001,$A1781,$B$2:$B$2001,$B1781))</f>
        <v/>
      </c>
      <c r="N1781" s="20">
        <f>IF($M1781="","",IF($M1781&lt;=0,"Sin stock: reponer ya",IF($M1781&lt;IFERROR(N(INDEX(Vinos!$N$2:$N$301,MATCH($B1781,Vinos!$A$2:$A$301,0))),0),"Bajo mínimo: reponer","OK")))</f>
        <v/>
      </c>
      <c r="O1781" s="14" t="n"/>
      <c r="P1781" s="14" t="n"/>
      <c r="Q1781" s="20">
        <f>IF($B1781="","",IFERROR(INDEX(Vinos!$C$2:$C$301,MATCH($B1781,Vinos!$A$2:$A$301,0)),""))</f>
        <v/>
      </c>
      <c r="R1781" s="20">
        <f>IF(OR($A1781="",$A1781&lt;&gt;'Resumen del inventario'!$C$3,$N1781="",$N1781="OK"),"",IF(COUNTIFS($A$2:$A1781,$A1781,$B$2:$B1781,$B1781)=1,1,""))</f>
        <v/>
      </c>
      <c r="S1781" s="20">
        <f>IF($R1781=1,COUNTIF($R$2:$R1781,1),"")</f>
        <v/>
      </c>
    </row>
    <row r="1782">
      <c r="A1782" s="19" t="n"/>
      <c r="B1782" s="14" t="n"/>
      <c r="C1782" s="20">
        <f>IF($B1782="","",IFERROR(INDEX(Vinos!$B$2:$B$301,MATCH($B1782,Vinos!$A$2:$A$301,0)),"Código no cargado"))</f>
        <v/>
      </c>
      <c r="D1782" s="14" t="n"/>
      <c r="E1782" s="14" t="n"/>
      <c r="F1782" s="18" t="n"/>
      <c r="G1782" s="18" t="n"/>
      <c r="H1782" s="21">
        <f>IF(AND($F1782="",$G1782=""),"",N($F1782)*IFERROR(N(INDEX(Vinos!$H$2:$H$301,MATCH($B1782,Vinos!$A$2:$A$301,0))),0)+N($G1782))</f>
        <v/>
      </c>
      <c r="I1782" s="18" t="n"/>
      <c r="J1782" s="21">
        <f>IF(OR($H1782="",$I1782=""),"",$H1782-$I1782)</f>
        <v/>
      </c>
      <c r="K1782" s="16">
        <f>IF($H1782="","",IFERROR(IF(INDEX(Vinos!$J$2:$J$301,MATCH($B1782,Vinos!$A$2:$A$301,0))="","",$H1782*INDEX(Vinos!$J$2:$J$301,MATCH($B1782,Vinos!$A$2:$A$301,0))),""))</f>
        <v/>
      </c>
      <c r="L1782" s="16">
        <f>IF($H1782="","",IFERROR(IF(INDEX(Vinos!$K$2:$K$301,MATCH($B1782,Vinos!$A$2:$A$301,0))="","",$H1782*INDEX(Vinos!$K$2:$K$301,MATCH($B1782,Vinos!$A$2:$A$301,0))),""))</f>
        <v/>
      </c>
      <c r="M1782" s="21">
        <f>IF(OR($A1782="",$B1782=""),"",SUMIFS($H$2:$H$2001,$A$2:$A$2001,$A1782,$B$2:$B$2001,$B1782))</f>
        <v/>
      </c>
      <c r="N1782" s="20">
        <f>IF($M1782="","",IF($M1782&lt;=0,"Sin stock: reponer ya",IF($M1782&lt;IFERROR(N(INDEX(Vinos!$N$2:$N$301,MATCH($B1782,Vinos!$A$2:$A$301,0))),0),"Bajo mínimo: reponer","OK")))</f>
        <v/>
      </c>
      <c r="O1782" s="14" t="n"/>
      <c r="P1782" s="14" t="n"/>
      <c r="Q1782" s="20">
        <f>IF($B1782="","",IFERROR(INDEX(Vinos!$C$2:$C$301,MATCH($B1782,Vinos!$A$2:$A$301,0)),""))</f>
        <v/>
      </c>
      <c r="R1782" s="20">
        <f>IF(OR($A1782="",$A1782&lt;&gt;'Resumen del inventario'!$C$3,$N1782="",$N1782="OK"),"",IF(COUNTIFS($A$2:$A1782,$A1782,$B$2:$B1782,$B1782)=1,1,""))</f>
        <v/>
      </c>
      <c r="S1782" s="20">
        <f>IF($R1782=1,COUNTIF($R$2:$R1782,1),"")</f>
        <v/>
      </c>
    </row>
    <row r="1783">
      <c r="A1783" s="19" t="n"/>
      <c r="B1783" s="14" t="n"/>
      <c r="C1783" s="20">
        <f>IF($B1783="","",IFERROR(INDEX(Vinos!$B$2:$B$301,MATCH($B1783,Vinos!$A$2:$A$301,0)),"Código no cargado"))</f>
        <v/>
      </c>
      <c r="D1783" s="14" t="n"/>
      <c r="E1783" s="14" t="n"/>
      <c r="F1783" s="18" t="n"/>
      <c r="G1783" s="18" t="n"/>
      <c r="H1783" s="21">
        <f>IF(AND($F1783="",$G1783=""),"",N($F1783)*IFERROR(N(INDEX(Vinos!$H$2:$H$301,MATCH($B1783,Vinos!$A$2:$A$301,0))),0)+N($G1783))</f>
        <v/>
      </c>
      <c r="I1783" s="18" t="n"/>
      <c r="J1783" s="21">
        <f>IF(OR($H1783="",$I1783=""),"",$H1783-$I1783)</f>
        <v/>
      </c>
      <c r="K1783" s="16">
        <f>IF($H1783="","",IFERROR(IF(INDEX(Vinos!$J$2:$J$301,MATCH($B1783,Vinos!$A$2:$A$301,0))="","",$H1783*INDEX(Vinos!$J$2:$J$301,MATCH($B1783,Vinos!$A$2:$A$301,0))),""))</f>
        <v/>
      </c>
      <c r="L1783" s="16">
        <f>IF($H1783="","",IFERROR(IF(INDEX(Vinos!$K$2:$K$301,MATCH($B1783,Vinos!$A$2:$A$301,0))="","",$H1783*INDEX(Vinos!$K$2:$K$301,MATCH($B1783,Vinos!$A$2:$A$301,0))),""))</f>
        <v/>
      </c>
      <c r="M1783" s="21">
        <f>IF(OR($A1783="",$B1783=""),"",SUMIFS($H$2:$H$2001,$A$2:$A$2001,$A1783,$B$2:$B$2001,$B1783))</f>
        <v/>
      </c>
      <c r="N1783" s="20">
        <f>IF($M1783="","",IF($M1783&lt;=0,"Sin stock: reponer ya",IF($M1783&lt;IFERROR(N(INDEX(Vinos!$N$2:$N$301,MATCH($B1783,Vinos!$A$2:$A$301,0))),0),"Bajo mínimo: reponer","OK")))</f>
        <v/>
      </c>
      <c r="O1783" s="14" t="n"/>
      <c r="P1783" s="14" t="n"/>
      <c r="Q1783" s="20">
        <f>IF($B1783="","",IFERROR(INDEX(Vinos!$C$2:$C$301,MATCH($B1783,Vinos!$A$2:$A$301,0)),""))</f>
        <v/>
      </c>
      <c r="R1783" s="20">
        <f>IF(OR($A1783="",$A1783&lt;&gt;'Resumen del inventario'!$C$3,$N1783="",$N1783="OK"),"",IF(COUNTIFS($A$2:$A1783,$A1783,$B$2:$B1783,$B1783)=1,1,""))</f>
        <v/>
      </c>
      <c r="S1783" s="20">
        <f>IF($R1783=1,COUNTIF($R$2:$R1783,1),"")</f>
        <v/>
      </c>
    </row>
    <row r="1784">
      <c r="A1784" s="19" t="n"/>
      <c r="B1784" s="14" t="n"/>
      <c r="C1784" s="20">
        <f>IF($B1784="","",IFERROR(INDEX(Vinos!$B$2:$B$301,MATCH($B1784,Vinos!$A$2:$A$301,0)),"Código no cargado"))</f>
        <v/>
      </c>
      <c r="D1784" s="14" t="n"/>
      <c r="E1784" s="14" t="n"/>
      <c r="F1784" s="18" t="n"/>
      <c r="G1784" s="18" t="n"/>
      <c r="H1784" s="21">
        <f>IF(AND($F1784="",$G1784=""),"",N($F1784)*IFERROR(N(INDEX(Vinos!$H$2:$H$301,MATCH($B1784,Vinos!$A$2:$A$301,0))),0)+N($G1784))</f>
        <v/>
      </c>
      <c r="I1784" s="18" t="n"/>
      <c r="J1784" s="21">
        <f>IF(OR($H1784="",$I1784=""),"",$H1784-$I1784)</f>
        <v/>
      </c>
      <c r="K1784" s="16">
        <f>IF($H1784="","",IFERROR(IF(INDEX(Vinos!$J$2:$J$301,MATCH($B1784,Vinos!$A$2:$A$301,0))="","",$H1784*INDEX(Vinos!$J$2:$J$301,MATCH($B1784,Vinos!$A$2:$A$301,0))),""))</f>
        <v/>
      </c>
      <c r="L1784" s="16">
        <f>IF($H1784="","",IFERROR(IF(INDEX(Vinos!$K$2:$K$301,MATCH($B1784,Vinos!$A$2:$A$301,0))="","",$H1784*INDEX(Vinos!$K$2:$K$301,MATCH($B1784,Vinos!$A$2:$A$301,0))),""))</f>
        <v/>
      </c>
      <c r="M1784" s="21">
        <f>IF(OR($A1784="",$B1784=""),"",SUMIFS($H$2:$H$2001,$A$2:$A$2001,$A1784,$B$2:$B$2001,$B1784))</f>
        <v/>
      </c>
      <c r="N1784" s="20">
        <f>IF($M1784="","",IF($M1784&lt;=0,"Sin stock: reponer ya",IF($M1784&lt;IFERROR(N(INDEX(Vinos!$N$2:$N$301,MATCH($B1784,Vinos!$A$2:$A$301,0))),0),"Bajo mínimo: reponer","OK")))</f>
        <v/>
      </c>
      <c r="O1784" s="14" t="n"/>
      <c r="P1784" s="14" t="n"/>
      <c r="Q1784" s="20">
        <f>IF($B1784="","",IFERROR(INDEX(Vinos!$C$2:$C$301,MATCH($B1784,Vinos!$A$2:$A$301,0)),""))</f>
        <v/>
      </c>
      <c r="R1784" s="20">
        <f>IF(OR($A1784="",$A1784&lt;&gt;'Resumen del inventario'!$C$3,$N1784="",$N1784="OK"),"",IF(COUNTIFS($A$2:$A1784,$A1784,$B$2:$B1784,$B1784)=1,1,""))</f>
        <v/>
      </c>
      <c r="S1784" s="20">
        <f>IF($R1784=1,COUNTIF($R$2:$R1784,1),"")</f>
        <v/>
      </c>
    </row>
    <row r="1785">
      <c r="A1785" s="19" t="n"/>
      <c r="B1785" s="14" t="n"/>
      <c r="C1785" s="20">
        <f>IF($B1785="","",IFERROR(INDEX(Vinos!$B$2:$B$301,MATCH($B1785,Vinos!$A$2:$A$301,0)),"Código no cargado"))</f>
        <v/>
      </c>
      <c r="D1785" s="14" t="n"/>
      <c r="E1785" s="14" t="n"/>
      <c r="F1785" s="18" t="n"/>
      <c r="G1785" s="18" t="n"/>
      <c r="H1785" s="21">
        <f>IF(AND($F1785="",$G1785=""),"",N($F1785)*IFERROR(N(INDEX(Vinos!$H$2:$H$301,MATCH($B1785,Vinos!$A$2:$A$301,0))),0)+N($G1785))</f>
        <v/>
      </c>
      <c r="I1785" s="18" t="n"/>
      <c r="J1785" s="21">
        <f>IF(OR($H1785="",$I1785=""),"",$H1785-$I1785)</f>
        <v/>
      </c>
      <c r="K1785" s="16">
        <f>IF($H1785="","",IFERROR(IF(INDEX(Vinos!$J$2:$J$301,MATCH($B1785,Vinos!$A$2:$A$301,0))="","",$H1785*INDEX(Vinos!$J$2:$J$301,MATCH($B1785,Vinos!$A$2:$A$301,0))),""))</f>
        <v/>
      </c>
      <c r="L1785" s="16">
        <f>IF($H1785="","",IFERROR(IF(INDEX(Vinos!$K$2:$K$301,MATCH($B1785,Vinos!$A$2:$A$301,0))="","",$H1785*INDEX(Vinos!$K$2:$K$301,MATCH($B1785,Vinos!$A$2:$A$301,0))),""))</f>
        <v/>
      </c>
      <c r="M1785" s="21">
        <f>IF(OR($A1785="",$B1785=""),"",SUMIFS($H$2:$H$2001,$A$2:$A$2001,$A1785,$B$2:$B$2001,$B1785))</f>
        <v/>
      </c>
      <c r="N1785" s="20">
        <f>IF($M1785="","",IF($M1785&lt;=0,"Sin stock: reponer ya",IF($M1785&lt;IFERROR(N(INDEX(Vinos!$N$2:$N$301,MATCH($B1785,Vinos!$A$2:$A$301,0))),0),"Bajo mínimo: reponer","OK")))</f>
        <v/>
      </c>
      <c r="O1785" s="14" t="n"/>
      <c r="P1785" s="14" t="n"/>
      <c r="Q1785" s="20">
        <f>IF($B1785="","",IFERROR(INDEX(Vinos!$C$2:$C$301,MATCH($B1785,Vinos!$A$2:$A$301,0)),""))</f>
        <v/>
      </c>
      <c r="R1785" s="20">
        <f>IF(OR($A1785="",$A1785&lt;&gt;'Resumen del inventario'!$C$3,$N1785="",$N1785="OK"),"",IF(COUNTIFS($A$2:$A1785,$A1785,$B$2:$B1785,$B1785)=1,1,""))</f>
        <v/>
      </c>
      <c r="S1785" s="20">
        <f>IF($R1785=1,COUNTIF($R$2:$R1785,1),"")</f>
        <v/>
      </c>
    </row>
    <row r="1786">
      <c r="A1786" s="19" t="n"/>
      <c r="B1786" s="14" t="n"/>
      <c r="C1786" s="20">
        <f>IF($B1786="","",IFERROR(INDEX(Vinos!$B$2:$B$301,MATCH($B1786,Vinos!$A$2:$A$301,0)),"Código no cargado"))</f>
        <v/>
      </c>
      <c r="D1786" s="14" t="n"/>
      <c r="E1786" s="14" t="n"/>
      <c r="F1786" s="18" t="n"/>
      <c r="G1786" s="18" t="n"/>
      <c r="H1786" s="21">
        <f>IF(AND($F1786="",$G1786=""),"",N($F1786)*IFERROR(N(INDEX(Vinos!$H$2:$H$301,MATCH($B1786,Vinos!$A$2:$A$301,0))),0)+N($G1786))</f>
        <v/>
      </c>
      <c r="I1786" s="18" t="n"/>
      <c r="J1786" s="21">
        <f>IF(OR($H1786="",$I1786=""),"",$H1786-$I1786)</f>
        <v/>
      </c>
      <c r="K1786" s="16">
        <f>IF($H1786="","",IFERROR(IF(INDEX(Vinos!$J$2:$J$301,MATCH($B1786,Vinos!$A$2:$A$301,0))="","",$H1786*INDEX(Vinos!$J$2:$J$301,MATCH($B1786,Vinos!$A$2:$A$301,0))),""))</f>
        <v/>
      </c>
      <c r="L1786" s="16">
        <f>IF($H1786="","",IFERROR(IF(INDEX(Vinos!$K$2:$K$301,MATCH($B1786,Vinos!$A$2:$A$301,0))="","",$H1786*INDEX(Vinos!$K$2:$K$301,MATCH($B1786,Vinos!$A$2:$A$301,0))),""))</f>
        <v/>
      </c>
      <c r="M1786" s="21">
        <f>IF(OR($A1786="",$B1786=""),"",SUMIFS($H$2:$H$2001,$A$2:$A$2001,$A1786,$B$2:$B$2001,$B1786))</f>
        <v/>
      </c>
      <c r="N1786" s="20">
        <f>IF($M1786="","",IF($M1786&lt;=0,"Sin stock: reponer ya",IF($M1786&lt;IFERROR(N(INDEX(Vinos!$N$2:$N$301,MATCH($B1786,Vinos!$A$2:$A$301,0))),0),"Bajo mínimo: reponer","OK")))</f>
        <v/>
      </c>
      <c r="O1786" s="14" t="n"/>
      <c r="P1786" s="14" t="n"/>
      <c r="Q1786" s="20">
        <f>IF($B1786="","",IFERROR(INDEX(Vinos!$C$2:$C$301,MATCH($B1786,Vinos!$A$2:$A$301,0)),""))</f>
        <v/>
      </c>
      <c r="R1786" s="20">
        <f>IF(OR($A1786="",$A1786&lt;&gt;'Resumen del inventario'!$C$3,$N1786="",$N1786="OK"),"",IF(COUNTIFS($A$2:$A1786,$A1786,$B$2:$B1786,$B1786)=1,1,""))</f>
        <v/>
      </c>
      <c r="S1786" s="20">
        <f>IF($R1786=1,COUNTIF($R$2:$R1786,1),"")</f>
        <v/>
      </c>
    </row>
    <row r="1787">
      <c r="A1787" s="19" t="n"/>
      <c r="B1787" s="14" t="n"/>
      <c r="C1787" s="20">
        <f>IF($B1787="","",IFERROR(INDEX(Vinos!$B$2:$B$301,MATCH($B1787,Vinos!$A$2:$A$301,0)),"Código no cargado"))</f>
        <v/>
      </c>
      <c r="D1787" s="14" t="n"/>
      <c r="E1787" s="14" t="n"/>
      <c r="F1787" s="18" t="n"/>
      <c r="G1787" s="18" t="n"/>
      <c r="H1787" s="21">
        <f>IF(AND($F1787="",$G1787=""),"",N($F1787)*IFERROR(N(INDEX(Vinos!$H$2:$H$301,MATCH($B1787,Vinos!$A$2:$A$301,0))),0)+N($G1787))</f>
        <v/>
      </c>
      <c r="I1787" s="18" t="n"/>
      <c r="J1787" s="21">
        <f>IF(OR($H1787="",$I1787=""),"",$H1787-$I1787)</f>
        <v/>
      </c>
      <c r="K1787" s="16">
        <f>IF($H1787="","",IFERROR(IF(INDEX(Vinos!$J$2:$J$301,MATCH($B1787,Vinos!$A$2:$A$301,0))="","",$H1787*INDEX(Vinos!$J$2:$J$301,MATCH($B1787,Vinos!$A$2:$A$301,0))),""))</f>
        <v/>
      </c>
      <c r="L1787" s="16">
        <f>IF($H1787="","",IFERROR(IF(INDEX(Vinos!$K$2:$K$301,MATCH($B1787,Vinos!$A$2:$A$301,0))="","",$H1787*INDEX(Vinos!$K$2:$K$301,MATCH($B1787,Vinos!$A$2:$A$301,0))),""))</f>
        <v/>
      </c>
      <c r="M1787" s="21">
        <f>IF(OR($A1787="",$B1787=""),"",SUMIFS($H$2:$H$2001,$A$2:$A$2001,$A1787,$B$2:$B$2001,$B1787))</f>
        <v/>
      </c>
      <c r="N1787" s="20">
        <f>IF($M1787="","",IF($M1787&lt;=0,"Sin stock: reponer ya",IF($M1787&lt;IFERROR(N(INDEX(Vinos!$N$2:$N$301,MATCH($B1787,Vinos!$A$2:$A$301,0))),0),"Bajo mínimo: reponer","OK")))</f>
        <v/>
      </c>
      <c r="O1787" s="14" t="n"/>
      <c r="P1787" s="14" t="n"/>
      <c r="Q1787" s="20">
        <f>IF($B1787="","",IFERROR(INDEX(Vinos!$C$2:$C$301,MATCH($B1787,Vinos!$A$2:$A$301,0)),""))</f>
        <v/>
      </c>
      <c r="R1787" s="20">
        <f>IF(OR($A1787="",$A1787&lt;&gt;'Resumen del inventario'!$C$3,$N1787="",$N1787="OK"),"",IF(COUNTIFS($A$2:$A1787,$A1787,$B$2:$B1787,$B1787)=1,1,""))</f>
        <v/>
      </c>
      <c r="S1787" s="20">
        <f>IF($R1787=1,COUNTIF($R$2:$R1787,1),"")</f>
        <v/>
      </c>
    </row>
    <row r="1788">
      <c r="A1788" s="19" t="n"/>
      <c r="B1788" s="14" t="n"/>
      <c r="C1788" s="20">
        <f>IF($B1788="","",IFERROR(INDEX(Vinos!$B$2:$B$301,MATCH($B1788,Vinos!$A$2:$A$301,0)),"Código no cargado"))</f>
        <v/>
      </c>
      <c r="D1788" s="14" t="n"/>
      <c r="E1788" s="14" t="n"/>
      <c r="F1788" s="18" t="n"/>
      <c r="G1788" s="18" t="n"/>
      <c r="H1788" s="21">
        <f>IF(AND($F1788="",$G1788=""),"",N($F1788)*IFERROR(N(INDEX(Vinos!$H$2:$H$301,MATCH($B1788,Vinos!$A$2:$A$301,0))),0)+N($G1788))</f>
        <v/>
      </c>
      <c r="I1788" s="18" t="n"/>
      <c r="J1788" s="21">
        <f>IF(OR($H1788="",$I1788=""),"",$H1788-$I1788)</f>
        <v/>
      </c>
      <c r="K1788" s="16">
        <f>IF($H1788="","",IFERROR(IF(INDEX(Vinos!$J$2:$J$301,MATCH($B1788,Vinos!$A$2:$A$301,0))="","",$H1788*INDEX(Vinos!$J$2:$J$301,MATCH($B1788,Vinos!$A$2:$A$301,0))),""))</f>
        <v/>
      </c>
      <c r="L1788" s="16">
        <f>IF($H1788="","",IFERROR(IF(INDEX(Vinos!$K$2:$K$301,MATCH($B1788,Vinos!$A$2:$A$301,0))="","",$H1788*INDEX(Vinos!$K$2:$K$301,MATCH($B1788,Vinos!$A$2:$A$301,0))),""))</f>
        <v/>
      </c>
      <c r="M1788" s="21">
        <f>IF(OR($A1788="",$B1788=""),"",SUMIFS($H$2:$H$2001,$A$2:$A$2001,$A1788,$B$2:$B$2001,$B1788))</f>
        <v/>
      </c>
      <c r="N1788" s="20">
        <f>IF($M1788="","",IF($M1788&lt;=0,"Sin stock: reponer ya",IF($M1788&lt;IFERROR(N(INDEX(Vinos!$N$2:$N$301,MATCH($B1788,Vinos!$A$2:$A$301,0))),0),"Bajo mínimo: reponer","OK")))</f>
        <v/>
      </c>
      <c r="O1788" s="14" t="n"/>
      <c r="P1788" s="14" t="n"/>
      <c r="Q1788" s="20">
        <f>IF($B1788="","",IFERROR(INDEX(Vinos!$C$2:$C$301,MATCH($B1788,Vinos!$A$2:$A$301,0)),""))</f>
        <v/>
      </c>
      <c r="R1788" s="20">
        <f>IF(OR($A1788="",$A1788&lt;&gt;'Resumen del inventario'!$C$3,$N1788="",$N1788="OK"),"",IF(COUNTIFS($A$2:$A1788,$A1788,$B$2:$B1788,$B1788)=1,1,""))</f>
        <v/>
      </c>
      <c r="S1788" s="20">
        <f>IF($R1788=1,COUNTIF($R$2:$R1788,1),"")</f>
        <v/>
      </c>
    </row>
    <row r="1789">
      <c r="A1789" s="19" t="n"/>
      <c r="B1789" s="14" t="n"/>
      <c r="C1789" s="20">
        <f>IF($B1789="","",IFERROR(INDEX(Vinos!$B$2:$B$301,MATCH($B1789,Vinos!$A$2:$A$301,0)),"Código no cargado"))</f>
        <v/>
      </c>
      <c r="D1789" s="14" t="n"/>
      <c r="E1789" s="14" t="n"/>
      <c r="F1789" s="18" t="n"/>
      <c r="G1789" s="18" t="n"/>
      <c r="H1789" s="21">
        <f>IF(AND($F1789="",$G1789=""),"",N($F1789)*IFERROR(N(INDEX(Vinos!$H$2:$H$301,MATCH($B1789,Vinos!$A$2:$A$301,0))),0)+N($G1789))</f>
        <v/>
      </c>
      <c r="I1789" s="18" t="n"/>
      <c r="J1789" s="21">
        <f>IF(OR($H1789="",$I1789=""),"",$H1789-$I1789)</f>
        <v/>
      </c>
      <c r="K1789" s="16">
        <f>IF($H1789="","",IFERROR(IF(INDEX(Vinos!$J$2:$J$301,MATCH($B1789,Vinos!$A$2:$A$301,0))="","",$H1789*INDEX(Vinos!$J$2:$J$301,MATCH($B1789,Vinos!$A$2:$A$301,0))),""))</f>
        <v/>
      </c>
      <c r="L1789" s="16">
        <f>IF($H1789="","",IFERROR(IF(INDEX(Vinos!$K$2:$K$301,MATCH($B1789,Vinos!$A$2:$A$301,0))="","",$H1789*INDEX(Vinos!$K$2:$K$301,MATCH($B1789,Vinos!$A$2:$A$301,0))),""))</f>
        <v/>
      </c>
      <c r="M1789" s="21">
        <f>IF(OR($A1789="",$B1789=""),"",SUMIFS($H$2:$H$2001,$A$2:$A$2001,$A1789,$B$2:$B$2001,$B1789))</f>
        <v/>
      </c>
      <c r="N1789" s="20">
        <f>IF($M1789="","",IF($M1789&lt;=0,"Sin stock: reponer ya",IF($M1789&lt;IFERROR(N(INDEX(Vinos!$N$2:$N$301,MATCH($B1789,Vinos!$A$2:$A$301,0))),0),"Bajo mínimo: reponer","OK")))</f>
        <v/>
      </c>
      <c r="O1789" s="14" t="n"/>
      <c r="P1789" s="14" t="n"/>
      <c r="Q1789" s="20">
        <f>IF($B1789="","",IFERROR(INDEX(Vinos!$C$2:$C$301,MATCH($B1789,Vinos!$A$2:$A$301,0)),""))</f>
        <v/>
      </c>
      <c r="R1789" s="20">
        <f>IF(OR($A1789="",$A1789&lt;&gt;'Resumen del inventario'!$C$3,$N1789="",$N1789="OK"),"",IF(COUNTIFS($A$2:$A1789,$A1789,$B$2:$B1789,$B1789)=1,1,""))</f>
        <v/>
      </c>
      <c r="S1789" s="20">
        <f>IF($R1789=1,COUNTIF($R$2:$R1789,1),"")</f>
        <v/>
      </c>
    </row>
    <row r="1790">
      <c r="A1790" s="19" t="n"/>
      <c r="B1790" s="14" t="n"/>
      <c r="C1790" s="20">
        <f>IF($B1790="","",IFERROR(INDEX(Vinos!$B$2:$B$301,MATCH($B1790,Vinos!$A$2:$A$301,0)),"Código no cargado"))</f>
        <v/>
      </c>
      <c r="D1790" s="14" t="n"/>
      <c r="E1790" s="14" t="n"/>
      <c r="F1790" s="18" t="n"/>
      <c r="G1790" s="18" t="n"/>
      <c r="H1790" s="21">
        <f>IF(AND($F1790="",$G1790=""),"",N($F1790)*IFERROR(N(INDEX(Vinos!$H$2:$H$301,MATCH($B1790,Vinos!$A$2:$A$301,0))),0)+N($G1790))</f>
        <v/>
      </c>
      <c r="I1790" s="18" t="n"/>
      <c r="J1790" s="21">
        <f>IF(OR($H1790="",$I1790=""),"",$H1790-$I1790)</f>
        <v/>
      </c>
      <c r="K1790" s="16">
        <f>IF($H1790="","",IFERROR(IF(INDEX(Vinos!$J$2:$J$301,MATCH($B1790,Vinos!$A$2:$A$301,0))="","",$H1790*INDEX(Vinos!$J$2:$J$301,MATCH($B1790,Vinos!$A$2:$A$301,0))),""))</f>
        <v/>
      </c>
      <c r="L1790" s="16">
        <f>IF($H1790="","",IFERROR(IF(INDEX(Vinos!$K$2:$K$301,MATCH($B1790,Vinos!$A$2:$A$301,0))="","",$H1790*INDEX(Vinos!$K$2:$K$301,MATCH($B1790,Vinos!$A$2:$A$301,0))),""))</f>
        <v/>
      </c>
      <c r="M1790" s="21">
        <f>IF(OR($A1790="",$B1790=""),"",SUMIFS($H$2:$H$2001,$A$2:$A$2001,$A1790,$B$2:$B$2001,$B1790))</f>
        <v/>
      </c>
      <c r="N1790" s="20">
        <f>IF($M1790="","",IF($M1790&lt;=0,"Sin stock: reponer ya",IF($M1790&lt;IFERROR(N(INDEX(Vinos!$N$2:$N$301,MATCH($B1790,Vinos!$A$2:$A$301,0))),0),"Bajo mínimo: reponer","OK")))</f>
        <v/>
      </c>
      <c r="O1790" s="14" t="n"/>
      <c r="P1790" s="14" t="n"/>
      <c r="Q1790" s="20">
        <f>IF($B1790="","",IFERROR(INDEX(Vinos!$C$2:$C$301,MATCH($B1790,Vinos!$A$2:$A$301,0)),""))</f>
        <v/>
      </c>
      <c r="R1790" s="20">
        <f>IF(OR($A1790="",$A1790&lt;&gt;'Resumen del inventario'!$C$3,$N1790="",$N1790="OK"),"",IF(COUNTIFS($A$2:$A1790,$A1790,$B$2:$B1790,$B1790)=1,1,""))</f>
        <v/>
      </c>
      <c r="S1790" s="20">
        <f>IF($R1790=1,COUNTIF($R$2:$R1790,1),"")</f>
        <v/>
      </c>
    </row>
    <row r="1791">
      <c r="A1791" s="19" t="n"/>
      <c r="B1791" s="14" t="n"/>
      <c r="C1791" s="20">
        <f>IF($B1791="","",IFERROR(INDEX(Vinos!$B$2:$B$301,MATCH($B1791,Vinos!$A$2:$A$301,0)),"Código no cargado"))</f>
        <v/>
      </c>
      <c r="D1791" s="14" t="n"/>
      <c r="E1791" s="14" t="n"/>
      <c r="F1791" s="18" t="n"/>
      <c r="G1791" s="18" t="n"/>
      <c r="H1791" s="21">
        <f>IF(AND($F1791="",$G1791=""),"",N($F1791)*IFERROR(N(INDEX(Vinos!$H$2:$H$301,MATCH($B1791,Vinos!$A$2:$A$301,0))),0)+N($G1791))</f>
        <v/>
      </c>
      <c r="I1791" s="18" t="n"/>
      <c r="J1791" s="21">
        <f>IF(OR($H1791="",$I1791=""),"",$H1791-$I1791)</f>
        <v/>
      </c>
      <c r="K1791" s="16">
        <f>IF($H1791="","",IFERROR(IF(INDEX(Vinos!$J$2:$J$301,MATCH($B1791,Vinos!$A$2:$A$301,0))="","",$H1791*INDEX(Vinos!$J$2:$J$301,MATCH($B1791,Vinos!$A$2:$A$301,0))),""))</f>
        <v/>
      </c>
      <c r="L1791" s="16">
        <f>IF($H1791="","",IFERROR(IF(INDEX(Vinos!$K$2:$K$301,MATCH($B1791,Vinos!$A$2:$A$301,0))="","",$H1791*INDEX(Vinos!$K$2:$K$301,MATCH($B1791,Vinos!$A$2:$A$301,0))),""))</f>
        <v/>
      </c>
      <c r="M1791" s="21">
        <f>IF(OR($A1791="",$B1791=""),"",SUMIFS($H$2:$H$2001,$A$2:$A$2001,$A1791,$B$2:$B$2001,$B1791))</f>
        <v/>
      </c>
      <c r="N1791" s="20">
        <f>IF($M1791="","",IF($M1791&lt;=0,"Sin stock: reponer ya",IF($M1791&lt;IFERROR(N(INDEX(Vinos!$N$2:$N$301,MATCH($B1791,Vinos!$A$2:$A$301,0))),0),"Bajo mínimo: reponer","OK")))</f>
        <v/>
      </c>
      <c r="O1791" s="14" t="n"/>
      <c r="P1791" s="14" t="n"/>
      <c r="Q1791" s="20">
        <f>IF($B1791="","",IFERROR(INDEX(Vinos!$C$2:$C$301,MATCH($B1791,Vinos!$A$2:$A$301,0)),""))</f>
        <v/>
      </c>
      <c r="R1791" s="20">
        <f>IF(OR($A1791="",$A1791&lt;&gt;'Resumen del inventario'!$C$3,$N1791="",$N1791="OK"),"",IF(COUNTIFS($A$2:$A1791,$A1791,$B$2:$B1791,$B1791)=1,1,""))</f>
        <v/>
      </c>
      <c r="S1791" s="20">
        <f>IF($R1791=1,COUNTIF($R$2:$R1791,1),"")</f>
        <v/>
      </c>
    </row>
    <row r="1792">
      <c r="A1792" s="19" t="n"/>
      <c r="B1792" s="14" t="n"/>
      <c r="C1792" s="20">
        <f>IF($B1792="","",IFERROR(INDEX(Vinos!$B$2:$B$301,MATCH($B1792,Vinos!$A$2:$A$301,0)),"Código no cargado"))</f>
        <v/>
      </c>
      <c r="D1792" s="14" t="n"/>
      <c r="E1792" s="14" t="n"/>
      <c r="F1792" s="18" t="n"/>
      <c r="G1792" s="18" t="n"/>
      <c r="H1792" s="21">
        <f>IF(AND($F1792="",$G1792=""),"",N($F1792)*IFERROR(N(INDEX(Vinos!$H$2:$H$301,MATCH($B1792,Vinos!$A$2:$A$301,0))),0)+N($G1792))</f>
        <v/>
      </c>
      <c r="I1792" s="18" t="n"/>
      <c r="J1792" s="21">
        <f>IF(OR($H1792="",$I1792=""),"",$H1792-$I1792)</f>
        <v/>
      </c>
      <c r="K1792" s="16">
        <f>IF($H1792="","",IFERROR(IF(INDEX(Vinos!$J$2:$J$301,MATCH($B1792,Vinos!$A$2:$A$301,0))="","",$H1792*INDEX(Vinos!$J$2:$J$301,MATCH($B1792,Vinos!$A$2:$A$301,0))),""))</f>
        <v/>
      </c>
      <c r="L1792" s="16">
        <f>IF($H1792="","",IFERROR(IF(INDEX(Vinos!$K$2:$K$301,MATCH($B1792,Vinos!$A$2:$A$301,0))="","",$H1792*INDEX(Vinos!$K$2:$K$301,MATCH($B1792,Vinos!$A$2:$A$301,0))),""))</f>
        <v/>
      </c>
      <c r="M1792" s="21">
        <f>IF(OR($A1792="",$B1792=""),"",SUMIFS($H$2:$H$2001,$A$2:$A$2001,$A1792,$B$2:$B$2001,$B1792))</f>
        <v/>
      </c>
      <c r="N1792" s="20">
        <f>IF($M1792="","",IF($M1792&lt;=0,"Sin stock: reponer ya",IF($M1792&lt;IFERROR(N(INDEX(Vinos!$N$2:$N$301,MATCH($B1792,Vinos!$A$2:$A$301,0))),0),"Bajo mínimo: reponer","OK")))</f>
        <v/>
      </c>
      <c r="O1792" s="14" t="n"/>
      <c r="P1792" s="14" t="n"/>
      <c r="Q1792" s="20">
        <f>IF($B1792="","",IFERROR(INDEX(Vinos!$C$2:$C$301,MATCH($B1792,Vinos!$A$2:$A$301,0)),""))</f>
        <v/>
      </c>
      <c r="R1792" s="20">
        <f>IF(OR($A1792="",$A1792&lt;&gt;'Resumen del inventario'!$C$3,$N1792="",$N1792="OK"),"",IF(COUNTIFS($A$2:$A1792,$A1792,$B$2:$B1792,$B1792)=1,1,""))</f>
        <v/>
      </c>
      <c r="S1792" s="20">
        <f>IF($R1792=1,COUNTIF($R$2:$R1792,1),"")</f>
        <v/>
      </c>
    </row>
    <row r="1793">
      <c r="A1793" s="19" t="n"/>
      <c r="B1793" s="14" t="n"/>
      <c r="C1793" s="20">
        <f>IF($B1793="","",IFERROR(INDEX(Vinos!$B$2:$B$301,MATCH($B1793,Vinos!$A$2:$A$301,0)),"Código no cargado"))</f>
        <v/>
      </c>
      <c r="D1793" s="14" t="n"/>
      <c r="E1793" s="14" t="n"/>
      <c r="F1793" s="18" t="n"/>
      <c r="G1793" s="18" t="n"/>
      <c r="H1793" s="21">
        <f>IF(AND($F1793="",$G1793=""),"",N($F1793)*IFERROR(N(INDEX(Vinos!$H$2:$H$301,MATCH($B1793,Vinos!$A$2:$A$301,0))),0)+N($G1793))</f>
        <v/>
      </c>
      <c r="I1793" s="18" t="n"/>
      <c r="J1793" s="21">
        <f>IF(OR($H1793="",$I1793=""),"",$H1793-$I1793)</f>
        <v/>
      </c>
      <c r="K1793" s="16">
        <f>IF($H1793="","",IFERROR(IF(INDEX(Vinos!$J$2:$J$301,MATCH($B1793,Vinos!$A$2:$A$301,0))="","",$H1793*INDEX(Vinos!$J$2:$J$301,MATCH($B1793,Vinos!$A$2:$A$301,0))),""))</f>
        <v/>
      </c>
      <c r="L1793" s="16">
        <f>IF($H1793="","",IFERROR(IF(INDEX(Vinos!$K$2:$K$301,MATCH($B1793,Vinos!$A$2:$A$301,0))="","",$H1793*INDEX(Vinos!$K$2:$K$301,MATCH($B1793,Vinos!$A$2:$A$301,0))),""))</f>
        <v/>
      </c>
      <c r="M1793" s="21">
        <f>IF(OR($A1793="",$B1793=""),"",SUMIFS($H$2:$H$2001,$A$2:$A$2001,$A1793,$B$2:$B$2001,$B1793))</f>
        <v/>
      </c>
      <c r="N1793" s="20">
        <f>IF($M1793="","",IF($M1793&lt;=0,"Sin stock: reponer ya",IF($M1793&lt;IFERROR(N(INDEX(Vinos!$N$2:$N$301,MATCH($B1793,Vinos!$A$2:$A$301,0))),0),"Bajo mínimo: reponer","OK")))</f>
        <v/>
      </c>
      <c r="O1793" s="14" t="n"/>
      <c r="P1793" s="14" t="n"/>
      <c r="Q1793" s="20">
        <f>IF($B1793="","",IFERROR(INDEX(Vinos!$C$2:$C$301,MATCH($B1793,Vinos!$A$2:$A$301,0)),""))</f>
        <v/>
      </c>
      <c r="R1793" s="20">
        <f>IF(OR($A1793="",$A1793&lt;&gt;'Resumen del inventario'!$C$3,$N1793="",$N1793="OK"),"",IF(COUNTIFS($A$2:$A1793,$A1793,$B$2:$B1793,$B1793)=1,1,""))</f>
        <v/>
      </c>
      <c r="S1793" s="20">
        <f>IF($R1793=1,COUNTIF($R$2:$R1793,1),"")</f>
        <v/>
      </c>
    </row>
    <row r="1794">
      <c r="A1794" s="19" t="n"/>
      <c r="B1794" s="14" t="n"/>
      <c r="C1794" s="20">
        <f>IF($B1794="","",IFERROR(INDEX(Vinos!$B$2:$B$301,MATCH($B1794,Vinos!$A$2:$A$301,0)),"Código no cargado"))</f>
        <v/>
      </c>
      <c r="D1794" s="14" t="n"/>
      <c r="E1794" s="14" t="n"/>
      <c r="F1794" s="18" t="n"/>
      <c r="G1794" s="18" t="n"/>
      <c r="H1794" s="21">
        <f>IF(AND($F1794="",$G1794=""),"",N($F1794)*IFERROR(N(INDEX(Vinos!$H$2:$H$301,MATCH($B1794,Vinos!$A$2:$A$301,0))),0)+N($G1794))</f>
        <v/>
      </c>
      <c r="I1794" s="18" t="n"/>
      <c r="J1794" s="21">
        <f>IF(OR($H1794="",$I1794=""),"",$H1794-$I1794)</f>
        <v/>
      </c>
      <c r="K1794" s="16">
        <f>IF($H1794="","",IFERROR(IF(INDEX(Vinos!$J$2:$J$301,MATCH($B1794,Vinos!$A$2:$A$301,0))="","",$H1794*INDEX(Vinos!$J$2:$J$301,MATCH($B1794,Vinos!$A$2:$A$301,0))),""))</f>
        <v/>
      </c>
      <c r="L1794" s="16">
        <f>IF($H1794="","",IFERROR(IF(INDEX(Vinos!$K$2:$K$301,MATCH($B1794,Vinos!$A$2:$A$301,0))="","",$H1794*INDEX(Vinos!$K$2:$K$301,MATCH($B1794,Vinos!$A$2:$A$301,0))),""))</f>
        <v/>
      </c>
      <c r="M1794" s="21">
        <f>IF(OR($A1794="",$B1794=""),"",SUMIFS($H$2:$H$2001,$A$2:$A$2001,$A1794,$B$2:$B$2001,$B1794))</f>
        <v/>
      </c>
      <c r="N1794" s="20">
        <f>IF($M1794="","",IF($M1794&lt;=0,"Sin stock: reponer ya",IF($M1794&lt;IFERROR(N(INDEX(Vinos!$N$2:$N$301,MATCH($B1794,Vinos!$A$2:$A$301,0))),0),"Bajo mínimo: reponer","OK")))</f>
        <v/>
      </c>
      <c r="O1794" s="14" t="n"/>
      <c r="P1794" s="14" t="n"/>
      <c r="Q1794" s="20">
        <f>IF($B1794="","",IFERROR(INDEX(Vinos!$C$2:$C$301,MATCH($B1794,Vinos!$A$2:$A$301,0)),""))</f>
        <v/>
      </c>
      <c r="R1794" s="20">
        <f>IF(OR($A1794="",$A1794&lt;&gt;'Resumen del inventario'!$C$3,$N1794="",$N1794="OK"),"",IF(COUNTIFS($A$2:$A1794,$A1794,$B$2:$B1794,$B1794)=1,1,""))</f>
        <v/>
      </c>
      <c r="S1794" s="20">
        <f>IF($R1794=1,COUNTIF($R$2:$R1794,1),"")</f>
        <v/>
      </c>
    </row>
    <row r="1795">
      <c r="A1795" s="19" t="n"/>
      <c r="B1795" s="14" t="n"/>
      <c r="C1795" s="20">
        <f>IF($B1795="","",IFERROR(INDEX(Vinos!$B$2:$B$301,MATCH($B1795,Vinos!$A$2:$A$301,0)),"Código no cargado"))</f>
        <v/>
      </c>
      <c r="D1795" s="14" t="n"/>
      <c r="E1795" s="14" t="n"/>
      <c r="F1795" s="18" t="n"/>
      <c r="G1795" s="18" t="n"/>
      <c r="H1795" s="21">
        <f>IF(AND($F1795="",$G1795=""),"",N($F1795)*IFERROR(N(INDEX(Vinos!$H$2:$H$301,MATCH($B1795,Vinos!$A$2:$A$301,0))),0)+N($G1795))</f>
        <v/>
      </c>
      <c r="I1795" s="18" t="n"/>
      <c r="J1795" s="21">
        <f>IF(OR($H1795="",$I1795=""),"",$H1795-$I1795)</f>
        <v/>
      </c>
      <c r="K1795" s="16">
        <f>IF($H1795="","",IFERROR(IF(INDEX(Vinos!$J$2:$J$301,MATCH($B1795,Vinos!$A$2:$A$301,0))="","",$H1795*INDEX(Vinos!$J$2:$J$301,MATCH($B1795,Vinos!$A$2:$A$301,0))),""))</f>
        <v/>
      </c>
      <c r="L1795" s="16">
        <f>IF($H1795="","",IFERROR(IF(INDEX(Vinos!$K$2:$K$301,MATCH($B1795,Vinos!$A$2:$A$301,0))="","",$H1795*INDEX(Vinos!$K$2:$K$301,MATCH($B1795,Vinos!$A$2:$A$301,0))),""))</f>
        <v/>
      </c>
      <c r="M1795" s="21">
        <f>IF(OR($A1795="",$B1795=""),"",SUMIFS($H$2:$H$2001,$A$2:$A$2001,$A1795,$B$2:$B$2001,$B1795))</f>
        <v/>
      </c>
      <c r="N1795" s="20">
        <f>IF($M1795="","",IF($M1795&lt;=0,"Sin stock: reponer ya",IF($M1795&lt;IFERROR(N(INDEX(Vinos!$N$2:$N$301,MATCH($B1795,Vinos!$A$2:$A$301,0))),0),"Bajo mínimo: reponer","OK")))</f>
        <v/>
      </c>
      <c r="O1795" s="14" t="n"/>
      <c r="P1795" s="14" t="n"/>
      <c r="Q1795" s="20">
        <f>IF($B1795="","",IFERROR(INDEX(Vinos!$C$2:$C$301,MATCH($B1795,Vinos!$A$2:$A$301,0)),""))</f>
        <v/>
      </c>
      <c r="R1795" s="20">
        <f>IF(OR($A1795="",$A1795&lt;&gt;'Resumen del inventario'!$C$3,$N1795="",$N1795="OK"),"",IF(COUNTIFS($A$2:$A1795,$A1795,$B$2:$B1795,$B1795)=1,1,""))</f>
        <v/>
      </c>
      <c r="S1795" s="20">
        <f>IF($R1795=1,COUNTIF($R$2:$R1795,1),"")</f>
        <v/>
      </c>
    </row>
    <row r="1796">
      <c r="A1796" s="19" t="n"/>
      <c r="B1796" s="14" t="n"/>
      <c r="C1796" s="20">
        <f>IF($B1796="","",IFERROR(INDEX(Vinos!$B$2:$B$301,MATCH($B1796,Vinos!$A$2:$A$301,0)),"Código no cargado"))</f>
        <v/>
      </c>
      <c r="D1796" s="14" t="n"/>
      <c r="E1796" s="14" t="n"/>
      <c r="F1796" s="18" t="n"/>
      <c r="G1796" s="18" t="n"/>
      <c r="H1796" s="21">
        <f>IF(AND($F1796="",$G1796=""),"",N($F1796)*IFERROR(N(INDEX(Vinos!$H$2:$H$301,MATCH($B1796,Vinos!$A$2:$A$301,0))),0)+N($G1796))</f>
        <v/>
      </c>
      <c r="I1796" s="18" t="n"/>
      <c r="J1796" s="21">
        <f>IF(OR($H1796="",$I1796=""),"",$H1796-$I1796)</f>
        <v/>
      </c>
      <c r="K1796" s="16">
        <f>IF($H1796="","",IFERROR(IF(INDEX(Vinos!$J$2:$J$301,MATCH($B1796,Vinos!$A$2:$A$301,0))="","",$H1796*INDEX(Vinos!$J$2:$J$301,MATCH($B1796,Vinos!$A$2:$A$301,0))),""))</f>
        <v/>
      </c>
      <c r="L1796" s="16">
        <f>IF($H1796="","",IFERROR(IF(INDEX(Vinos!$K$2:$K$301,MATCH($B1796,Vinos!$A$2:$A$301,0))="","",$H1796*INDEX(Vinos!$K$2:$K$301,MATCH($B1796,Vinos!$A$2:$A$301,0))),""))</f>
        <v/>
      </c>
      <c r="M1796" s="21">
        <f>IF(OR($A1796="",$B1796=""),"",SUMIFS($H$2:$H$2001,$A$2:$A$2001,$A1796,$B$2:$B$2001,$B1796))</f>
        <v/>
      </c>
      <c r="N1796" s="20">
        <f>IF($M1796="","",IF($M1796&lt;=0,"Sin stock: reponer ya",IF($M1796&lt;IFERROR(N(INDEX(Vinos!$N$2:$N$301,MATCH($B1796,Vinos!$A$2:$A$301,0))),0),"Bajo mínimo: reponer","OK")))</f>
        <v/>
      </c>
      <c r="O1796" s="14" t="n"/>
      <c r="P1796" s="14" t="n"/>
      <c r="Q1796" s="20">
        <f>IF($B1796="","",IFERROR(INDEX(Vinos!$C$2:$C$301,MATCH($B1796,Vinos!$A$2:$A$301,0)),""))</f>
        <v/>
      </c>
      <c r="R1796" s="20">
        <f>IF(OR($A1796="",$A1796&lt;&gt;'Resumen del inventario'!$C$3,$N1796="",$N1796="OK"),"",IF(COUNTIFS($A$2:$A1796,$A1796,$B$2:$B1796,$B1796)=1,1,""))</f>
        <v/>
      </c>
      <c r="S1796" s="20">
        <f>IF($R1796=1,COUNTIF($R$2:$R1796,1),"")</f>
        <v/>
      </c>
    </row>
    <row r="1797">
      <c r="A1797" s="19" t="n"/>
      <c r="B1797" s="14" t="n"/>
      <c r="C1797" s="20">
        <f>IF($B1797="","",IFERROR(INDEX(Vinos!$B$2:$B$301,MATCH($B1797,Vinos!$A$2:$A$301,0)),"Código no cargado"))</f>
        <v/>
      </c>
      <c r="D1797" s="14" t="n"/>
      <c r="E1797" s="14" t="n"/>
      <c r="F1797" s="18" t="n"/>
      <c r="G1797" s="18" t="n"/>
      <c r="H1797" s="21">
        <f>IF(AND($F1797="",$G1797=""),"",N($F1797)*IFERROR(N(INDEX(Vinos!$H$2:$H$301,MATCH($B1797,Vinos!$A$2:$A$301,0))),0)+N($G1797))</f>
        <v/>
      </c>
      <c r="I1797" s="18" t="n"/>
      <c r="J1797" s="21">
        <f>IF(OR($H1797="",$I1797=""),"",$H1797-$I1797)</f>
        <v/>
      </c>
      <c r="K1797" s="16">
        <f>IF($H1797="","",IFERROR(IF(INDEX(Vinos!$J$2:$J$301,MATCH($B1797,Vinos!$A$2:$A$301,0))="","",$H1797*INDEX(Vinos!$J$2:$J$301,MATCH($B1797,Vinos!$A$2:$A$301,0))),""))</f>
        <v/>
      </c>
      <c r="L1797" s="16">
        <f>IF($H1797="","",IFERROR(IF(INDEX(Vinos!$K$2:$K$301,MATCH($B1797,Vinos!$A$2:$A$301,0))="","",$H1797*INDEX(Vinos!$K$2:$K$301,MATCH($B1797,Vinos!$A$2:$A$301,0))),""))</f>
        <v/>
      </c>
      <c r="M1797" s="21">
        <f>IF(OR($A1797="",$B1797=""),"",SUMIFS($H$2:$H$2001,$A$2:$A$2001,$A1797,$B$2:$B$2001,$B1797))</f>
        <v/>
      </c>
      <c r="N1797" s="20">
        <f>IF($M1797="","",IF($M1797&lt;=0,"Sin stock: reponer ya",IF($M1797&lt;IFERROR(N(INDEX(Vinos!$N$2:$N$301,MATCH($B1797,Vinos!$A$2:$A$301,0))),0),"Bajo mínimo: reponer","OK")))</f>
        <v/>
      </c>
      <c r="O1797" s="14" t="n"/>
      <c r="P1797" s="14" t="n"/>
      <c r="Q1797" s="20">
        <f>IF($B1797="","",IFERROR(INDEX(Vinos!$C$2:$C$301,MATCH($B1797,Vinos!$A$2:$A$301,0)),""))</f>
        <v/>
      </c>
      <c r="R1797" s="20">
        <f>IF(OR($A1797="",$A1797&lt;&gt;'Resumen del inventario'!$C$3,$N1797="",$N1797="OK"),"",IF(COUNTIFS($A$2:$A1797,$A1797,$B$2:$B1797,$B1797)=1,1,""))</f>
        <v/>
      </c>
      <c r="S1797" s="20">
        <f>IF($R1797=1,COUNTIF($R$2:$R1797,1),"")</f>
        <v/>
      </c>
    </row>
    <row r="1798">
      <c r="A1798" s="19" t="n"/>
      <c r="B1798" s="14" t="n"/>
      <c r="C1798" s="20">
        <f>IF($B1798="","",IFERROR(INDEX(Vinos!$B$2:$B$301,MATCH($B1798,Vinos!$A$2:$A$301,0)),"Código no cargado"))</f>
        <v/>
      </c>
      <c r="D1798" s="14" t="n"/>
      <c r="E1798" s="14" t="n"/>
      <c r="F1798" s="18" t="n"/>
      <c r="G1798" s="18" t="n"/>
      <c r="H1798" s="21">
        <f>IF(AND($F1798="",$G1798=""),"",N($F1798)*IFERROR(N(INDEX(Vinos!$H$2:$H$301,MATCH($B1798,Vinos!$A$2:$A$301,0))),0)+N($G1798))</f>
        <v/>
      </c>
      <c r="I1798" s="18" t="n"/>
      <c r="J1798" s="21">
        <f>IF(OR($H1798="",$I1798=""),"",$H1798-$I1798)</f>
        <v/>
      </c>
      <c r="K1798" s="16">
        <f>IF($H1798="","",IFERROR(IF(INDEX(Vinos!$J$2:$J$301,MATCH($B1798,Vinos!$A$2:$A$301,0))="","",$H1798*INDEX(Vinos!$J$2:$J$301,MATCH($B1798,Vinos!$A$2:$A$301,0))),""))</f>
        <v/>
      </c>
      <c r="L1798" s="16">
        <f>IF($H1798="","",IFERROR(IF(INDEX(Vinos!$K$2:$K$301,MATCH($B1798,Vinos!$A$2:$A$301,0))="","",$H1798*INDEX(Vinos!$K$2:$K$301,MATCH($B1798,Vinos!$A$2:$A$301,0))),""))</f>
        <v/>
      </c>
      <c r="M1798" s="21">
        <f>IF(OR($A1798="",$B1798=""),"",SUMIFS($H$2:$H$2001,$A$2:$A$2001,$A1798,$B$2:$B$2001,$B1798))</f>
        <v/>
      </c>
      <c r="N1798" s="20">
        <f>IF($M1798="","",IF($M1798&lt;=0,"Sin stock: reponer ya",IF($M1798&lt;IFERROR(N(INDEX(Vinos!$N$2:$N$301,MATCH($B1798,Vinos!$A$2:$A$301,0))),0),"Bajo mínimo: reponer","OK")))</f>
        <v/>
      </c>
      <c r="O1798" s="14" t="n"/>
      <c r="P1798" s="14" t="n"/>
      <c r="Q1798" s="20">
        <f>IF($B1798="","",IFERROR(INDEX(Vinos!$C$2:$C$301,MATCH($B1798,Vinos!$A$2:$A$301,0)),""))</f>
        <v/>
      </c>
      <c r="R1798" s="20">
        <f>IF(OR($A1798="",$A1798&lt;&gt;'Resumen del inventario'!$C$3,$N1798="",$N1798="OK"),"",IF(COUNTIFS($A$2:$A1798,$A1798,$B$2:$B1798,$B1798)=1,1,""))</f>
        <v/>
      </c>
      <c r="S1798" s="20">
        <f>IF($R1798=1,COUNTIF($R$2:$R1798,1),"")</f>
        <v/>
      </c>
    </row>
    <row r="1799">
      <c r="A1799" s="19" t="n"/>
      <c r="B1799" s="14" t="n"/>
      <c r="C1799" s="20">
        <f>IF($B1799="","",IFERROR(INDEX(Vinos!$B$2:$B$301,MATCH($B1799,Vinos!$A$2:$A$301,0)),"Código no cargado"))</f>
        <v/>
      </c>
      <c r="D1799" s="14" t="n"/>
      <c r="E1799" s="14" t="n"/>
      <c r="F1799" s="18" t="n"/>
      <c r="G1799" s="18" t="n"/>
      <c r="H1799" s="21">
        <f>IF(AND($F1799="",$G1799=""),"",N($F1799)*IFERROR(N(INDEX(Vinos!$H$2:$H$301,MATCH($B1799,Vinos!$A$2:$A$301,0))),0)+N($G1799))</f>
        <v/>
      </c>
      <c r="I1799" s="18" t="n"/>
      <c r="J1799" s="21">
        <f>IF(OR($H1799="",$I1799=""),"",$H1799-$I1799)</f>
        <v/>
      </c>
      <c r="K1799" s="16">
        <f>IF($H1799="","",IFERROR(IF(INDEX(Vinos!$J$2:$J$301,MATCH($B1799,Vinos!$A$2:$A$301,0))="","",$H1799*INDEX(Vinos!$J$2:$J$301,MATCH($B1799,Vinos!$A$2:$A$301,0))),""))</f>
        <v/>
      </c>
      <c r="L1799" s="16">
        <f>IF($H1799="","",IFERROR(IF(INDEX(Vinos!$K$2:$K$301,MATCH($B1799,Vinos!$A$2:$A$301,0))="","",$H1799*INDEX(Vinos!$K$2:$K$301,MATCH($B1799,Vinos!$A$2:$A$301,0))),""))</f>
        <v/>
      </c>
      <c r="M1799" s="21">
        <f>IF(OR($A1799="",$B1799=""),"",SUMIFS($H$2:$H$2001,$A$2:$A$2001,$A1799,$B$2:$B$2001,$B1799))</f>
        <v/>
      </c>
      <c r="N1799" s="20">
        <f>IF($M1799="","",IF($M1799&lt;=0,"Sin stock: reponer ya",IF($M1799&lt;IFERROR(N(INDEX(Vinos!$N$2:$N$301,MATCH($B1799,Vinos!$A$2:$A$301,0))),0),"Bajo mínimo: reponer","OK")))</f>
        <v/>
      </c>
      <c r="O1799" s="14" t="n"/>
      <c r="P1799" s="14" t="n"/>
      <c r="Q1799" s="20">
        <f>IF($B1799="","",IFERROR(INDEX(Vinos!$C$2:$C$301,MATCH($B1799,Vinos!$A$2:$A$301,0)),""))</f>
        <v/>
      </c>
      <c r="R1799" s="20">
        <f>IF(OR($A1799="",$A1799&lt;&gt;'Resumen del inventario'!$C$3,$N1799="",$N1799="OK"),"",IF(COUNTIFS($A$2:$A1799,$A1799,$B$2:$B1799,$B1799)=1,1,""))</f>
        <v/>
      </c>
      <c r="S1799" s="20">
        <f>IF($R1799=1,COUNTIF($R$2:$R1799,1),"")</f>
        <v/>
      </c>
    </row>
    <row r="1800">
      <c r="A1800" s="19" t="n"/>
      <c r="B1800" s="14" t="n"/>
      <c r="C1800" s="20">
        <f>IF($B1800="","",IFERROR(INDEX(Vinos!$B$2:$B$301,MATCH($B1800,Vinos!$A$2:$A$301,0)),"Código no cargado"))</f>
        <v/>
      </c>
      <c r="D1800" s="14" t="n"/>
      <c r="E1800" s="14" t="n"/>
      <c r="F1800" s="18" t="n"/>
      <c r="G1800" s="18" t="n"/>
      <c r="H1800" s="21">
        <f>IF(AND($F1800="",$G1800=""),"",N($F1800)*IFERROR(N(INDEX(Vinos!$H$2:$H$301,MATCH($B1800,Vinos!$A$2:$A$301,0))),0)+N($G1800))</f>
        <v/>
      </c>
      <c r="I1800" s="18" t="n"/>
      <c r="J1800" s="21">
        <f>IF(OR($H1800="",$I1800=""),"",$H1800-$I1800)</f>
        <v/>
      </c>
      <c r="K1800" s="16">
        <f>IF($H1800="","",IFERROR(IF(INDEX(Vinos!$J$2:$J$301,MATCH($B1800,Vinos!$A$2:$A$301,0))="","",$H1800*INDEX(Vinos!$J$2:$J$301,MATCH($B1800,Vinos!$A$2:$A$301,0))),""))</f>
        <v/>
      </c>
      <c r="L1800" s="16">
        <f>IF($H1800="","",IFERROR(IF(INDEX(Vinos!$K$2:$K$301,MATCH($B1800,Vinos!$A$2:$A$301,0))="","",$H1800*INDEX(Vinos!$K$2:$K$301,MATCH($B1800,Vinos!$A$2:$A$301,0))),""))</f>
        <v/>
      </c>
      <c r="M1800" s="21">
        <f>IF(OR($A1800="",$B1800=""),"",SUMIFS($H$2:$H$2001,$A$2:$A$2001,$A1800,$B$2:$B$2001,$B1800))</f>
        <v/>
      </c>
      <c r="N1800" s="20">
        <f>IF($M1800="","",IF($M1800&lt;=0,"Sin stock: reponer ya",IF($M1800&lt;IFERROR(N(INDEX(Vinos!$N$2:$N$301,MATCH($B1800,Vinos!$A$2:$A$301,0))),0),"Bajo mínimo: reponer","OK")))</f>
        <v/>
      </c>
      <c r="O1800" s="14" t="n"/>
      <c r="P1800" s="14" t="n"/>
      <c r="Q1800" s="20">
        <f>IF($B1800="","",IFERROR(INDEX(Vinos!$C$2:$C$301,MATCH($B1800,Vinos!$A$2:$A$301,0)),""))</f>
        <v/>
      </c>
      <c r="R1800" s="20">
        <f>IF(OR($A1800="",$A1800&lt;&gt;'Resumen del inventario'!$C$3,$N1800="",$N1800="OK"),"",IF(COUNTIFS($A$2:$A1800,$A1800,$B$2:$B1800,$B1800)=1,1,""))</f>
        <v/>
      </c>
      <c r="S1800" s="20">
        <f>IF($R1800=1,COUNTIF($R$2:$R1800,1),"")</f>
        <v/>
      </c>
    </row>
    <row r="1801">
      <c r="A1801" s="19" t="n"/>
      <c r="B1801" s="14" t="n"/>
      <c r="C1801" s="20">
        <f>IF($B1801="","",IFERROR(INDEX(Vinos!$B$2:$B$301,MATCH($B1801,Vinos!$A$2:$A$301,0)),"Código no cargado"))</f>
        <v/>
      </c>
      <c r="D1801" s="14" t="n"/>
      <c r="E1801" s="14" t="n"/>
      <c r="F1801" s="18" t="n"/>
      <c r="G1801" s="18" t="n"/>
      <c r="H1801" s="21">
        <f>IF(AND($F1801="",$G1801=""),"",N($F1801)*IFERROR(N(INDEX(Vinos!$H$2:$H$301,MATCH($B1801,Vinos!$A$2:$A$301,0))),0)+N($G1801))</f>
        <v/>
      </c>
      <c r="I1801" s="18" t="n"/>
      <c r="J1801" s="21">
        <f>IF(OR($H1801="",$I1801=""),"",$H1801-$I1801)</f>
        <v/>
      </c>
      <c r="K1801" s="16">
        <f>IF($H1801="","",IFERROR(IF(INDEX(Vinos!$J$2:$J$301,MATCH($B1801,Vinos!$A$2:$A$301,0))="","",$H1801*INDEX(Vinos!$J$2:$J$301,MATCH($B1801,Vinos!$A$2:$A$301,0))),""))</f>
        <v/>
      </c>
      <c r="L1801" s="16">
        <f>IF($H1801="","",IFERROR(IF(INDEX(Vinos!$K$2:$K$301,MATCH($B1801,Vinos!$A$2:$A$301,0))="","",$H1801*INDEX(Vinos!$K$2:$K$301,MATCH($B1801,Vinos!$A$2:$A$301,0))),""))</f>
        <v/>
      </c>
      <c r="M1801" s="21">
        <f>IF(OR($A1801="",$B1801=""),"",SUMIFS($H$2:$H$2001,$A$2:$A$2001,$A1801,$B$2:$B$2001,$B1801))</f>
        <v/>
      </c>
      <c r="N1801" s="20">
        <f>IF($M1801="","",IF($M1801&lt;=0,"Sin stock: reponer ya",IF($M1801&lt;IFERROR(N(INDEX(Vinos!$N$2:$N$301,MATCH($B1801,Vinos!$A$2:$A$301,0))),0),"Bajo mínimo: reponer","OK")))</f>
        <v/>
      </c>
      <c r="O1801" s="14" t="n"/>
      <c r="P1801" s="14" t="n"/>
      <c r="Q1801" s="20">
        <f>IF($B1801="","",IFERROR(INDEX(Vinos!$C$2:$C$301,MATCH($B1801,Vinos!$A$2:$A$301,0)),""))</f>
        <v/>
      </c>
      <c r="R1801" s="20">
        <f>IF(OR($A1801="",$A1801&lt;&gt;'Resumen del inventario'!$C$3,$N1801="",$N1801="OK"),"",IF(COUNTIFS($A$2:$A1801,$A1801,$B$2:$B1801,$B1801)=1,1,""))</f>
        <v/>
      </c>
      <c r="S1801" s="20">
        <f>IF($R1801=1,COUNTIF($R$2:$R1801,1),"")</f>
        <v/>
      </c>
    </row>
    <row r="1802">
      <c r="A1802" s="19" t="n"/>
      <c r="B1802" s="14" t="n"/>
      <c r="C1802" s="20">
        <f>IF($B1802="","",IFERROR(INDEX(Vinos!$B$2:$B$301,MATCH($B1802,Vinos!$A$2:$A$301,0)),"Código no cargado"))</f>
        <v/>
      </c>
      <c r="D1802" s="14" t="n"/>
      <c r="E1802" s="14" t="n"/>
      <c r="F1802" s="18" t="n"/>
      <c r="G1802" s="18" t="n"/>
      <c r="H1802" s="21">
        <f>IF(AND($F1802="",$G1802=""),"",N($F1802)*IFERROR(N(INDEX(Vinos!$H$2:$H$301,MATCH($B1802,Vinos!$A$2:$A$301,0))),0)+N($G1802))</f>
        <v/>
      </c>
      <c r="I1802" s="18" t="n"/>
      <c r="J1802" s="21">
        <f>IF(OR($H1802="",$I1802=""),"",$H1802-$I1802)</f>
        <v/>
      </c>
      <c r="K1802" s="16">
        <f>IF($H1802="","",IFERROR(IF(INDEX(Vinos!$J$2:$J$301,MATCH($B1802,Vinos!$A$2:$A$301,0))="","",$H1802*INDEX(Vinos!$J$2:$J$301,MATCH($B1802,Vinos!$A$2:$A$301,0))),""))</f>
        <v/>
      </c>
      <c r="L1802" s="16">
        <f>IF($H1802="","",IFERROR(IF(INDEX(Vinos!$K$2:$K$301,MATCH($B1802,Vinos!$A$2:$A$301,0))="","",$H1802*INDEX(Vinos!$K$2:$K$301,MATCH($B1802,Vinos!$A$2:$A$301,0))),""))</f>
        <v/>
      </c>
      <c r="M1802" s="21">
        <f>IF(OR($A1802="",$B1802=""),"",SUMIFS($H$2:$H$2001,$A$2:$A$2001,$A1802,$B$2:$B$2001,$B1802))</f>
        <v/>
      </c>
      <c r="N1802" s="20">
        <f>IF($M1802="","",IF($M1802&lt;=0,"Sin stock: reponer ya",IF($M1802&lt;IFERROR(N(INDEX(Vinos!$N$2:$N$301,MATCH($B1802,Vinos!$A$2:$A$301,0))),0),"Bajo mínimo: reponer","OK")))</f>
        <v/>
      </c>
      <c r="O1802" s="14" t="n"/>
      <c r="P1802" s="14" t="n"/>
      <c r="Q1802" s="20">
        <f>IF($B1802="","",IFERROR(INDEX(Vinos!$C$2:$C$301,MATCH($B1802,Vinos!$A$2:$A$301,0)),""))</f>
        <v/>
      </c>
      <c r="R1802" s="20">
        <f>IF(OR($A1802="",$A1802&lt;&gt;'Resumen del inventario'!$C$3,$N1802="",$N1802="OK"),"",IF(COUNTIFS($A$2:$A1802,$A1802,$B$2:$B1802,$B1802)=1,1,""))</f>
        <v/>
      </c>
      <c r="S1802" s="20">
        <f>IF($R1802=1,COUNTIF($R$2:$R1802,1),"")</f>
        <v/>
      </c>
    </row>
    <row r="1803">
      <c r="A1803" s="19" t="n"/>
      <c r="B1803" s="14" t="n"/>
      <c r="C1803" s="20">
        <f>IF($B1803="","",IFERROR(INDEX(Vinos!$B$2:$B$301,MATCH($B1803,Vinos!$A$2:$A$301,0)),"Código no cargado"))</f>
        <v/>
      </c>
      <c r="D1803" s="14" t="n"/>
      <c r="E1803" s="14" t="n"/>
      <c r="F1803" s="18" t="n"/>
      <c r="G1803" s="18" t="n"/>
      <c r="H1803" s="21">
        <f>IF(AND($F1803="",$G1803=""),"",N($F1803)*IFERROR(N(INDEX(Vinos!$H$2:$H$301,MATCH($B1803,Vinos!$A$2:$A$301,0))),0)+N($G1803))</f>
        <v/>
      </c>
      <c r="I1803" s="18" t="n"/>
      <c r="J1803" s="21">
        <f>IF(OR($H1803="",$I1803=""),"",$H1803-$I1803)</f>
        <v/>
      </c>
      <c r="K1803" s="16">
        <f>IF($H1803="","",IFERROR(IF(INDEX(Vinos!$J$2:$J$301,MATCH($B1803,Vinos!$A$2:$A$301,0))="","",$H1803*INDEX(Vinos!$J$2:$J$301,MATCH($B1803,Vinos!$A$2:$A$301,0))),""))</f>
        <v/>
      </c>
      <c r="L1803" s="16">
        <f>IF($H1803="","",IFERROR(IF(INDEX(Vinos!$K$2:$K$301,MATCH($B1803,Vinos!$A$2:$A$301,0))="","",$H1803*INDEX(Vinos!$K$2:$K$301,MATCH($B1803,Vinos!$A$2:$A$301,0))),""))</f>
        <v/>
      </c>
      <c r="M1803" s="21">
        <f>IF(OR($A1803="",$B1803=""),"",SUMIFS($H$2:$H$2001,$A$2:$A$2001,$A1803,$B$2:$B$2001,$B1803))</f>
        <v/>
      </c>
      <c r="N1803" s="20">
        <f>IF($M1803="","",IF($M1803&lt;=0,"Sin stock: reponer ya",IF($M1803&lt;IFERROR(N(INDEX(Vinos!$N$2:$N$301,MATCH($B1803,Vinos!$A$2:$A$301,0))),0),"Bajo mínimo: reponer","OK")))</f>
        <v/>
      </c>
      <c r="O1803" s="14" t="n"/>
      <c r="P1803" s="14" t="n"/>
      <c r="Q1803" s="20">
        <f>IF($B1803="","",IFERROR(INDEX(Vinos!$C$2:$C$301,MATCH($B1803,Vinos!$A$2:$A$301,0)),""))</f>
        <v/>
      </c>
      <c r="R1803" s="20">
        <f>IF(OR($A1803="",$A1803&lt;&gt;'Resumen del inventario'!$C$3,$N1803="",$N1803="OK"),"",IF(COUNTIFS($A$2:$A1803,$A1803,$B$2:$B1803,$B1803)=1,1,""))</f>
        <v/>
      </c>
      <c r="S1803" s="20">
        <f>IF($R1803=1,COUNTIF($R$2:$R1803,1),"")</f>
        <v/>
      </c>
    </row>
    <row r="1804">
      <c r="A1804" s="19" t="n"/>
      <c r="B1804" s="14" t="n"/>
      <c r="C1804" s="20">
        <f>IF($B1804="","",IFERROR(INDEX(Vinos!$B$2:$B$301,MATCH($B1804,Vinos!$A$2:$A$301,0)),"Código no cargado"))</f>
        <v/>
      </c>
      <c r="D1804" s="14" t="n"/>
      <c r="E1804" s="14" t="n"/>
      <c r="F1804" s="18" t="n"/>
      <c r="G1804" s="18" t="n"/>
      <c r="H1804" s="21">
        <f>IF(AND($F1804="",$G1804=""),"",N($F1804)*IFERROR(N(INDEX(Vinos!$H$2:$H$301,MATCH($B1804,Vinos!$A$2:$A$301,0))),0)+N($G1804))</f>
        <v/>
      </c>
      <c r="I1804" s="18" t="n"/>
      <c r="J1804" s="21">
        <f>IF(OR($H1804="",$I1804=""),"",$H1804-$I1804)</f>
        <v/>
      </c>
      <c r="K1804" s="16">
        <f>IF($H1804="","",IFERROR(IF(INDEX(Vinos!$J$2:$J$301,MATCH($B1804,Vinos!$A$2:$A$301,0))="","",$H1804*INDEX(Vinos!$J$2:$J$301,MATCH($B1804,Vinos!$A$2:$A$301,0))),""))</f>
        <v/>
      </c>
      <c r="L1804" s="16">
        <f>IF($H1804="","",IFERROR(IF(INDEX(Vinos!$K$2:$K$301,MATCH($B1804,Vinos!$A$2:$A$301,0))="","",$H1804*INDEX(Vinos!$K$2:$K$301,MATCH($B1804,Vinos!$A$2:$A$301,0))),""))</f>
        <v/>
      </c>
      <c r="M1804" s="21">
        <f>IF(OR($A1804="",$B1804=""),"",SUMIFS($H$2:$H$2001,$A$2:$A$2001,$A1804,$B$2:$B$2001,$B1804))</f>
        <v/>
      </c>
      <c r="N1804" s="20">
        <f>IF($M1804="","",IF($M1804&lt;=0,"Sin stock: reponer ya",IF($M1804&lt;IFERROR(N(INDEX(Vinos!$N$2:$N$301,MATCH($B1804,Vinos!$A$2:$A$301,0))),0),"Bajo mínimo: reponer","OK")))</f>
        <v/>
      </c>
      <c r="O1804" s="14" t="n"/>
      <c r="P1804" s="14" t="n"/>
      <c r="Q1804" s="20">
        <f>IF($B1804="","",IFERROR(INDEX(Vinos!$C$2:$C$301,MATCH($B1804,Vinos!$A$2:$A$301,0)),""))</f>
        <v/>
      </c>
      <c r="R1804" s="20">
        <f>IF(OR($A1804="",$A1804&lt;&gt;'Resumen del inventario'!$C$3,$N1804="",$N1804="OK"),"",IF(COUNTIFS($A$2:$A1804,$A1804,$B$2:$B1804,$B1804)=1,1,""))</f>
        <v/>
      </c>
      <c r="S1804" s="20">
        <f>IF($R1804=1,COUNTIF($R$2:$R1804,1),"")</f>
        <v/>
      </c>
    </row>
    <row r="1805">
      <c r="A1805" s="19" t="n"/>
      <c r="B1805" s="14" t="n"/>
      <c r="C1805" s="20">
        <f>IF($B1805="","",IFERROR(INDEX(Vinos!$B$2:$B$301,MATCH($B1805,Vinos!$A$2:$A$301,0)),"Código no cargado"))</f>
        <v/>
      </c>
      <c r="D1805" s="14" t="n"/>
      <c r="E1805" s="14" t="n"/>
      <c r="F1805" s="18" t="n"/>
      <c r="G1805" s="18" t="n"/>
      <c r="H1805" s="21">
        <f>IF(AND($F1805="",$G1805=""),"",N($F1805)*IFERROR(N(INDEX(Vinos!$H$2:$H$301,MATCH($B1805,Vinos!$A$2:$A$301,0))),0)+N($G1805))</f>
        <v/>
      </c>
      <c r="I1805" s="18" t="n"/>
      <c r="J1805" s="21">
        <f>IF(OR($H1805="",$I1805=""),"",$H1805-$I1805)</f>
        <v/>
      </c>
      <c r="K1805" s="16">
        <f>IF($H1805="","",IFERROR(IF(INDEX(Vinos!$J$2:$J$301,MATCH($B1805,Vinos!$A$2:$A$301,0))="","",$H1805*INDEX(Vinos!$J$2:$J$301,MATCH($B1805,Vinos!$A$2:$A$301,0))),""))</f>
        <v/>
      </c>
      <c r="L1805" s="16">
        <f>IF($H1805="","",IFERROR(IF(INDEX(Vinos!$K$2:$K$301,MATCH($B1805,Vinos!$A$2:$A$301,0))="","",$H1805*INDEX(Vinos!$K$2:$K$301,MATCH($B1805,Vinos!$A$2:$A$301,0))),""))</f>
        <v/>
      </c>
      <c r="M1805" s="21">
        <f>IF(OR($A1805="",$B1805=""),"",SUMIFS($H$2:$H$2001,$A$2:$A$2001,$A1805,$B$2:$B$2001,$B1805))</f>
        <v/>
      </c>
      <c r="N1805" s="20">
        <f>IF($M1805="","",IF($M1805&lt;=0,"Sin stock: reponer ya",IF($M1805&lt;IFERROR(N(INDEX(Vinos!$N$2:$N$301,MATCH($B1805,Vinos!$A$2:$A$301,0))),0),"Bajo mínimo: reponer","OK")))</f>
        <v/>
      </c>
      <c r="O1805" s="14" t="n"/>
      <c r="P1805" s="14" t="n"/>
      <c r="Q1805" s="20">
        <f>IF($B1805="","",IFERROR(INDEX(Vinos!$C$2:$C$301,MATCH($B1805,Vinos!$A$2:$A$301,0)),""))</f>
        <v/>
      </c>
      <c r="R1805" s="20">
        <f>IF(OR($A1805="",$A1805&lt;&gt;'Resumen del inventario'!$C$3,$N1805="",$N1805="OK"),"",IF(COUNTIFS($A$2:$A1805,$A1805,$B$2:$B1805,$B1805)=1,1,""))</f>
        <v/>
      </c>
      <c r="S1805" s="20">
        <f>IF($R1805=1,COUNTIF($R$2:$R1805,1),"")</f>
        <v/>
      </c>
    </row>
    <row r="1806">
      <c r="A1806" s="19" t="n"/>
      <c r="B1806" s="14" t="n"/>
      <c r="C1806" s="20">
        <f>IF($B1806="","",IFERROR(INDEX(Vinos!$B$2:$B$301,MATCH($B1806,Vinos!$A$2:$A$301,0)),"Código no cargado"))</f>
        <v/>
      </c>
      <c r="D1806" s="14" t="n"/>
      <c r="E1806" s="14" t="n"/>
      <c r="F1806" s="18" t="n"/>
      <c r="G1806" s="18" t="n"/>
      <c r="H1806" s="21">
        <f>IF(AND($F1806="",$G1806=""),"",N($F1806)*IFERROR(N(INDEX(Vinos!$H$2:$H$301,MATCH($B1806,Vinos!$A$2:$A$301,0))),0)+N($G1806))</f>
        <v/>
      </c>
      <c r="I1806" s="18" t="n"/>
      <c r="J1806" s="21">
        <f>IF(OR($H1806="",$I1806=""),"",$H1806-$I1806)</f>
        <v/>
      </c>
      <c r="K1806" s="16">
        <f>IF($H1806="","",IFERROR(IF(INDEX(Vinos!$J$2:$J$301,MATCH($B1806,Vinos!$A$2:$A$301,0))="","",$H1806*INDEX(Vinos!$J$2:$J$301,MATCH($B1806,Vinos!$A$2:$A$301,0))),""))</f>
        <v/>
      </c>
      <c r="L1806" s="16">
        <f>IF($H1806="","",IFERROR(IF(INDEX(Vinos!$K$2:$K$301,MATCH($B1806,Vinos!$A$2:$A$301,0))="","",$H1806*INDEX(Vinos!$K$2:$K$301,MATCH($B1806,Vinos!$A$2:$A$301,0))),""))</f>
        <v/>
      </c>
      <c r="M1806" s="21">
        <f>IF(OR($A1806="",$B1806=""),"",SUMIFS($H$2:$H$2001,$A$2:$A$2001,$A1806,$B$2:$B$2001,$B1806))</f>
        <v/>
      </c>
      <c r="N1806" s="20">
        <f>IF($M1806="","",IF($M1806&lt;=0,"Sin stock: reponer ya",IF($M1806&lt;IFERROR(N(INDEX(Vinos!$N$2:$N$301,MATCH($B1806,Vinos!$A$2:$A$301,0))),0),"Bajo mínimo: reponer","OK")))</f>
        <v/>
      </c>
      <c r="O1806" s="14" t="n"/>
      <c r="P1806" s="14" t="n"/>
      <c r="Q1806" s="20">
        <f>IF($B1806="","",IFERROR(INDEX(Vinos!$C$2:$C$301,MATCH($B1806,Vinos!$A$2:$A$301,0)),""))</f>
        <v/>
      </c>
      <c r="R1806" s="20">
        <f>IF(OR($A1806="",$A1806&lt;&gt;'Resumen del inventario'!$C$3,$N1806="",$N1806="OK"),"",IF(COUNTIFS($A$2:$A1806,$A1806,$B$2:$B1806,$B1806)=1,1,""))</f>
        <v/>
      </c>
      <c r="S1806" s="20">
        <f>IF($R1806=1,COUNTIF($R$2:$R1806,1),"")</f>
        <v/>
      </c>
    </row>
    <row r="1807">
      <c r="A1807" s="19" t="n"/>
      <c r="B1807" s="14" t="n"/>
      <c r="C1807" s="20">
        <f>IF($B1807="","",IFERROR(INDEX(Vinos!$B$2:$B$301,MATCH($B1807,Vinos!$A$2:$A$301,0)),"Código no cargado"))</f>
        <v/>
      </c>
      <c r="D1807" s="14" t="n"/>
      <c r="E1807" s="14" t="n"/>
      <c r="F1807" s="18" t="n"/>
      <c r="G1807" s="18" t="n"/>
      <c r="H1807" s="21">
        <f>IF(AND($F1807="",$G1807=""),"",N($F1807)*IFERROR(N(INDEX(Vinos!$H$2:$H$301,MATCH($B1807,Vinos!$A$2:$A$301,0))),0)+N($G1807))</f>
        <v/>
      </c>
      <c r="I1807" s="18" t="n"/>
      <c r="J1807" s="21">
        <f>IF(OR($H1807="",$I1807=""),"",$H1807-$I1807)</f>
        <v/>
      </c>
      <c r="K1807" s="16">
        <f>IF($H1807="","",IFERROR(IF(INDEX(Vinos!$J$2:$J$301,MATCH($B1807,Vinos!$A$2:$A$301,0))="","",$H1807*INDEX(Vinos!$J$2:$J$301,MATCH($B1807,Vinos!$A$2:$A$301,0))),""))</f>
        <v/>
      </c>
      <c r="L1807" s="16">
        <f>IF($H1807="","",IFERROR(IF(INDEX(Vinos!$K$2:$K$301,MATCH($B1807,Vinos!$A$2:$A$301,0))="","",$H1807*INDEX(Vinos!$K$2:$K$301,MATCH($B1807,Vinos!$A$2:$A$301,0))),""))</f>
        <v/>
      </c>
      <c r="M1807" s="21">
        <f>IF(OR($A1807="",$B1807=""),"",SUMIFS($H$2:$H$2001,$A$2:$A$2001,$A1807,$B$2:$B$2001,$B1807))</f>
        <v/>
      </c>
      <c r="N1807" s="20">
        <f>IF($M1807="","",IF($M1807&lt;=0,"Sin stock: reponer ya",IF($M1807&lt;IFERROR(N(INDEX(Vinos!$N$2:$N$301,MATCH($B1807,Vinos!$A$2:$A$301,0))),0),"Bajo mínimo: reponer","OK")))</f>
        <v/>
      </c>
      <c r="O1807" s="14" t="n"/>
      <c r="P1807" s="14" t="n"/>
      <c r="Q1807" s="20">
        <f>IF($B1807="","",IFERROR(INDEX(Vinos!$C$2:$C$301,MATCH($B1807,Vinos!$A$2:$A$301,0)),""))</f>
        <v/>
      </c>
      <c r="R1807" s="20">
        <f>IF(OR($A1807="",$A1807&lt;&gt;'Resumen del inventario'!$C$3,$N1807="",$N1807="OK"),"",IF(COUNTIFS($A$2:$A1807,$A1807,$B$2:$B1807,$B1807)=1,1,""))</f>
        <v/>
      </c>
      <c r="S1807" s="20">
        <f>IF($R1807=1,COUNTIF($R$2:$R1807,1),"")</f>
        <v/>
      </c>
    </row>
    <row r="1808">
      <c r="A1808" s="19" t="n"/>
      <c r="B1808" s="14" t="n"/>
      <c r="C1808" s="20">
        <f>IF($B1808="","",IFERROR(INDEX(Vinos!$B$2:$B$301,MATCH($B1808,Vinos!$A$2:$A$301,0)),"Código no cargado"))</f>
        <v/>
      </c>
      <c r="D1808" s="14" t="n"/>
      <c r="E1808" s="14" t="n"/>
      <c r="F1808" s="18" t="n"/>
      <c r="G1808" s="18" t="n"/>
      <c r="H1808" s="21">
        <f>IF(AND($F1808="",$G1808=""),"",N($F1808)*IFERROR(N(INDEX(Vinos!$H$2:$H$301,MATCH($B1808,Vinos!$A$2:$A$301,0))),0)+N($G1808))</f>
        <v/>
      </c>
      <c r="I1808" s="18" t="n"/>
      <c r="J1808" s="21">
        <f>IF(OR($H1808="",$I1808=""),"",$H1808-$I1808)</f>
        <v/>
      </c>
      <c r="K1808" s="16">
        <f>IF($H1808="","",IFERROR(IF(INDEX(Vinos!$J$2:$J$301,MATCH($B1808,Vinos!$A$2:$A$301,0))="","",$H1808*INDEX(Vinos!$J$2:$J$301,MATCH($B1808,Vinos!$A$2:$A$301,0))),""))</f>
        <v/>
      </c>
      <c r="L1808" s="16">
        <f>IF($H1808="","",IFERROR(IF(INDEX(Vinos!$K$2:$K$301,MATCH($B1808,Vinos!$A$2:$A$301,0))="","",$H1808*INDEX(Vinos!$K$2:$K$301,MATCH($B1808,Vinos!$A$2:$A$301,0))),""))</f>
        <v/>
      </c>
      <c r="M1808" s="21">
        <f>IF(OR($A1808="",$B1808=""),"",SUMIFS($H$2:$H$2001,$A$2:$A$2001,$A1808,$B$2:$B$2001,$B1808))</f>
        <v/>
      </c>
      <c r="N1808" s="20">
        <f>IF($M1808="","",IF($M1808&lt;=0,"Sin stock: reponer ya",IF($M1808&lt;IFERROR(N(INDEX(Vinos!$N$2:$N$301,MATCH($B1808,Vinos!$A$2:$A$301,0))),0),"Bajo mínimo: reponer","OK")))</f>
        <v/>
      </c>
      <c r="O1808" s="14" t="n"/>
      <c r="P1808" s="14" t="n"/>
      <c r="Q1808" s="20">
        <f>IF($B1808="","",IFERROR(INDEX(Vinos!$C$2:$C$301,MATCH($B1808,Vinos!$A$2:$A$301,0)),""))</f>
        <v/>
      </c>
      <c r="R1808" s="20">
        <f>IF(OR($A1808="",$A1808&lt;&gt;'Resumen del inventario'!$C$3,$N1808="",$N1808="OK"),"",IF(COUNTIFS($A$2:$A1808,$A1808,$B$2:$B1808,$B1808)=1,1,""))</f>
        <v/>
      </c>
      <c r="S1808" s="20">
        <f>IF($R1808=1,COUNTIF($R$2:$R1808,1),"")</f>
        <v/>
      </c>
    </row>
    <row r="1809">
      <c r="A1809" s="19" t="n"/>
      <c r="B1809" s="14" t="n"/>
      <c r="C1809" s="20">
        <f>IF($B1809="","",IFERROR(INDEX(Vinos!$B$2:$B$301,MATCH($B1809,Vinos!$A$2:$A$301,0)),"Código no cargado"))</f>
        <v/>
      </c>
      <c r="D1809" s="14" t="n"/>
      <c r="E1809" s="14" t="n"/>
      <c r="F1809" s="18" t="n"/>
      <c r="G1809" s="18" t="n"/>
      <c r="H1809" s="21">
        <f>IF(AND($F1809="",$G1809=""),"",N($F1809)*IFERROR(N(INDEX(Vinos!$H$2:$H$301,MATCH($B1809,Vinos!$A$2:$A$301,0))),0)+N($G1809))</f>
        <v/>
      </c>
      <c r="I1809" s="18" t="n"/>
      <c r="J1809" s="21">
        <f>IF(OR($H1809="",$I1809=""),"",$H1809-$I1809)</f>
        <v/>
      </c>
      <c r="K1809" s="16">
        <f>IF($H1809="","",IFERROR(IF(INDEX(Vinos!$J$2:$J$301,MATCH($B1809,Vinos!$A$2:$A$301,0))="","",$H1809*INDEX(Vinos!$J$2:$J$301,MATCH($B1809,Vinos!$A$2:$A$301,0))),""))</f>
        <v/>
      </c>
      <c r="L1809" s="16">
        <f>IF($H1809="","",IFERROR(IF(INDEX(Vinos!$K$2:$K$301,MATCH($B1809,Vinos!$A$2:$A$301,0))="","",$H1809*INDEX(Vinos!$K$2:$K$301,MATCH($B1809,Vinos!$A$2:$A$301,0))),""))</f>
        <v/>
      </c>
      <c r="M1809" s="21">
        <f>IF(OR($A1809="",$B1809=""),"",SUMIFS($H$2:$H$2001,$A$2:$A$2001,$A1809,$B$2:$B$2001,$B1809))</f>
        <v/>
      </c>
      <c r="N1809" s="20">
        <f>IF($M1809="","",IF($M1809&lt;=0,"Sin stock: reponer ya",IF($M1809&lt;IFERROR(N(INDEX(Vinos!$N$2:$N$301,MATCH($B1809,Vinos!$A$2:$A$301,0))),0),"Bajo mínimo: reponer","OK")))</f>
        <v/>
      </c>
      <c r="O1809" s="14" t="n"/>
      <c r="P1809" s="14" t="n"/>
      <c r="Q1809" s="20">
        <f>IF($B1809="","",IFERROR(INDEX(Vinos!$C$2:$C$301,MATCH($B1809,Vinos!$A$2:$A$301,0)),""))</f>
        <v/>
      </c>
      <c r="R1809" s="20">
        <f>IF(OR($A1809="",$A1809&lt;&gt;'Resumen del inventario'!$C$3,$N1809="",$N1809="OK"),"",IF(COUNTIFS($A$2:$A1809,$A1809,$B$2:$B1809,$B1809)=1,1,""))</f>
        <v/>
      </c>
      <c r="S1809" s="20">
        <f>IF($R1809=1,COUNTIF($R$2:$R1809,1),"")</f>
        <v/>
      </c>
    </row>
    <row r="1810">
      <c r="A1810" s="19" t="n"/>
      <c r="B1810" s="14" t="n"/>
      <c r="C1810" s="20">
        <f>IF($B1810="","",IFERROR(INDEX(Vinos!$B$2:$B$301,MATCH($B1810,Vinos!$A$2:$A$301,0)),"Código no cargado"))</f>
        <v/>
      </c>
      <c r="D1810" s="14" t="n"/>
      <c r="E1810" s="14" t="n"/>
      <c r="F1810" s="18" t="n"/>
      <c r="G1810" s="18" t="n"/>
      <c r="H1810" s="21">
        <f>IF(AND($F1810="",$G1810=""),"",N($F1810)*IFERROR(N(INDEX(Vinos!$H$2:$H$301,MATCH($B1810,Vinos!$A$2:$A$301,0))),0)+N($G1810))</f>
        <v/>
      </c>
      <c r="I1810" s="18" t="n"/>
      <c r="J1810" s="21">
        <f>IF(OR($H1810="",$I1810=""),"",$H1810-$I1810)</f>
        <v/>
      </c>
      <c r="K1810" s="16">
        <f>IF($H1810="","",IFERROR(IF(INDEX(Vinos!$J$2:$J$301,MATCH($B1810,Vinos!$A$2:$A$301,0))="","",$H1810*INDEX(Vinos!$J$2:$J$301,MATCH($B1810,Vinos!$A$2:$A$301,0))),""))</f>
        <v/>
      </c>
      <c r="L1810" s="16">
        <f>IF($H1810="","",IFERROR(IF(INDEX(Vinos!$K$2:$K$301,MATCH($B1810,Vinos!$A$2:$A$301,0))="","",$H1810*INDEX(Vinos!$K$2:$K$301,MATCH($B1810,Vinos!$A$2:$A$301,0))),""))</f>
        <v/>
      </c>
      <c r="M1810" s="21">
        <f>IF(OR($A1810="",$B1810=""),"",SUMIFS($H$2:$H$2001,$A$2:$A$2001,$A1810,$B$2:$B$2001,$B1810))</f>
        <v/>
      </c>
      <c r="N1810" s="20">
        <f>IF($M1810="","",IF($M1810&lt;=0,"Sin stock: reponer ya",IF($M1810&lt;IFERROR(N(INDEX(Vinos!$N$2:$N$301,MATCH($B1810,Vinos!$A$2:$A$301,0))),0),"Bajo mínimo: reponer","OK")))</f>
        <v/>
      </c>
      <c r="O1810" s="14" t="n"/>
      <c r="P1810" s="14" t="n"/>
      <c r="Q1810" s="20">
        <f>IF($B1810="","",IFERROR(INDEX(Vinos!$C$2:$C$301,MATCH($B1810,Vinos!$A$2:$A$301,0)),""))</f>
        <v/>
      </c>
      <c r="R1810" s="20">
        <f>IF(OR($A1810="",$A1810&lt;&gt;'Resumen del inventario'!$C$3,$N1810="",$N1810="OK"),"",IF(COUNTIFS($A$2:$A1810,$A1810,$B$2:$B1810,$B1810)=1,1,""))</f>
        <v/>
      </c>
      <c r="S1810" s="20">
        <f>IF($R1810=1,COUNTIF($R$2:$R1810,1),"")</f>
        <v/>
      </c>
    </row>
    <row r="1811">
      <c r="A1811" s="19" t="n"/>
      <c r="B1811" s="14" t="n"/>
      <c r="C1811" s="20">
        <f>IF($B1811="","",IFERROR(INDEX(Vinos!$B$2:$B$301,MATCH($B1811,Vinos!$A$2:$A$301,0)),"Código no cargado"))</f>
        <v/>
      </c>
      <c r="D1811" s="14" t="n"/>
      <c r="E1811" s="14" t="n"/>
      <c r="F1811" s="18" t="n"/>
      <c r="G1811" s="18" t="n"/>
      <c r="H1811" s="21">
        <f>IF(AND($F1811="",$G1811=""),"",N($F1811)*IFERROR(N(INDEX(Vinos!$H$2:$H$301,MATCH($B1811,Vinos!$A$2:$A$301,0))),0)+N($G1811))</f>
        <v/>
      </c>
      <c r="I1811" s="18" t="n"/>
      <c r="J1811" s="21">
        <f>IF(OR($H1811="",$I1811=""),"",$H1811-$I1811)</f>
        <v/>
      </c>
      <c r="K1811" s="16">
        <f>IF($H1811="","",IFERROR(IF(INDEX(Vinos!$J$2:$J$301,MATCH($B1811,Vinos!$A$2:$A$301,0))="","",$H1811*INDEX(Vinos!$J$2:$J$301,MATCH($B1811,Vinos!$A$2:$A$301,0))),""))</f>
        <v/>
      </c>
      <c r="L1811" s="16">
        <f>IF($H1811="","",IFERROR(IF(INDEX(Vinos!$K$2:$K$301,MATCH($B1811,Vinos!$A$2:$A$301,0))="","",$H1811*INDEX(Vinos!$K$2:$K$301,MATCH($B1811,Vinos!$A$2:$A$301,0))),""))</f>
        <v/>
      </c>
      <c r="M1811" s="21">
        <f>IF(OR($A1811="",$B1811=""),"",SUMIFS($H$2:$H$2001,$A$2:$A$2001,$A1811,$B$2:$B$2001,$B1811))</f>
        <v/>
      </c>
      <c r="N1811" s="20">
        <f>IF($M1811="","",IF($M1811&lt;=0,"Sin stock: reponer ya",IF($M1811&lt;IFERROR(N(INDEX(Vinos!$N$2:$N$301,MATCH($B1811,Vinos!$A$2:$A$301,0))),0),"Bajo mínimo: reponer","OK")))</f>
        <v/>
      </c>
      <c r="O1811" s="14" t="n"/>
      <c r="P1811" s="14" t="n"/>
      <c r="Q1811" s="20">
        <f>IF($B1811="","",IFERROR(INDEX(Vinos!$C$2:$C$301,MATCH($B1811,Vinos!$A$2:$A$301,0)),""))</f>
        <v/>
      </c>
      <c r="R1811" s="20">
        <f>IF(OR($A1811="",$A1811&lt;&gt;'Resumen del inventario'!$C$3,$N1811="",$N1811="OK"),"",IF(COUNTIFS($A$2:$A1811,$A1811,$B$2:$B1811,$B1811)=1,1,""))</f>
        <v/>
      </c>
      <c r="S1811" s="20">
        <f>IF($R1811=1,COUNTIF($R$2:$R1811,1),"")</f>
        <v/>
      </c>
    </row>
    <row r="1812">
      <c r="A1812" s="19" t="n"/>
      <c r="B1812" s="14" t="n"/>
      <c r="C1812" s="20">
        <f>IF($B1812="","",IFERROR(INDEX(Vinos!$B$2:$B$301,MATCH($B1812,Vinos!$A$2:$A$301,0)),"Código no cargado"))</f>
        <v/>
      </c>
      <c r="D1812" s="14" t="n"/>
      <c r="E1812" s="14" t="n"/>
      <c r="F1812" s="18" t="n"/>
      <c r="G1812" s="18" t="n"/>
      <c r="H1812" s="21">
        <f>IF(AND($F1812="",$G1812=""),"",N($F1812)*IFERROR(N(INDEX(Vinos!$H$2:$H$301,MATCH($B1812,Vinos!$A$2:$A$301,0))),0)+N($G1812))</f>
        <v/>
      </c>
      <c r="I1812" s="18" t="n"/>
      <c r="J1812" s="21">
        <f>IF(OR($H1812="",$I1812=""),"",$H1812-$I1812)</f>
        <v/>
      </c>
      <c r="K1812" s="16">
        <f>IF($H1812="","",IFERROR(IF(INDEX(Vinos!$J$2:$J$301,MATCH($B1812,Vinos!$A$2:$A$301,0))="","",$H1812*INDEX(Vinos!$J$2:$J$301,MATCH($B1812,Vinos!$A$2:$A$301,0))),""))</f>
        <v/>
      </c>
      <c r="L1812" s="16">
        <f>IF($H1812="","",IFERROR(IF(INDEX(Vinos!$K$2:$K$301,MATCH($B1812,Vinos!$A$2:$A$301,0))="","",$H1812*INDEX(Vinos!$K$2:$K$301,MATCH($B1812,Vinos!$A$2:$A$301,0))),""))</f>
        <v/>
      </c>
      <c r="M1812" s="21">
        <f>IF(OR($A1812="",$B1812=""),"",SUMIFS($H$2:$H$2001,$A$2:$A$2001,$A1812,$B$2:$B$2001,$B1812))</f>
        <v/>
      </c>
      <c r="N1812" s="20">
        <f>IF($M1812="","",IF($M1812&lt;=0,"Sin stock: reponer ya",IF($M1812&lt;IFERROR(N(INDEX(Vinos!$N$2:$N$301,MATCH($B1812,Vinos!$A$2:$A$301,0))),0),"Bajo mínimo: reponer","OK")))</f>
        <v/>
      </c>
      <c r="O1812" s="14" t="n"/>
      <c r="P1812" s="14" t="n"/>
      <c r="Q1812" s="20">
        <f>IF($B1812="","",IFERROR(INDEX(Vinos!$C$2:$C$301,MATCH($B1812,Vinos!$A$2:$A$301,0)),""))</f>
        <v/>
      </c>
      <c r="R1812" s="20">
        <f>IF(OR($A1812="",$A1812&lt;&gt;'Resumen del inventario'!$C$3,$N1812="",$N1812="OK"),"",IF(COUNTIFS($A$2:$A1812,$A1812,$B$2:$B1812,$B1812)=1,1,""))</f>
        <v/>
      </c>
      <c r="S1812" s="20">
        <f>IF($R1812=1,COUNTIF($R$2:$R1812,1),"")</f>
        <v/>
      </c>
    </row>
    <row r="1813">
      <c r="A1813" s="19" t="n"/>
      <c r="B1813" s="14" t="n"/>
      <c r="C1813" s="20">
        <f>IF($B1813="","",IFERROR(INDEX(Vinos!$B$2:$B$301,MATCH($B1813,Vinos!$A$2:$A$301,0)),"Código no cargado"))</f>
        <v/>
      </c>
      <c r="D1813" s="14" t="n"/>
      <c r="E1813" s="14" t="n"/>
      <c r="F1813" s="18" t="n"/>
      <c r="G1813" s="18" t="n"/>
      <c r="H1813" s="21">
        <f>IF(AND($F1813="",$G1813=""),"",N($F1813)*IFERROR(N(INDEX(Vinos!$H$2:$H$301,MATCH($B1813,Vinos!$A$2:$A$301,0))),0)+N($G1813))</f>
        <v/>
      </c>
      <c r="I1813" s="18" t="n"/>
      <c r="J1813" s="21">
        <f>IF(OR($H1813="",$I1813=""),"",$H1813-$I1813)</f>
        <v/>
      </c>
      <c r="K1813" s="16">
        <f>IF($H1813="","",IFERROR(IF(INDEX(Vinos!$J$2:$J$301,MATCH($B1813,Vinos!$A$2:$A$301,0))="","",$H1813*INDEX(Vinos!$J$2:$J$301,MATCH($B1813,Vinos!$A$2:$A$301,0))),""))</f>
        <v/>
      </c>
      <c r="L1813" s="16">
        <f>IF($H1813="","",IFERROR(IF(INDEX(Vinos!$K$2:$K$301,MATCH($B1813,Vinos!$A$2:$A$301,0))="","",$H1813*INDEX(Vinos!$K$2:$K$301,MATCH($B1813,Vinos!$A$2:$A$301,0))),""))</f>
        <v/>
      </c>
      <c r="M1813" s="21">
        <f>IF(OR($A1813="",$B1813=""),"",SUMIFS($H$2:$H$2001,$A$2:$A$2001,$A1813,$B$2:$B$2001,$B1813))</f>
        <v/>
      </c>
      <c r="N1813" s="20">
        <f>IF($M1813="","",IF($M1813&lt;=0,"Sin stock: reponer ya",IF($M1813&lt;IFERROR(N(INDEX(Vinos!$N$2:$N$301,MATCH($B1813,Vinos!$A$2:$A$301,0))),0),"Bajo mínimo: reponer","OK")))</f>
        <v/>
      </c>
      <c r="O1813" s="14" t="n"/>
      <c r="P1813" s="14" t="n"/>
      <c r="Q1813" s="20">
        <f>IF($B1813="","",IFERROR(INDEX(Vinos!$C$2:$C$301,MATCH($B1813,Vinos!$A$2:$A$301,0)),""))</f>
        <v/>
      </c>
      <c r="R1813" s="20">
        <f>IF(OR($A1813="",$A1813&lt;&gt;'Resumen del inventario'!$C$3,$N1813="",$N1813="OK"),"",IF(COUNTIFS($A$2:$A1813,$A1813,$B$2:$B1813,$B1813)=1,1,""))</f>
        <v/>
      </c>
      <c r="S1813" s="20">
        <f>IF($R1813=1,COUNTIF($R$2:$R1813,1),"")</f>
        <v/>
      </c>
    </row>
    <row r="1814">
      <c r="A1814" s="19" t="n"/>
      <c r="B1814" s="14" t="n"/>
      <c r="C1814" s="20">
        <f>IF($B1814="","",IFERROR(INDEX(Vinos!$B$2:$B$301,MATCH($B1814,Vinos!$A$2:$A$301,0)),"Código no cargado"))</f>
        <v/>
      </c>
      <c r="D1814" s="14" t="n"/>
      <c r="E1814" s="14" t="n"/>
      <c r="F1814" s="18" t="n"/>
      <c r="G1814" s="18" t="n"/>
      <c r="H1814" s="21">
        <f>IF(AND($F1814="",$G1814=""),"",N($F1814)*IFERROR(N(INDEX(Vinos!$H$2:$H$301,MATCH($B1814,Vinos!$A$2:$A$301,0))),0)+N($G1814))</f>
        <v/>
      </c>
      <c r="I1814" s="18" t="n"/>
      <c r="J1814" s="21">
        <f>IF(OR($H1814="",$I1814=""),"",$H1814-$I1814)</f>
        <v/>
      </c>
      <c r="K1814" s="16">
        <f>IF($H1814="","",IFERROR(IF(INDEX(Vinos!$J$2:$J$301,MATCH($B1814,Vinos!$A$2:$A$301,0))="","",$H1814*INDEX(Vinos!$J$2:$J$301,MATCH($B1814,Vinos!$A$2:$A$301,0))),""))</f>
        <v/>
      </c>
      <c r="L1814" s="16">
        <f>IF($H1814="","",IFERROR(IF(INDEX(Vinos!$K$2:$K$301,MATCH($B1814,Vinos!$A$2:$A$301,0))="","",$H1814*INDEX(Vinos!$K$2:$K$301,MATCH($B1814,Vinos!$A$2:$A$301,0))),""))</f>
        <v/>
      </c>
      <c r="M1814" s="21">
        <f>IF(OR($A1814="",$B1814=""),"",SUMIFS($H$2:$H$2001,$A$2:$A$2001,$A1814,$B$2:$B$2001,$B1814))</f>
        <v/>
      </c>
      <c r="N1814" s="20">
        <f>IF($M1814="","",IF($M1814&lt;=0,"Sin stock: reponer ya",IF($M1814&lt;IFERROR(N(INDEX(Vinos!$N$2:$N$301,MATCH($B1814,Vinos!$A$2:$A$301,0))),0),"Bajo mínimo: reponer","OK")))</f>
        <v/>
      </c>
      <c r="O1814" s="14" t="n"/>
      <c r="P1814" s="14" t="n"/>
      <c r="Q1814" s="20">
        <f>IF($B1814="","",IFERROR(INDEX(Vinos!$C$2:$C$301,MATCH($B1814,Vinos!$A$2:$A$301,0)),""))</f>
        <v/>
      </c>
      <c r="R1814" s="20">
        <f>IF(OR($A1814="",$A1814&lt;&gt;'Resumen del inventario'!$C$3,$N1814="",$N1814="OK"),"",IF(COUNTIFS($A$2:$A1814,$A1814,$B$2:$B1814,$B1814)=1,1,""))</f>
        <v/>
      </c>
      <c r="S1814" s="20">
        <f>IF($R1814=1,COUNTIF($R$2:$R1814,1),"")</f>
        <v/>
      </c>
    </row>
    <row r="1815">
      <c r="A1815" s="19" t="n"/>
      <c r="B1815" s="14" t="n"/>
      <c r="C1815" s="20">
        <f>IF($B1815="","",IFERROR(INDEX(Vinos!$B$2:$B$301,MATCH($B1815,Vinos!$A$2:$A$301,0)),"Código no cargado"))</f>
        <v/>
      </c>
      <c r="D1815" s="14" t="n"/>
      <c r="E1815" s="14" t="n"/>
      <c r="F1815" s="18" t="n"/>
      <c r="G1815" s="18" t="n"/>
      <c r="H1815" s="21">
        <f>IF(AND($F1815="",$G1815=""),"",N($F1815)*IFERROR(N(INDEX(Vinos!$H$2:$H$301,MATCH($B1815,Vinos!$A$2:$A$301,0))),0)+N($G1815))</f>
        <v/>
      </c>
      <c r="I1815" s="18" t="n"/>
      <c r="J1815" s="21">
        <f>IF(OR($H1815="",$I1815=""),"",$H1815-$I1815)</f>
        <v/>
      </c>
      <c r="K1815" s="16">
        <f>IF($H1815="","",IFERROR(IF(INDEX(Vinos!$J$2:$J$301,MATCH($B1815,Vinos!$A$2:$A$301,0))="","",$H1815*INDEX(Vinos!$J$2:$J$301,MATCH($B1815,Vinos!$A$2:$A$301,0))),""))</f>
        <v/>
      </c>
      <c r="L1815" s="16">
        <f>IF($H1815="","",IFERROR(IF(INDEX(Vinos!$K$2:$K$301,MATCH($B1815,Vinos!$A$2:$A$301,0))="","",$H1815*INDEX(Vinos!$K$2:$K$301,MATCH($B1815,Vinos!$A$2:$A$301,0))),""))</f>
        <v/>
      </c>
      <c r="M1815" s="21">
        <f>IF(OR($A1815="",$B1815=""),"",SUMIFS($H$2:$H$2001,$A$2:$A$2001,$A1815,$B$2:$B$2001,$B1815))</f>
        <v/>
      </c>
      <c r="N1815" s="20">
        <f>IF($M1815="","",IF($M1815&lt;=0,"Sin stock: reponer ya",IF($M1815&lt;IFERROR(N(INDEX(Vinos!$N$2:$N$301,MATCH($B1815,Vinos!$A$2:$A$301,0))),0),"Bajo mínimo: reponer","OK")))</f>
        <v/>
      </c>
      <c r="O1815" s="14" t="n"/>
      <c r="P1815" s="14" t="n"/>
      <c r="Q1815" s="20">
        <f>IF($B1815="","",IFERROR(INDEX(Vinos!$C$2:$C$301,MATCH($B1815,Vinos!$A$2:$A$301,0)),""))</f>
        <v/>
      </c>
      <c r="R1815" s="20">
        <f>IF(OR($A1815="",$A1815&lt;&gt;'Resumen del inventario'!$C$3,$N1815="",$N1815="OK"),"",IF(COUNTIFS($A$2:$A1815,$A1815,$B$2:$B1815,$B1815)=1,1,""))</f>
        <v/>
      </c>
      <c r="S1815" s="20">
        <f>IF($R1815=1,COUNTIF($R$2:$R1815,1),"")</f>
        <v/>
      </c>
    </row>
    <row r="1816">
      <c r="A1816" s="19" t="n"/>
      <c r="B1816" s="14" t="n"/>
      <c r="C1816" s="20">
        <f>IF($B1816="","",IFERROR(INDEX(Vinos!$B$2:$B$301,MATCH($B1816,Vinos!$A$2:$A$301,0)),"Código no cargado"))</f>
        <v/>
      </c>
      <c r="D1816" s="14" t="n"/>
      <c r="E1816" s="14" t="n"/>
      <c r="F1816" s="18" t="n"/>
      <c r="G1816" s="18" t="n"/>
      <c r="H1816" s="21">
        <f>IF(AND($F1816="",$G1816=""),"",N($F1816)*IFERROR(N(INDEX(Vinos!$H$2:$H$301,MATCH($B1816,Vinos!$A$2:$A$301,0))),0)+N($G1816))</f>
        <v/>
      </c>
      <c r="I1816" s="18" t="n"/>
      <c r="J1816" s="21">
        <f>IF(OR($H1816="",$I1816=""),"",$H1816-$I1816)</f>
        <v/>
      </c>
      <c r="K1816" s="16">
        <f>IF($H1816="","",IFERROR(IF(INDEX(Vinos!$J$2:$J$301,MATCH($B1816,Vinos!$A$2:$A$301,0))="","",$H1816*INDEX(Vinos!$J$2:$J$301,MATCH($B1816,Vinos!$A$2:$A$301,0))),""))</f>
        <v/>
      </c>
      <c r="L1816" s="16">
        <f>IF($H1816="","",IFERROR(IF(INDEX(Vinos!$K$2:$K$301,MATCH($B1816,Vinos!$A$2:$A$301,0))="","",$H1816*INDEX(Vinos!$K$2:$K$301,MATCH($B1816,Vinos!$A$2:$A$301,0))),""))</f>
        <v/>
      </c>
      <c r="M1816" s="21">
        <f>IF(OR($A1816="",$B1816=""),"",SUMIFS($H$2:$H$2001,$A$2:$A$2001,$A1816,$B$2:$B$2001,$B1816))</f>
        <v/>
      </c>
      <c r="N1816" s="20">
        <f>IF($M1816="","",IF($M1816&lt;=0,"Sin stock: reponer ya",IF($M1816&lt;IFERROR(N(INDEX(Vinos!$N$2:$N$301,MATCH($B1816,Vinos!$A$2:$A$301,0))),0),"Bajo mínimo: reponer","OK")))</f>
        <v/>
      </c>
      <c r="O1816" s="14" t="n"/>
      <c r="P1816" s="14" t="n"/>
      <c r="Q1816" s="20">
        <f>IF($B1816="","",IFERROR(INDEX(Vinos!$C$2:$C$301,MATCH($B1816,Vinos!$A$2:$A$301,0)),""))</f>
        <v/>
      </c>
      <c r="R1816" s="20">
        <f>IF(OR($A1816="",$A1816&lt;&gt;'Resumen del inventario'!$C$3,$N1816="",$N1816="OK"),"",IF(COUNTIFS($A$2:$A1816,$A1816,$B$2:$B1816,$B1816)=1,1,""))</f>
        <v/>
      </c>
      <c r="S1816" s="20">
        <f>IF($R1816=1,COUNTIF($R$2:$R1816,1),"")</f>
        <v/>
      </c>
    </row>
    <row r="1817">
      <c r="A1817" s="19" t="n"/>
      <c r="B1817" s="14" t="n"/>
      <c r="C1817" s="20">
        <f>IF($B1817="","",IFERROR(INDEX(Vinos!$B$2:$B$301,MATCH($B1817,Vinos!$A$2:$A$301,0)),"Código no cargado"))</f>
        <v/>
      </c>
      <c r="D1817" s="14" t="n"/>
      <c r="E1817" s="14" t="n"/>
      <c r="F1817" s="18" t="n"/>
      <c r="G1817" s="18" t="n"/>
      <c r="H1817" s="21">
        <f>IF(AND($F1817="",$G1817=""),"",N($F1817)*IFERROR(N(INDEX(Vinos!$H$2:$H$301,MATCH($B1817,Vinos!$A$2:$A$301,0))),0)+N($G1817))</f>
        <v/>
      </c>
      <c r="I1817" s="18" t="n"/>
      <c r="J1817" s="21">
        <f>IF(OR($H1817="",$I1817=""),"",$H1817-$I1817)</f>
        <v/>
      </c>
      <c r="K1817" s="16">
        <f>IF($H1817="","",IFERROR(IF(INDEX(Vinos!$J$2:$J$301,MATCH($B1817,Vinos!$A$2:$A$301,0))="","",$H1817*INDEX(Vinos!$J$2:$J$301,MATCH($B1817,Vinos!$A$2:$A$301,0))),""))</f>
        <v/>
      </c>
      <c r="L1817" s="16">
        <f>IF($H1817="","",IFERROR(IF(INDEX(Vinos!$K$2:$K$301,MATCH($B1817,Vinos!$A$2:$A$301,0))="","",$H1817*INDEX(Vinos!$K$2:$K$301,MATCH($B1817,Vinos!$A$2:$A$301,0))),""))</f>
        <v/>
      </c>
      <c r="M1817" s="21">
        <f>IF(OR($A1817="",$B1817=""),"",SUMIFS($H$2:$H$2001,$A$2:$A$2001,$A1817,$B$2:$B$2001,$B1817))</f>
        <v/>
      </c>
      <c r="N1817" s="20">
        <f>IF($M1817="","",IF($M1817&lt;=0,"Sin stock: reponer ya",IF($M1817&lt;IFERROR(N(INDEX(Vinos!$N$2:$N$301,MATCH($B1817,Vinos!$A$2:$A$301,0))),0),"Bajo mínimo: reponer","OK")))</f>
        <v/>
      </c>
      <c r="O1817" s="14" t="n"/>
      <c r="P1817" s="14" t="n"/>
      <c r="Q1817" s="20">
        <f>IF($B1817="","",IFERROR(INDEX(Vinos!$C$2:$C$301,MATCH($B1817,Vinos!$A$2:$A$301,0)),""))</f>
        <v/>
      </c>
      <c r="R1817" s="20">
        <f>IF(OR($A1817="",$A1817&lt;&gt;'Resumen del inventario'!$C$3,$N1817="",$N1817="OK"),"",IF(COUNTIFS($A$2:$A1817,$A1817,$B$2:$B1817,$B1817)=1,1,""))</f>
        <v/>
      </c>
      <c r="S1817" s="20">
        <f>IF($R1817=1,COUNTIF($R$2:$R1817,1),"")</f>
        <v/>
      </c>
    </row>
    <row r="1818">
      <c r="A1818" s="19" t="n"/>
      <c r="B1818" s="14" t="n"/>
      <c r="C1818" s="20">
        <f>IF($B1818="","",IFERROR(INDEX(Vinos!$B$2:$B$301,MATCH($B1818,Vinos!$A$2:$A$301,0)),"Código no cargado"))</f>
        <v/>
      </c>
      <c r="D1818" s="14" t="n"/>
      <c r="E1818" s="14" t="n"/>
      <c r="F1818" s="18" t="n"/>
      <c r="G1818" s="18" t="n"/>
      <c r="H1818" s="21">
        <f>IF(AND($F1818="",$G1818=""),"",N($F1818)*IFERROR(N(INDEX(Vinos!$H$2:$H$301,MATCH($B1818,Vinos!$A$2:$A$301,0))),0)+N($G1818))</f>
        <v/>
      </c>
      <c r="I1818" s="18" t="n"/>
      <c r="J1818" s="21">
        <f>IF(OR($H1818="",$I1818=""),"",$H1818-$I1818)</f>
        <v/>
      </c>
      <c r="K1818" s="16">
        <f>IF($H1818="","",IFERROR(IF(INDEX(Vinos!$J$2:$J$301,MATCH($B1818,Vinos!$A$2:$A$301,0))="","",$H1818*INDEX(Vinos!$J$2:$J$301,MATCH($B1818,Vinos!$A$2:$A$301,0))),""))</f>
        <v/>
      </c>
      <c r="L1818" s="16">
        <f>IF($H1818="","",IFERROR(IF(INDEX(Vinos!$K$2:$K$301,MATCH($B1818,Vinos!$A$2:$A$301,0))="","",$H1818*INDEX(Vinos!$K$2:$K$301,MATCH($B1818,Vinos!$A$2:$A$301,0))),""))</f>
        <v/>
      </c>
      <c r="M1818" s="21">
        <f>IF(OR($A1818="",$B1818=""),"",SUMIFS($H$2:$H$2001,$A$2:$A$2001,$A1818,$B$2:$B$2001,$B1818))</f>
        <v/>
      </c>
      <c r="N1818" s="20">
        <f>IF($M1818="","",IF($M1818&lt;=0,"Sin stock: reponer ya",IF($M1818&lt;IFERROR(N(INDEX(Vinos!$N$2:$N$301,MATCH($B1818,Vinos!$A$2:$A$301,0))),0),"Bajo mínimo: reponer","OK")))</f>
        <v/>
      </c>
      <c r="O1818" s="14" t="n"/>
      <c r="P1818" s="14" t="n"/>
      <c r="Q1818" s="20">
        <f>IF($B1818="","",IFERROR(INDEX(Vinos!$C$2:$C$301,MATCH($B1818,Vinos!$A$2:$A$301,0)),""))</f>
        <v/>
      </c>
      <c r="R1818" s="20">
        <f>IF(OR($A1818="",$A1818&lt;&gt;'Resumen del inventario'!$C$3,$N1818="",$N1818="OK"),"",IF(COUNTIFS($A$2:$A1818,$A1818,$B$2:$B1818,$B1818)=1,1,""))</f>
        <v/>
      </c>
      <c r="S1818" s="20">
        <f>IF($R1818=1,COUNTIF($R$2:$R1818,1),"")</f>
        <v/>
      </c>
    </row>
    <row r="1819">
      <c r="A1819" s="19" t="n"/>
      <c r="B1819" s="14" t="n"/>
      <c r="C1819" s="20">
        <f>IF($B1819="","",IFERROR(INDEX(Vinos!$B$2:$B$301,MATCH($B1819,Vinos!$A$2:$A$301,0)),"Código no cargado"))</f>
        <v/>
      </c>
      <c r="D1819" s="14" t="n"/>
      <c r="E1819" s="14" t="n"/>
      <c r="F1819" s="18" t="n"/>
      <c r="G1819" s="18" t="n"/>
      <c r="H1819" s="21">
        <f>IF(AND($F1819="",$G1819=""),"",N($F1819)*IFERROR(N(INDEX(Vinos!$H$2:$H$301,MATCH($B1819,Vinos!$A$2:$A$301,0))),0)+N($G1819))</f>
        <v/>
      </c>
      <c r="I1819" s="18" t="n"/>
      <c r="J1819" s="21">
        <f>IF(OR($H1819="",$I1819=""),"",$H1819-$I1819)</f>
        <v/>
      </c>
      <c r="K1819" s="16">
        <f>IF($H1819="","",IFERROR(IF(INDEX(Vinos!$J$2:$J$301,MATCH($B1819,Vinos!$A$2:$A$301,0))="","",$H1819*INDEX(Vinos!$J$2:$J$301,MATCH($B1819,Vinos!$A$2:$A$301,0))),""))</f>
        <v/>
      </c>
      <c r="L1819" s="16">
        <f>IF($H1819="","",IFERROR(IF(INDEX(Vinos!$K$2:$K$301,MATCH($B1819,Vinos!$A$2:$A$301,0))="","",$H1819*INDEX(Vinos!$K$2:$K$301,MATCH($B1819,Vinos!$A$2:$A$301,0))),""))</f>
        <v/>
      </c>
      <c r="M1819" s="21">
        <f>IF(OR($A1819="",$B1819=""),"",SUMIFS($H$2:$H$2001,$A$2:$A$2001,$A1819,$B$2:$B$2001,$B1819))</f>
        <v/>
      </c>
      <c r="N1819" s="20">
        <f>IF($M1819="","",IF($M1819&lt;=0,"Sin stock: reponer ya",IF($M1819&lt;IFERROR(N(INDEX(Vinos!$N$2:$N$301,MATCH($B1819,Vinos!$A$2:$A$301,0))),0),"Bajo mínimo: reponer","OK")))</f>
        <v/>
      </c>
      <c r="O1819" s="14" t="n"/>
      <c r="P1819" s="14" t="n"/>
      <c r="Q1819" s="20">
        <f>IF($B1819="","",IFERROR(INDEX(Vinos!$C$2:$C$301,MATCH($B1819,Vinos!$A$2:$A$301,0)),""))</f>
        <v/>
      </c>
      <c r="R1819" s="20">
        <f>IF(OR($A1819="",$A1819&lt;&gt;'Resumen del inventario'!$C$3,$N1819="",$N1819="OK"),"",IF(COUNTIFS($A$2:$A1819,$A1819,$B$2:$B1819,$B1819)=1,1,""))</f>
        <v/>
      </c>
      <c r="S1819" s="20">
        <f>IF($R1819=1,COUNTIF($R$2:$R1819,1),"")</f>
        <v/>
      </c>
    </row>
    <row r="1820">
      <c r="A1820" s="19" t="n"/>
      <c r="B1820" s="14" t="n"/>
      <c r="C1820" s="20">
        <f>IF($B1820="","",IFERROR(INDEX(Vinos!$B$2:$B$301,MATCH($B1820,Vinos!$A$2:$A$301,0)),"Código no cargado"))</f>
        <v/>
      </c>
      <c r="D1820" s="14" t="n"/>
      <c r="E1820" s="14" t="n"/>
      <c r="F1820" s="18" t="n"/>
      <c r="G1820" s="18" t="n"/>
      <c r="H1820" s="21">
        <f>IF(AND($F1820="",$G1820=""),"",N($F1820)*IFERROR(N(INDEX(Vinos!$H$2:$H$301,MATCH($B1820,Vinos!$A$2:$A$301,0))),0)+N($G1820))</f>
        <v/>
      </c>
      <c r="I1820" s="18" t="n"/>
      <c r="J1820" s="21">
        <f>IF(OR($H1820="",$I1820=""),"",$H1820-$I1820)</f>
        <v/>
      </c>
      <c r="K1820" s="16">
        <f>IF($H1820="","",IFERROR(IF(INDEX(Vinos!$J$2:$J$301,MATCH($B1820,Vinos!$A$2:$A$301,0))="","",$H1820*INDEX(Vinos!$J$2:$J$301,MATCH($B1820,Vinos!$A$2:$A$301,0))),""))</f>
        <v/>
      </c>
      <c r="L1820" s="16">
        <f>IF($H1820="","",IFERROR(IF(INDEX(Vinos!$K$2:$K$301,MATCH($B1820,Vinos!$A$2:$A$301,0))="","",$H1820*INDEX(Vinos!$K$2:$K$301,MATCH($B1820,Vinos!$A$2:$A$301,0))),""))</f>
        <v/>
      </c>
      <c r="M1820" s="21">
        <f>IF(OR($A1820="",$B1820=""),"",SUMIFS($H$2:$H$2001,$A$2:$A$2001,$A1820,$B$2:$B$2001,$B1820))</f>
        <v/>
      </c>
      <c r="N1820" s="20">
        <f>IF($M1820="","",IF($M1820&lt;=0,"Sin stock: reponer ya",IF($M1820&lt;IFERROR(N(INDEX(Vinos!$N$2:$N$301,MATCH($B1820,Vinos!$A$2:$A$301,0))),0),"Bajo mínimo: reponer","OK")))</f>
        <v/>
      </c>
      <c r="O1820" s="14" t="n"/>
      <c r="P1820" s="14" t="n"/>
      <c r="Q1820" s="20">
        <f>IF($B1820="","",IFERROR(INDEX(Vinos!$C$2:$C$301,MATCH($B1820,Vinos!$A$2:$A$301,0)),""))</f>
        <v/>
      </c>
      <c r="R1820" s="20">
        <f>IF(OR($A1820="",$A1820&lt;&gt;'Resumen del inventario'!$C$3,$N1820="",$N1820="OK"),"",IF(COUNTIFS($A$2:$A1820,$A1820,$B$2:$B1820,$B1820)=1,1,""))</f>
        <v/>
      </c>
      <c r="S1820" s="20">
        <f>IF($R1820=1,COUNTIF($R$2:$R1820,1),"")</f>
        <v/>
      </c>
    </row>
    <row r="1821">
      <c r="A1821" s="19" t="n"/>
      <c r="B1821" s="14" t="n"/>
      <c r="C1821" s="20">
        <f>IF($B1821="","",IFERROR(INDEX(Vinos!$B$2:$B$301,MATCH($B1821,Vinos!$A$2:$A$301,0)),"Código no cargado"))</f>
        <v/>
      </c>
      <c r="D1821" s="14" t="n"/>
      <c r="E1821" s="14" t="n"/>
      <c r="F1821" s="18" t="n"/>
      <c r="G1821" s="18" t="n"/>
      <c r="H1821" s="21">
        <f>IF(AND($F1821="",$G1821=""),"",N($F1821)*IFERROR(N(INDEX(Vinos!$H$2:$H$301,MATCH($B1821,Vinos!$A$2:$A$301,0))),0)+N($G1821))</f>
        <v/>
      </c>
      <c r="I1821" s="18" t="n"/>
      <c r="J1821" s="21">
        <f>IF(OR($H1821="",$I1821=""),"",$H1821-$I1821)</f>
        <v/>
      </c>
      <c r="K1821" s="16">
        <f>IF($H1821="","",IFERROR(IF(INDEX(Vinos!$J$2:$J$301,MATCH($B1821,Vinos!$A$2:$A$301,0))="","",$H1821*INDEX(Vinos!$J$2:$J$301,MATCH($B1821,Vinos!$A$2:$A$301,0))),""))</f>
        <v/>
      </c>
      <c r="L1821" s="16">
        <f>IF($H1821="","",IFERROR(IF(INDEX(Vinos!$K$2:$K$301,MATCH($B1821,Vinos!$A$2:$A$301,0))="","",$H1821*INDEX(Vinos!$K$2:$K$301,MATCH($B1821,Vinos!$A$2:$A$301,0))),""))</f>
        <v/>
      </c>
      <c r="M1821" s="21">
        <f>IF(OR($A1821="",$B1821=""),"",SUMIFS($H$2:$H$2001,$A$2:$A$2001,$A1821,$B$2:$B$2001,$B1821))</f>
        <v/>
      </c>
      <c r="N1821" s="20">
        <f>IF($M1821="","",IF($M1821&lt;=0,"Sin stock: reponer ya",IF($M1821&lt;IFERROR(N(INDEX(Vinos!$N$2:$N$301,MATCH($B1821,Vinos!$A$2:$A$301,0))),0),"Bajo mínimo: reponer","OK")))</f>
        <v/>
      </c>
      <c r="O1821" s="14" t="n"/>
      <c r="P1821" s="14" t="n"/>
      <c r="Q1821" s="20">
        <f>IF($B1821="","",IFERROR(INDEX(Vinos!$C$2:$C$301,MATCH($B1821,Vinos!$A$2:$A$301,0)),""))</f>
        <v/>
      </c>
      <c r="R1821" s="20">
        <f>IF(OR($A1821="",$A1821&lt;&gt;'Resumen del inventario'!$C$3,$N1821="",$N1821="OK"),"",IF(COUNTIFS($A$2:$A1821,$A1821,$B$2:$B1821,$B1821)=1,1,""))</f>
        <v/>
      </c>
      <c r="S1821" s="20">
        <f>IF($R1821=1,COUNTIF($R$2:$R1821,1),"")</f>
        <v/>
      </c>
    </row>
    <row r="1822">
      <c r="A1822" s="19" t="n"/>
      <c r="B1822" s="14" t="n"/>
      <c r="C1822" s="20">
        <f>IF($B1822="","",IFERROR(INDEX(Vinos!$B$2:$B$301,MATCH($B1822,Vinos!$A$2:$A$301,0)),"Código no cargado"))</f>
        <v/>
      </c>
      <c r="D1822" s="14" t="n"/>
      <c r="E1822" s="14" t="n"/>
      <c r="F1822" s="18" t="n"/>
      <c r="G1822" s="18" t="n"/>
      <c r="H1822" s="21">
        <f>IF(AND($F1822="",$G1822=""),"",N($F1822)*IFERROR(N(INDEX(Vinos!$H$2:$H$301,MATCH($B1822,Vinos!$A$2:$A$301,0))),0)+N($G1822))</f>
        <v/>
      </c>
      <c r="I1822" s="18" t="n"/>
      <c r="J1822" s="21">
        <f>IF(OR($H1822="",$I1822=""),"",$H1822-$I1822)</f>
        <v/>
      </c>
      <c r="K1822" s="16">
        <f>IF($H1822="","",IFERROR(IF(INDEX(Vinos!$J$2:$J$301,MATCH($B1822,Vinos!$A$2:$A$301,0))="","",$H1822*INDEX(Vinos!$J$2:$J$301,MATCH($B1822,Vinos!$A$2:$A$301,0))),""))</f>
        <v/>
      </c>
      <c r="L1822" s="16">
        <f>IF($H1822="","",IFERROR(IF(INDEX(Vinos!$K$2:$K$301,MATCH($B1822,Vinos!$A$2:$A$301,0))="","",$H1822*INDEX(Vinos!$K$2:$K$301,MATCH($B1822,Vinos!$A$2:$A$301,0))),""))</f>
        <v/>
      </c>
      <c r="M1822" s="21">
        <f>IF(OR($A1822="",$B1822=""),"",SUMIFS($H$2:$H$2001,$A$2:$A$2001,$A1822,$B$2:$B$2001,$B1822))</f>
        <v/>
      </c>
      <c r="N1822" s="20">
        <f>IF($M1822="","",IF($M1822&lt;=0,"Sin stock: reponer ya",IF($M1822&lt;IFERROR(N(INDEX(Vinos!$N$2:$N$301,MATCH($B1822,Vinos!$A$2:$A$301,0))),0),"Bajo mínimo: reponer","OK")))</f>
        <v/>
      </c>
      <c r="O1822" s="14" t="n"/>
      <c r="P1822" s="14" t="n"/>
      <c r="Q1822" s="20">
        <f>IF($B1822="","",IFERROR(INDEX(Vinos!$C$2:$C$301,MATCH($B1822,Vinos!$A$2:$A$301,0)),""))</f>
        <v/>
      </c>
      <c r="R1822" s="20">
        <f>IF(OR($A1822="",$A1822&lt;&gt;'Resumen del inventario'!$C$3,$N1822="",$N1822="OK"),"",IF(COUNTIFS($A$2:$A1822,$A1822,$B$2:$B1822,$B1822)=1,1,""))</f>
        <v/>
      </c>
      <c r="S1822" s="20">
        <f>IF($R1822=1,COUNTIF($R$2:$R1822,1),"")</f>
        <v/>
      </c>
    </row>
    <row r="1823">
      <c r="A1823" s="19" t="n"/>
      <c r="B1823" s="14" t="n"/>
      <c r="C1823" s="20">
        <f>IF($B1823="","",IFERROR(INDEX(Vinos!$B$2:$B$301,MATCH($B1823,Vinos!$A$2:$A$301,0)),"Código no cargado"))</f>
        <v/>
      </c>
      <c r="D1823" s="14" t="n"/>
      <c r="E1823" s="14" t="n"/>
      <c r="F1823" s="18" t="n"/>
      <c r="G1823" s="18" t="n"/>
      <c r="H1823" s="21">
        <f>IF(AND($F1823="",$G1823=""),"",N($F1823)*IFERROR(N(INDEX(Vinos!$H$2:$H$301,MATCH($B1823,Vinos!$A$2:$A$301,0))),0)+N($G1823))</f>
        <v/>
      </c>
      <c r="I1823" s="18" t="n"/>
      <c r="J1823" s="21">
        <f>IF(OR($H1823="",$I1823=""),"",$H1823-$I1823)</f>
        <v/>
      </c>
      <c r="K1823" s="16">
        <f>IF($H1823="","",IFERROR(IF(INDEX(Vinos!$J$2:$J$301,MATCH($B1823,Vinos!$A$2:$A$301,0))="","",$H1823*INDEX(Vinos!$J$2:$J$301,MATCH($B1823,Vinos!$A$2:$A$301,0))),""))</f>
        <v/>
      </c>
      <c r="L1823" s="16">
        <f>IF($H1823="","",IFERROR(IF(INDEX(Vinos!$K$2:$K$301,MATCH($B1823,Vinos!$A$2:$A$301,0))="","",$H1823*INDEX(Vinos!$K$2:$K$301,MATCH($B1823,Vinos!$A$2:$A$301,0))),""))</f>
        <v/>
      </c>
      <c r="M1823" s="21">
        <f>IF(OR($A1823="",$B1823=""),"",SUMIFS($H$2:$H$2001,$A$2:$A$2001,$A1823,$B$2:$B$2001,$B1823))</f>
        <v/>
      </c>
      <c r="N1823" s="20">
        <f>IF($M1823="","",IF($M1823&lt;=0,"Sin stock: reponer ya",IF($M1823&lt;IFERROR(N(INDEX(Vinos!$N$2:$N$301,MATCH($B1823,Vinos!$A$2:$A$301,0))),0),"Bajo mínimo: reponer","OK")))</f>
        <v/>
      </c>
      <c r="O1823" s="14" t="n"/>
      <c r="P1823" s="14" t="n"/>
      <c r="Q1823" s="20">
        <f>IF($B1823="","",IFERROR(INDEX(Vinos!$C$2:$C$301,MATCH($B1823,Vinos!$A$2:$A$301,0)),""))</f>
        <v/>
      </c>
      <c r="R1823" s="20">
        <f>IF(OR($A1823="",$A1823&lt;&gt;'Resumen del inventario'!$C$3,$N1823="",$N1823="OK"),"",IF(COUNTIFS($A$2:$A1823,$A1823,$B$2:$B1823,$B1823)=1,1,""))</f>
        <v/>
      </c>
      <c r="S1823" s="20">
        <f>IF($R1823=1,COUNTIF($R$2:$R1823,1),"")</f>
        <v/>
      </c>
    </row>
    <row r="1824">
      <c r="A1824" s="19" t="n"/>
      <c r="B1824" s="14" t="n"/>
      <c r="C1824" s="20">
        <f>IF($B1824="","",IFERROR(INDEX(Vinos!$B$2:$B$301,MATCH($B1824,Vinos!$A$2:$A$301,0)),"Código no cargado"))</f>
        <v/>
      </c>
      <c r="D1824" s="14" t="n"/>
      <c r="E1824" s="14" t="n"/>
      <c r="F1824" s="18" t="n"/>
      <c r="G1824" s="18" t="n"/>
      <c r="H1824" s="21">
        <f>IF(AND($F1824="",$G1824=""),"",N($F1824)*IFERROR(N(INDEX(Vinos!$H$2:$H$301,MATCH($B1824,Vinos!$A$2:$A$301,0))),0)+N($G1824))</f>
        <v/>
      </c>
      <c r="I1824" s="18" t="n"/>
      <c r="J1824" s="21">
        <f>IF(OR($H1824="",$I1824=""),"",$H1824-$I1824)</f>
        <v/>
      </c>
      <c r="K1824" s="16">
        <f>IF($H1824="","",IFERROR(IF(INDEX(Vinos!$J$2:$J$301,MATCH($B1824,Vinos!$A$2:$A$301,0))="","",$H1824*INDEX(Vinos!$J$2:$J$301,MATCH($B1824,Vinos!$A$2:$A$301,0))),""))</f>
        <v/>
      </c>
      <c r="L1824" s="16">
        <f>IF($H1824="","",IFERROR(IF(INDEX(Vinos!$K$2:$K$301,MATCH($B1824,Vinos!$A$2:$A$301,0))="","",$H1824*INDEX(Vinos!$K$2:$K$301,MATCH($B1824,Vinos!$A$2:$A$301,0))),""))</f>
        <v/>
      </c>
      <c r="M1824" s="21">
        <f>IF(OR($A1824="",$B1824=""),"",SUMIFS($H$2:$H$2001,$A$2:$A$2001,$A1824,$B$2:$B$2001,$B1824))</f>
        <v/>
      </c>
      <c r="N1824" s="20">
        <f>IF($M1824="","",IF($M1824&lt;=0,"Sin stock: reponer ya",IF($M1824&lt;IFERROR(N(INDEX(Vinos!$N$2:$N$301,MATCH($B1824,Vinos!$A$2:$A$301,0))),0),"Bajo mínimo: reponer","OK")))</f>
        <v/>
      </c>
      <c r="O1824" s="14" t="n"/>
      <c r="P1824" s="14" t="n"/>
      <c r="Q1824" s="20">
        <f>IF($B1824="","",IFERROR(INDEX(Vinos!$C$2:$C$301,MATCH($B1824,Vinos!$A$2:$A$301,0)),""))</f>
        <v/>
      </c>
      <c r="R1824" s="20">
        <f>IF(OR($A1824="",$A1824&lt;&gt;'Resumen del inventario'!$C$3,$N1824="",$N1824="OK"),"",IF(COUNTIFS($A$2:$A1824,$A1824,$B$2:$B1824,$B1824)=1,1,""))</f>
        <v/>
      </c>
      <c r="S1824" s="20">
        <f>IF($R1824=1,COUNTIF($R$2:$R1824,1),"")</f>
        <v/>
      </c>
    </row>
    <row r="1825">
      <c r="A1825" s="19" t="n"/>
      <c r="B1825" s="14" t="n"/>
      <c r="C1825" s="20">
        <f>IF($B1825="","",IFERROR(INDEX(Vinos!$B$2:$B$301,MATCH($B1825,Vinos!$A$2:$A$301,0)),"Código no cargado"))</f>
        <v/>
      </c>
      <c r="D1825" s="14" t="n"/>
      <c r="E1825" s="14" t="n"/>
      <c r="F1825" s="18" t="n"/>
      <c r="G1825" s="18" t="n"/>
      <c r="H1825" s="21">
        <f>IF(AND($F1825="",$G1825=""),"",N($F1825)*IFERROR(N(INDEX(Vinos!$H$2:$H$301,MATCH($B1825,Vinos!$A$2:$A$301,0))),0)+N($G1825))</f>
        <v/>
      </c>
      <c r="I1825" s="18" t="n"/>
      <c r="J1825" s="21">
        <f>IF(OR($H1825="",$I1825=""),"",$H1825-$I1825)</f>
        <v/>
      </c>
      <c r="K1825" s="16">
        <f>IF($H1825="","",IFERROR(IF(INDEX(Vinos!$J$2:$J$301,MATCH($B1825,Vinos!$A$2:$A$301,0))="","",$H1825*INDEX(Vinos!$J$2:$J$301,MATCH($B1825,Vinos!$A$2:$A$301,0))),""))</f>
        <v/>
      </c>
      <c r="L1825" s="16">
        <f>IF($H1825="","",IFERROR(IF(INDEX(Vinos!$K$2:$K$301,MATCH($B1825,Vinos!$A$2:$A$301,0))="","",$H1825*INDEX(Vinos!$K$2:$K$301,MATCH($B1825,Vinos!$A$2:$A$301,0))),""))</f>
        <v/>
      </c>
      <c r="M1825" s="21">
        <f>IF(OR($A1825="",$B1825=""),"",SUMIFS($H$2:$H$2001,$A$2:$A$2001,$A1825,$B$2:$B$2001,$B1825))</f>
        <v/>
      </c>
      <c r="N1825" s="20">
        <f>IF($M1825="","",IF($M1825&lt;=0,"Sin stock: reponer ya",IF($M1825&lt;IFERROR(N(INDEX(Vinos!$N$2:$N$301,MATCH($B1825,Vinos!$A$2:$A$301,0))),0),"Bajo mínimo: reponer","OK")))</f>
        <v/>
      </c>
      <c r="O1825" s="14" t="n"/>
      <c r="P1825" s="14" t="n"/>
      <c r="Q1825" s="20">
        <f>IF($B1825="","",IFERROR(INDEX(Vinos!$C$2:$C$301,MATCH($B1825,Vinos!$A$2:$A$301,0)),""))</f>
        <v/>
      </c>
      <c r="R1825" s="20">
        <f>IF(OR($A1825="",$A1825&lt;&gt;'Resumen del inventario'!$C$3,$N1825="",$N1825="OK"),"",IF(COUNTIFS($A$2:$A1825,$A1825,$B$2:$B1825,$B1825)=1,1,""))</f>
        <v/>
      </c>
      <c r="S1825" s="20">
        <f>IF($R1825=1,COUNTIF($R$2:$R1825,1),"")</f>
        <v/>
      </c>
    </row>
    <row r="1826">
      <c r="A1826" s="19" t="n"/>
      <c r="B1826" s="14" t="n"/>
      <c r="C1826" s="20">
        <f>IF($B1826="","",IFERROR(INDEX(Vinos!$B$2:$B$301,MATCH($B1826,Vinos!$A$2:$A$301,0)),"Código no cargado"))</f>
        <v/>
      </c>
      <c r="D1826" s="14" t="n"/>
      <c r="E1826" s="14" t="n"/>
      <c r="F1826" s="18" t="n"/>
      <c r="G1826" s="18" t="n"/>
      <c r="H1826" s="21">
        <f>IF(AND($F1826="",$G1826=""),"",N($F1826)*IFERROR(N(INDEX(Vinos!$H$2:$H$301,MATCH($B1826,Vinos!$A$2:$A$301,0))),0)+N($G1826))</f>
        <v/>
      </c>
      <c r="I1826" s="18" t="n"/>
      <c r="J1826" s="21">
        <f>IF(OR($H1826="",$I1826=""),"",$H1826-$I1826)</f>
        <v/>
      </c>
      <c r="K1826" s="16">
        <f>IF($H1826="","",IFERROR(IF(INDEX(Vinos!$J$2:$J$301,MATCH($B1826,Vinos!$A$2:$A$301,0))="","",$H1826*INDEX(Vinos!$J$2:$J$301,MATCH($B1826,Vinos!$A$2:$A$301,0))),""))</f>
        <v/>
      </c>
      <c r="L1826" s="16">
        <f>IF($H1826="","",IFERROR(IF(INDEX(Vinos!$K$2:$K$301,MATCH($B1826,Vinos!$A$2:$A$301,0))="","",$H1826*INDEX(Vinos!$K$2:$K$301,MATCH($B1826,Vinos!$A$2:$A$301,0))),""))</f>
        <v/>
      </c>
      <c r="M1826" s="21">
        <f>IF(OR($A1826="",$B1826=""),"",SUMIFS($H$2:$H$2001,$A$2:$A$2001,$A1826,$B$2:$B$2001,$B1826))</f>
        <v/>
      </c>
      <c r="N1826" s="20">
        <f>IF($M1826="","",IF($M1826&lt;=0,"Sin stock: reponer ya",IF($M1826&lt;IFERROR(N(INDEX(Vinos!$N$2:$N$301,MATCH($B1826,Vinos!$A$2:$A$301,0))),0),"Bajo mínimo: reponer","OK")))</f>
        <v/>
      </c>
      <c r="O1826" s="14" t="n"/>
      <c r="P1826" s="14" t="n"/>
      <c r="Q1826" s="20">
        <f>IF($B1826="","",IFERROR(INDEX(Vinos!$C$2:$C$301,MATCH($B1826,Vinos!$A$2:$A$301,0)),""))</f>
        <v/>
      </c>
      <c r="R1826" s="20">
        <f>IF(OR($A1826="",$A1826&lt;&gt;'Resumen del inventario'!$C$3,$N1826="",$N1826="OK"),"",IF(COUNTIFS($A$2:$A1826,$A1826,$B$2:$B1826,$B1826)=1,1,""))</f>
        <v/>
      </c>
      <c r="S1826" s="20">
        <f>IF($R1826=1,COUNTIF($R$2:$R1826,1),"")</f>
        <v/>
      </c>
    </row>
    <row r="1827">
      <c r="A1827" s="19" t="n"/>
      <c r="B1827" s="14" t="n"/>
      <c r="C1827" s="20">
        <f>IF($B1827="","",IFERROR(INDEX(Vinos!$B$2:$B$301,MATCH($B1827,Vinos!$A$2:$A$301,0)),"Código no cargado"))</f>
        <v/>
      </c>
      <c r="D1827" s="14" t="n"/>
      <c r="E1827" s="14" t="n"/>
      <c r="F1827" s="18" t="n"/>
      <c r="G1827" s="18" t="n"/>
      <c r="H1827" s="21">
        <f>IF(AND($F1827="",$G1827=""),"",N($F1827)*IFERROR(N(INDEX(Vinos!$H$2:$H$301,MATCH($B1827,Vinos!$A$2:$A$301,0))),0)+N($G1827))</f>
        <v/>
      </c>
      <c r="I1827" s="18" t="n"/>
      <c r="J1827" s="21">
        <f>IF(OR($H1827="",$I1827=""),"",$H1827-$I1827)</f>
        <v/>
      </c>
      <c r="K1827" s="16">
        <f>IF($H1827="","",IFERROR(IF(INDEX(Vinos!$J$2:$J$301,MATCH($B1827,Vinos!$A$2:$A$301,0))="","",$H1827*INDEX(Vinos!$J$2:$J$301,MATCH($B1827,Vinos!$A$2:$A$301,0))),""))</f>
        <v/>
      </c>
      <c r="L1827" s="16">
        <f>IF($H1827="","",IFERROR(IF(INDEX(Vinos!$K$2:$K$301,MATCH($B1827,Vinos!$A$2:$A$301,0))="","",$H1827*INDEX(Vinos!$K$2:$K$301,MATCH($B1827,Vinos!$A$2:$A$301,0))),""))</f>
        <v/>
      </c>
      <c r="M1827" s="21">
        <f>IF(OR($A1827="",$B1827=""),"",SUMIFS($H$2:$H$2001,$A$2:$A$2001,$A1827,$B$2:$B$2001,$B1827))</f>
        <v/>
      </c>
      <c r="N1827" s="20">
        <f>IF($M1827="","",IF($M1827&lt;=0,"Sin stock: reponer ya",IF($M1827&lt;IFERROR(N(INDEX(Vinos!$N$2:$N$301,MATCH($B1827,Vinos!$A$2:$A$301,0))),0),"Bajo mínimo: reponer","OK")))</f>
        <v/>
      </c>
      <c r="O1827" s="14" t="n"/>
      <c r="P1827" s="14" t="n"/>
      <c r="Q1827" s="20">
        <f>IF($B1827="","",IFERROR(INDEX(Vinos!$C$2:$C$301,MATCH($B1827,Vinos!$A$2:$A$301,0)),""))</f>
        <v/>
      </c>
      <c r="R1827" s="20">
        <f>IF(OR($A1827="",$A1827&lt;&gt;'Resumen del inventario'!$C$3,$N1827="",$N1827="OK"),"",IF(COUNTIFS($A$2:$A1827,$A1827,$B$2:$B1827,$B1827)=1,1,""))</f>
        <v/>
      </c>
      <c r="S1827" s="20">
        <f>IF($R1827=1,COUNTIF($R$2:$R1827,1),"")</f>
        <v/>
      </c>
    </row>
    <row r="1828">
      <c r="A1828" s="19" t="n"/>
      <c r="B1828" s="14" t="n"/>
      <c r="C1828" s="20">
        <f>IF($B1828="","",IFERROR(INDEX(Vinos!$B$2:$B$301,MATCH($B1828,Vinos!$A$2:$A$301,0)),"Código no cargado"))</f>
        <v/>
      </c>
      <c r="D1828" s="14" t="n"/>
      <c r="E1828" s="14" t="n"/>
      <c r="F1828" s="18" t="n"/>
      <c r="G1828" s="18" t="n"/>
      <c r="H1828" s="21">
        <f>IF(AND($F1828="",$G1828=""),"",N($F1828)*IFERROR(N(INDEX(Vinos!$H$2:$H$301,MATCH($B1828,Vinos!$A$2:$A$301,0))),0)+N($G1828))</f>
        <v/>
      </c>
      <c r="I1828" s="18" t="n"/>
      <c r="J1828" s="21">
        <f>IF(OR($H1828="",$I1828=""),"",$H1828-$I1828)</f>
        <v/>
      </c>
      <c r="K1828" s="16">
        <f>IF($H1828="","",IFERROR(IF(INDEX(Vinos!$J$2:$J$301,MATCH($B1828,Vinos!$A$2:$A$301,0))="","",$H1828*INDEX(Vinos!$J$2:$J$301,MATCH($B1828,Vinos!$A$2:$A$301,0))),""))</f>
        <v/>
      </c>
      <c r="L1828" s="16">
        <f>IF($H1828="","",IFERROR(IF(INDEX(Vinos!$K$2:$K$301,MATCH($B1828,Vinos!$A$2:$A$301,0))="","",$H1828*INDEX(Vinos!$K$2:$K$301,MATCH($B1828,Vinos!$A$2:$A$301,0))),""))</f>
        <v/>
      </c>
      <c r="M1828" s="21">
        <f>IF(OR($A1828="",$B1828=""),"",SUMIFS($H$2:$H$2001,$A$2:$A$2001,$A1828,$B$2:$B$2001,$B1828))</f>
        <v/>
      </c>
      <c r="N1828" s="20">
        <f>IF($M1828="","",IF($M1828&lt;=0,"Sin stock: reponer ya",IF($M1828&lt;IFERROR(N(INDEX(Vinos!$N$2:$N$301,MATCH($B1828,Vinos!$A$2:$A$301,0))),0),"Bajo mínimo: reponer","OK")))</f>
        <v/>
      </c>
      <c r="O1828" s="14" t="n"/>
      <c r="P1828" s="14" t="n"/>
      <c r="Q1828" s="20">
        <f>IF($B1828="","",IFERROR(INDEX(Vinos!$C$2:$C$301,MATCH($B1828,Vinos!$A$2:$A$301,0)),""))</f>
        <v/>
      </c>
      <c r="R1828" s="20">
        <f>IF(OR($A1828="",$A1828&lt;&gt;'Resumen del inventario'!$C$3,$N1828="",$N1828="OK"),"",IF(COUNTIFS($A$2:$A1828,$A1828,$B$2:$B1828,$B1828)=1,1,""))</f>
        <v/>
      </c>
      <c r="S1828" s="20">
        <f>IF($R1828=1,COUNTIF($R$2:$R1828,1),"")</f>
        <v/>
      </c>
    </row>
    <row r="1829">
      <c r="A1829" s="19" t="n"/>
      <c r="B1829" s="14" t="n"/>
      <c r="C1829" s="20">
        <f>IF($B1829="","",IFERROR(INDEX(Vinos!$B$2:$B$301,MATCH($B1829,Vinos!$A$2:$A$301,0)),"Código no cargado"))</f>
        <v/>
      </c>
      <c r="D1829" s="14" t="n"/>
      <c r="E1829" s="14" t="n"/>
      <c r="F1829" s="18" t="n"/>
      <c r="G1829" s="18" t="n"/>
      <c r="H1829" s="21">
        <f>IF(AND($F1829="",$G1829=""),"",N($F1829)*IFERROR(N(INDEX(Vinos!$H$2:$H$301,MATCH($B1829,Vinos!$A$2:$A$301,0))),0)+N($G1829))</f>
        <v/>
      </c>
      <c r="I1829" s="18" t="n"/>
      <c r="J1829" s="21">
        <f>IF(OR($H1829="",$I1829=""),"",$H1829-$I1829)</f>
        <v/>
      </c>
      <c r="K1829" s="16">
        <f>IF($H1829="","",IFERROR(IF(INDEX(Vinos!$J$2:$J$301,MATCH($B1829,Vinos!$A$2:$A$301,0))="","",$H1829*INDEX(Vinos!$J$2:$J$301,MATCH($B1829,Vinos!$A$2:$A$301,0))),""))</f>
        <v/>
      </c>
      <c r="L1829" s="16">
        <f>IF($H1829="","",IFERROR(IF(INDEX(Vinos!$K$2:$K$301,MATCH($B1829,Vinos!$A$2:$A$301,0))="","",$H1829*INDEX(Vinos!$K$2:$K$301,MATCH($B1829,Vinos!$A$2:$A$301,0))),""))</f>
        <v/>
      </c>
      <c r="M1829" s="21">
        <f>IF(OR($A1829="",$B1829=""),"",SUMIFS($H$2:$H$2001,$A$2:$A$2001,$A1829,$B$2:$B$2001,$B1829))</f>
        <v/>
      </c>
      <c r="N1829" s="20">
        <f>IF($M1829="","",IF($M1829&lt;=0,"Sin stock: reponer ya",IF($M1829&lt;IFERROR(N(INDEX(Vinos!$N$2:$N$301,MATCH($B1829,Vinos!$A$2:$A$301,0))),0),"Bajo mínimo: reponer","OK")))</f>
        <v/>
      </c>
      <c r="O1829" s="14" t="n"/>
      <c r="P1829" s="14" t="n"/>
      <c r="Q1829" s="20">
        <f>IF($B1829="","",IFERROR(INDEX(Vinos!$C$2:$C$301,MATCH($B1829,Vinos!$A$2:$A$301,0)),""))</f>
        <v/>
      </c>
      <c r="R1829" s="20">
        <f>IF(OR($A1829="",$A1829&lt;&gt;'Resumen del inventario'!$C$3,$N1829="",$N1829="OK"),"",IF(COUNTIFS($A$2:$A1829,$A1829,$B$2:$B1829,$B1829)=1,1,""))</f>
        <v/>
      </c>
      <c r="S1829" s="20">
        <f>IF($R1829=1,COUNTIF($R$2:$R1829,1),"")</f>
        <v/>
      </c>
    </row>
    <row r="1830">
      <c r="A1830" s="19" t="n"/>
      <c r="B1830" s="14" t="n"/>
      <c r="C1830" s="20">
        <f>IF($B1830="","",IFERROR(INDEX(Vinos!$B$2:$B$301,MATCH($B1830,Vinos!$A$2:$A$301,0)),"Código no cargado"))</f>
        <v/>
      </c>
      <c r="D1830" s="14" t="n"/>
      <c r="E1830" s="14" t="n"/>
      <c r="F1830" s="18" t="n"/>
      <c r="G1830" s="18" t="n"/>
      <c r="H1830" s="21">
        <f>IF(AND($F1830="",$G1830=""),"",N($F1830)*IFERROR(N(INDEX(Vinos!$H$2:$H$301,MATCH($B1830,Vinos!$A$2:$A$301,0))),0)+N($G1830))</f>
        <v/>
      </c>
      <c r="I1830" s="18" t="n"/>
      <c r="J1830" s="21">
        <f>IF(OR($H1830="",$I1830=""),"",$H1830-$I1830)</f>
        <v/>
      </c>
      <c r="K1830" s="16">
        <f>IF($H1830="","",IFERROR(IF(INDEX(Vinos!$J$2:$J$301,MATCH($B1830,Vinos!$A$2:$A$301,0))="","",$H1830*INDEX(Vinos!$J$2:$J$301,MATCH($B1830,Vinos!$A$2:$A$301,0))),""))</f>
        <v/>
      </c>
      <c r="L1830" s="16">
        <f>IF($H1830="","",IFERROR(IF(INDEX(Vinos!$K$2:$K$301,MATCH($B1830,Vinos!$A$2:$A$301,0))="","",$H1830*INDEX(Vinos!$K$2:$K$301,MATCH($B1830,Vinos!$A$2:$A$301,0))),""))</f>
        <v/>
      </c>
      <c r="M1830" s="21">
        <f>IF(OR($A1830="",$B1830=""),"",SUMIFS($H$2:$H$2001,$A$2:$A$2001,$A1830,$B$2:$B$2001,$B1830))</f>
        <v/>
      </c>
      <c r="N1830" s="20">
        <f>IF($M1830="","",IF($M1830&lt;=0,"Sin stock: reponer ya",IF($M1830&lt;IFERROR(N(INDEX(Vinos!$N$2:$N$301,MATCH($B1830,Vinos!$A$2:$A$301,0))),0),"Bajo mínimo: reponer","OK")))</f>
        <v/>
      </c>
      <c r="O1830" s="14" t="n"/>
      <c r="P1830" s="14" t="n"/>
      <c r="Q1830" s="20">
        <f>IF($B1830="","",IFERROR(INDEX(Vinos!$C$2:$C$301,MATCH($B1830,Vinos!$A$2:$A$301,0)),""))</f>
        <v/>
      </c>
      <c r="R1830" s="20">
        <f>IF(OR($A1830="",$A1830&lt;&gt;'Resumen del inventario'!$C$3,$N1830="",$N1830="OK"),"",IF(COUNTIFS($A$2:$A1830,$A1830,$B$2:$B1830,$B1830)=1,1,""))</f>
        <v/>
      </c>
      <c r="S1830" s="20">
        <f>IF($R1830=1,COUNTIF($R$2:$R1830,1),"")</f>
        <v/>
      </c>
    </row>
    <row r="1831">
      <c r="A1831" s="19" t="n"/>
      <c r="B1831" s="14" t="n"/>
      <c r="C1831" s="20">
        <f>IF($B1831="","",IFERROR(INDEX(Vinos!$B$2:$B$301,MATCH($B1831,Vinos!$A$2:$A$301,0)),"Código no cargado"))</f>
        <v/>
      </c>
      <c r="D1831" s="14" t="n"/>
      <c r="E1831" s="14" t="n"/>
      <c r="F1831" s="18" t="n"/>
      <c r="G1831" s="18" t="n"/>
      <c r="H1831" s="21">
        <f>IF(AND($F1831="",$G1831=""),"",N($F1831)*IFERROR(N(INDEX(Vinos!$H$2:$H$301,MATCH($B1831,Vinos!$A$2:$A$301,0))),0)+N($G1831))</f>
        <v/>
      </c>
      <c r="I1831" s="18" t="n"/>
      <c r="J1831" s="21">
        <f>IF(OR($H1831="",$I1831=""),"",$H1831-$I1831)</f>
        <v/>
      </c>
      <c r="K1831" s="16">
        <f>IF($H1831="","",IFERROR(IF(INDEX(Vinos!$J$2:$J$301,MATCH($B1831,Vinos!$A$2:$A$301,0))="","",$H1831*INDEX(Vinos!$J$2:$J$301,MATCH($B1831,Vinos!$A$2:$A$301,0))),""))</f>
        <v/>
      </c>
      <c r="L1831" s="16">
        <f>IF($H1831="","",IFERROR(IF(INDEX(Vinos!$K$2:$K$301,MATCH($B1831,Vinos!$A$2:$A$301,0))="","",$H1831*INDEX(Vinos!$K$2:$K$301,MATCH($B1831,Vinos!$A$2:$A$301,0))),""))</f>
        <v/>
      </c>
      <c r="M1831" s="21">
        <f>IF(OR($A1831="",$B1831=""),"",SUMIFS($H$2:$H$2001,$A$2:$A$2001,$A1831,$B$2:$B$2001,$B1831))</f>
        <v/>
      </c>
      <c r="N1831" s="20">
        <f>IF($M1831="","",IF($M1831&lt;=0,"Sin stock: reponer ya",IF($M1831&lt;IFERROR(N(INDEX(Vinos!$N$2:$N$301,MATCH($B1831,Vinos!$A$2:$A$301,0))),0),"Bajo mínimo: reponer","OK")))</f>
        <v/>
      </c>
      <c r="O1831" s="14" t="n"/>
      <c r="P1831" s="14" t="n"/>
      <c r="Q1831" s="20">
        <f>IF($B1831="","",IFERROR(INDEX(Vinos!$C$2:$C$301,MATCH($B1831,Vinos!$A$2:$A$301,0)),""))</f>
        <v/>
      </c>
      <c r="R1831" s="20">
        <f>IF(OR($A1831="",$A1831&lt;&gt;'Resumen del inventario'!$C$3,$N1831="",$N1831="OK"),"",IF(COUNTIFS($A$2:$A1831,$A1831,$B$2:$B1831,$B1831)=1,1,""))</f>
        <v/>
      </c>
      <c r="S1831" s="20">
        <f>IF($R1831=1,COUNTIF($R$2:$R1831,1),"")</f>
        <v/>
      </c>
    </row>
    <row r="1832">
      <c r="A1832" s="19" t="n"/>
      <c r="B1832" s="14" t="n"/>
      <c r="C1832" s="20">
        <f>IF($B1832="","",IFERROR(INDEX(Vinos!$B$2:$B$301,MATCH($B1832,Vinos!$A$2:$A$301,0)),"Código no cargado"))</f>
        <v/>
      </c>
      <c r="D1832" s="14" t="n"/>
      <c r="E1832" s="14" t="n"/>
      <c r="F1832" s="18" t="n"/>
      <c r="G1832" s="18" t="n"/>
      <c r="H1832" s="21">
        <f>IF(AND($F1832="",$G1832=""),"",N($F1832)*IFERROR(N(INDEX(Vinos!$H$2:$H$301,MATCH($B1832,Vinos!$A$2:$A$301,0))),0)+N($G1832))</f>
        <v/>
      </c>
      <c r="I1832" s="18" t="n"/>
      <c r="J1832" s="21">
        <f>IF(OR($H1832="",$I1832=""),"",$H1832-$I1832)</f>
        <v/>
      </c>
      <c r="K1832" s="16">
        <f>IF($H1832="","",IFERROR(IF(INDEX(Vinos!$J$2:$J$301,MATCH($B1832,Vinos!$A$2:$A$301,0))="","",$H1832*INDEX(Vinos!$J$2:$J$301,MATCH($B1832,Vinos!$A$2:$A$301,0))),""))</f>
        <v/>
      </c>
      <c r="L1832" s="16">
        <f>IF($H1832="","",IFERROR(IF(INDEX(Vinos!$K$2:$K$301,MATCH($B1832,Vinos!$A$2:$A$301,0))="","",$H1832*INDEX(Vinos!$K$2:$K$301,MATCH($B1832,Vinos!$A$2:$A$301,0))),""))</f>
        <v/>
      </c>
      <c r="M1832" s="21">
        <f>IF(OR($A1832="",$B1832=""),"",SUMIFS($H$2:$H$2001,$A$2:$A$2001,$A1832,$B$2:$B$2001,$B1832))</f>
        <v/>
      </c>
      <c r="N1832" s="20">
        <f>IF($M1832="","",IF($M1832&lt;=0,"Sin stock: reponer ya",IF($M1832&lt;IFERROR(N(INDEX(Vinos!$N$2:$N$301,MATCH($B1832,Vinos!$A$2:$A$301,0))),0),"Bajo mínimo: reponer","OK")))</f>
        <v/>
      </c>
      <c r="O1832" s="14" t="n"/>
      <c r="P1832" s="14" t="n"/>
      <c r="Q1832" s="20">
        <f>IF($B1832="","",IFERROR(INDEX(Vinos!$C$2:$C$301,MATCH($B1832,Vinos!$A$2:$A$301,0)),""))</f>
        <v/>
      </c>
      <c r="R1832" s="20">
        <f>IF(OR($A1832="",$A1832&lt;&gt;'Resumen del inventario'!$C$3,$N1832="",$N1832="OK"),"",IF(COUNTIFS($A$2:$A1832,$A1832,$B$2:$B1832,$B1832)=1,1,""))</f>
        <v/>
      </c>
      <c r="S1832" s="20">
        <f>IF($R1832=1,COUNTIF($R$2:$R1832,1),"")</f>
        <v/>
      </c>
    </row>
    <row r="1833">
      <c r="A1833" s="19" t="n"/>
      <c r="B1833" s="14" t="n"/>
      <c r="C1833" s="20">
        <f>IF($B1833="","",IFERROR(INDEX(Vinos!$B$2:$B$301,MATCH($B1833,Vinos!$A$2:$A$301,0)),"Código no cargado"))</f>
        <v/>
      </c>
      <c r="D1833" s="14" t="n"/>
      <c r="E1833" s="14" t="n"/>
      <c r="F1833" s="18" t="n"/>
      <c r="G1833" s="18" t="n"/>
      <c r="H1833" s="21">
        <f>IF(AND($F1833="",$G1833=""),"",N($F1833)*IFERROR(N(INDEX(Vinos!$H$2:$H$301,MATCH($B1833,Vinos!$A$2:$A$301,0))),0)+N($G1833))</f>
        <v/>
      </c>
      <c r="I1833" s="18" t="n"/>
      <c r="J1833" s="21">
        <f>IF(OR($H1833="",$I1833=""),"",$H1833-$I1833)</f>
        <v/>
      </c>
      <c r="K1833" s="16">
        <f>IF($H1833="","",IFERROR(IF(INDEX(Vinos!$J$2:$J$301,MATCH($B1833,Vinos!$A$2:$A$301,0))="","",$H1833*INDEX(Vinos!$J$2:$J$301,MATCH($B1833,Vinos!$A$2:$A$301,0))),""))</f>
        <v/>
      </c>
      <c r="L1833" s="16">
        <f>IF($H1833="","",IFERROR(IF(INDEX(Vinos!$K$2:$K$301,MATCH($B1833,Vinos!$A$2:$A$301,0))="","",$H1833*INDEX(Vinos!$K$2:$K$301,MATCH($B1833,Vinos!$A$2:$A$301,0))),""))</f>
        <v/>
      </c>
      <c r="M1833" s="21">
        <f>IF(OR($A1833="",$B1833=""),"",SUMIFS($H$2:$H$2001,$A$2:$A$2001,$A1833,$B$2:$B$2001,$B1833))</f>
        <v/>
      </c>
      <c r="N1833" s="20">
        <f>IF($M1833="","",IF($M1833&lt;=0,"Sin stock: reponer ya",IF($M1833&lt;IFERROR(N(INDEX(Vinos!$N$2:$N$301,MATCH($B1833,Vinos!$A$2:$A$301,0))),0),"Bajo mínimo: reponer","OK")))</f>
        <v/>
      </c>
      <c r="O1833" s="14" t="n"/>
      <c r="P1833" s="14" t="n"/>
      <c r="Q1833" s="20">
        <f>IF($B1833="","",IFERROR(INDEX(Vinos!$C$2:$C$301,MATCH($B1833,Vinos!$A$2:$A$301,0)),""))</f>
        <v/>
      </c>
      <c r="R1833" s="20">
        <f>IF(OR($A1833="",$A1833&lt;&gt;'Resumen del inventario'!$C$3,$N1833="",$N1833="OK"),"",IF(COUNTIFS($A$2:$A1833,$A1833,$B$2:$B1833,$B1833)=1,1,""))</f>
        <v/>
      </c>
      <c r="S1833" s="20">
        <f>IF($R1833=1,COUNTIF($R$2:$R1833,1),"")</f>
        <v/>
      </c>
    </row>
    <row r="1834">
      <c r="A1834" s="19" t="n"/>
      <c r="B1834" s="14" t="n"/>
      <c r="C1834" s="20">
        <f>IF($B1834="","",IFERROR(INDEX(Vinos!$B$2:$B$301,MATCH($B1834,Vinos!$A$2:$A$301,0)),"Código no cargado"))</f>
        <v/>
      </c>
      <c r="D1834" s="14" t="n"/>
      <c r="E1834" s="14" t="n"/>
      <c r="F1834" s="18" t="n"/>
      <c r="G1834" s="18" t="n"/>
      <c r="H1834" s="21">
        <f>IF(AND($F1834="",$G1834=""),"",N($F1834)*IFERROR(N(INDEX(Vinos!$H$2:$H$301,MATCH($B1834,Vinos!$A$2:$A$301,0))),0)+N($G1834))</f>
        <v/>
      </c>
      <c r="I1834" s="18" t="n"/>
      <c r="J1834" s="21">
        <f>IF(OR($H1834="",$I1834=""),"",$H1834-$I1834)</f>
        <v/>
      </c>
      <c r="K1834" s="16">
        <f>IF($H1834="","",IFERROR(IF(INDEX(Vinos!$J$2:$J$301,MATCH($B1834,Vinos!$A$2:$A$301,0))="","",$H1834*INDEX(Vinos!$J$2:$J$301,MATCH($B1834,Vinos!$A$2:$A$301,0))),""))</f>
        <v/>
      </c>
      <c r="L1834" s="16">
        <f>IF($H1834="","",IFERROR(IF(INDEX(Vinos!$K$2:$K$301,MATCH($B1834,Vinos!$A$2:$A$301,0))="","",$H1834*INDEX(Vinos!$K$2:$K$301,MATCH($B1834,Vinos!$A$2:$A$301,0))),""))</f>
        <v/>
      </c>
      <c r="M1834" s="21">
        <f>IF(OR($A1834="",$B1834=""),"",SUMIFS($H$2:$H$2001,$A$2:$A$2001,$A1834,$B$2:$B$2001,$B1834))</f>
        <v/>
      </c>
      <c r="N1834" s="20">
        <f>IF($M1834="","",IF($M1834&lt;=0,"Sin stock: reponer ya",IF($M1834&lt;IFERROR(N(INDEX(Vinos!$N$2:$N$301,MATCH($B1834,Vinos!$A$2:$A$301,0))),0),"Bajo mínimo: reponer","OK")))</f>
        <v/>
      </c>
      <c r="O1834" s="14" t="n"/>
      <c r="P1834" s="14" t="n"/>
      <c r="Q1834" s="20">
        <f>IF($B1834="","",IFERROR(INDEX(Vinos!$C$2:$C$301,MATCH($B1834,Vinos!$A$2:$A$301,0)),""))</f>
        <v/>
      </c>
      <c r="R1834" s="20">
        <f>IF(OR($A1834="",$A1834&lt;&gt;'Resumen del inventario'!$C$3,$N1834="",$N1834="OK"),"",IF(COUNTIFS($A$2:$A1834,$A1834,$B$2:$B1834,$B1834)=1,1,""))</f>
        <v/>
      </c>
      <c r="S1834" s="20">
        <f>IF($R1834=1,COUNTIF($R$2:$R1834,1),"")</f>
        <v/>
      </c>
    </row>
    <row r="1835">
      <c r="A1835" s="19" t="n"/>
      <c r="B1835" s="14" t="n"/>
      <c r="C1835" s="20">
        <f>IF($B1835="","",IFERROR(INDEX(Vinos!$B$2:$B$301,MATCH($B1835,Vinos!$A$2:$A$301,0)),"Código no cargado"))</f>
        <v/>
      </c>
      <c r="D1835" s="14" t="n"/>
      <c r="E1835" s="14" t="n"/>
      <c r="F1835" s="18" t="n"/>
      <c r="G1835" s="18" t="n"/>
      <c r="H1835" s="21">
        <f>IF(AND($F1835="",$G1835=""),"",N($F1835)*IFERROR(N(INDEX(Vinos!$H$2:$H$301,MATCH($B1835,Vinos!$A$2:$A$301,0))),0)+N($G1835))</f>
        <v/>
      </c>
      <c r="I1835" s="18" t="n"/>
      <c r="J1835" s="21">
        <f>IF(OR($H1835="",$I1835=""),"",$H1835-$I1835)</f>
        <v/>
      </c>
      <c r="K1835" s="16">
        <f>IF($H1835="","",IFERROR(IF(INDEX(Vinos!$J$2:$J$301,MATCH($B1835,Vinos!$A$2:$A$301,0))="","",$H1835*INDEX(Vinos!$J$2:$J$301,MATCH($B1835,Vinos!$A$2:$A$301,0))),""))</f>
        <v/>
      </c>
      <c r="L1835" s="16">
        <f>IF($H1835="","",IFERROR(IF(INDEX(Vinos!$K$2:$K$301,MATCH($B1835,Vinos!$A$2:$A$301,0))="","",$H1835*INDEX(Vinos!$K$2:$K$301,MATCH($B1835,Vinos!$A$2:$A$301,0))),""))</f>
        <v/>
      </c>
      <c r="M1835" s="21">
        <f>IF(OR($A1835="",$B1835=""),"",SUMIFS($H$2:$H$2001,$A$2:$A$2001,$A1835,$B$2:$B$2001,$B1835))</f>
        <v/>
      </c>
      <c r="N1835" s="20">
        <f>IF($M1835="","",IF($M1835&lt;=0,"Sin stock: reponer ya",IF($M1835&lt;IFERROR(N(INDEX(Vinos!$N$2:$N$301,MATCH($B1835,Vinos!$A$2:$A$301,0))),0),"Bajo mínimo: reponer","OK")))</f>
        <v/>
      </c>
      <c r="O1835" s="14" t="n"/>
      <c r="P1835" s="14" t="n"/>
      <c r="Q1835" s="20">
        <f>IF($B1835="","",IFERROR(INDEX(Vinos!$C$2:$C$301,MATCH($B1835,Vinos!$A$2:$A$301,0)),""))</f>
        <v/>
      </c>
      <c r="R1835" s="20">
        <f>IF(OR($A1835="",$A1835&lt;&gt;'Resumen del inventario'!$C$3,$N1835="",$N1835="OK"),"",IF(COUNTIFS($A$2:$A1835,$A1835,$B$2:$B1835,$B1835)=1,1,""))</f>
        <v/>
      </c>
      <c r="S1835" s="20">
        <f>IF($R1835=1,COUNTIF($R$2:$R1835,1),"")</f>
        <v/>
      </c>
    </row>
    <row r="1836">
      <c r="A1836" s="19" t="n"/>
      <c r="B1836" s="14" t="n"/>
      <c r="C1836" s="20">
        <f>IF($B1836="","",IFERROR(INDEX(Vinos!$B$2:$B$301,MATCH($B1836,Vinos!$A$2:$A$301,0)),"Código no cargado"))</f>
        <v/>
      </c>
      <c r="D1836" s="14" t="n"/>
      <c r="E1836" s="14" t="n"/>
      <c r="F1836" s="18" t="n"/>
      <c r="G1836" s="18" t="n"/>
      <c r="H1836" s="21">
        <f>IF(AND($F1836="",$G1836=""),"",N($F1836)*IFERROR(N(INDEX(Vinos!$H$2:$H$301,MATCH($B1836,Vinos!$A$2:$A$301,0))),0)+N($G1836))</f>
        <v/>
      </c>
      <c r="I1836" s="18" t="n"/>
      <c r="J1836" s="21">
        <f>IF(OR($H1836="",$I1836=""),"",$H1836-$I1836)</f>
        <v/>
      </c>
      <c r="K1836" s="16">
        <f>IF($H1836="","",IFERROR(IF(INDEX(Vinos!$J$2:$J$301,MATCH($B1836,Vinos!$A$2:$A$301,0))="","",$H1836*INDEX(Vinos!$J$2:$J$301,MATCH($B1836,Vinos!$A$2:$A$301,0))),""))</f>
        <v/>
      </c>
      <c r="L1836" s="16">
        <f>IF($H1836="","",IFERROR(IF(INDEX(Vinos!$K$2:$K$301,MATCH($B1836,Vinos!$A$2:$A$301,0))="","",$H1836*INDEX(Vinos!$K$2:$K$301,MATCH($B1836,Vinos!$A$2:$A$301,0))),""))</f>
        <v/>
      </c>
      <c r="M1836" s="21">
        <f>IF(OR($A1836="",$B1836=""),"",SUMIFS($H$2:$H$2001,$A$2:$A$2001,$A1836,$B$2:$B$2001,$B1836))</f>
        <v/>
      </c>
      <c r="N1836" s="20">
        <f>IF($M1836="","",IF($M1836&lt;=0,"Sin stock: reponer ya",IF($M1836&lt;IFERROR(N(INDEX(Vinos!$N$2:$N$301,MATCH($B1836,Vinos!$A$2:$A$301,0))),0),"Bajo mínimo: reponer","OK")))</f>
        <v/>
      </c>
      <c r="O1836" s="14" t="n"/>
      <c r="P1836" s="14" t="n"/>
      <c r="Q1836" s="20">
        <f>IF($B1836="","",IFERROR(INDEX(Vinos!$C$2:$C$301,MATCH($B1836,Vinos!$A$2:$A$301,0)),""))</f>
        <v/>
      </c>
      <c r="R1836" s="20">
        <f>IF(OR($A1836="",$A1836&lt;&gt;'Resumen del inventario'!$C$3,$N1836="",$N1836="OK"),"",IF(COUNTIFS($A$2:$A1836,$A1836,$B$2:$B1836,$B1836)=1,1,""))</f>
        <v/>
      </c>
      <c r="S1836" s="20">
        <f>IF($R1836=1,COUNTIF($R$2:$R1836,1),"")</f>
        <v/>
      </c>
    </row>
    <row r="1837">
      <c r="A1837" s="19" t="n"/>
      <c r="B1837" s="14" t="n"/>
      <c r="C1837" s="20">
        <f>IF($B1837="","",IFERROR(INDEX(Vinos!$B$2:$B$301,MATCH($B1837,Vinos!$A$2:$A$301,0)),"Código no cargado"))</f>
        <v/>
      </c>
      <c r="D1837" s="14" t="n"/>
      <c r="E1837" s="14" t="n"/>
      <c r="F1837" s="18" t="n"/>
      <c r="G1837" s="18" t="n"/>
      <c r="H1837" s="21">
        <f>IF(AND($F1837="",$G1837=""),"",N($F1837)*IFERROR(N(INDEX(Vinos!$H$2:$H$301,MATCH($B1837,Vinos!$A$2:$A$301,0))),0)+N($G1837))</f>
        <v/>
      </c>
      <c r="I1837" s="18" t="n"/>
      <c r="J1837" s="21">
        <f>IF(OR($H1837="",$I1837=""),"",$H1837-$I1837)</f>
        <v/>
      </c>
      <c r="K1837" s="16">
        <f>IF($H1837="","",IFERROR(IF(INDEX(Vinos!$J$2:$J$301,MATCH($B1837,Vinos!$A$2:$A$301,0))="","",$H1837*INDEX(Vinos!$J$2:$J$301,MATCH($B1837,Vinos!$A$2:$A$301,0))),""))</f>
        <v/>
      </c>
      <c r="L1837" s="16">
        <f>IF($H1837="","",IFERROR(IF(INDEX(Vinos!$K$2:$K$301,MATCH($B1837,Vinos!$A$2:$A$301,0))="","",$H1837*INDEX(Vinos!$K$2:$K$301,MATCH($B1837,Vinos!$A$2:$A$301,0))),""))</f>
        <v/>
      </c>
      <c r="M1837" s="21">
        <f>IF(OR($A1837="",$B1837=""),"",SUMIFS($H$2:$H$2001,$A$2:$A$2001,$A1837,$B$2:$B$2001,$B1837))</f>
        <v/>
      </c>
      <c r="N1837" s="20">
        <f>IF($M1837="","",IF($M1837&lt;=0,"Sin stock: reponer ya",IF($M1837&lt;IFERROR(N(INDEX(Vinos!$N$2:$N$301,MATCH($B1837,Vinos!$A$2:$A$301,0))),0),"Bajo mínimo: reponer","OK")))</f>
        <v/>
      </c>
      <c r="O1837" s="14" t="n"/>
      <c r="P1837" s="14" t="n"/>
      <c r="Q1837" s="20">
        <f>IF($B1837="","",IFERROR(INDEX(Vinos!$C$2:$C$301,MATCH($B1837,Vinos!$A$2:$A$301,0)),""))</f>
        <v/>
      </c>
      <c r="R1837" s="20">
        <f>IF(OR($A1837="",$A1837&lt;&gt;'Resumen del inventario'!$C$3,$N1837="",$N1837="OK"),"",IF(COUNTIFS($A$2:$A1837,$A1837,$B$2:$B1837,$B1837)=1,1,""))</f>
        <v/>
      </c>
      <c r="S1837" s="20">
        <f>IF($R1837=1,COUNTIF($R$2:$R1837,1),"")</f>
        <v/>
      </c>
    </row>
    <row r="1838">
      <c r="A1838" s="19" t="n"/>
      <c r="B1838" s="14" t="n"/>
      <c r="C1838" s="20">
        <f>IF($B1838="","",IFERROR(INDEX(Vinos!$B$2:$B$301,MATCH($B1838,Vinos!$A$2:$A$301,0)),"Código no cargado"))</f>
        <v/>
      </c>
      <c r="D1838" s="14" t="n"/>
      <c r="E1838" s="14" t="n"/>
      <c r="F1838" s="18" t="n"/>
      <c r="G1838" s="18" t="n"/>
      <c r="H1838" s="21">
        <f>IF(AND($F1838="",$G1838=""),"",N($F1838)*IFERROR(N(INDEX(Vinos!$H$2:$H$301,MATCH($B1838,Vinos!$A$2:$A$301,0))),0)+N($G1838))</f>
        <v/>
      </c>
      <c r="I1838" s="18" t="n"/>
      <c r="J1838" s="21">
        <f>IF(OR($H1838="",$I1838=""),"",$H1838-$I1838)</f>
        <v/>
      </c>
      <c r="K1838" s="16">
        <f>IF($H1838="","",IFERROR(IF(INDEX(Vinos!$J$2:$J$301,MATCH($B1838,Vinos!$A$2:$A$301,0))="","",$H1838*INDEX(Vinos!$J$2:$J$301,MATCH($B1838,Vinos!$A$2:$A$301,0))),""))</f>
        <v/>
      </c>
      <c r="L1838" s="16">
        <f>IF($H1838="","",IFERROR(IF(INDEX(Vinos!$K$2:$K$301,MATCH($B1838,Vinos!$A$2:$A$301,0))="","",$H1838*INDEX(Vinos!$K$2:$K$301,MATCH($B1838,Vinos!$A$2:$A$301,0))),""))</f>
        <v/>
      </c>
      <c r="M1838" s="21">
        <f>IF(OR($A1838="",$B1838=""),"",SUMIFS($H$2:$H$2001,$A$2:$A$2001,$A1838,$B$2:$B$2001,$B1838))</f>
        <v/>
      </c>
      <c r="N1838" s="20">
        <f>IF($M1838="","",IF($M1838&lt;=0,"Sin stock: reponer ya",IF($M1838&lt;IFERROR(N(INDEX(Vinos!$N$2:$N$301,MATCH($B1838,Vinos!$A$2:$A$301,0))),0),"Bajo mínimo: reponer","OK")))</f>
        <v/>
      </c>
      <c r="O1838" s="14" t="n"/>
      <c r="P1838" s="14" t="n"/>
      <c r="Q1838" s="20">
        <f>IF($B1838="","",IFERROR(INDEX(Vinos!$C$2:$C$301,MATCH($B1838,Vinos!$A$2:$A$301,0)),""))</f>
        <v/>
      </c>
      <c r="R1838" s="20">
        <f>IF(OR($A1838="",$A1838&lt;&gt;'Resumen del inventario'!$C$3,$N1838="",$N1838="OK"),"",IF(COUNTIFS($A$2:$A1838,$A1838,$B$2:$B1838,$B1838)=1,1,""))</f>
        <v/>
      </c>
      <c r="S1838" s="20">
        <f>IF($R1838=1,COUNTIF($R$2:$R1838,1),"")</f>
        <v/>
      </c>
    </row>
    <row r="1839">
      <c r="A1839" s="19" t="n"/>
      <c r="B1839" s="14" t="n"/>
      <c r="C1839" s="20">
        <f>IF($B1839="","",IFERROR(INDEX(Vinos!$B$2:$B$301,MATCH($B1839,Vinos!$A$2:$A$301,0)),"Código no cargado"))</f>
        <v/>
      </c>
      <c r="D1839" s="14" t="n"/>
      <c r="E1839" s="14" t="n"/>
      <c r="F1839" s="18" t="n"/>
      <c r="G1839" s="18" t="n"/>
      <c r="H1839" s="21">
        <f>IF(AND($F1839="",$G1839=""),"",N($F1839)*IFERROR(N(INDEX(Vinos!$H$2:$H$301,MATCH($B1839,Vinos!$A$2:$A$301,0))),0)+N($G1839))</f>
        <v/>
      </c>
      <c r="I1839" s="18" t="n"/>
      <c r="J1839" s="21">
        <f>IF(OR($H1839="",$I1839=""),"",$H1839-$I1839)</f>
        <v/>
      </c>
      <c r="K1839" s="16">
        <f>IF($H1839="","",IFERROR(IF(INDEX(Vinos!$J$2:$J$301,MATCH($B1839,Vinos!$A$2:$A$301,0))="","",$H1839*INDEX(Vinos!$J$2:$J$301,MATCH($B1839,Vinos!$A$2:$A$301,0))),""))</f>
        <v/>
      </c>
      <c r="L1839" s="16">
        <f>IF($H1839="","",IFERROR(IF(INDEX(Vinos!$K$2:$K$301,MATCH($B1839,Vinos!$A$2:$A$301,0))="","",$H1839*INDEX(Vinos!$K$2:$K$301,MATCH($B1839,Vinos!$A$2:$A$301,0))),""))</f>
        <v/>
      </c>
      <c r="M1839" s="21">
        <f>IF(OR($A1839="",$B1839=""),"",SUMIFS($H$2:$H$2001,$A$2:$A$2001,$A1839,$B$2:$B$2001,$B1839))</f>
        <v/>
      </c>
      <c r="N1839" s="20">
        <f>IF($M1839="","",IF($M1839&lt;=0,"Sin stock: reponer ya",IF($M1839&lt;IFERROR(N(INDEX(Vinos!$N$2:$N$301,MATCH($B1839,Vinos!$A$2:$A$301,0))),0),"Bajo mínimo: reponer","OK")))</f>
        <v/>
      </c>
      <c r="O1839" s="14" t="n"/>
      <c r="P1839" s="14" t="n"/>
      <c r="Q1839" s="20">
        <f>IF($B1839="","",IFERROR(INDEX(Vinos!$C$2:$C$301,MATCH($B1839,Vinos!$A$2:$A$301,0)),""))</f>
        <v/>
      </c>
      <c r="R1839" s="20">
        <f>IF(OR($A1839="",$A1839&lt;&gt;'Resumen del inventario'!$C$3,$N1839="",$N1839="OK"),"",IF(COUNTIFS($A$2:$A1839,$A1839,$B$2:$B1839,$B1839)=1,1,""))</f>
        <v/>
      </c>
      <c r="S1839" s="20">
        <f>IF($R1839=1,COUNTIF($R$2:$R1839,1),"")</f>
        <v/>
      </c>
    </row>
    <row r="1840">
      <c r="A1840" s="19" t="n"/>
      <c r="B1840" s="14" t="n"/>
      <c r="C1840" s="20">
        <f>IF($B1840="","",IFERROR(INDEX(Vinos!$B$2:$B$301,MATCH($B1840,Vinos!$A$2:$A$301,0)),"Código no cargado"))</f>
        <v/>
      </c>
      <c r="D1840" s="14" t="n"/>
      <c r="E1840" s="14" t="n"/>
      <c r="F1840" s="18" t="n"/>
      <c r="G1840" s="18" t="n"/>
      <c r="H1840" s="21">
        <f>IF(AND($F1840="",$G1840=""),"",N($F1840)*IFERROR(N(INDEX(Vinos!$H$2:$H$301,MATCH($B1840,Vinos!$A$2:$A$301,0))),0)+N($G1840))</f>
        <v/>
      </c>
      <c r="I1840" s="18" t="n"/>
      <c r="J1840" s="21">
        <f>IF(OR($H1840="",$I1840=""),"",$H1840-$I1840)</f>
        <v/>
      </c>
      <c r="K1840" s="16">
        <f>IF($H1840="","",IFERROR(IF(INDEX(Vinos!$J$2:$J$301,MATCH($B1840,Vinos!$A$2:$A$301,0))="","",$H1840*INDEX(Vinos!$J$2:$J$301,MATCH($B1840,Vinos!$A$2:$A$301,0))),""))</f>
        <v/>
      </c>
      <c r="L1840" s="16">
        <f>IF($H1840="","",IFERROR(IF(INDEX(Vinos!$K$2:$K$301,MATCH($B1840,Vinos!$A$2:$A$301,0))="","",$H1840*INDEX(Vinos!$K$2:$K$301,MATCH($B1840,Vinos!$A$2:$A$301,0))),""))</f>
        <v/>
      </c>
      <c r="M1840" s="21">
        <f>IF(OR($A1840="",$B1840=""),"",SUMIFS($H$2:$H$2001,$A$2:$A$2001,$A1840,$B$2:$B$2001,$B1840))</f>
        <v/>
      </c>
      <c r="N1840" s="20">
        <f>IF($M1840="","",IF($M1840&lt;=0,"Sin stock: reponer ya",IF($M1840&lt;IFERROR(N(INDEX(Vinos!$N$2:$N$301,MATCH($B1840,Vinos!$A$2:$A$301,0))),0),"Bajo mínimo: reponer","OK")))</f>
        <v/>
      </c>
      <c r="O1840" s="14" t="n"/>
      <c r="P1840" s="14" t="n"/>
      <c r="Q1840" s="20">
        <f>IF($B1840="","",IFERROR(INDEX(Vinos!$C$2:$C$301,MATCH($B1840,Vinos!$A$2:$A$301,0)),""))</f>
        <v/>
      </c>
      <c r="R1840" s="20">
        <f>IF(OR($A1840="",$A1840&lt;&gt;'Resumen del inventario'!$C$3,$N1840="",$N1840="OK"),"",IF(COUNTIFS($A$2:$A1840,$A1840,$B$2:$B1840,$B1840)=1,1,""))</f>
        <v/>
      </c>
      <c r="S1840" s="20">
        <f>IF($R1840=1,COUNTIF($R$2:$R1840,1),"")</f>
        <v/>
      </c>
    </row>
    <row r="1841">
      <c r="A1841" s="19" t="n"/>
      <c r="B1841" s="14" t="n"/>
      <c r="C1841" s="20">
        <f>IF($B1841="","",IFERROR(INDEX(Vinos!$B$2:$B$301,MATCH($B1841,Vinos!$A$2:$A$301,0)),"Código no cargado"))</f>
        <v/>
      </c>
      <c r="D1841" s="14" t="n"/>
      <c r="E1841" s="14" t="n"/>
      <c r="F1841" s="18" t="n"/>
      <c r="G1841" s="18" t="n"/>
      <c r="H1841" s="21">
        <f>IF(AND($F1841="",$G1841=""),"",N($F1841)*IFERROR(N(INDEX(Vinos!$H$2:$H$301,MATCH($B1841,Vinos!$A$2:$A$301,0))),0)+N($G1841))</f>
        <v/>
      </c>
      <c r="I1841" s="18" t="n"/>
      <c r="J1841" s="21">
        <f>IF(OR($H1841="",$I1841=""),"",$H1841-$I1841)</f>
        <v/>
      </c>
      <c r="K1841" s="16">
        <f>IF($H1841="","",IFERROR(IF(INDEX(Vinos!$J$2:$J$301,MATCH($B1841,Vinos!$A$2:$A$301,0))="","",$H1841*INDEX(Vinos!$J$2:$J$301,MATCH($B1841,Vinos!$A$2:$A$301,0))),""))</f>
        <v/>
      </c>
      <c r="L1841" s="16">
        <f>IF($H1841="","",IFERROR(IF(INDEX(Vinos!$K$2:$K$301,MATCH($B1841,Vinos!$A$2:$A$301,0))="","",$H1841*INDEX(Vinos!$K$2:$K$301,MATCH($B1841,Vinos!$A$2:$A$301,0))),""))</f>
        <v/>
      </c>
      <c r="M1841" s="21">
        <f>IF(OR($A1841="",$B1841=""),"",SUMIFS($H$2:$H$2001,$A$2:$A$2001,$A1841,$B$2:$B$2001,$B1841))</f>
        <v/>
      </c>
      <c r="N1841" s="20">
        <f>IF($M1841="","",IF($M1841&lt;=0,"Sin stock: reponer ya",IF($M1841&lt;IFERROR(N(INDEX(Vinos!$N$2:$N$301,MATCH($B1841,Vinos!$A$2:$A$301,0))),0),"Bajo mínimo: reponer","OK")))</f>
        <v/>
      </c>
      <c r="O1841" s="14" t="n"/>
      <c r="P1841" s="14" t="n"/>
      <c r="Q1841" s="20">
        <f>IF($B1841="","",IFERROR(INDEX(Vinos!$C$2:$C$301,MATCH($B1841,Vinos!$A$2:$A$301,0)),""))</f>
        <v/>
      </c>
      <c r="R1841" s="20">
        <f>IF(OR($A1841="",$A1841&lt;&gt;'Resumen del inventario'!$C$3,$N1841="",$N1841="OK"),"",IF(COUNTIFS($A$2:$A1841,$A1841,$B$2:$B1841,$B1841)=1,1,""))</f>
        <v/>
      </c>
      <c r="S1841" s="20">
        <f>IF($R1841=1,COUNTIF($R$2:$R1841,1),"")</f>
        <v/>
      </c>
    </row>
    <row r="1842">
      <c r="A1842" s="19" t="n"/>
      <c r="B1842" s="14" t="n"/>
      <c r="C1842" s="20">
        <f>IF($B1842="","",IFERROR(INDEX(Vinos!$B$2:$B$301,MATCH($B1842,Vinos!$A$2:$A$301,0)),"Código no cargado"))</f>
        <v/>
      </c>
      <c r="D1842" s="14" t="n"/>
      <c r="E1842" s="14" t="n"/>
      <c r="F1842" s="18" t="n"/>
      <c r="G1842" s="18" t="n"/>
      <c r="H1842" s="21">
        <f>IF(AND($F1842="",$G1842=""),"",N($F1842)*IFERROR(N(INDEX(Vinos!$H$2:$H$301,MATCH($B1842,Vinos!$A$2:$A$301,0))),0)+N($G1842))</f>
        <v/>
      </c>
      <c r="I1842" s="18" t="n"/>
      <c r="J1842" s="21">
        <f>IF(OR($H1842="",$I1842=""),"",$H1842-$I1842)</f>
        <v/>
      </c>
      <c r="K1842" s="16">
        <f>IF($H1842="","",IFERROR(IF(INDEX(Vinos!$J$2:$J$301,MATCH($B1842,Vinos!$A$2:$A$301,0))="","",$H1842*INDEX(Vinos!$J$2:$J$301,MATCH($B1842,Vinos!$A$2:$A$301,0))),""))</f>
        <v/>
      </c>
      <c r="L1842" s="16">
        <f>IF($H1842="","",IFERROR(IF(INDEX(Vinos!$K$2:$K$301,MATCH($B1842,Vinos!$A$2:$A$301,0))="","",$H1842*INDEX(Vinos!$K$2:$K$301,MATCH($B1842,Vinos!$A$2:$A$301,0))),""))</f>
        <v/>
      </c>
      <c r="M1842" s="21">
        <f>IF(OR($A1842="",$B1842=""),"",SUMIFS($H$2:$H$2001,$A$2:$A$2001,$A1842,$B$2:$B$2001,$B1842))</f>
        <v/>
      </c>
      <c r="N1842" s="20">
        <f>IF($M1842="","",IF($M1842&lt;=0,"Sin stock: reponer ya",IF($M1842&lt;IFERROR(N(INDEX(Vinos!$N$2:$N$301,MATCH($B1842,Vinos!$A$2:$A$301,0))),0),"Bajo mínimo: reponer","OK")))</f>
        <v/>
      </c>
      <c r="O1842" s="14" t="n"/>
      <c r="P1842" s="14" t="n"/>
      <c r="Q1842" s="20">
        <f>IF($B1842="","",IFERROR(INDEX(Vinos!$C$2:$C$301,MATCH($B1842,Vinos!$A$2:$A$301,0)),""))</f>
        <v/>
      </c>
      <c r="R1842" s="20">
        <f>IF(OR($A1842="",$A1842&lt;&gt;'Resumen del inventario'!$C$3,$N1842="",$N1842="OK"),"",IF(COUNTIFS($A$2:$A1842,$A1842,$B$2:$B1842,$B1842)=1,1,""))</f>
        <v/>
      </c>
      <c r="S1842" s="20">
        <f>IF($R1842=1,COUNTIF($R$2:$R1842,1),"")</f>
        <v/>
      </c>
    </row>
    <row r="1843">
      <c r="A1843" s="19" t="n"/>
      <c r="B1843" s="14" t="n"/>
      <c r="C1843" s="20">
        <f>IF($B1843="","",IFERROR(INDEX(Vinos!$B$2:$B$301,MATCH($B1843,Vinos!$A$2:$A$301,0)),"Código no cargado"))</f>
        <v/>
      </c>
      <c r="D1843" s="14" t="n"/>
      <c r="E1843" s="14" t="n"/>
      <c r="F1843" s="18" t="n"/>
      <c r="G1843" s="18" t="n"/>
      <c r="H1843" s="21">
        <f>IF(AND($F1843="",$G1843=""),"",N($F1843)*IFERROR(N(INDEX(Vinos!$H$2:$H$301,MATCH($B1843,Vinos!$A$2:$A$301,0))),0)+N($G1843))</f>
        <v/>
      </c>
      <c r="I1843" s="18" t="n"/>
      <c r="J1843" s="21">
        <f>IF(OR($H1843="",$I1843=""),"",$H1843-$I1843)</f>
        <v/>
      </c>
      <c r="K1843" s="16">
        <f>IF($H1843="","",IFERROR(IF(INDEX(Vinos!$J$2:$J$301,MATCH($B1843,Vinos!$A$2:$A$301,0))="","",$H1843*INDEX(Vinos!$J$2:$J$301,MATCH($B1843,Vinos!$A$2:$A$301,0))),""))</f>
        <v/>
      </c>
      <c r="L1843" s="16">
        <f>IF($H1843="","",IFERROR(IF(INDEX(Vinos!$K$2:$K$301,MATCH($B1843,Vinos!$A$2:$A$301,0))="","",$H1843*INDEX(Vinos!$K$2:$K$301,MATCH($B1843,Vinos!$A$2:$A$301,0))),""))</f>
        <v/>
      </c>
      <c r="M1843" s="21">
        <f>IF(OR($A1843="",$B1843=""),"",SUMIFS($H$2:$H$2001,$A$2:$A$2001,$A1843,$B$2:$B$2001,$B1843))</f>
        <v/>
      </c>
      <c r="N1843" s="20">
        <f>IF($M1843="","",IF($M1843&lt;=0,"Sin stock: reponer ya",IF($M1843&lt;IFERROR(N(INDEX(Vinos!$N$2:$N$301,MATCH($B1843,Vinos!$A$2:$A$301,0))),0),"Bajo mínimo: reponer","OK")))</f>
        <v/>
      </c>
      <c r="O1843" s="14" t="n"/>
      <c r="P1843" s="14" t="n"/>
      <c r="Q1843" s="20">
        <f>IF($B1843="","",IFERROR(INDEX(Vinos!$C$2:$C$301,MATCH($B1843,Vinos!$A$2:$A$301,0)),""))</f>
        <v/>
      </c>
      <c r="R1843" s="20">
        <f>IF(OR($A1843="",$A1843&lt;&gt;'Resumen del inventario'!$C$3,$N1843="",$N1843="OK"),"",IF(COUNTIFS($A$2:$A1843,$A1843,$B$2:$B1843,$B1843)=1,1,""))</f>
        <v/>
      </c>
      <c r="S1843" s="20">
        <f>IF($R1843=1,COUNTIF($R$2:$R1843,1),"")</f>
        <v/>
      </c>
    </row>
    <row r="1844">
      <c r="A1844" s="19" t="n"/>
      <c r="B1844" s="14" t="n"/>
      <c r="C1844" s="20">
        <f>IF($B1844="","",IFERROR(INDEX(Vinos!$B$2:$B$301,MATCH($B1844,Vinos!$A$2:$A$301,0)),"Código no cargado"))</f>
        <v/>
      </c>
      <c r="D1844" s="14" t="n"/>
      <c r="E1844" s="14" t="n"/>
      <c r="F1844" s="18" t="n"/>
      <c r="G1844" s="18" t="n"/>
      <c r="H1844" s="21">
        <f>IF(AND($F1844="",$G1844=""),"",N($F1844)*IFERROR(N(INDEX(Vinos!$H$2:$H$301,MATCH($B1844,Vinos!$A$2:$A$301,0))),0)+N($G1844))</f>
        <v/>
      </c>
      <c r="I1844" s="18" t="n"/>
      <c r="J1844" s="21">
        <f>IF(OR($H1844="",$I1844=""),"",$H1844-$I1844)</f>
        <v/>
      </c>
      <c r="K1844" s="16">
        <f>IF($H1844="","",IFERROR(IF(INDEX(Vinos!$J$2:$J$301,MATCH($B1844,Vinos!$A$2:$A$301,0))="","",$H1844*INDEX(Vinos!$J$2:$J$301,MATCH($B1844,Vinos!$A$2:$A$301,0))),""))</f>
        <v/>
      </c>
      <c r="L1844" s="16">
        <f>IF($H1844="","",IFERROR(IF(INDEX(Vinos!$K$2:$K$301,MATCH($B1844,Vinos!$A$2:$A$301,0))="","",$H1844*INDEX(Vinos!$K$2:$K$301,MATCH($B1844,Vinos!$A$2:$A$301,0))),""))</f>
        <v/>
      </c>
      <c r="M1844" s="21">
        <f>IF(OR($A1844="",$B1844=""),"",SUMIFS($H$2:$H$2001,$A$2:$A$2001,$A1844,$B$2:$B$2001,$B1844))</f>
        <v/>
      </c>
      <c r="N1844" s="20">
        <f>IF($M1844="","",IF($M1844&lt;=0,"Sin stock: reponer ya",IF($M1844&lt;IFERROR(N(INDEX(Vinos!$N$2:$N$301,MATCH($B1844,Vinos!$A$2:$A$301,0))),0),"Bajo mínimo: reponer","OK")))</f>
        <v/>
      </c>
      <c r="O1844" s="14" t="n"/>
      <c r="P1844" s="14" t="n"/>
      <c r="Q1844" s="20">
        <f>IF($B1844="","",IFERROR(INDEX(Vinos!$C$2:$C$301,MATCH($B1844,Vinos!$A$2:$A$301,0)),""))</f>
        <v/>
      </c>
      <c r="R1844" s="20">
        <f>IF(OR($A1844="",$A1844&lt;&gt;'Resumen del inventario'!$C$3,$N1844="",$N1844="OK"),"",IF(COUNTIFS($A$2:$A1844,$A1844,$B$2:$B1844,$B1844)=1,1,""))</f>
        <v/>
      </c>
      <c r="S1844" s="20">
        <f>IF($R1844=1,COUNTIF($R$2:$R1844,1),"")</f>
        <v/>
      </c>
    </row>
    <row r="1845">
      <c r="A1845" s="19" t="n"/>
      <c r="B1845" s="14" t="n"/>
      <c r="C1845" s="20">
        <f>IF($B1845="","",IFERROR(INDEX(Vinos!$B$2:$B$301,MATCH($B1845,Vinos!$A$2:$A$301,0)),"Código no cargado"))</f>
        <v/>
      </c>
      <c r="D1845" s="14" t="n"/>
      <c r="E1845" s="14" t="n"/>
      <c r="F1845" s="18" t="n"/>
      <c r="G1845" s="18" t="n"/>
      <c r="H1845" s="21">
        <f>IF(AND($F1845="",$G1845=""),"",N($F1845)*IFERROR(N(INDEX(Vinos!$H$2:$H$301,MATCH($B1845,Vinos!$A$2:$A$301,0))),0)+N($G1845))</f>
        <v/>
      </c>
      <c r="I1845" s="18" t="n"/>
      <c r="J1845" s="21">
        <f>IF(OR($H1845="",$I1845=""),"",$H1845-$I1845)</f>
        <v/>
      </c>
      <c r="K1845" s="16">
        <f>IF($H1845="","",IFERROR(IF(INDEX(Vinos!$J$2:$J$301,MATCH($B1845,Vinos!$A$2:$A$301,0))="","",$H1845*INDEX(Vinos!$J$2:$J$301,MATCH($B1845,Vinos!$A$2:$A$301,0))),""))</f>
        <v/>
      </c>
      <c r="L1845" s="16">
        <f>IF($H1845="","",IFERROR(IF(INDEX(Vinos!$K$2:$K$301,MATCH($B1845,Vinos!$A$2:$A$301,0))="","",$H1845*INDEX(Vinos!$K$2:$K$301,MATCH($B1845,Vinos!$A$2:$A$301,0))),""))</f>
        <v/>
      </c>
      <c r="M1845" s="21">
        <f>IF(OR($A1845="",$B1845=""),"",SUMIFS($H$2:$H$2001,$A$2:$A$2001,$A1845,$B$2:$B$2001,$B1845))</f>
        <v/>
      </c>
      <c r="N1845" s="20">
        <f>IF($M1845="","",IF($M1845&lt;=0,"Sin stock: reponer ya",IF($M1845&lt;IFERROR(N(INDEX(Vinos!$N$2:$N$301,MATCH($B1845,Vinos!$A$2:$A$301,0))),0),"Bajo mínimo: reponer","OK")))</f>
        <v/>
      </c>
      <c r="O1845" s="14" t="n"/>
      <c r="P1845" s="14" t="n"/>
      <c r="Q1845" s="20">
        <f>IF($B1845="","",IFERROR(INDEX(Vinos!$C$2:$C$301,MATCH($B1845,Vinos!$A$2:$A$301,0)),""))</f>
        <v/>
      </c>
      <c r="R1845" s="20">
        <f>IF(OR($A1845="",$A1845&lt;&gt;'Resumen del inventario'!$C$3,$N1845="",$N1845="OK"),"",IF(COUNTIFS($A$2:$A1845,$A1845,$B$2:$B1845,$B1845)=1,1,""))</f>
        <v/>
      </c>
      <c r="S1845" s="20">
        <f>IF($R1845=1,COUNTIF($R$2:$R1845,1),"")</f>
        <v/>
      </c>
    </row>
    <row r="1846">
      <c r="A1846" s="19" t="n"/>
      <c r="B1846" s="14" t="n"/>
      <c r="C1846" s="20">
        <f>IF($B1846="","",IFERROR(INDEX(Vinos!$B$2:$B$301,MATCH($B1846,Vinos!$A$2:$A$301,0)),"Código no cargado"))</f>
        <v/>
      </c>
      <c r="D1846" s="14" t="n"/>
      <c r="E1846" s="14" t="n"/>
      <c r="F1846" s="18" t="n"/>
      <c r="G1846" s="18" t="n"/>
      <c r="H1846" s="21">
        <f>IF(AND($F1846="",$G1846=""),"",N($F1846)*IFERROR(N(INDEX(Vinos!$H$2:$H$301,MATCH($B1846,Vinos!$A$2:$A$301,0))),0)+N($G1846))</f>
        <v/>
      </c>
      <c r="I1846" s="18" t="n"/>
      <c r="J1846" s="21">
        <f>IF(OR($H1846="",$I1846=""),"",$H1846-$I1846)</f>
        <v/>
      </c>
      <c r="K1846" s="16">
        <f>IF($H1846="","",IFERROR(IF(INDEX(Vinos!$J$2:$J$301,MATCH($B1846,Vinos!$A$2:$A$301,0))="","",$H1846*INDEX(Vinos!$J$2:$J$301,MATCH($B1846,Vinos!$A$2:$A$301,0))),""))</f>
        <v/>
      </c>
      <c r="L1846" s="16">
        <f>IF($H1846="","",IFERROR(IF(INDEX(Vinos!$K$2:$K$301,MATCH($B1846,Vinos!$A$2:$A$301,0))="","",$H1846*INDEX(Vinos!$K$2:$K$301,MATCH($B1846,Vinos!$A$2:$A$301,0))),""))</f>
        <v/>
      </c>
      <c r="M1846" s="21">
        <f>IF(OR($A1846="",$B1846=""),"",SUMIFS($H$2:$H$2001,$A$2:$A$2001,$A1846,$B$2:$B$2001,$B1846))</f>
        <v/>
      </c>
      <c r="N1846" s="20">
        <f>IF($M1846="","",IF($M1846&lt;=0,"Sin stock: reponer ya",IF($M1846&lt;IFERROR(N(INDEX(Vinos!$N$2:$N$301,MATCH($B1846,Vinos!$A$2:$A$301,0))),0),"Bajo mínimo: reponer","OK")))</f>
        <v/>
      </c>
      <c r="O1846" s="14" t="n"/>
      <c r="P1846" s="14" t="n"/>
      <c r="Q1846" s="20">
        <f>IF($B1846="","",IFERROR(INDEX(Vinos!$C$2:$C$301,MATCH($B1846,Vinos!$A$2:$A$301,0)),""))</f>
        <v/>
      </c>
      <c r="R1846" s="20">
        <f>IF(OR($A1846="",$A1846&lt;&gt;'Resumen del inventario'!$C$3,$N1846="",$N1846="OK"),"",IF(COUNTIFS($A$2:$A1846,$A1846,$B$2:$B1846,$B1846)=1,1,""))</f>
        <v/>
      </c>
      <c r="S1846" s="20">
        <f>IF($R1846=1,COUNTIF($R$2:$R1846,1),"")</f>
        <v/>
      </c>
    </row>
    <row r="1847">
      <c r="A1847" s="19" t="n"/>
      <c r="B1847" s="14" t="n"/>
      <c r="C1847" s="20">
        <f>IF($B1847="","",IFERROR(INDEX(Vinos!$B$2:$B$301,MATCH($B1847,Vinos!$A$2:$A$301,0)),"Código no cargado"))</f>
        <v/>
      </c>
      <c r="D1847" s="14" t="n"/>
      <c r="E1847" s="14" t="n"/>
      <c r="F1847" s="18" t="n"/>
      <c r="G1847" s="18" t="n"/>
      <c r="H1847" s="21">
        <f>IF(AND($F1847="",$G1847=""),"",N($F1847)*IFERROR(N(INDEX(Vinos!$H$2:$H$301,MATCH($B1847,Vinos!$A$2:$A$301,0))),0)+N($G1847))</f>
        <v/>
      </c>
      <c r="I1847" s="18" t="n"/>
      <c r="J1847" s="21">
        <f>IF(OR($H1847="",$I1847=""),"",$H1847-$I1847)</f>
        <v/>
      </c>
      <c r="K1847" s="16">
        <f>IF($H1847="","",IFERROR(IF(INDEX(Vinos!$J$2:$J$301,MATCH($B1847,Vinos!$A$2:$A$301,0))="","",$H1847*INDEX(Vinos!$J$2:$J$301,MATCH($B1847,Vinos!$A$2:$A$301,0))),""))</f>
        <v/>
      </c>
      <c r="L1847" s="16">
        <f>IF($H1847="","",IFERROR(IF(INDEX(Vinos!$K$2:$K$301,MATCH($B1847,Vinos!$A$2:$A$301,0))="","",$H1847*INDEX(Vinos!$K$2:$K$301,MATCH($B1847,Vinos!$A$2:$A$301,0))),""))</f>
        <v/>
      </c>
      <c r="M1847" s="21">
        <f>IF(OR($A1847="",$B1847=""),"",SUMIFS($H$2:$H$2001,$A$2:$A$2001,$A1847,$B$2:$B$2001,$B1847))</f>
        <v/>
      </c>
      <c r="N1847" s="20">
        <f>IF($M1847="","",IF($M1847&lt;=0,"Sin stock: reponer ya",IF($M1847&lt;IFERROR(N(INDEX(Vinos!$N$2:$N$301,MATCH($B1847,Vinos!$A$2:$A$301,0))),0),"Bajo mínimo: reponer","OK")))</f>
        <v/>
      </c>
      <c r="O1847" s="14" t="n"/>
      <c r="P1847" s="14" t="n"/>
      <c r="Q1847" s="20">
        <f>IF($B1847="","",IFERROR(INDEX(Vinos!$C$2:$C$301,MATCH($B1847,Vinos!$A$2:$A$301,0)),""))</f>
        <v/>
      </c>
      <c r="R1847" s="20">
        <f>IF(OR($A1847="",$A1847&lt;&gt;'Resumen del inventario'!$C$3,$N1847="",$N1847="OK"),"",IF(COUNTIFS($A$2:$A1847,$A1847,$B$2:$B1847,$B1847)=1,1,""))</f>
        <v/>
      </c>
      <c r="S1847" s="20">
        <f>IF($R1847=1,COUNTIF($R$2:$R1847,1),"")</f>
        <v/>
      </c>
    </row>
    <row r="1848">
      <c r="A1848" s="19" t="n"/>
      <c r="B1848" s="14" t="n"/>
      <c r="C1848" s="20">
        <f>IF($B1848="","",IFERROR(INDEX(Vinos!$B$2:$B$301,MATCH($B1848,Vinos!$A$2:$A$301,0)),"Código no cargado"))</f>
        <v/>
      </c>
      <c r="D1848" s="14" t="n"/>
      <c r="E1848" s="14" t="n"/>
      <c r="F1848" s="18" t="n"/>
      <c r="G1848" s="18" t="n"/>
      <c r="H1848" s="21">
        <f>IF(AND($F1848="",$G1848=""),"",N($F1848)*IFERROR(N(INDEX(Vinos!$H$2:$H$301,MATCH($B1848,Vinos!$A$2:$A$301,0))),0)+N($G1848))</f>
        <v/>
      </c>
      <c r="I1848" s="18" t="n"/>
      <c r="J1848" s="21">
        <f>IF(OR($H1848="",$I1848=""),"",$H1848-$I1848)</f>
        <v/>
      </c>
      <c r="K1848" s="16">
        <f>IF($H1848="","",IFERROR(IF(INDEX(Vinos!$J$2:$J$301,MATCH($B1848,Vinos!$A$2:$A$301,0))="","",$H1848*INDEX(Vinos!$J$2:$J$301,MATCH($B1848,Vinos!$A$2:$A$301,0))),""))</f>
        <v/>
      </c>
      <c r="L1848" s="16">
        <f>IF($H1848="","",IFERROR(IF(INDEX(Vinos!$K$2:$K$301,MATCH($B1848,Vinos!$A$2:$A$301,0))="","",$H1848*INDEX(Vinos!$K$2:$K$301,MATCH($B1848,Vinos!$A$2:$A$301,0))),""))</f>
        <v/>
      </c>
      <c r="M1848" s="21">
        <f>IF(OR($A1848="",$B1848=""),"",SUMIFS($H$2:$H$2001,$A$2:$A$2001,$A1848,$B$2:$B$2001,$B1848))</f>
        <v/>
      </c>
      <c r="N1848" s="20">
        <f>IF($M1848="","",IF($M1848&lt;=0,"Sin stock: reponer ya",IF($M1848&lt;IFERROR(N(INDEX(Vinos!$N$2:$N$301,MATCH($B1848,Vinos!$A$2:$A$301,0))),0),"Bajo mínimo: reponer","OK")))</f>
        <v/>
      </c>
      <c r="O1848" s="14" t="n"/>
      <c r="P1848" s="14" t="n"/>
      <c r="Q1848" s="20">
        <f>IF($B1848="","",IFERROR(INDEX(Vinos!$C$2:$C$301,MATCH($B1848,Vinos!$A$2:$A$301,0)),""))</f>
        <v/>
      </c>
      <c r="R1848" s="20">
        <f>IF(OR($A1848="",$A1848&lt;&gt;'Resumen del inventario'!$C$3,$N1848="",$N1848="OK"),"",IF(COUNTIFS($A$2:$A1848,$A1848,$B$2:$B1848,$B1848)=1,1,""))</f>
        <v/>
      </c>
      <c r="S1848" s="20">
        <f>IF($R1848=1,COUNTIF($R$2:$R1848,1),"")</f>
        <v/>
      </c>
    </row>
    <row r="1849">
      <c r="A1849" s="19" t="n"/>
      <c r="B1849" s="14" t="n"/>
      <c r="C1849" s="20">
        <f>IF($B1849="","",IFERROR(INDEX(Vinos!$B$2:$B$301,MATCH($B1849,Vinos!$A$2:$A$301,0)),"Código no cargado"))</f>
        <v/>
      </c>
      <c r="D1849" s="14" t="n"/>
      <c r="E1849" s="14" t="n"/>
      <c r="F1849" s="18" t="n"/>
      <c r="G1849" s="18" t="n"/>
      <c r="H1849" s="21">
        <f>IF(AND($F1849="",$G1849=""),"",N($F1849)*IFERROR(N(INDEX(Vinos!$H$2:$H$301,MATCH($B1849,Vinos!$A$2:$A$301,0))),0)+N($G1849))</f>
        <v/>
      </c>
      <c r="I1849" s="18" t="n"/>
      <c r="J1849" s="21">
        <f>IF(OR($H1849="",$I1849=""),"",$H1849-$I1849)</f>
        <v/>
      </c>
      <c r="K1849" s="16">
        <f>IF($H1849="","",IFERROR(IF(INDEX(Vinos!$J$2:$J$301,MATCH($B1849,Vinos!$A$2:$A$301,0))="","",$H1849*INDEX(Vinos!$J$2:$J$301,MATCH($B1849,Vinos!$A$2:$A$301,0))),""))</f>
        <v/>
      </c>
      <c r="L1849" s="16">
        <f>IF($H1849="","",IFERROR(IF(INDEX(Vinos!$K$2:$K$301,MATCH($B1849,Vinos!$A$2:$A$301,0))="","",$H1849*INDEX(Vinos!$K$2:$K$301,MATCH($B1849,Vinos!$A$2:$A$301,0))),""))</f>
        <v/>
      </c>
      <c r="M1849" s="21">
        <f>IF(OR($A1849="",$B1849=""),"",SUMIFS($H$2:$H$2001,$A$2:$A$2001,$A1849,$B$2:$B$2001,$B1849))</f>
        <v/>
      </c>
      <c r="N1849" s="20">
        <f>IF($M1849="","",IF($M1849&lt;=0,"Sin stock: reponer ya",IF($M1849&lt;IFERROR(N(INDEX(Vinos!$N$2:$N$301,MATCH($B1849,Vinos!$A$2:$A$301,0))),0),"Bajo mínimo: reponer","OK")))</f>
        <v/>
      </c>
      <c r="O1849" s="14" t="n"/>
      <c r="P1849" s="14" t="n"/>
      <c r="Q1849" s="20">
        <f>IF($B1849="","",IFERROR(INDEX(Vinos!$C$2:$C$301,MATCH($B1849,Vinos!$A$2:$A$301,0)),""))</f>
        <v/>
      </c>
      <c r="R1849" s="20">
        <f>IF(OR($A1849="",$A1849&lt;&gt;'Resumen del inventario'!$C$3,$N1849="",$N1849="OK"),"",IF(COUNTIFS($A$2:$A1849,$A1849,$B$2:$B1849,$B1849)=1,1,""))</f>
        <v/>
      </c>
      <c r="S1849" s="20">
        <f>IF($R1849=1,COUNTIF($R$2:$R1849,1),"")</f>
        <v/>
      </c>
    </row>
    <row r="1850">
      <c r="A1850" s="19" t="n"/>
      <c r="B1850" s="14" t="n"/>
      <c r="C1850" s="20">
        <f>IF($B1850="","",IFERROR(INDEX(Vinos!$B$2:$B$301,MATCH($B1850,Vinos!$A$2:$A$301,0)),"Código no cargado"))</f>
        <v/>
      </c>
      <c r="D1850" s="14" t="n"/>
      <c r="E1850" s="14" t="n"/>
      <c r="F1850" s="18" t="n"/>
      <c r="G1850" s="18" t="n"/>
      <c r="H1850" s="21">
        <f>IF(AND($F1850="",$G1850=""),"",N($F1850)*IFERROR(N(INDEX(Vinos!$H$2:$H$301,MATCH($B1850,Vinos!$A$2:$A$301,0))),0)+N($G1850))</f>
        <v/>
      </c>
      <c r="I1850" s="18" t="n"/>
      <c r="J1850" s="21">
        <f>IF(OR($H1850="",$I1850=""),"",$H1850-$I1850)</f>
        <v/>
      </c>
      <c r="K1850" s="16">
        <f>IF($H1850="","",IFERROR(IF(INDEX(Vinos!$J$2:$J$301,MATCH($B1850,Vinos!$A$2:$A$301,0))="","",$H1850*INDEX(Vinos!$J$2:$J$301,MATCH($B1850,Vinos!$A$2:$A$301,0))),""))</f>
        <v/>
      </c>
      <c r="L1850" s="16">
        <f>IF($H1850="","",IFERROR(IF(INDEX(Vinos!$K$2:$K$301,MATCH($B1850,Vinos!$A$2:$A$301,0))="","",$H1850*INDEX(Vinos!$K$2:$K$301,MATCH($B1850,Vinos!$A$2:$A$301,0))),""))</f>
        <v/>
      </c>
      <c r="M1850" s="21">
        <f>IF(OR($A1850="",$B1850=""),"",SUMIFS($H$2:$H$2001,$A$2:$A$2001,$A1850,$B$2:$B$2001,$B1850))</f>
        <v/>
      </c>
      <c r="N1850" s="20">
        <f>IF($M1850="","",IF($M1850&lt;=0,"Sin stock: reponer ya",IF($M1850&lt;IFERROR(N(INDEX(Vinos!$N$2:$N$301,MATCH($B1850,Vinos!$A$2:$A$301,0))),0),"Bajo mínimo: reponer","OK")))</f>
        <v/>
      </c>
      <c r="O1850" s="14" t="n"/>
      <c r="P1850" s="14" t="n"/>
      <c r="Q1850" s="20">
        <f>IF($B1850="","",IFERROR(INDEX(Vinos!$C$2:$C$301,MATCH($B1850,Vinos!$A$2:$A$301,0)),""))</f>
        <v/>
      </c>
      <c r="R1850" s="20">
        <f>IF(OR($A1850="",$A1850&lt;&gt;'Resumen del inventario'!$C$3,$N1850="",$N1850="OK"),"",IF(COUNTIFS($A$2:$A1850,$A1850,$B$2:$B1850,$B1850)=1,1,""))</f>
        <v/>
      </c>
      <c r="S1850" s="20">
        <f>IF($R1850=1,COUNTIF($R$2:$R1850,1),"")</f>
        <v/>
      </c>
    </row>
    <row r="1851">
      <c r="A1851" s="19" t="n"/>
      <c r="B1851" s="14" t="n"/>
      <c r="C1851" s="20">
        <f>IF($B1851="","",IFERROR(INDEX(Vinos!$B$2:$B$301,MATCH($B1851,Vinos!$A$2:$A$301,0)),"Código no cargado"))</f>
        <v/>
      </c>
      <c r="D1851" s="14" t="n"/>
      <c r="E1851" s="14" t="n"/>
      <c r="F1851" s="18" t="n"/>
      <c r="G1851" s="18" t="n"/>
      <c r="H1851" s="21">
        <f>IF(AND($F1851="",$G1851=""),"",N($F1851)*IFERROR(N(INDEX(Vinos!$H$2:$H$301,MATCH($B1851,Vinos!$A$2:$A$301,0))),0)+N($G1851))</f>
        <v/>
      </c>
      <c r="I1851" s="18" t="n"/>
      <c r="J1851" s="21">
        <f>IF(OR($H1851="",$I1851=""),"",$H1851-$I1851)</f>
        <v/>
      </c>
      <c r="K1851" s="16">
        <f>IF($H1851="","",IFERROR(IF(INDEX(Vinos!$J$2:$J$301,MATCH($B1851,Vinos!$A$2:$A$301,0))="","",$H1851*INDEX(Vinos!$J$2:$J$301,MATCH($B1851,Vinos!$A$2:$A$301,0))),""))</f>
        <v/>
      </c>
      <c r="L1851" s="16">
        <f>IF($H1851="","",IFERROR(IF(INDEX(Vinos!$K$2:$K$301,MATCH($B1851,Vinos!$A$2:$A$301,0))="","",$H1851*INDEX(Vinos!$K$2:$K$301,MATCH($B1851,Vinos!$A$2:$A$301,0))),""))</f>
        <v/>
      </c>
      <c r="M1851" s="21">
        <f>IF(OR($A1851="",$B1851=""),"",SUMIFS($H$2:$H$2001,$A$2:$A$2001,$A1851,$B$2:$B$2001,$B1851))</f>
        <v/>
      </c>
      <c r="N1851" s="20">
        <f>IF($M1851="","",IF($M1851&lt;=0,"Sin stock: reponer ya",IF($M1851&lt;IFERROR(N(INDEX(Vinos!$N$2:$N$301,MATCH($B1851,Vinos!$A$2:$A$301,0))),0),"Bajo mínimo: reponer","OK")))</f>
        <v/>
      </c>
      <c r="O1851" s="14" t="n"/>
      <c r="P1851" s="14" t="n"/>
      <c r="Q1851" s="20">
        <f>IF($B1851="","",IFERROR(INDEX(Vinos!$C$2:$C$301,MATCH($B1851,Vinos!$A$2:$A$301,0)),""))</f>
        <v/>
      </c>
      <c r="R1851" s="20">
        <f>IF(OR($A1851="",$A1851&lt;&gt;'Resumen del inventario'!$C$3,$N1851="",$N1851="OK"),"",IF(COUNTIFS($A$2:$A1851,$A1851,$B$2:$B1851,$B1851)=1,1,""))</f>
        <v/>
      </c>
      <c r="S1851" s="20">
        <f>IF($R1851=1,COUNTIF($R$2:$R1851,1),"")</f>
        <v/>
      </c>
    </row>
    <row r="1852">
      <c r="A1852" s="19" t="n"/>
      <c r="B1852" s="14" t="n"/>
      <c r="C1852" s="20">
        <f>IF($B1852="","",IFERROR(INDEX(Vinos!$B$2:$B$301,MATCH($B1852,Vinos!$A$2:$A$301,0)),"Código no cargado"))</f>
        <v/>
      </c>
      <c r="D1852" s="14" t="n"/>
      <c r="E1852" s="14" t="n"/>
      <c r="F1852" s="18" t="n"/>
      <c r="G1852" s="18" t="n"/>
      <c r="H1852" s="21">
        <f>IF(AND($F1852="",$G1852=""),"",N($F1852)*IFERROR(N(INDEX(Vinos!$H$2:$H$301,MATCH($B1852,Vinos!$A$2:$A$301,0))),0)+N($G1852))</f>
        <v/>
      </c>
      <c r="I1852" s="18" t="n"/>
      <c r="J1852" s="21">
        <f>IF(OR($H1852="",$I1852=""),"",$H1852-$I1852)</f>
        <v/>
      </c>
      <c r="K1852" s="16">
        <f>IF($H1852="","",IFERROR(IF(INDEX(Vinos!$J$2:$J$301,MATCH($B1852,Vinos!$A$2:$A$301,0))="","",$H1852*INDEX(Vinos!$J$2:$J$301,MATCH($B1852,Vinos!$A$2:$A$301,0))),""))</f>
        <v/>
      </c>
      <c r="L1852" s="16">
        <f>IF($H1852="","",IFERROR(IF(INDEX(Vinos!$K$2:$K$301,MATCH($B1852,Vinos!$A$2:$A$301,0))="","",$H1852*INDEX(Vinos!$K$2:$K$301,MATCH($B1852,Vinos!$A$2:$A$301,0))),""))</f>
        <v/>
      </c>
      <c r="M1852" s="21">
        <f>IF(OR($A1852="",$B1852=""),"",SUMIFS($H$2:$H$2001,$A$2:$A$2001,$A1852,$B$2:$B$2001,$B1852))</f>
        <v/>
      </c>
      <c r="N1852" s="20">
        <f>IF($M1852="","",IF($M1852&lt;=0,"Sin stock: reponer ya",IF($M1852&lt;IFERROR(N(INDEX(Vinos!$N$2:$N$301,MATCH($B1852,Vinos!$A$2:$A$301,0))),0),"Bajo mínimo: reponer","OK")))</f>
        <v/>
      </c>
      <c r="O1852" s="14" t="n"/>
      <c r="P1852" s="14" t="n"/>
      <c r="Q1852" s="20">
        <f>IF($B1852="","",IFERROR(INDEX(Vinos!$C$2:$C$301,MATCH($B1852,Vinos!$A$2:$A$301,0)),""))</f>
        <v/>
      </c>
      <c r="R1852" s="20">
        <f>IF(OR($A1852="",$A1852&lt;&gt;'Resumen del inventario'!$C$3,$N1852="",$N1852="OK"),"",IF(COUNTIFS($A$2:$A1852,$A1852,$B$2:$B1852,$B1852)=1,1,""))</f>
        <v/>
      </c>
      <c r="S1852" s="20">
        <f>IF($R1852=1,COUNTIF($R$2:$R1852,1),"")</f>
        <v/>
      </c>
    </row>
    <row r="1853">
      <c r="A1853" s="19" t="n"/>
      <c r="B1853" s="14" t="n"/>
      <c r="C1853" s="20">
        <f>IF($B1853="","",IFERROR(INDEX(Vinos!$B$2:$B$301,MATCH($B1853,Vinos!$A$2:$A$301,0)),"Código no cargado"))</f>
        <v/>
      </c>
      <c r="D1853" s="14" t="n"/>
      <c r="E1853" s="14" t="n"/>
      <c r="F1853" s="18" t="n"/>
      <c r="G1853" s="18" t="n"/>
      <c r="H1853" s="21">
        <f>IF(AND($F1853="",$G1853=""),"",N($F1853)*IFERROR(N(INDEX(Vinos!$H$2:$H$301,MATCH($B1853,Vinos!$A$2:$A$301,0))),0)+N($G1853))</f>
        <v/>
      </c>
      <c r="I1853" s="18" t="n"/>
      <c r="J1853" s="21">
        <f>IF(OR($H1853="",$I1853=""),"",$H1853-$I1853)</f>
        <v/>
      </c>
      <c r="K1853" s="16">
        <f>IF($H1853="","",IFERROR(IF(INDEX(Vinos!$J$2:$J$301,MATCH($B1853,Vinos!$A$2:$A$301,0))="","",$H1853*INDEX(Vinos!$J$2:$J$301,MATCH($B1853,Vinos!$A$2:$A$301,0))),""))</f>
        <v/>
      </c>
      <c r="L1853" s="16">
        <f>IF($H1853="","",IFERROR(IF(INDEX(Vinos!$K$2:$K$301,MATCH($B1853,Vinos!$A$2:$A$301,0))="","",$H1853*INDEX(Vinos!$K$2:$K$301,MATCH($B1853,Vinos!$A$2:$A$301,0))),""))</f>
        <v/>
      </c>
      <c r="M1853" s="21">
        <f>IF(OR($A1853="",$B1853=""),"",SUMIFS($H$2:$H$2001,$A$2:$A$2001,$A1853,$B$2:$B$2001,$B1853))</f>
        <v/>
      </c>
      <c r="N1853" s="20">
        <f>IF($M1853="","",IF($M1853&lt;=0,"Sin stock: reponer ya",IF($M1853&lt;IFERROR(N(INDEX(Vinos!$N$2:$N$301,MATCH($B1853,Vinos!$A$2:$A$301,0))),0),"Bajo mínimo: reponer","OK")))</f>
        <v/>
      </c>
      <c r="O1853" s="14" t="n"/>
      <c r="P1853" s="14" t="n"/>
      <c r="Q1853" s="20">
        <f>IF($B1853="","",IFERROR(INDEX(Vinos!$C$2:$C$301,MATCH($B1853,Vinos!$A$2:$A$301,0)),""))</f>
        <v/>
      </c>
      <c r="R1853" s="20">
        <f>IF(OR($A1853="",$A1853&lt;&gt;'Resumen del inventario'!$C$3,$N1853="",$N1853="OK"),"",IF(COUNTIFS($A$2:$A1853,$A1853,$B$2:$B1853,$B1853)=1,1,""))</f>
        <v/>
      </c>
      <c r="S1853" s="20">
        <f>IF($R1853=1,COUNTIF($R$2:$R1853,1),"")</f>
        <v/>
      </c>
    </row>
    <row r="1854">
      <c r="A1854" s="19" t="n"/>
      <c r="B1854" s="14" t="n"/>
      <c r="C1854" s="20">
        <f>IF($B1854="","",IFERROR(INDEX(Vinos!$B$2:$B$301,MATCH($B1854,Vinos!$A$2:$A$301,0)),"Código no cargado"))</f>
        <v/>
      </c>
      <c r="D1854" s="14" t="n"/>
      <c r="E1854" s="14" t="n"/>
      <c r="F1854" s="18" t="n"/>
      <c r="G1854" s="18" t="n"/>
      <c r="H1854" s="21">
        <f>IF(AND($F1854="",$G1854=""),"",N($F1854)*IFERROR(N(INDEX(Vinos!$H$2:$H$301,MATCH($B1854,Vinos!$A$2:$A$301,0))),0)+N($G1854))</f>
        <v/>
      </c>
      <c r="I1854" s="18" t="n"/>
      <c r="J1854" s="21">
        <f>IF(OR($H1854="",$I1854=""),"",$H1854-$I1854)</f>
        <v/>
      </c>
      <c r="K1854" s="16">
        <f>IF($H1854="","",IFERROR(IF(INDEX(Vinos!$J$2:$J$301,MATCH($B1854,Vinos!$A$2:$A$301,0))="","",$H1854*INDEX(Vinos!$J$2:$J$301,MATCH($B1854,Vinos!$A$2:$A$301,0))),""))</f>
        <v/>
      </c>
      <c r="L1854" s="16">
        <f>IF($H1854="","",IFERROR(IF(INDEX(Vinos!$K$2:$K$301,MATCH($B1854,Vinos!$A$2:$A$301,0))="","",$H1854*INDEX(Vinos!$K$2:$K$301,MATCH($B1854,Vinos!$A$2:$A$301,0))),""))</f>
        <v/>
      </c>
      <c r="M1854" s="21">
        <f>IF(OR($A1854="",$B1854=""),"",SUMIFS($H$2:$H$2001,$A$2:$A$2001,$A1854,$B$2:$B$2001,$B1854))</f>
        <v/>
      </c>
      <c r="N1854" s="20">
        <f>IF($M1854="","",IF($M1854&lt;=0,"Sin stock: reponer ya",IF($M1854&lt;IFERROR(N(INDEX(Vinos!$N$2:$N$301,MATCH($B1854,Vinos!$A$2:$A$301,0))),0),"Bajo mínimo: reponer","OK")))</f>
        <v/>
      </c>
      <c r="O1854" s="14" t="n"/>
      <c r="P1854" s="14" t="n"/>
      <c r="Q1854" s="20">
        <f>IF($B1854="","",IFERROR(INDEX(Vinos!$C$2:$C$301,MATCH($B1854,Vinos!$A$2:$A$301,0)),""))</f>
        <v/>
      </c>
      <c r="R1854" s="20">
        <f>IF(OR($A1854="",$A1854&lt;&gt;'Resumen del inventario'!$C$3,$N1854="",$N1854="OK"),"",IF(COUNTIFS($A$2:$A1854,$A1854,$B$2:$B1854,$B1854)=1,1,""))</f>
        <v/>
      </c>
      <c r="S1854" s="20">
        <f>IF($R1854=1,COUNTIF($R$2:$R1854,1),"")</f>
        <v/>
      </c>
    </row>
    <row r="1855">
      <c r="A1855" s="19" t="n"/>
      <c r="B1855" s="14" t="n"/>
      <c r="C1855" s="20">
        <f>IF($B1855="","",IFERROR(INDEX(Vinos!$B$2:$B$301,MATCH($B1855,Vinos!$A$2:$A$301,0)),"Código no cargado"))</f>
        <v/>
      </c>
      <c r="D1855" s="14" t="n"/>
      <c r="E1855" s="14" t="n"/>
      <c r="F1855" s="18" t="n"/>
      <c r="G1855" s="18" t="n"/>
      <c r="H1855" s="21">
        <f>IF(AND($F1855="",$G1855=""),"",N($F1855)*IFERROR(N(INDEX(Vinos!$H$2:$H$301,MATCH($B1855,Vinos!$A$2:$A$301,0))),0)+N($G1855))</f>
        <v/>
      </c>
      <c r="I1855" s="18" t="n"/>
      <c r="J1855" s="21">
        <f>IF(OR($H1855="",$I1855=""),"",$H1855-$I1855)</f>
        <v/>
      </c>
      <c r="K1855" s="16">
        <f>IF($H1855="","",IFERROR(IF(INDEX(Vinos!$J$2:$J$301,MATCH($B1855,Vinos!$A$2:$A$301,0))="","",$H1855*INDEX(Vinos!$J$2:$J$301,MATCH($B1855,Vinos!$A$2:$A$301,0))),""))</f>
        <v/>
      </c>
      <c r="L1855" s="16">
        <f>IF($H1855="","",IFERROR(IF(INDEX(Vinos!$K$2:$K$301,MATCH($B1855,Vinos!$A$2:$A$301,0))="","",$H1855*INDEX(Vinos!$K$2:$K$301,MATCH($B1855,Vinos!$A$2:$A$301,0))),""))</f>
        <v/>
      </c>
      <c r="M1855" s="21">
        <f>IF(OR($A1855="",$B1855=""),"",SUMIFS($H$2:$H$2001,$A$2:$A$2001,$A1855,$B$2:$B$2001,$B1855))</f>
        <v/>
      </c>
      <c r="N1855" s="20">
        <f>IF($M1855="","",IF($M1855&lt;=0,"Sin stock: reponer ya",IF($M1855&lt;IFERROR(N(INDEX(Vinos!$N$2:$N$301,MATCH($B1855,Vinos!$A$2:$A$301,0))),0),"Bajo mínimo: reponer","OK")))</f>
        <v/>
      </c>
      <c r="O1855" s="14" t="n"/>
      <c r="P1855" s="14" t="n"/>
      <c r="Q1855" s="20">
        <f>IF($B1855="","",IFERROR(INDEX(Vinos!$C$2:$C$301,MATCH($B1855,Vinos!$A$2:$A$301,0)),""))</f>
        <v/>
      </c>
      <c r="R1855" s="20">
        <f>IF(OR($A1855="",$A1855&lt;&gt;'Resumen del inventario'!$C$3,$N1855="",$N1855="OK"),"",IF(COUNTIFS($A$2:$A1855,$A1855,$B$2:$B1855,$B1855)=1,1,""))</f>
        <v/>
      </c>
      <c r="S1855" s="20">
        <f>IF($R1855=1,COUNTIF($R$2:$R1855,1),"")</f>
        <v/>
      </c>
    </row>
    <row r="1856">
      <c r="A1856" s="19" t="n"/>
      <c r="B1856" s="14" t="n"/>
      <c r="C1856" s="20">
        <f>IF($B1856="","",IFERROR(INDEX(Vinos!$B$2:$B$301,MATCH($B1856,Vinos!$A$2:$A$301,0)),"Código no cargado"))</f>
        <v/>
      </c>
      <c r="D1856" s="14" t="n"/>
      <c r="E1856" s="14" t="n"/>
      <c r="F1856" s="18" t="n"/>
      <c r="G1856" s="18" t="n"/>
      <c r="H1856" s="21">
        <f>IF(AND($F1856="",$G1856=""),"",N($F1856)*IFERROR(N(INDEX(Vinos!$H$2:$H$301,MATCH($B1856,Vinos!$A$2:$A$301,0))),0)+N($G1856))</f>
        <v/>
      </c>
      <c r="I1856" s="18" t="n"/>
      <c r="J1856" s="21">
        <f>IF(OR($H1856="",$I1856=""),"",$H1856-$I1856)</f>
        <v/>
      </c>
      <c r="K1856" s="16">
        <f>IF($H1856="","",IFERROR(IF(INDEX(Vinos!$J$2:$J$301,MATCH($B1856,Vinos!$A$2:$A$301,0))="","",$H1856*INDEX(Vinos!$J$2:$J$301,MATCH($B1856,Vinos!$A$2:$A$301,0))),""))</f>
        <v/>
      </c>
      <c r="L1856" s="16">
        <f>IF($H1856="","",IFERROR(IF(INDEX(Vinos!$K$2:$K$301,MATCH($B1856,Vinos!$A$2:$A$301,0))="","",$H1856*INDEX(Vinos!$K$2:$K$301,MATCH($B1856,Vinos!$A$2:$A$301,0))),""))</f>
        <v/>
      </c>
      <c r="M1856" s="21">
        <f>IF(OR($A1856="",$B1856=""),"",SUMIFS($H$2:$H$2001,$A$2:$A$2001,$A1856,$B$2:$B$2001,$B1856))</f>
        <v/>
      </c>
      <c r="N1856" s="20">
        <f>IF($M1856="","",IF($M1856&lt;=0,"Sin stock: reponer ya",IF($M1856&lt;IFERROR(N(INDEX(Vinos!$N$2:$N$301,MATCH($B1856,Vinos!$A$2:$A$301,0))),0),"Bajo mínimo: reponer","OK")))</f>
        <v/>
      </c>
      <c r="O1856" s="14" t="n"/>
      <c r="P1856" s="14" t="n"/>
      <c r="Q1856" s="20">
        <f>IF($B1856="","",IFERROR(INDEX(Vinos!$C$2:$C$301,MATCH($B1856,Vinos!$A$2:$A$301,0)),""))</f>
        <v/>
      </c>
      <c r="R1856" s="20">
        <f>IF(OR($A1856="",$A1856&lt;&gt;'Resumen del inventario'!$C$3,$N1856="",$N1856="OK"),"",IF(COUNTIFS($A$2:$A1856,$A1856,$B$2:$B1856,$B1856)=1,1,""))</f>
        <v/>
      </c>
      <c r="S1856" s="20">
        <f>IF($R1856=1,COUNTIF($R$2:$R1856,1),"")</f>
        <v/>
      </c>
    </row>
    <row r="1857">
      <c r="A1857" s="19" t="n"/>
      <c r="B1857" s="14" t="n"/>
      <c r="C1857" s="20">
        <f>IF($B1857="","",IFERROR(INDEX(Vinos!$B$2:$B$301,MATCH($B1857,Vinos!$A$2:$A$301,0)),"Código no cargado"))</f>
        <v/>
      </c>
      <c r="D1857" s="14" t="n"/>
      <c r="E1857" s="14" t="n"/>
      <c r="F1857" s="18" t="n"/>
      <c r="G1857" s="18" t="n"/>
      <c r="H1857" s="21">
        <f>IF(AND($F1857="",$G1857=""),"",N($F1857)*IFERROR(N(INDEX(Vinos!$H$2:$H$301,MATCH($B1857,Vinos!$A$2:$A$301,0))),0)+N($G1857))</f>
        <v/>
      </c>
      <c r="I1857" s="18" t="n"/>
      <c r="J1857" s="21">
        <f>IF(OR($H1857="",$I1857=""),"",$H1857-$I1857)</f>
        <v/>
      </c>
      <c r="K1857" s="16">
        <f>IF($H1857="","",IFERROR(IF(INDEX(Vinos!$J$2:$J$301,MATCH($B1857,Vinos!$A$2:$A$301,0))="","",$H1857*INDEX(Vinos!$J$2:$J$301,MATCH($B1857,Vinos!$A$2:$A$301,0))),""))</f>
        <v/>
      </c>
      <c r="L1857" s="16">
        <f>IF($H1857="","",IFERROR(IF(INDEX(Vinos!$K$2:$K$301,MATCH($B1857,Vinos!$A$2:$A$301,0))="","",$H1857*INDEX(Vinos!$K$2:$K$301,MATCH($B1857,Vinos!$A$2:$A$301,0))),""))</f>
        <v/>
      </c>
      <c r="M1857" s="21">
        <f>IF(OR($A1857="",$B1857=""),"",SUMIFS($H$2:$H$2001,$A$2:$A$2001,$A1857,$B$2:$B$2001,$B1857))</f>
        <v/>
      </c>
      <c r="N1857" s="20">
        <f>IF($M1857="","",IF($M1857&lt;=0,"Sin stock: reponer ya",IF($M1857&lt;IFERROR(N(INDEX(Vinos!$N$2:$N$301,MATCH($B1857,Vinos!$A$2:$A$301,0))),0),"Bajo mínimo: reponer","OK")))</f>
        <v/>
      </c>
      <c r="O1857" s="14" t="n"/>
      <c r="P1857" s="14" t="n"/>
      <c r="Q1857" s="20">
        <f>IF($B1857="","",IFERROR(INDEX(Vinos!$C$2:$C$301,MATCH($B1857,Vinos!$A$2:$A$301,0)),""))</f>
        <v/>
      </c>
      <c r="R1857" s="20">
        <f>IF(OR($A1857="",$A1857&lt;&gt;'Resumen del inventario'!$C$3,$N1857="",$N1857="OK"),"",IF(COUNTIFS($A$2:$A1857,$A1857,$B$2:$B1857,$B1857)=1,1,""))</f>
        <v/>
      </c>
      <c r="S1857" s="20">
        <f>IF($R1857=1,COUNTIF($R$2:$R1857,1),"")</f>
        <v/>
      </c>
    </row>
    <row r="1858">
      <c r="A1858" s="19" t="n"/>
      <c r="B1858" s="14" t="n"/>
      <c r="C1858" s="20">
        <f>IF($B1858="","",IFERROR(INDEX(Vinos!$B$2:$B$301,MATCH($B1858,Vinos!$A$2:$A$301,0)),"Código no cargado"))</f>
        <v/>
      </c>
      <c r="D1858" s="14" t="n"/>
      <c r="E1858" s="14" t="n"/>
      <c r="F1858" s="18" t="n"/>
      <c r="G1858" s="18" t="n"/>
      <c r="H1858" s="21">
        <f>IF(AND($F1858="",$G1858=""),"",N($F1858)*IFERROR(N(INDEX(Vinos!$H$2:$H$301,MATCH($B1858,Vinos!$A$2:$A$301,0))),0)+N($G1858))</f>
        <v/>
      </c>
      <c r="I1858" s="18" t="n"/>
      <c r="J1858" s="21">
        <f>IF(OR($H1858="",$I1858=""),"",$H1858-$I1858)</f>
        <v/>
      </c>
      <c r="K1858" s="16">
        <f>IF($H1858="","",IFERROR(IF(INDEX(Vinos!$J$2:$J$301,MATCH($B1858,Vinos!$A$2:$A$301,0))="","",$H1858*INDEX(Vinos!$J$2:$J$301,MATCH($B1858,Vinos!$A$2:$A$301,0))),""))</f>
        <v/>
      </c>
      <c r="L1858" s="16">
        <f>IF($H1858="","",IFERROR(IF(INDEX(Vinos!$K$2:$K$301,MATCH($B1858,Vinos!$A$2:$A$301,0))="","",$H1858*INDEX(Vinos!$K$2:$K$301,MATCH($B1858,Vinos!$A$2:$A$301,0))),""))</f>
        <v/>
      </c>
      <c r="M1858" s="21">
        <f>IF(OR($A1858="",$B1858=""),"",SUMIFS($H$2:$H$2001,$A$2:$A$2001,$A1858,$B$2:$B$2001,$B1858))</f>
        <v/>
      </c>
      <c r="N1858" s="20">
        <f>IF($M1858="","",IF($M1858&lt;=0,"Sin stock: reponer ya",IF($M1858&lt;IFERROR(N(INDEX(Vinos!$N$2:$N$301,MATCH($B1858,Vinos!$A$2:$A$301,0))),0),"Bajo mínimo: reponer","OK")))</f>
        <v/>
      </c>
      <c r="O1858" s="14" t="n"/>
      <c r="P1858" s="14" t="n"/>
      <c r="Q1858" s="20">
        <f>IF($B1858="","",IFERROR(INDEX(Vinos!$C$2:$C$301,MATCH($B1858,Vinos!$A$2:$A$301,0)),""))</f>
        <v/>
      </c>
      <c r="R1858" s="20">
        <f>IF(OR($A1858="",$A1858&lt;&gt;'Resumen del inventario'!$C$3,$N1858="",$N1858="OK"),"",IF(COUNTIFS($A$2:$A1858,$A1858,$B$2:$B1858,$B1858)=1,1,""))</f>
        <v/>
      </c>
      <c r="S1858" s="20">
        <f>IF($R1858=1,COUNTIF($R$2:$R1858,1),"")</f>
        <v/>
      </c>
    </row>
    <row r="1859">
      <c r="A1859" s="19" t="n"/>
      <c r="B1859" s="14" t="n"/>
      <c r="C1859" s="20">
        <f>IF($B1859="","",IFERROR(INDEX(Vinos!$B$2:$B$301,MATCH($B1859,Vinos!$A$2:$A$301,0)),"Código no cargado"))</f>
        <v/>
      </c>
      <c r="D1859" s="14" t="n"/>
      <c r="E1859" s="14" t="n"/>
      <c r="F1859" s="18" t="n"/>
      <c r="G1859" s="18" t="n"/>
      <c r="H1859" s="21">
        <f>IF(AND($F1859="",$G1859=""),"",N($F1859)*IFERROR(N(INDEX(Vinos!$H$2:$H$301,MATCH($B1859,Vinos!$A$2:$A$301,0))),0)+N($G1859))</f>
        <v/>
      </c>
      <c r="I1859" s="18" t="n"/>
      <c r="J1859" s="21">
        <f>IF(OR($H1859="",$I1859=""),"",$H1859-$I1859)</f>
        <v/>
      </c>
      <c r="K1859" s="16">
        <f>IF($H1859="","",IFERROR(IF(INDEX(Vinos!$J$2:$J$301,MATCH($B1859,Vinos!$A$2:$A$301,0))="","",$H1859*INDEX(Vinos!$J$2:$J$301,MATCH($B1859,Vinos!$A$2:$A$301,0))),""))</f>
        <v/>
      </c>
      <c r="L1859" s="16">
        <f>IF($H1859="","",IFERROR(IF(INDEX(Vinos!$K$2:$K$301,MATCH($B1859,Vinos!$A$2:$A$301,0))="","",$H1859*INDEX(Vinos!$K$2:$K$301,MATCH($B1859,Vinos!$A$2:$A$301,0))),""))</f>
        <v/>
      </c>
      <c r="M1859" s="21">
        <f>IF(OR($A1859="",$B1859=""),"",SUMIFS($H$2:$H$2001,$A$2:$A$2001,$A1859,$B$2:$B$2001,$B1859))</f>
        <v/>
      </c>
      <c r="N1859" s="20">
        <f>IF($M1859="","",IF($M1859&lt;=0,"Sin stock: reponer ya",IF($M1859&lt;IFERROR(N(INDEX(Vinos!$N$2:$N$301,MATCH($B1859,Vinos!$A$2:$A$301,0))),0),"Bajo mínimo: reponer","OK")))</f>
        <v/>
      </c>
      <c r="O1859" s="14" t="n"/>
      <c r="P1859" s="14" t="n"/>
      <c r="Q1859" s="20">
        <f>IF($B1859="","",IFERROR(INDEX(Vinos!$C$2:$C$301,MATCH($B1859,Vinos!$A$2:$A$301,0)),""))</f>
        <v/>
      </c>
      <c r="R1859" s="20">
        <f>IF(OR($A1859="",$A1859&lt;&gt;'Resumen del inventario'!$C$3,$N1859="",$N1859="OK"),"",IF(COUNTIFS($A$2:$A1859,$A1859,$B$2:$B1859,$B1859)=1,1,""))</f>
        <v/>
      </c>
      <c r="S1859" s="20">
        <f>IF($R1859=1,COUNTIF($R$2:$R1859,1),"")</f>
        <v/>
      </c>
    </row>
    <row r="1860">
      <c r="A1860" s="19" t="n"/>
      <c r="B1860" s="14" t="n"/>
      <c r="C1860" s="20">
        <f>IF($B1860="","",IFERROR(INDEX(Vinos!$B$2:$B$301,MATCH($B1860,Vinos!$A$2:$A$301,0)),"Código no cargado"))</f>
        <v/>
      </c>
      <c r="D1860" s="14" t="n"/>
      <c r="E1860" s="14" t="n"/>
      <c r="F1860" s="18" t="n"/>
      <c r="G1860" s="18" t="n"/>
      <c r="H1860" s="21">
        <f>IF(AND($F1860="",$G1860=""),"",N($F1860)*IFERROR(N(INDEX(Vinos!$H$2:$H$301,MATCH($B1860,Vinos!$A$2:$A$301,0))),0)+N($G1860))</f>
        <v/>
      </c>
      <c r="I1860" s="18" t="n"/>
      <c r="J1860" s="21">
        <f>IF(OR($H1860="",$I1860=""),"",$H1860-$I1860)</f>
        <v/>
      </c>
      <c r="K1860" s="16">
        <f>IF($H1860="","",IFERROR(IF(INDEX(Vinos!$J$2:$J$301,MATCH($B1860,Vinos!$A$2:$A$301,0))="","",$H1860*INDEX(Vinos!$J$2:$J$301,MATCH($B1860,Vinos!$A$2:$A$301,0))),""))</f>
        <v/>
      </c>
      <c r="L1860" s="16">
        <f>IF($H1860="","",IFERROR(IF(INDEX(Vinos!$K$2:$K$301,MATCH($B1860,Vinos!$A$2:$A$301,0))="","",$H1860*INDEX(Vinos!$K$2:$K$301,MATCH($B1860,Vinos!$A$2:$A$301,0))),""))</f>
        <v/>
      </c>
      <c r="M1860" s="21">
        <f>IF(OR($A1860="",$B1860=""),"",SUMIFS($H$2:$H$2001,$A$2:$A$2001,$A1860,$B$2:$B$2001,$B1860))</f>
        <v/>
      </c>
      <c r="N1860" s="20">
        <f>IF($M1860="","",IF($M1860&lt;=0,"Sin stock: reponer ya",IF($M1860&lt;IFERROR(N(INDEX(Vinos!$N$2:$N$301,MATCH($B1860,Vinos!$A$2:$A$301,0))),0),"Bajo mínimo: reponer","OK")))</f>
        <v/>
      </c>
      <c r="O1860" s="14" t="n"/>
      <c r="P1860" s="14" t="n"/>
      <c r="Q1860" s="20">
        <f>IF($B1860="","",IFERROR(INDEX(Vinos!$C$2:$C$301,MATCH($B1860,Vinos!$A$2:$A$301,0)),""))</f>
        <v/>
      </c>
      <c r="R1860" s="20">
        <f>IF(OR($A1860="",$A1860&lt;&gt;'Resumen del inventario'!$C$3,$N1860="",$N1860="OK"),"",IF(COUNTIFS($A$2:$A1860,$A1860,$B$2:$B1860,$B1860)=1,1,""))</f>
        <v/>
      </c>
      <c r="S1860" s="20">
        <f>IF($R1860=1,COUNTIF($R$2:$R1860,1),"")</f>
        <v/>
      </c>
    </row>
    <row r="1861">
      <c r="A1861" s="19" t="n"/>
      <c r="B1861" s="14" t="n"/>
      <c r="C1861" s="20">
        <f>IF($B1861="","",IFERROR(INDEX(Vinos!$B$2:$B$301,MATCH($B1861,Vinos!$A$2:$A$301,0)),"Código no cargado"))</f>
        <v/>
      </c>
      <c r="D1861" s="14" t="n"/>
      <c r="E1861" s="14" t="n"/>
      <c r="F1861" s="18" t="n"/>
      <c r="G1861" s="18" t="n"/>
      <c r="H1861" s="21">
        <f>IF(AND($F1861="",$G1861=""),"",N($F1861)*IFERROR(N(INDEX(Vinos!$H$2:$H$301,MATCH($B1861,Vinos!$A$2:$A$301,0))),0)+N($G1861))</f>
        <v/>
      </c>
      <c r="I1861" s="18" t="n"/>
      <c r="J1861" s="21">
        <f>IF(OR($H1861="",$I1861=""),"",$H1861-$I1861)</f>
        <v/>
      </c>
      <c r="K1861" s="16">
        <f>IF($H1861="","",IFERROR(IF(INDEX(Vinos!$J$2:$J$301,MATCH($B1861,Vinos!$A$2:$A$301,0))="","",$H1861*INDEX(Vinos!$J$2:$J$301,MATCH($B1861,Vinos!$A$2:$A$301,0))),""))</f>
        <v/>
      </c>
      <c r="L1861" s="16">
        <f>IF($H1861="","",IFERROR(IF(INDEX(Vinos!$K$2:$K$301,MATCH($B1861,Vinos!$A$2:$A$301,0))="","",$H1861*INDEX(Vinos!$K$2:$K$301,MATCH($B1861,Vinos!$A$2:$A$301,0))),""))</f>
        <v/>
      </c>
      <c r="M1861" s="21">
        <f>IF(OR($A1861="",$B1861=""),"",SUMIFS($H$2:$H$2001,$A$2:$A$2001,$A1861,$B$2:$B$2001,$B1861))</f>
        <v/>
      </c>
      <c r="N1861" s="20">
        <f>IF($M1861="","",IF($M1861&lt;=0,"Sin stock: reponer ya",IF($M1861&lt;IFERROR(N(INDEX(Vinos!$N$2:$N$301,MATCH($B1861,Vinos!$A$2:$A$301,0))),0),"Bajo mínimo: reponer","OK")))</f>
        <v/>
      </c>
      <c r="O1861" s="14" t="n"/>
      <c r="P1861" s="14" t="n"/>
      <c r="Q1861" s="20">
        <f>IF($B1861="","",IFERROR(INDEX(Vinos!$C$2:$C$301,MATCH($B1861,Vinos!$A$2:$A$301,0)),""))</f>
        <v/>
      </c>
      <c r="R1861" s="20">
        <f>IF(OR($A1861="",$A1861&lt;&gt;'Resumen del inventario'!$C$3,$N1861="",$N1861="OK"),"",IF(COUNTIFS($A$2:$A1861,$A1861,$B$2:$B1861,$B1861)=1,1,""))</f>
        <v/>
      </c>
      <c r="S1861" s="20">
        <f>IF($R1861=1,COUNTIF($R$2:$R1861,1),"")</f>
        <v/>
      </c>
    </row>
    <row r="1862">
      <c r="A1862" s="19" t="n"/>
      <c r="B1862" s="14" t="n"/>
      <c r="C1862" s="20">
        <f>IF($B1862="","",IFERROR(INDEX(Vinos!$B$2:$B$301,MATCH($B1862,Vinos!$A$2:$A$301,0)),"Código no cargado"))</f>
        <v/>
      </c>
      <c r="D1862" s="14" t="n"/>
      <c r="E1862" s="14" t="n"/>
      <c r="F1862" s="18" t="n"/>
      <c r="G1862" s="18" t="n"/>
      <c r="H1862" s="21">
        <f>IF(AND($F1862="",$G1862=""),"",N($F1862)*IFERROR(N(INDEX(Vinos!$H$2:$H$301,MATCH($B1862,Vinos!$A$2:$A$301,0))),0)+N($G1862))</f>
        <v/>
      </c>
      <c r="I1862" s="18" t="n"/>
      <c r="J1862" s="21">
        <f>IF(OR($H1862="",$I1862=""),"",$H1862-$I1862)</f>
        <v/>
      </c>
      <c r="K1862" s="16">
        <f>IF($H1862="","",IFERROR(IF(INDEX(Vinos!$J$2:$J$301,MATCH($B1862,Vinos!$A$2:$A$301,0))="","",$H1862*INDEX(Vinos!$J$2:$J$301,MATCH($B1862,Vinos!$A$2:$A$301,0))),""))</f>
        <v/>
      </c>
      <c r="L1862" s="16">
        <f>IF($H1862="","",IFERROR(IF(INDEX(Vinos!$K$2:$K$301,MATCH($B1862,Vinos!$A$2:$A$301,0))="","",$H1862*INDEX(Vinos!$K$2:$K$301,MATCH($B1862,Vinos!$A$2:$A$301,0))),""))</f>
        <v/>
      </c>
      <c r="M1862" s="21">
        <f>IF(OR($A1862="",$B1862=""),"",SUMIFS($H$2:$H$2001,$A$2:$A$2001,$A1862,$B$2:$B$2001,$B1862))</f>
        <v/>
      </c>
      <c r="N1862" s="20">
        <f>IF($M1862="","",IF($M1862&lt;=0,"Sin stock: reponer ya",IF($M1862&lt;IFERROR(N(INDEX(Vinos!$N$2:$N$301,MATCH($B1862,Vinos!$A$2:$A$301,0))),0),"Bajo mínimo: reponer","OK")))</f>
        <v/>
      </c>
      <c r="O1862" s="14" t="n"/>
      <c r="P1862" s="14" t="n"/>
      <c r="Q1862" s="20">
        <f>IF($B1862="","",IFERROR(INDEX(Vinos!$C$2:$C$301,MATCH($B1862,Vinos!$A$2:$A$301,0)),""))</f>
        <v/>
      </c>
      <c r="R1862" s="20">
        <f>IF(OR($A1862="",$A1862&lt;&gt;'Resumen del inventario'!$C$3,$N1862="",$N1862="OK"),"",IF(COUNTIFS($A$2:$A1862,$A1862,$B$2:$B1862,$B1862)=1,1,""))</f>
        <v/>
      </c>
      <c r="S1862" s="20">
        <f>IF($R1862=1,COUNTIF($R$2:$R1862,1),"")</f>
        <v/>
      </c>
    </row>
    <row r="1863">
      <c r="A1863" s="19" t="n"/>
      <c r="B1863" s="14" t="n"/>
      <c r="C1863" s="20">
        <f>IF($B1863="","",IFERROR(INDEX(Vinos!$B$2:$B$301,MATCH($B1863,Vinos!$A$2:$A$301,0)),"Código no cargado"))</f>
        <v/>
      </c>
      <c r="D1863" s="14" t="n"/>
      <c r="E1863" s="14" t="n"/>
      <c r="F1863" s="18" t="n"/>
      <c r="G1863" s="18" t="n"/>
      <c r="H1863" s="21">
        <f>IF(AND($F1863="",$G1863=""),"",N($F1863)*IFERROR(N(INDEX(Vinos!$H$2:$H$301,MATCH($B1863,Vinos!$A$2:$A$301,0))),0)+N($G1863))</f>
        <v/>
      </c>
      <c r="I1863" s="18" t="n"/>
      <c r="J1863" s="21">
        <f>IF(OR($H1863="",$I1863=""),"",$H1863-$I1863)</f>
        <v/>
      </c>
      <c r="K1863" s="16">
        <f>IF($H1863="","",IFERROR(IF(INDEX(Vinos!$J$2:$J$301,MATCH($B1863,Vinos!$A$2:$A$301,0))="","",$H1863*INDEX(Vinos!$J$2:$J$301,MATCH($B1863,Vinos!$A$2:$A$301,0))),""))</f>
        <v/>
      </c>
      <c r="L1863" s="16">
        <f>IF($H1863="","",IFERROR(IF(INDEX(Vinos!$K$2:$K$301,MATCH($B1863,Vinos!$A$2:$A$301,0))="","",$H1863*INDEX(Vinos!$K$2:$K$301,MATCH($B1863,Vinos!$A$2:$A$301,0))),""))</f>
        <v/>
      </c>
      <c r="M1863" s="21">
        <f>IF(OR($A1863="",$B1863=""),"",SUMIFS($H$2:$H$2001,$A$2:$A$2001,$A1863,$B$2:$B$2001,$B1863))</f>
        <v/>
      </c>
      <c r="N1863" s="20">
        <f>IF($M1863="","",IF($M1863&lt;=0,"Sin stock: reponer ya",IF($M1863&lt;IFERROR(N(INDEX(Vinos!$N$2:$N$301,MATCH($B1863,Vinos!$A$2:$A$301,0))),0),"Bajo mínimo: reponer","OK")))</f>
        <v/>
      </c>
      <c r="O1863" s="14" t="n"/>
      <c r="P1863" s="14" t="n"/>
      <c r="Q1863" s="20">
        <f>IF($B1863="","",IFERROR(INDEX(Vinos!$C$2:$C$301,MATCH($B1863,Vinos!$A$2:$A$301,0)),""))</f>
        <v/>
      </c>
      <c r="R1863" s="20">
        <f>IF(OR($A1863="",$A1863&lt;&gt;'Resumen del inventario'!$C$3,$N1863="",$N1863="OK"),"",IF(COUNTIFS($A$2:$A1863,$A1863,$B$2:$B1863,$B1863)=1,1,""))</f>
        <v/>
      </c>
      <c r="S1863" s="20">
        <f>IF($R1863=1,COUNTIF($R$2:$R1863,1),"")</f>
        <v/>
      </c>
    </row>
    <row r="1864">
      <c r="A1864" s="19" t="n"/>
      <c r="B1864" s="14" t="n"/>
      <c r="C1864" s="20">
        <f>IF($B1864="","",IFERROR(INDEX(Vinos!$B$2:$B$301,MATCH($B1864,Vinos!$A$2:$A$301,0)),"Código no cargado"))</f>
        <v/>
      </c>
      <c r="D1864" s="14" t="n"/>
      <c r="E1864" s="14" t="n"/>
      <c r="F1864" s="18" t="n"/>
      <c r="G1864" s="18" t="n"/>
      <c r="H1864" s="21">
        <f>IF(AND($F1864="",$G1864=""),"",N($F1864)*IFERROR(N(INDEX(Vinos!$H$2:$H$301,MATCH($B1864,Vinos!$A$2:$A$301,0))),0)+N($G1864))</f>
        <v/>
      </c>
      <c r="I1864" s="18" t="n"/>
      <c r="J1864" s="21">
        <f>IF(OR($H1864="",$I1864=""),"",$H1864-$I1864)</f>
        <v/>
      </c>
      <c r="K1864" s="16">
        <f>IF($H1864="","",IFERROR(IF(INDEX(Vinos!$J$2:$J$301,MATCH($B1864,Vinos!$A$2:$A$301,0))="","",$H1864*INDEX(Vinos!$J$2:$J$301,MATCH($B1864,Vinos!$A$2:$A$301,0))),""))</f>
        <v/>
      </c>
      <c r="L1864" s="16">
        <f>IF($H1864="","",IFERROR(IF(INDEX(Vinos!$K$2:$K$301,MATCH($B1864,Vinos!$A$2:$A$301,0))="","",$H1864*INDEX(Vinos!$K$2:$K$301,MATCH($B1864,Vinos!$A$2:$A$301,0))),""))</f>
        <v/>
      </c>
      <c r="M1864" s="21">
        <f>IF(OR($A1864="",$B1864=""),"",SUMIFS($H$2:$H$2001,$A$2:$A$2001,$A1864,$B$2:$B$2001,$B1864))</f>
        <v/>
      </c>
      <c r="N1864" s="20">
        <f>IF($M1864="","",IF($M1864&lt;=0,"Sin stock: reponer ya",IF($M1864&lt;IFERROR(N(INDEX(Vinos!$N$2:$N$301,MATCH($B1864,Vinos!$A$2:$A$301,0))),0),"Bajo mínimo: reponer","OK")))</f>
        <v/>
      </c>
      <c r="O1864" s="14" t="n"/>
      <c r="P1864" s="14" t="n"/>
      <c r="Q1864" s="20">
        <f>IF($B1864="","",IFERROR(INDEX(Vinos!$C$2:$C$301,MATCH($B1864,Vinos!$A$2:$A$301,0)),""))</f>
        <v/>
      </c>
      <c r="R1864" s="20">
        <f>IF(OR($A1864="",$A1864&lt;&gt;'Resumen del inventario'!$C$3,$N1864="",$N1864="OK"),"",IF(COUNTIFS($A$2:$A1864,$A1864,$B$2:$B1864,$B1864)=1,1,""))</f>
        <v/>
      </c>
      <c r="S1864" s="20">
        <f>IF($R1864=1,COUNTIF($R$2:$R1864,1),"")</f>
        <v/>
      </c>
    </row>
    <row r="1865">
      <c r="A1865" s="19" t="n"/>
      <c r="B1865" s="14" t="n"/>
      <c r="C1865" s="20">
        <f>IF($B1865="","",IFERROR(INDEX(Vinos!$B$2:$B$301,MATCH($B1865,Vinos!$A$2:$A$301,0)),"Código no cargado"))</f>
        <v/>
      </c>
      <c r="D1865" s="14" t="n"/>
      <c r="E1865" s="14" t="n"/>
      <c r="F1865" s="18" t="n"/>
      <c r="G1865" s="18" t="n"/>
      <c r="H1865" s="21">
        <f>IF(AND($F1865="",$G1865=""),"",N($F1865)*IFERROR(N(INDEX(Vinos!$H$2:$H$301,MATCH($B1865,Vinos!$A$2:$A$301,0))),0)+N($G1865))</f>
        <v/>
      </c>
      <c r="I1865" s="18" t="n"/>
      <c r="J1865" s="21">
        <f>IF(OR($H1865="",$I1865=""),"",$H1865-$I1865)</f>
        <v/>
      </c>
      <c r="K1865" s="16">
        <f>IF($H1865="","",IFERROR(IF(INDEX(Vinos!$J$2:$J$301,MATCH($B1865,Vinos!$A$2:$A$301,0))="","",$H1865*INDEX(Vinos!$J$2:$J$301,MATCH($B1865,Vinos!$A$2:$A$301,0))),""))</f>
        <v/>
      </c>
      <c r="L1865" s="16">
        <f>IF($H1865="","",IFERROR(IF(INDEX(Vinos!$K$2:$K$301,MATCH($B1865,Vinos!$A$2:$A$301,0))="","",$H1865*INDEX(Vinos!$K$2:$K$301,MATCH($B1865,Vinos!$A$2:$A$301,0))),""))</f>
        <v/>
      </c>
      <c r="M1865" s="21">
        <f>IF(OR($A1865="",$B1865=""),"",SUMIFS($H$2:$H$2001,$A$2:$A$2001,$A1865,$B$2:$B$2001,$B1865))</f>
        <v/>
      </c>
      <c r="N1865" s="20">
        <f>IF($M1865="","",IF($M1865&lt;=0,"Sin stock: reponer ya",IF($M1865&lt;IFERROR(N(INDEX(Vinos!$N$2:$N$301,MATCH($B1865,Vinos!$A$2:$A$301,0))),0),"Bajo mínimo: reponer","OK")))</f>
        <v/>
      </c>
      <c r="O1865" s="14" t="n"/>
      <c r="P1865" s="14" t="n"/>
      <c r="Q1865" s="20">
        <f>IF($B1865="","",IFERROR(INDEX(Vinos!$C$2:$C$301,MATCH($B1865,Vinos!$A$2:$A$301,0)),""))</f>
        <v/>
      </c>
      <c r="R1865" s="20">
        <f>IF(OR($A1865="",$A1865&lt;&gt;'Resumen del inventario'!$C$3,$N1865="",$N1865="OK"),"",IF(COUNTIFS($A$2:$A1865,$A1865,$B$2:$B1865,$B1865)=1,1,""))</f>
        <v/>
      </c>
      <c r="S1865" s="20">
        <f>IF($R1865=1,COUNTIF($R$2:$R1865,1),"")</f>
        <v/>
      </c>
    </row>
    <row r="1866">
      <c r="A1866" s="19" t="n"/>
      <c r="B1866" s="14" t="n"/>
      <c r="C1866" s="20">
        <f>IF($B1866="","",IFERROR(INDEX(Vinos!$B$2:$B$301,MATCH($B1866,Vinos!$A$2:$A$301,0)),"Código no cargado"))</f>
        <v/>
      </c>
      <c r="D1866" s="14" t="n"/>
      <c r="E1866" s="14" t="n"/>
      <c r="F1866" s="18" t="n"/>
      <c r="G1866" s="18" t="n"/>
      <c r="H1866" s="21">
        <f>IF(AND($F1866="",$G1866=""),"",N($F1866)*IFERROR(N(INDEX(Vinos!$H$2:$H$301,MATCH($B1866,Vinos!$A$2:$A$301,0))),0)+N($G1866))</f>
        <v/>
      </c>
      <c r="I1866" s="18" t="n"/>
      <c r="J1866" s="21">
        <f>IF(OR($H1866="",$I1866=""),"",$H1866-$I1866)</f>
        <v/>
      </c>
      <c r="K1866" s="16">
        <f>IF($H1866="","",IFERROR(IF(INDEX(Vinos!$J$2:$J$301,MATCH($B1866,Vinos!$A$2:$A$301,0))="","",$H1866*INDEX(Vinos!$J$2:$J$301,MATCH($B1866,Vinos!$A$2:$A$301,0))),""))</f>
        <v/>
      </c>
      <c r="L1866" s="16">
        <f>IF($H1866="","",IFERROR(IF(INDEX(Vinos!$K$2:$K$301,MATCH($B1866,Vinos!$A$2:$A$301,0))="","",$H1866*INDEX(Vinos!$K$2:$K$301,MATCH($B1866,Vinos!$A$2:$A$301,0))),""))</f>
        <v/>
      </c>
      <c r="M1866" s="21">
        <f>IF(OR($A1866="",$B1866=""),"",SUMIFS($H$2:$H$2001,$A$2:$A$2001,$A1866,$B$2:$B$2001,$B1866))</f>
        <v/>
      </c>
      <c r="N1866" s="20">
        <f>IF($M1866="","",IF($M1866&lt;=0,"Sin stock: reponer ya",IF($M1866&lt;IFERROR(N(INDEX(Vinos!$N$2:$N$301,MATCH($B1866,Vinos!$A$2:$A$301,0))),0),"Bajo mínimo: reponer","OK")))</f>
        <v/>
      </c>
      <c r="O1866" s="14" t="n"/>
      <c r="P1866" s="14" t="n"/>
      <c r="Q1866" s="20">
        <f>IF($B1866="","",IFERROR(INDEX(Vinos!$C$2:$C$301,MATCH($B1866,Vinos!$A$2:$A$301,0)),""))</f>
        <v/>
      </c>
      <c r="R1866" s="20">
        <f>IF(OR($A1866="",$A1866&lt;&gt;'Resumen del inventario'!$C$3,$N1866="",$N1866="OK"),"",IF(COUNTIFS($A$2:$A1866,$A1866,$B$2:$B1866,$B1866)=1,1,""))</f>
        <v/>
      </c>
      <c r="S1866" s="20">
        <f>IF($R1866=1,COUNTIF($R$2:$R1866,1),"")</f>
        <v/>
      </c>
    </row>
    <row r="1867">
      <c r="A1867" s="19" t="n"/>
      <c r="B1867" s="14" t="n"/>
      <c r="C1867" s="20">
        <f>IF($B1867="","",IFERROR(INDEX(Vinos!$B$2:$B$301,MATCH($B1867,Vinos!$A$2:$A$301,0)),"Código no cargado"))</f>
        <v/>
      </c>
      <c r="D1867" s="14" t="n"/>
      <c r="E1867" s="14" t="n"/>
      <c r="F1867" s="18" t="n"/>
      <c r="G1867" s="18" t="n"/>
      <c r="H1867" s="21">
        <f>IF(AND($F1867="",$G1867=""),"",N($F1867)*IFERROR(N(INDEX(Vinos!$H$2:$H$301,MATCH($B1867,Vinos!$A$2:$A$301,0))),0)+N($G1867))</f>
        <v/>
      </c>
      <c r="I1867" s="18" t="n"/>
      <c r="J1867" s="21">
        <f>IF(OR($H1867="",$I1867=""),"",$H1867-$I1867)</f>
        <v/>
      </c>
      <c r="K1867" s="16">
        <f>IF($H1867="","",IFERROR(IF(INDEX(Vinos!$J$2:$J$301,MATCH($B1867,Vinos!$A$2:$A$301,0))="","",$H1867*INDEX(Vinos!$J$2:$J$301,MATCH($B1867,Vinos!$A$2:$A$301,0))),""))</f>
        <v/>
      </c>
      <c r="L1867" s="16">
        <f>IF($H1867="","",IFERROR(IF(INDEX(Vinos!$K$2:$K$301,MATCH($B1867,Vinos!$A$2:$A$301,0))="","",$H1867*INDEX(Vinos!$K$2:$K$301,MATCH($B1867,Vinos!$A$2:$A$301,0))),""))</f>
        <v/>
      </c>
      <c r="M1867" s="21">
        <f>IF(OR($A1867="",$B1867=""),"",SUMIFS($H$2:$H$2001,$A$2:$A$2001,$A1867,$B$2:$B$2001,$B1867))</f>
        <v/>
      </c>
      <c r="N1867" s="20">
        <f>IF($M1867="","",IF($M1867&lt;=0,"Sin stock: reponer ya",IF($M1867&lt;IFERROR(N(INDEX(Vinos!$N$2:$N$301,MATCH($B1867,Vinos!$A$2:$A$301,0))),0),"Bajo mínimo: reponer","OK")))</f>
        <v/>
      </c>
      <c r="O1867" s="14" t="n"/>
      <c r="P1867" s="14" t="n"/>
      <c r="Q1867" s="20">
        <f>IF($B1867="","",IFERROR(INDEX(Vinos!$C$2:$C$301,MATCH($B1867,Vinos!$A$2:$A$301,0)),""))</f>
        <v/>
      </c>
      <c r="R1867" s="20">
        <f>IF(OR($A1867="",$A1867&lt;&gt;'Resumen del inventario'!$C$3,$N1867="",$N1867="OK"),"",IF(COUNTIFS($A$2:$A1867,$A1867,$B$2:$B1867,$B1867)=1,1,""))</f>
        <v/>
      </c>
      <c r="S1867" s="20">
        <f>IF($R1867=1,COUNTIF($R$2:$R1867,1),"")</f>
        <v/>
      </c>
    </row>
    <row r="1868">
      <c r="A1868" s="19" t="n"/>
      <c r="B1868" s="14" t="n"/>
      <c r="C1868" s="20">
        <f>IF($B1868="","",IFERROR(INDEX(Vinos!$B$2:$B$301,MATCH($B1868,Vinos!$A$2:$A$301,0)),"Código no cargado"))</f>
        <v/>
      </c>
      <c r="D1868" s="14" t="n"/>
      <c r="E1868" s="14" t="n"/>
      <c r="F1868" s="18" t="n"/>
      <c r="G1868" s="18" t="n"/>
      <c r="H1868" s="21">
        <f>IF(AND($F1868="",$G1868=""),"",N($F1868)*IFERROR(N(INDEX(Vinos!$H$2:$H$301,MATCH($B1868,Vinos!$A$2:$A$301,0))),0)+N($G1868))</f>
        <v/>
      </c>
      <c r="I1868" s="18" t="n"/>
      <c r="J1868" s="21">
        <f>IF(OR($H1868="",$I1868=""),"",$H1868-$I1868)</f>
        <v/>
      </c>
      <c r="K1868" s="16">
        <f>IF($H1868="","",IFERROR(IF(INDEX(Vinos!$J$2:$J$301,MATCH($B1868,Vinos!$A$2:$A$301,0))="","",$H1868*INDEX(Vinos!$J$2:$J$301,MATCH($B1868,Vinos!$A$2:$A$301,0))),""))</f>
        <v/>
      </c>
      <c r="L1868" s="16">
        <f>IF($H1868="","",IFERROR(IF(INDEX(Vinos!$K$2:$K$301,MATCH($B1868,Vinos!$A$2:$A$301,0))="","",$H1868*INDEX(Vinos!$K$2:$K$301,MATCH($B1868,Vinos!$A$2:$A$301,0))),""))</f>
        <v/>
      </c>
      <c r="M1868" s="21">
        <f>IF(OR($A1868="",$B1868=""),"",SUMIFS($H$2:$H$2001,$A$2:$A$2001,$A1868,$B$2:$B$2001,$B1868))</f>
        <v/>
      </c>
      <c r="N1868" s="20">
        <f>IF($M1868="","",IF($M1868&lt;=0,"Sin stock: reponer ya",IF($M1868&lt;IFERROR(N(INDEX(Vinos!$N$2:$N$301,MATCH($B1868,Vinos!$A$2:$A$301,0))),0),"Bajo mínimo: reponer","OK")))</f>
        <v/>
      </c>
      <c r="O1868" s="14" t="n"/>
      <c r="P1868" s="14" t="n"/>
      <c r="Q1868" s="20">
        <f>IF($B1868="","",IFERROR(INDEX(Vinos!$C$2:$C$301,MATCH($B1868,Vinos!$A$2:$A$301,0)),""))</f>
        <v/>
      </c>
      <c r="R1868" s="20">
        <f>IF(OR($A1868="",$A1868&lt;&gt;'Resumen del inventario'!$C$3,$N1868="",$N1868="OK"),"",IF(COUNTIFS($A$2:$A1868,$A1868,$B$2:$B1868,$B1868)=1,1,""))</f>
        <v/>
      </c>
      <c r="S1868" s="20">
        <f>IF($R1868=1,COUNTIF($R$2:$R1868,1),"")</f>
        <v/>
      </c>
    </row>
    <row r="1869">
      <c r="A1869" s="19" t="n"/>
      <c r="B1869" s="14" t="n"/>
      <c r="C1869" s="20">
        <f>IF($B1869="","",IFERROR(INDEX(Vinos!$B$2:$B$301,MATCH($B1869,Vinos!$A$2:$A$301,0)),"Código no cargado"))</f>
        <v/>
      </c>
      <c r="D1869" s="14" t="n"/>
      <c r="E1869" s="14" t="n"/>
      <c r="F1869" s="18" t="n"/>
      <c r="G1869" s="18" t="n"/>
      <c r="H1869" s="21">
        <f>IF(AND($F1869="",$G1869=""),"",N($F1869)*IFERROR(N(INDEX(Vinos!$H$2:$H$301,MATCH($B1869,Vinos!$A$2:$A$301,0))),0)+N($G1869))</f>
        <v/>
      </c>
      <c r="I1869" s="18" t="n"/>
      <c r="J1869" s="21">
        <f>IF(OR($H1869="",$I1869=""),"",$H1869-$I1869)</f>
        <v/>
      </c>
      <c r="K1869" s="16">
        <f>IF($H1869="","",IFERROR(IF(INDEX(Vinos!$J$2:$J$301,MATCH($B1869,Vinos!$A$2:$A$301,0))="","",$H1869*INDEX(Vinos!$J$2:$J$301,MATCH($B1869,Vinos!$A$2:$A$301,0))),""))</f>
        <v/>
      </c>
      <c r="L1869" s="16">
        <f>IF($H1869="","",IFERROR(IF(INDEX(Vinos!$K$2:$K$301,MATCH($B1869,Vinos!$A$2:$A$301,0))="","",$H1869*INDEX(Vinos!$K$2:$K$301,MATCH($B1869,Vinos!$A$2:$A$301,0))),""))</f>
        <v/>
      </c>
      <c r="M1869" s="21">
        <f>IF(OR($A1869="",$B1869=""),"",SUMIFS($H$2:$H$2001,$A$2:$A$2001,$A1869,$B$2:$B$2001,$B1869))</f>
        <v/>
      </c>
      <c r="N1869" s="20">
        <f>IF($M1869="","",IF($M1869&lt;=0,"Sin stock: reponer ya",IF($M1869&lt;IFERROR(N(INDEX(Vinos!$N$2:$N$301,MATCH($B1869,Vinos!$A$2:$A$301,0))),0),"Bajo mínimo: reponer","OK")))</f>
        <v/>
      </c>
      <c r="O1869" s="14" t="n"/>
      <c r="P1869" s="14" t="n"/>
      <c r="Q1869" s="20">
        <f>IF($B1869="","",IFERROR(INDEX(Vinos!$C$2:$C$301,MATCH($B1869,Vinos!$A$2:$A$301,0)),""))</f>
        <v/>
      </c>
      <c r="R1869" s="20">
        <f>IF(OR($A1869="",$A1869&lt;&gt;'Resumen del inventario'!$C$3,$N1869="",$N1869="OK"),"",IF(COUNTIFS($A$2:$A1869,$A1869,$B$2:$B1869,$B1869)=1,1,""))</f>
        <v/>
      </c>
      <c r="S1869" s="20">
        <f>IF($R1869=1,COUNTIF($R$2:$R1869,1),"")</f>
        <v/>
      </c>
    </row>
    <row r="1870">
      <c r="A1870" s="19" t="n"/>
      <c r="B1870" s="14" t="n"/>
      <c r="C1870" s="20">
        <f>IF($B1870="","",IFERROR(INDEX(Vinos!$B$2:$B$301,MATCH($B1870,Vinos!$A$2:$A$301,0)),"Código no cargado"))</f>
        <v/>
      </c>
      <c r="D1870" s="14" t="n"/>
      <c r="E1870" s="14" t="n"/>
      <c r="F1870" s="18" t="n"/>
      <c r="G1870" s="18" t="n"/>
      <c r="H1870" s="21">
        <f>IF(AND($F1870="",$G1870=""),"",N($F1870)*IFERROR(N(INDEX(Vinos!$H$2:$H$301,MATCH($B1870,Vinos!$A$2:$A$301,0))),0)+N($G1870))</f>
        <v/>
      </c>
      <c r="I1870" s="18" t="n"/>
      <c r="J1870" s="21">
        <f>IF(OR($H1870="",$I1870=""),"",$H1870-$I1870)</f>
        <v/>
      </c>
      <c r="K1870" s="16">
        <f>IF($H1870="","",IFERROR(IF(INDEX(Vinos!$J$2:$J$301,MATCH($B1870,Vinos!$A$2:$A$301,0))="","",$H1870*INDEX(Vinos!$J$2:$J$301,MATCH($B1870,Vinos!$A$2:$A$301,0))),""))</f>
        <v/>
      </c>
      <c r="L1870" s="16">
        <f>IF($H1870="","",IFERROR(IF(INDEX(Vinos!$K$2:$K$301,MATCH($B1870,Vinos!$A$2:$A$301,0))="","",$H1870*INDEX(Vinos!$K$2:$K$301,MATCH($B1870,Vinos!$A$2:$A$301,0))),""))</f>
        <v/>
      </c>
      <c r="M1870" s="21">
        <f>IF(OR($A1870="",$B1870=""),"",SUMIFS($H$2:$H$2001,$A$2:$A$2001,$A1870,$B$2:$B$2001,$B1870))</f>
        <v/>
      </c>
      <c r="N1870" s="20">
        <f>IF($M1870="","",IF($M1870&lt;=0,"Sin stock: reponer ya",IF($M1870&lt;IFERROR(N(INDEX(Vinos!$N$2:$N$301,MATCH($B1870,Vinos!$A$2:$A$301,0))),0),"Bajo mínimo: reponer","OK")))</f>
        <v/>
      </c>
      <c r="O1870" s="14" t="n"/>
      <c r="P1870" s="14" t="n"/>
      <c r="Q1870" s="20">
        <f>IF($B1870="","",IFERROR(INDEX(Vinos!$C$2:$C$301,MATCH($B1870,Vinos!$A$2:$A$301,0)),""))</f>
        <v/>
      </c>
      <c r="R1870" s="20">
        <f>IF(OR($A1870="",$A1870&lt;&gt;'Resumen del inventario'!$C$3,$N1870="",$N1870="OK"),"",IF(COUNTIFS($A$2:$A1870,$A1870,$B$2:$B1870,$B1870)=1,1,""))</f>
        <v/>
      </c>
      <c r="S1870" s="20">
        <f>IF($R1870=1,COUNTIF($R$2:$R1870,1),"")</f>
        <v/>
      </c>
    </row>
    <row r="1871">
      <c r="A1871" s="19" t="n"/>
      <c r="B1871" s="14" t="n"/>
      <c r="C1871" s="20">
        <f>IF($B1871="","",IFERROR(INDEX(Vinos!$B$2:$B$301,MATCH($B1871,Vinos!$A$2:$A$301,0)),"Código no cargado"))</f>
        <v/>
      </c>
      <c r="D1871" s="14" t="n"/>
      <c r="E1871" s="14" t="n"/>
      <c r="F1871" s="18" t="n"/>
      <c r="G1871" s="18" t="n"/>
      <c r="H1871" s="21">
        <f>IF(AND($F1871="",$G1871=""),"",N($F1871)*IFERROR(N(INDEX(Vinos!$H$2:$H$301,MATCH($B1871,Vinos!$A$2:$A$301,0))),0)+N($G1871))</f>
        <v/>
      </c>
      <c r="I1871" s="18" t="n"/>
      <c r="J1871" s="21">
        <f>IF(OR($H1871="",$I1871=""),"",$H1871-$I1871)</f>
        <v/>
      </c>
      <c r="K1871" s="16">
        <f>IF($H1871="","",IFERROR(IF(INDEX(Vinos!$J$2:$J$301,MATCH($B1871,Vinos!$A$2:$A$301,0))="","",$H1871*INDEX(Vinos!$J$2:$J$301,MATCH($B1871,Vinos!$A$2:$A$301,0))),""))</f>
        <v/>
      </c>
      <c r="L1871" s="16">
        <f>IF($H1871="","",IFERROR(IF(INDEX(Vinos!$K$2:$K$301,MATCH($B1871,Vinos!$A$2:$A$301,0))="","",$H1871*INDEX(Vinos!$K$2:$K$301,MATCH($B1871,Vinos!$A$2:$A$301,0))),""))</f>
        <v/>
      </c>
      <c r="M1871" s="21">
        <f>IF(OR($A1871="",$B1871=""),"",SUMIFS($H$2:$H$2001,$A$2:$A$2001,$A1871,$B$2:$B$2001,$B1871))</f>
        <v/>
      </c>
      <c r="N1871" s="20">
        <f>IF($M1871="","",IF($M1871&lt;=0,"Sin stock: reponer ya",IF($M1871&lt;IFERROR(N(INDEX(Vinos!$N$2:$N$301,MATCH($B1871,Vinos!$A$2:$A$301,0))),0),"Bajo mínimo: reponer","OK")))</f>
        <v/>
      </c>
      <c r="O1871" s="14" t="n"/>
      <c r="P1871" s="14" t="n"/>
      <c r="Q1871" s="20">
        <f>IF($B1871="","",IFERROR(INDEX(Vinos!$C$2:$C$301,MATCH($B1871,Vinos!$A$2:$A$301,0)),""))</f>
        <v/>
      </c>
      <c r="R1871" s="20">
        <f>IF(OR($A1871="",$A1871&lt;&gt;'Resumen del inventario'!$C$3,$N1871="",$N1871="OK"),"",IF(COUNTIFS($A$2:$A1871,$A1871,$B$2:$B1871,$B1871)=1,1,""))</f>
        <v/>
      </c>
      <c r="S1871" s="20">
        <f>IF($R1871=1,COUNTIF($R$2:$R1871,1),"")</f>
        <v/>
      </c>
    </row>
    <row r="1872">
      <c r="A1872" s="19" t="n"/>
      <c r="B1872" s="14" t="n"/>
      <c r="C1872" s="20">
        <f>IF($B1872="","",IFERROR(INDEX(Vinos!$B$2:$B$301,MATCH($B1872,Vinos!$A$2:$A$301,0)),"Código no cargado"))</f>
        <v/>
      </c>
      <c r="D1872" s="14" t="n"/>
      <c r="E1872" s="14" t="n"/>
      <c r="F1872" s="18" t="n"/>
      <c r="G1872" s="18" t="n"/>
      <c r="H1872" s="21">
        <f>IF(AND($F1872="",$G1872=""),"",N($F1872)*IFERROR(N(INDEX(Vinos!$H$2:$H$301,MATCH($B1872,Vinos!$A$2:$A$301,0))),0)+N($G1872))</f>
        <v/>
      </c>
      <c r="I1872" s="18" t="n"/>
      <c r="J1872" s="21">
        <f>IF(OR($H1872="",$I1872=""),"",$H1872-$I1872)</f>
        <v/>
      </c>
      <c r="K1872" s="16">
        <f>IF($H1872="","",IFERROR(IF(INDEX(Vinos!$J$2:$J$301,MATCH($B1872,Vinos!$A$2:$A$301,0))="","",$H1872*INDEX(Vinos!$J$2:$J$301,MATCH($B1872,Vinos!$A$2:$A$301,0))),""))</f>
        <v/>
      </c>
      <c r="L1872" s="16">
        <f>IF($H1872="","",IFERROR(IF(INDEX(Vinos!$K$2:$K$301,MATCH($B1872,Vinos!$A$2:$A$301,0))="","",$H1872*INDEX(Vinos!$K$2:$K$301,MATCH($B1872,Vinos!$A$2:$A$301,0))),""))</f>
        <v/>
      </c>
      <c r="M1872" s="21">
        <f>IF(OR($A1872="",$B1872=""),"",SUMIFS($H$2:$H$2001,$A$2:$A$2001,$A1872,$B$2:$B$2001,$B1872))</f>
        <v/>
      </c>
      <c r="N1872" s="20">
        <f>IF($M1872="","",IF($M1872&lt;=0,"Sin stock: reponer ya",IF($M1872&lt;IFERROR(N(INDEX(Vinos!$N$2:$N$301,MATCH($B1872,Vinos!$A$2:$A$301,0))),0),"Bajo mínimo: reponer","OK")))</f>
        <v/>
      </c>
      <c r="O1872" s="14" t="n"/>
      <c r="P1872" s="14" t="n"/>
      <c r="Q1872" s="20">
        <f>IF($B1872="","",IFERROR(INDEX(Vinos!$C$2:$C$301,MATCH($B1872,Vinos!$A$2:$A$301,0)),""))</f>
        <v/>
      </c>
      <c r="R1872" s="20">
        <f>IF(OR($A1872="",$A1872&lt;&gt;'Resumen del inventario'!$C$3,$N1872="",$N1872="OK"),"",IF(COUNTIFS($A$2:$A1872,$A1872,$B$2:$B1872,$B1872)=1,1,""))</f>
        <v/>
      </c>
      <c r="S1872" s="20">
        <f>IF($R1872=1,COUNTIF($R$2:$R1872,1),"")</f>
        <v/>
      </c>
    </row>
    <row r="1873">
      <c r="A1873" s="19" t="n"/>
      <c r="B1873" s="14" t="n"/>
      <c r="C1873" s="20">
        <f>IF($B1873="","",IFERROR(INDEX(Vinos!$B$2:$B$301,MATCH($B1873,Vinos!$A$2:$A$301,0)),"Código no cargado"))</f>
        <v/>
      </c>
      <c r="D1873" s="14" t="n"/>
      <c r="E1873" s="14" t="n"/>
      <c r="F1873" s="18" t="n"/>
      <c r="G1873" s="18" t="n"/>
      <c r="H1873" s="21">
        <f>IF(AND($F1873="",$G1873=""),"",N($F1873)*IFERROR(N(INDEX(Vinos!$H$2:$H$301,MATCH($B1873,Vinos!$A$2:$A$301,0))),0)+N($G1873))</f>
        <v/>
      </c>
      <c r="I1873" s="18" t="n"/>
      <c r="J1873" s="21">
        <f>IF(OR($H1873="",$I1873=""),"",$H1873-$I1873)</f>
        <v/>
      </c>
      <c r="K1873" s="16">
        <f>IF($H1873="","",IFERROR(IF(INDEX(Vinos!$J$2:$J$301,MATCH($B1873,Vinos!$A$2:$A$301,0))="","",$H1873*INDEX(Vinos!$J$2:$J$301,MATCH($B1873,Vinos!$A$2:$A$301,0))),""))</f>
        <v/>
      </c>
      <c r="L1873" s="16">
        <f>IF($H1873="","",IFERROR(IF(INDEX(Vinos!$K$2:$K$301,MATCH($B1873,Vinos!$A$2:$A$301,0))="","",$H1873*INDEX(Vinos!$K$2:$K$301,MATCH($B1873,Vinos!$A$2:$A$301,0))),""))</f>
        <v/>
      </c>
      <c r="M1873" s="21">
        <f>IF(OR($A1873="",$B1873=""),"",SUMIFS($H$2:$H$2001,$A$2:$A$2001,$A1873,$B$2:$B$2001,$B1873))</f>
        <v/>
      </c>
      <c r="N1873" s="20">
        <f>IF($M1873="","",IF($M1873&lt;=0,"Sin stock: reponer ya",IF($M1873&lt;IFERROR(N(INDEX(Vinos!$N$2:$N$301,MATCH($B1873,Vinos!$A$2:$A$301,0))),0),"Bajo mínimo: reponer","OK")))</f>
        <v/>
      </c>
      <c r="O1873" s="14" t="n"/>
      <c r="P1873" s="14" t="n"/>
      <c r="Q1873" s="20">
        <f>IF($B1873="","",IFERROR(INDEX(Vinos!$C$2:$C$301,MATCH($B1873,Vinos!$A$2:$A$301,0)),""))</f>
        <v/>
      </c>
      <c r="R1873" s="20">
        <f>IF(OR($A1873="",$A1873&lt;&gt;'Resumen del inventario'!$C$3,$N1873="",$N1873="OK"),"",IF(COUNTIFS($A$2:$A1873,$A1873,$B$2:$B1873,$B1873)=1,1,""))</f>
        <v/>
      </c>
      <c r="S1873" s="20">
        <f>IF($R1873=1,COUNTIF($R$2:$R1873,1),"")</f>
        <v/>
      </c>
    </row>
    <row r="1874">
      <c r="A1874" s="19" t="n"/>
      <c r="B1874" s="14" t="n"/>
      <c r="C1874" s="20">
        <f>IF($B1874="","",IFERROR(INDEX(Vinos!$B$2:$B$301,MATCH($B1874,Vinos!$A$2:$A$301,0)),"Código no cargado"))</f>
        <v/>
      </c>
      <c r="D1874" s="14" t="n"/>
      <c r="E1874" s="14" t="n"/>
      <c r="F1874" s="18" t="n"/>
      <c r="G1874" s="18" t="n"/>
      <c r="H1874" s="21">
        <f>IF(AND($F1874="",$G1874=""),"",N($F1874)*IFERROR(N(INDEX(Vinos!$H$2:$H$301,MATCH($B1874,Vinos!$A$2:$A$301,0))),0)+N($G1874))</f>
        <v/>
      </c>
      <c r="I1874" s="18" t="n"/>
      <c r="J1874" s="21">
        <f>IF(OR($H1874="",$I1874=""),"",$H1874-$I1874)</f>
        <v/>
      </c>
      <c r="K1874" s="16">
        <f>IF($H1874="","",IFERROR(IF(INDEX(Vinos!$J$2:$J$301,MATCH($B1874,Vinos!$A$2:$A$301,0))="","",$H1874*INDEX(Vinos!$J$2:$J$301,MATCH($B1874,Vinos!$A$2:$A$301,0))),""))</f>
        <v/>
      </c>
      <c r="L1874" s="16">
        <f>IF($H1874="","",IFERROR(IF(INDEX(Vinos!$K$2:$K$301,MATCH($B1874,Vinos!$A$2:$A$301,0))="","",$H1874*INDEX(Vinos!$K$2:$K$301,MATCH($B1874,Vinos!$A$2:$A$301,0))),""))</f>
        <v/>
      </c>
      <c r="M1874" s="21">
        <f>IF(OR($A1874="",$B1874=""),"",SUMIFS($H$2:$H$2001,$A$2:$A$2001,$A1874,$B$2:$B$2001,$B1874))</f>
        <v/>
      </c>
      <c r="N1874" s="20">
        <f>IF($M1874="","",IF($M1874&lt;=0,"Sin stock: reponer ya",IF($M1874&lt;IFERROR(N(INDEX(Vinos!$N$2:$N$301,MATCH($B1874,Vinos!$A$2:$A$301,0))),0),"Bajo mínimo: reponer","OK")))</f>
        <v/>
      </c>
      <c r="O1874" s="14" t="n"/>
      <c r="P1874" s="14" t="n"/>
      <c r="Q1874" s="20">
        <f>IF($B1874="","",IFERROR(INDEX(Vinos!$C$2:$C$301,MATCH($B1874,Vinos!$A$2:$A$301,0)),""))</f>
        <v/>
      </c>
      <c r="R1874" s="20">
        <f>IF(OR($A1874="",$A1874&lt;&gt;'Resumen del inventario'!$C$3,$N1874="",$N1874="OK"),"",IF(COUNTIFS($A$2:$A1874,$A1874,$B$2:$B1874,$B1874)=1,1,""))</f>
        <v/>
      </c>
      <c r="S1874" s="20">
        <f>IF($R1874=1,COUNTIF($R$2:$R1874,1),"")</f>
        <v/>
      </c>
    </row>
    <row r="1875">
      <c r="A1875" s="19" t="n"/>
      <c r="B1875" s="14" t="n"/>
      <c r="C1875" s="20">
        <f>IF($B1875="","",IFERROR(INDEX(Vinos!$B$2:$B$301,MATCH($B1875,Vinos!$A$2:$A$301,0)),"Código no cargado"))</f>
        <v/>
      </c>
      <c r="D1875" s="14" t="n"/>
      <c r="E1875" s="14" t="n"/>
      <c r="F1875" s="18" t="n"/>
      <c r="G1875" s="18" t="n"/>
      <c r="H1875" s="21">
        <f>IF(AND($F1875="",$G1875=""),"",N($F1875)*IFERROR(N(INDEX(Vinos!$H$2:$H$301,MATCH($B1875,Vinos!$A$2:$A$301,0))),0)+N($G1875))</f>
        <v/>
      </c>
      <c r="I1875" s="18" t="n"/>
      <c r="J1875" s="21">
        <f>IF(OR($H1875="",$I1875=""),"",$H1875-$I1875)</f>
        <v/>
      </c>
      <c r="K1875" s="16">
        <f>IF($H1875="","",IFERROR(IF(INDEX(Vinos!$J$2:$J$301,MATCH($B1875,Vinos!$A$2:$A$301,0))="","",$H1875*INDEX(Vinos!$J$2:$J$301,MATCH($B1875,Vinos!$A$2:$A$301,0))),""))</f>
        <v/>
      </c>
      <c r="L1875" s="16">
        <f>IF($H1875="","",IFERROR(IF(INDEX(Vinos!$K$2:$K$301,MATCH($B1875,Vinos!$A$2:$A$301,0))="","",$H1875*INDEX(Vinos!$K$2:$K$301,MATCH($B1875,Vinos!$A$2:$A$301,0))),""))</f>
        <v/>
      </c>
      <c r="M1875" s="21">
        <f>IF(OR($A1875="",$B1875=""),"",SUMIFS($H$2:$H$2001,$A$2:$A$2001,$A1875,$B$2:$B$2001,$B1875))</f>
        <v/>
      </c>
      <c r="N1875" s="20">
        <f>IF($M1875="","",IF($M1875&lt;=0,"Sin stock: reponer ya",IF($M1875&lt;IFERROR(N(INDEX(Vinos!$N$2:$N$301,MATCH($B1875,Vinos!$A$2:$A$301,0))),0),"Bajo mínimo: reponer","OK")))</f>
        <v/>
      </c>
      <c r="O1875" s="14" t="n"/>
      <c r="P1875" s="14" t="n"/>
      <c r="Q1875" s="20">
        <f>IF($B1875="","",IFERROR(INDEX(Vinos!$C$2:$C$301,MATCH($B1875,Vinos!$A$2:$A$301,0)),""))</f>
        <v/>
      </c>
      <c r="R1875" s="20">
        <f>IF(OR($A1875="",$A1875&lt;&gt;'Resumen del inventario'!$C$3,$N1875="",$N1875="OK"),"",IF(COUNTIFS($A$2:$A1875,$A1875,$B$2:$B1875,$B1875)=1,1,""))</f>
        <v/>
      </c>
      <c r="S1875" s="20">
        <f>IF($R1875=1,COUNTIF($R$2:$R1875,1),"")</f>
        <v/>
      </c>
    </row>
    <row r="1876">
      <c r="A1876" s="19" t="n"/>
      <c r="B1876" s="14" t="n"/>
      <c r="C1876" s="20">
        <f>IF($B1876="","",IFERROR(INDEX(Vinos!$B$2:$B$301,MATCH($B1876,Vinos!$A$2:$A$301,0)),"Código no cargado"))</f>
        <v/>
      </c>
      <c r="D1876" s="14" t="n"/>
      <c r="E1876" s="14" t="n"/>
      <c r="F1876" s="18" t="n"/>
      <c r="G1876" s="18" t="n"/>
      <c r="H1876" s="21">
        <f>IF(AND($F1876="",$G1876=""),"",N($F1876)*IFERROR(N(INDEX(Vinos!$H$2:$H$301,MATCH($B1876,Vinos!$A$2:$A$301,0))),0)+N($G1876))</f>
        <v/>
      </c>
      <c r="I1876" s="18" t="n"/>
      <c r="J1876" s="21">
        <f>IF(OR($H1876="",$I1876=""),"",$H1876-$I1876)</f>
        <v/>
      </c>
      <c r="K1876" s="16">
        <f>IF($H1876="","",IFERROR(IF(INDEX(Vinos!$J$2:$J$301,MATCH($B1876,Vinos!$A$2:$A$301,0))="","",$H1876*INDEX(Vinos!$J$2:$J$301,MATCH($B1876,Vinos!$A$2:$A$301,0))),""))</f>
        <v/>
      </c>
      <c r="L1876" s="16">
        <f>IF($H1876="","",IFERROR(IF(INDEX(Vinos!$K$2:$K$301,MATCH($B1876,Vinos!$A$2:$A$301,0))="","",$H1876*INDEX(Vinos!$K$2:$K$301,MATCH($B1876,Vinos!$A$2:$A$301,0))),""))</f>
        <v/>
      </c>
      <c r="M1876" s="21">
        <f>IF(OR($A1876="",$B1876=""),"",SUMIFS($H$2:$H$2001,$A$2:$A$2001,$A1876,$B$2:$B$2001,$B1876))</f>
        <v/>
      </c>
      <c r="N1876" s="20">
        <f>IF($M1876="","",IF($M1876&lt;=0,"Sin stock: reponer ya",IF($M1876&lt;IFERROR(N(INDEX(Vinos!$N$2:$N$301,MATCH($B1876,Vinos!$A$2:$A$301,0))),0),"Bajo mínimo: reponer","OK")))</f>
        <v/>
      </c>
      <c r="O1876" s="14" t="n"/>
      <c r="P1876" s="14" t="n"/>
      <c r="Q1876" s="20">
        <f>IF($B1876="","",IFERROR(INDEX(Vinos!$C$2:$C$301,MATCH($B1876,Vinos!$A$2:$A$301,0)),""))</f>
        <v/>
      </c>
      <c r="R1876" s="20">
        <f>IF(OR($A1876="",$A1876&lt;&gt;'Resumen del inventario'!$C$3,$N1876="",$N1876="OK"),"",IF(COUNTIFS($A$2:$A1876,$A1876,$B$2:$B1876,$B1876)=1,1,""))</f>
        <v/>
      </c>
      <c r="S1876" s="20">
        <f>IF($R1876=1,COUNTIF($R$2:$R1876,1),"")</f>
        <v/>
      </c>
    </row>
    <row r="1877">
      <c r="A1877" s="19" t="n"/>
      <c r="B1877" s="14" t="n"/>
      <c r="C1877" s="20">
        <f>IF($B1877="","",IFERROR(INDEX(Vinos!$B$2:$B$301,MATCH($B1877,Vinos!$A$2:$A$301,0)),"Código no cargado"))</f>
        <v/>
      </c>
      <c r="D1877" s="14" t="n"/>
      <c r="E1877" s="14" t="n"/>
      <c r="F1877" s="18" t="n"/>
      <c r="G1877" s="18" t="n"/>
      <c r="H1877" s="21">
        <f>IF(AND($F1877="",$G1877=""),"",N($F1877)*IFERROR(N(INDEX(Vinos!$H$2:$H$301,MATCH($B1877,Vinos!$A$2:$A$301,0))),0)+N($G1877))</f>
        <v/>
      </c>
      <c r="I1877" s="18" t="n"/>
      <c r="J1877" s="21">
        <f>IF(OR($H1877="",$I1877=""),"",$H1877-$I1877)</f>
        <v/>
      </c>
      <c r="K1877" s="16">
        <f>IF($H1877="","",IFERROR(IF(INDEX(Vinos!$J$2:$J$301,MATCH($B1877,Vinos!$A$2:$A$301,0))="","",$H1877*INDEX(Vinos!$J$2:$J$301,MATCH($B1877,Vinos!$A$2:$A$301,0))),""))</f>
        <v/>
      </c>
      <c r="L1877" s="16">
        <f>IF($H1877="","",IFERROR(IF(INDEX(Vinos!$K$2:$K$301,MATCH($B1877,Vinos!$A$2:$A$301,0))="","",$H1877*INDEX(Vinos!$K$2:$K$301,MATCH($B1877,Vinos!$A$2:$A$301,0))),""))</f>
        <v/>
      </c>
      <c r="M1877" s="21">
        <f>IF(OR($A1877="",$B1877=""),"",SUMIFS($H$2:$H$2001,$A$2:$A$2001,$A1877,$B$2:$B$2001,$B1877))</f>
        <v/>
      </c>
      <c r="N1877" s="20">
        <f>IF($M1877="","",IF($M1877&lt;=0,"Sin stock: reponer ya",IF($M1877&lt;IFERROR(N(INDEX(Vinos!$N$2:$N$301,MATCH($B1877,Vinos!$A$2:$A$301,0))),0),"Bajo mínimo: reponer","OK")))</f>
        <v/>
      </c>
      <c r="O1877" s="14" t="n"/>
      <c r="P1877" s="14" t="n"/>
      <c r="Q1877" s="20">
        <f>IF($B1877="","",IFERROR(INDEX(Vinos!$C$2:$C$301,MATCH($B1877,Vinos!$A$2:$A$301,0)),""))</f>
        <v/>
      </c>
      <c r="R1877" s="20">
        <f>IF(OR($A1877="",$A1877&lt;&gt;'Resumen del inventario'!$C$3,$N1877="",$N1877="OK"),"",IF(COUNTIFS($A$2:$A1877,$A1877,$B$2:$B1877,$B1877)=1,1,""))</f>
        <v/>
      </c>
      <c r="S1877" s="20">
        <f>IF($R1877=1,COUNTIF($R$2:$R1877,1),"")</f>
        <v/>
      </c>
    </row>
    <row r="1878">
      <c r="A1878" s="19" t="n"/>
      <c r="B1878" s="14" t="n"/>
      <c r="C1878" s="20">
        <f>IF($B1878="","",IFERROR(INDEX(Vinos!$B$2:$B$301,MATCH($B1878,Vinos!$A$2:$A$301,0)),"Código no cargado"))</f>
        <v/>
      </c>
      <c r="D1878" s="14" t="n"/>
      <c r="E1878" s="14" t="n"/>
      <c r="F1878" s="18" t="n"/>
      <c r="G1878" s="18" t="n"/>
      <c r="H1878" s="21">
        <f>IF(AND($F1878="",$G1878=""),"",N($F1878)*IFERROR(N(INDEX(Vinos!$H$2:$H$301,MATCH($B1878,Vinos!$A$2:$A$301,0))),0)+N($G1878))</f>
        <v/>
      </c>
      <c r="I1878" s="18" t="n"/>
      <c r="J1878" s="21">
        <f>IF(OR($H1878="",$I1878=""),"",$H1878-$I1878)</f>
        <v/>
      </c>
      <c r="K1878" s="16">
        <f>IF($H1878="","",IFERROR(IF(INDEX(Vinos!$J$2:$J$301,MATCH($B1878,Vinos!$A$2:$A$301,0))="","",$H1878*INDEX(Vinos!$J$2:$J$301,MATCH($B1878,Vinos!$A$2:$A$301,0))),""))</f>
        <v/>
      </c>
      <c r="L1878" s="16">
        <f>IF($H1878="","",IFERROR(IF(INDEX(Vinos!$K$2:$K$301,MATCH($B1878,Vinos!$A$2:$A$301,0))="","",$H1878*INDEX(Vinos!$K$2:$K$301,MATCH($B1878,Vinos!$A$2:$A$301,0))),""))</f>
        <v/>
      </c>
      <c r="M1878" s="21">
        <f>IF(OR($A1878="",$B1878=""),"",SUMIFS($H$2:$H$2001,$A$2:$A$2001,$A1878,$B$2:$B$2001,$B1878))</f>
        <v/>
      </c>
      <c r="N1878" s="20">
        <f>IF($M1878="","",IF($M1878&lt;=0,"Sin stock: reponer ya",IF($M1878&lt;IFERROR(N(INDEX(Vinos!$N$2:$N$301,MATCH($B1878,Vinos!$A$2:$A$301,0))),0),"Bajo mínimo: reponer","OK")))</f>
        <v/>
      </c>
      <c r="O1878" s="14" t="n"/>
      <c r="P1878" s="14" t="n"/>
      <c r="Q1878" s="20">
        <f>IF($B1878="","",IFERROR(INDEX(Vinos!$C$2:$C$301,MATCH($B1878,Vinos!$A$2:$A$301,0)),""))</f>
        <v/>
      </c>
      <c r="R1878" s="20">
        <f>IF(OR($A1878="",$A1878&lt;&gt;'Resumen del inventario'!$C$3,$N1878="",$N1878="OK"),"",IF(COUNTIFS($A$2:$A1878,$A1878,$B$2:$B1878,$B1878)=1,1,""))</f>
        <v/>
      </c>
      <c r="S1878" s="20">
        <f>IF($R1878=1,COUNTIF($R$2:$R1878,1),"")</f>
        <v/>
      </c>
    </row>
    <row r="1879">
      <c r="A1879" s="19" t="n"/>
      <c r="B1879" s="14" t="n"/>
      <c r="C1879" s="20">
        <f>IF($B1879="","",IFERROR(INDEX(Vinos!$B$2:$B$301,MATCH($B1879,Vinos!$A$2:$A$301,0)),"Código no cargado"))</f>
        <v/>
      </c>
      <c r="D1879" s="14" t="n"/>
      <c r="E1879" s="14" t="n"/>
      <c r="F1879" s="18" t="n"/>
      <c r="G1879" s="18" t="n"/>
      <c r="H1879" s="21">
        <f>IF(AND($F1879="",$G1879=""),"",N($F1879)*IFERROR(N(INDEX(Vinos!$H$2:$H$301,MATCH($B1879,Vinos!$A$2:$A$301,0))),0)+N($G1879))</f>
        <v/>
      </c>
      <c r="I1879" s="18" t="n"/>
      <c r="J1879" s="21">
        <f>IF(OR($H1879="",$I1879=""),"",$H1879-$I1879)</f>
        <v/>
      </c>
      <c r="K1879" s="16">
        <f>IF($H1879="","",IFERROR(IF(INDEX(Vinos!$J$2:$J$301,MATCH($B1879,Vinos!$A$2:$A$301,0))="","",$H1879*INDEX(Vinos!$J$2:$J$301,MATCH($B1879,Vinos!$A$2:$A$301,0))),""))</f>
        <v/>
      </c>
      <c r="L1879" s="16">
        <f>IF($H1879="","",IFERROR(IF(INDEX(Vinos!$K$2:$K$301,MATCH($B1879,Vinos!$A$2:$A$301,0))="","",$H1879*INDEX(Vinos!$K$2:$K$301,MATCH($B1879,Vinos!$A$2:$A$301,0))),""))</f>
        <v/>
      </c>
      <c r="M1879" s="21">
        <f>IF(OR($A1879="",$B1879=""),"",SUMIFS($H$2:$H$2001,$A$2:$A$2001,$A1879,$B$2:$B$2001,$B1879))</f>
        <v/>
      </c>
      <c r="N1879" s="20">
        <f>IF($M1879="","",IF($M1879&lt;=0,"Sin stock: reponer ya",IF($M1879&lt;IFERROR(N(INDEX(Vinos!$N$2:$N$301,MATCH($B1879,Vinos!$A$2:$A$301,0))),0),"Bajo mínimo: reponer","OK")))</f>
        <v/>
      </c>
      <c r="O1879" s="14" t="n"/>
      <c r="P1879" s="14" t="n"/>
      <c r="Q1879" s="20">
        <f>IF($B1879="","",IFERROR(INDEX(Vinos!$C$2:$C$301,MATCH($B1879,Vinos!$A$2:$A$301,0)),""))</f>
        <v/>
      </c>
      <c r="R1879" s="20">
        <f>IF(OR($A1879="",$A1879&lt;&gt;'Resumen del inventario'!$C$3,$N1879="",$N1879="OK"),"",IF(COUNTIFS($A$2:$A1879,$A1879,$B$2:$B1879,$B1879)=1,1,""))</f>
        <v/>
      </c>
      <c r="S1879" s="20">
        <f>IF($R1879=1,COUNTIF($R$2:$R1879,1),"")</f>
        <v/>
      </c>
    </row>
    <row r="1880">
      <c r="A1880" s="19" t="n"/>
      <c r="B1880" s="14" t="n"/>
      <c r="C1880" s="20">
        <f>IF($B1880="","",IFERROR(INDEX(Vinos!$B$2:$B$301,MATCH($B1880,Vinos!$A$2:$A$301,0)),"Código no cargado"))</f>
        <v/>
      </c>
      <c r="D1880" s="14" t="n"/>
      <c r="E1880" s="14" t="n"/>
      <c r="F1880" s="18" t="n"/>
      <c r="G1880" s="18" t="n"/>
      <c r="H1880" s="21">
        <f>IF(AND($F1880="",$G1880=""),"",N($F1880)*IFERROR(N(INDEX(Vinos!$H$2:$H$301,MATCH($B1880,Vinos!$A$2:$A$301,0))),0)+N($G1880))</f>
        <v/>
      </c>
      <c r="I1880" s="18" t="n"/>
      <c r="J1880" s="21">
        <f>IF(OR($H1880="",$I1880=""),"",$H1880-$I1880)</f>
        <v/>
      </c>
      <c r="K1880" s="16">
        <f>IF($H1880="","",IFERROR(IF(INDEX(Vinos!$J$2:$J$301,MATCH($B1880,Vinos!$A$2:$A$301,0))="","",$H1880*INDEX(Vinos!$J$2:$J$301,MATCH($B1880,Vinos!$A$2:$A$301,0))),""))</f>
        <v/>
      </c>
      <c r="L1880" s="16">
        <f>IF($H1880="","",IFERROR(IF(INDEX(Vinos!$K$2:$K$301,MATCH($B1880,Vinos!$A$2:$A$301,0))="","",$H1880*INDEX(Vinos!$K$2:$K$301,MATCH($B1880,Vinos!$A$2:$A$301,0))),""))</f>
        <v/>
      </c>
      <c r="M1880" s="21">
        <f>IF(OR($A1880="",$B1880=""),"",SUMIFS($H$2:$H$2001,$A$2:$A$2001,$A1880,$B$2:$B$2001,$B1880))</f>
        <v/>
      </c>
      <c r="N1880" s="20">
        <f>IF($M1880="","",IF($M1880&lt;=0,"Sin stock: reponer ya",IF($M1880&lt;IFERROR(N(INDEX(Vinos!$N$2:$N$301,MATCH($B1880,Vinos!$A$2:$A$301,0))),0),"Bajo mínimo: reponer","OK")))</f>
        <v/>
      </c>
      <c r="O1880" s="14" t="n"/>
      <c r="P1880" s="14" t="n"/>
      <c r="Q1880" s="20">
        <f>IF($B1880="","",IFERROR(INDEX(Vinos!$C$2:$C$301,MATCH($B1880,Vinos!$A$2:$A$301,0)),""))</f>
        <v/>
      </c>
      <c r="R1880" s="20">
        <f>IF(OR($A1880="",$A1880&lt;&gt;'Resumen del inventario'!$C$3,$N1880="",$N1880="OK"),"",IF(COUNTIFS($A$2:$A1880,$A1880,$B$2:$B1880,$B1880)=1,1,""))</f>
        <v/>
      </c>
      <c r="S1880" s="20">
        <f>IF($R1880=1,COUNTIF($R$2:$R1880,1),"")</f>
        <v/>
      </c>
    </row>
    <row r="1881">
      <c r="A1881" s="19" t="n"/>
      <c r="B1881" s="14" t="n"/>
      <c r="C1881" s="20">
        <f>IF($B1881="","",IFERROR(INDEX(Vinos!$B$2:$B$301,MATCH($B1881,Vinos!$A$2:$A$301,0)),"Código no cargado"))</f>
        <v/>
      </c>
      <c r="D1881" s="14" t="n"/>
      <c r="E1881" s="14" t="n"/>
      <c r="F1881" s="18" t="n"/>
      <c r="G1881" s="18" t="n"/>
      <c r="H1881" s="21">
        <f>IF(AND($F1881="",$G1881=""),"",N($F1881)*IFERROR(N(INDEX(Vinos!$H$2:$H$301,MATCH($B1881,Vinos!$A$2:$A$301,0))),0)+N($G1881))</f>
        <v/>
      </c>
      <c r="I1881" s="18" t="n"/>
      <c r="J1881" s="21">
        <f>IF(OR($H1881="",$I1881=""),"",$H1881-$I1881)</f>
        <v/>
      </c>
      <c r="K1881" s="16">
        <f>IF($H1881="","",IFERROR(IF(INDEX(Vinos!$J$2:$J$301,MATCH($B1881,Vinos!$A$2:$A$301,0))="","",$H1881*INDEX(Vinos!$J$2:$J$301,MATCH($B1881,Vinos!$A$2:$A$301,0))),""))</f>
        <v/>
      </c>
      <c r="L1881" s="16">
        <f>IF($H1881="","",IFERROR(IF(INDEX(Vinos!$K$2:$K$301,MATCH($B1881,Vinos!$A$2:$A$301,0))="","",$H1881*INDEX(Vinos!$K$2:$K$301,MATCH($B1881,Vinos!$A$2:$A$301,0))),""))</f>
        <v/>
      </c>
      <c r="M1881" s="21">
        <f>IF(OR($A1881="",$B1881=""),"",SUMIFS($H$2:$H$2001,$A$2:$A$2001,$A1881,$B$2:$B$2001,$B1881))</f>
        <v/>
      </c>
      <c r="N1881" s="20">
        <f>IF($M1881="","",IF($M1881&lt;=0,"Sin stock: reponer ya",IF($M1881&lt;IFERROR(N(INDEX(Vinos!$N$2:$N$301,MATCH($B1881,Vinos!$A$2:$A$301,0))),0),"Bajo mínimo: reponer","OK")))</f>
        <v/>
      </c>
      <c r="O1881" s="14" t="n"/>
      <c r="P1881" s="14" t="n"/>
      <c r="Q1881" s="20">
        <f>IF($B1881="","",IFERROR(INDEX(Vinos!$C$2:$C$301,MATCH($B1881,Vinos!$A$2:$A$301,0)),""))</f>
        <v/>
      </c>
      <c r="R1881" s="20">
        <f>IF(OR($A1881="",$A1881&lt;&gt;'Resumen del inventario'!$C$3,$N1881="",$N1881="OK"),"",IF(COUNTIFS($A$2:$A1881,$A1881,$B$2:$B1881,$B1881)=1,1,""))</f>
        <v/>
      </c>
      <c r="S1881" s="20">
        <f>IF($R1881=1,COUNTIF($R$2:$R1881,1),"")</f>
        <v/>
      </c>
    </row>
    <row r="1882">
      <c r="A1882" s="19" t="n"/>
      <c r="B1882" s="14" t="n"/>
      <c r="C1882" s="20">
        <f>IF($B1882="","",IFERROR(INDEX(Vinos!$B$2:$B$301,MATCH($B1882,Vinos!$A$2:$A$301,0)),"Código no cargado"))</f>
        <v/>
      </c>
      <c r="D1882" s="14" t="n"/>
      <c r="E1882" s="14" t="n"/>
      <c r="F1882" s="18" t="n"/>
      <c r="G1882" s="18" t="n"/>
      <c r="H1882" s="21">
        <f>IF(AND($F1882="",$G1882=""),"",N($F1882)*IFERROR(N(INDEX(Vinos!$H$2:$H$301,MATCH($B1882,Vinos!$A$2:$A$301,0))),0)+N($G1882))</f>
        <v/>
      </c>
      <c r="I1882" s="18" t="n"/>
      <c r="J1882" s="21">
        <f>IF(OR($H1882="",$I1882=""),"",$H1882-$I1882)</f>
        <v/>
      </c>
      <c r="K1882" s="16">
        <f>IF($H1882="","",IFERROR(IF(INDEX(Vinos!$J$2:$J$301,MATCH($B1882,Vinos!$A$2:$A$301,0))="","",$H1882*INDEX(Vinos!$J$2:$J$301,MATCH($B1882,Vinos!$A$2:$A$301,0))),""))</f>
        <v/>
      </c>
      <c r="L1882" s="16">
        <f>IF($H1882="","",IFERROR(IF(INDEX(Vinos!$K$2:$K$301,MATCH($B1882,Vinos!$A$2:$A$301,0))="","",$H1882*INDEX(Vinos!$K$2:$K$301,MATCH($B1882,Vinos!$A$2:$A$301,0))),""))</f>
        <v/>
      </c>
      <c r="M1882" s="21">
        <f>IF(OR($A1882="",$B1882=""),"",SUMIFS($H$2:$H$2001,$A$2:$A$2001,$A1882,$B$2:$B$2001,$B1882))</f>
        <v/>
      </c>
      <c r="N1882" s="20">
        <f>IF($M1882="","",IF($M1882&lt;=0,"Sin stock: reponer ya",IF($M1882&lt;IFERROR(N(INDEX(Vinos!$N$2:$N$301,MATCH($B1882,Vinos!$A$2:$A$301,0))),0),"Bajo mínimo: reponer","OK")))</f>
        <v/>
      </c>
      <c r="O1882" s="14" t="n"/>
      <c r="P1882" s="14" t="n"/>
      <c r="Q1882" s="20">
        <f>IF($B1882="","",IFERROR(INDEX(Vinos!$C$2:$C$301,MATCH($B1882,Vinos!$A$2:$A$301,0)),""))</f>
        <v/>
      </c>
      <c r="R1882" s="20">
        <f>IF(OR($A1882="",$A1882&lt;&gt;'Resumen del inventario'!$C$3,$N1882="",$N1882="OK"),"",IF(COUNTIFS($A$2:$A1882,$A1882,$B$2:$B1882,$B1882)=1,1,""))</f>
        <v/>
      </c>
      <c r="S1882" s="20">
        <f>IF($R1882=1,COUNTIF($R$2:$R1882,1),"")</f>
        <v/>
      </c>
    </row>
    <row r="1883">
      <c r="A1883" s="19" t="n"/>
      <c r="B1883" s="14" t="n"/>
      <c r="C1883" s="20">
        <f>IF($B1883="","",IFERROR(INDEX(Vinos!$B$2:$B$301,MATCH($B1883,Vinos!$A$2:$A$301,0)),"Código no cargado"))</f>
        <v/>
      </c>
      <c r="D1883" s="14" t="n"/>
      <c r="E1883" s="14" t="n"/>
      <c r="F1883" s="18" t="n"/>
      <c r="G1883" s="18" t="n"/>
      <c r="H1883" s="21">
        <f>IF(AND($F1883="",$G1883=""),"",N($F1883)*IFERROR(N(INDEX(Vinos!$H$2:$H$301,MATCH($B1883,Vinos!$A$2:$A$301,0))),0)+N($G1883))</f>
        <v/>
      </c>
      <c r="I1883" s="18" t="n"/>
      <c r="J1883" s="21">
        <f>IF(OR($H1883="",$I1883=""),"",$H1883-$I1883)</f>
        <v/>
      </c>
      <c r="K1883" s="16">
        <f>IF($H1883="","",IFERROR(IF(INDEX(Vinos!$J$2:$J$301,MATCH($B1883,Vinos!$A$2:$A$301,0))="","",$H1883*INDEX(Vinos!$J$2:$J$301,MATCH($B1883,Vinos!$A$2:$A$301,0))),""))</f>
        <v/>
      </c>
      <c r="L1883" s="16">
        <f>IF($H1883="","",IFERROR(IF(INDEX(Vinos!$K$2:$K$301,MATCH($B1883,Vinos!$A$2:$A$301,0))="","",$H1883*INDEX(Vinos!$K$2:$K$301,MATCH($B1883,Vinos!$A$2:$A$301,0))),""))</f>
        <v/>
      </c>
      <c r="M1883" s="21">
        <f>IF(OR($A1883="",$B1883=""),"",SUMIFS($H$2:$H$2001,$A$2:$A$2001,$A1883,$B$2:$B$2001,$B1883))</f>
        <v/>
      </c>
      <c r="N1883" s="20">
        <f>IF($M1883="","",IF($M1883&lt;=0,"Sin stock: reponer ya",IF($M1883&lt;IFERROR(N(INDEX(Vinos!$N$2:$N$301,MATCH($B1883,Vinos!$A$2:$A$301,0))),0),"Bajo mínimo: reponer","OK")))</f>
        <v/>
      </c>
      <c r="O1883" s="14" t="n"/>
      <c r="P1883" s="14" t="n"/>
      <c r="Q1883" s="20">
        <f>IF($B1883="","",IFERROR(INDEX(Vinos!$C$2:$C$301,MATCH($B1883,Vinos!$A$2:$A$301,0)),""))</f>
        <v/>
      </c>
      <c r="R1883" s="20">
        <f>IF(OR($A1883="",$A1883&lt;&gt;'Resumen del inventario'!$C$3,$N1883="",$N1883="OK"),"",IF(COUNTIFS($A$2:$A1883,$A1883,$B$2:$B1883,$B1883)=1,1,""))</f>
        <v/>
      </c>
      <c r="S1883" s="20">
        <f>IF($R1883=1,COUNTIF($R$2:$R1883,1),"")</f>
        <v/>
      </c>
    </row>
    <row r="1884">
      <c r="A1884" s="19" t="n"/>
      <c r="B1884" s="14" t="n"/>
      <c r="C1884" s="20">
        <f>IF($B1884="","",IFERROR(INDEX(Vinos!$B$2:$B$301,MATCH($B1884,Vinos!$A$2:$A$301,0)),"Código no cargado"))</f>
        <v/>
      </c>
      <c r="D1884" s="14" t="n"/>
      <c r="E1884" s="14" t="n"/>
      <c r="F1884" s="18" t="n"/>
      <c r="G1884" s="18" t="n"/>
      <c r="H1884" s="21">
        <f>IF(AND($F1884="",$G1884=""),"",N($F1884)*IFERROR(N(INDEX(Vinos!$H$2:$H$301,MATCH($B1884,Vinos!$A$2:$A$301,0))),0)+N($G1884))</f>
        <v/>
      </c>
      <c r="I1884" s="18" t="n"/>
      <c r="J1884" s="21">
        <f>IF(OR($H1884="",$I1884=""),"",$H1884-$I1884)</f>
        <v/>
      </c>
      <c r="K1884" s="16">
        <f>IF($H1884="","",IFERROR(IF(INDEX(Vinos!$J$2:$J$301,MATCH($B1884,Vinos!$A$2:$A$301,0))="","",$H1884*INDEX(Vinos!$J$2:$J$301,MATCH($B1884,Vinos!$A$2:$A$301,0))),""))</f>
        <v/>
      </c>
      <c r="L1884" s="16">
        <f>IF($H1884="","",IFERROR(IF(INDEX(Vinos!$K$2:$K$301,MATCH($B1884,Vinos!$A$2:$A$301,0))="","",$H1884*INDEX(Vinos!$K$2:$K$301,MATCH($B1884,Vinos!$A$2:$A$301,0))),""))</f>
        <v/>
      </c>
      <c r="M1884" s="21">
        <f>IF(OR($A1884="",$B1884=""),"",SUMIFS($H$2:$H$2001,$A$2:$A$2001,$A1884,$B$2:$B$2001,$B1884))</f>
        <v/>
      </c>
      <c r="N1884" s="20">
        <f>IF($M1884="","",IF($M1884&lt;=0,"Sin stock: reponer ya",IF($M1884&lt;IFERROR(N(INDEX(Vinos!$N$2:$N$301,MATCH($B1884,Vinos!$A$2:$A$301,0))),0),"Bajo mínimo: reponer","OK")))</f>
        <v/>
      </c>
      <c r="O1884" s="14" t="n"/>
      <c r="P1884" s="14" t="n"/>
      <c r="Q1884" s="20">
        <f>IF($B1884="","",IFERROR(INDEX(Vinos!$C$2:$C$301,MATCH($B1884,Vinos!$A$2:$A$301,0)),""))</f>
        <v/>
      </c>
      <c r="R1884" s="20">
        <f>IF(OR($A1884="",$A1884&lt;&gt;'Resumen del inventario'!$C$3,$N1884="",$N1884="OK"),"",IF(COUNTIFS($A$2:$A1884,$A1884,$B$2:$B1884,$B1884)=1,1,""))</f>
        <v/>
      </c>
      <c r="S1884" s="20">
        <f>IF($R1884=1,COUNTIF($R$2:$R1884,1),"")</f>
        <v/>
      </c>
    </row>
    <row r="1885">
      <c r="A1885" s="19" t="n"/>
      <c r="B1885" s="14" t="n"/>
      <c r="C1885" s="20">
        <f>IF($B1885="","",IFERROR(INDEX(Vinos!$B$2:$B$301,MATCH($B1885,Vinos!$A$2:$A$301,0)),"Código no cargado"))</f>
        <v/>
      </c>
      <c r="D1885" s="14" t="n"/>
      <c r="E1885" s="14" t="n"/>
      <c r="F1885" s="18" t="n"/>
      <c r="G1885" s="18" t="n"/>
      <c r="H1885" s="21">
        <f>IF(AND($F1885="",$G1885=""),"",N($F1885)*IFERROR(N(INDEX(Vinos!$H$2:$H$301,MATCH($B1885,Vinos!$A$2:$A$301,0))),0)+N($G1885))</f>
        <v/>
      </c>
      <c r="I1885" s="18" t="n"/>
      <c r="J1885" s="21">
        <f>IF(OR($H1885="",$I1885=""),"",$H1885-$I1885)</f>
        <v/>
      </c>
      <c r="K1885" s="16">
        <f>IF($H1885="","",IFERROR(IF(INDEX(Vinos!$J$2:$J$301,MATCH($B1885,Vinos!$A$2:$A$301,0))="","",$H1885*INDEX(Vinos!$J$2:$J$301,MATCH($B1885,Vinos!$A$2:$A$301,0))),""))</f>
        <v/>
      </c>
      <c r="L1885" s="16">
        <f>IF($H1885="","",IFERROR(IF(INDEX(Vinos!$K$2:$K$301,MATCH($B1885,Vinos!$A$2:$A$301,0))="","",$H1885*INDEX(Vinos!$K$2:$K$301,MATCH($B1885,Vinos!$A$2:$A$301,0))),""))</f>
        <v/>
      </c>
      <c r="M1885" s="21">
        <f>IF(OR($A1885="",$B1885=""),"",SUMIFS($H$2:$H$2001,$A$2:$A$2001,$A1885,$B$2:$B$2001,$B1885))</f>
        <v/>
      </c>
      <c r="N1885" s="20">
        <f>IF($M1885="","",IF($M1885&lt;=0,"Sin stock: reponer ya",IF($M1885&lt;IFERROR(N(INDEX(Vinos!$N$2:$N$301,MATCH($B1885,Vinos!$A$2:$A$301,0))),0),"Bajo mínimo: reponer","OK")))</f>
        <v/>
      </c>
      <c r="O1885" s="14" t="n"/>
      <c r="P1885" s="14" t="n"/>
      <c r="Q1885" s="20">
        <f>IF($B1885="","",IFERROR(INDEX(Vinos!$C$2:$C$301,MATCH($B1885,Vinos!$A$2:$A$301,0)),""))</f>
        <v/>
      </c>
      <c r="R1885" s="20">
        <f>IF(OR($A1885="",$A1885&lt;&gt;'Resumen del inventario'!$C$3,$N1885="",$N1885="OK"),"",IF(COUNTIFS($A$2:$A1885,$A1885,$B$2:$B1885,$B1885)=1,1,""))</f>
        <v/>
      </c>
      <c r="S1885" s="20">
        <f>IF($R1885=1,COUNTIF($R$2:$R1885,1),"")</f>
        <v/>
      </c>
    </row>
    <row r="1886">
      <c r="A1886" s="19" t="n"/>
      <c r="B1886" s="14" t="n"/>
      <c r="C1886" s="20">
        <f>IF($B1886="","",IFERROR(INDEX(Vinos!$B$2:$B$301,MATCH($B1886,Vinos!$A$2:$A$301,0)),"Código no cargado"))</f>
        <v/>
      </c>
      <c r="D1886" s="14" t="n"/>
      <c r="E1886" s="14" t="n"/>
      <c r="F1886" s="18" t="n"/>
      <c r="G1886" s="18" t="n"/>
      <c r="H1886" s="21">
        <f>IF(AND($F1886="",$G1886=""),"",N($F1886)*IFERROR(N(INDEX(Vinos!$H$2:$H$301,MATCH($B1886,Vinos!$A$2:$A$301,0))),0)+N($G1886))</f>
        <v/>
      </c>
      <c r="I1886" s="18" t="n"/>
      <c r="J1886" s="21">
        <f>IF(OR($H1886="",$I1886=""),"",$H1886-$I1886)</f>
        <v/>
      </c>
      <c r="K1886" s="16">
        <f>IF($H1886="","",IFERROR(IF(INDEX(Vinos!$J$2:$J$301,MATCH($B1886,Vinos!$A$2:$A$301,0))="","",$H1886*INDEX(Vinos!$J$2:$J$301,MATCH($B1886,Vinos!$A$2:$A$301,0))),""))</f>
        <v/>
      </c>
      <c r="L1886" s="16">
        <f>IF($H1886="","",IFERROR(IF(INDEX(Vinos!$K$2:$K$301,MATCH($B1886,Vinos!$A$2:$A$301,0))="","",$H1886*INDEX(Vinos!$K$2:$K$301,MATCH($B1886,Vinos!$A$2:$A$301,0))),""))</f>
        <v/>
      </c>
      <c r="M1886" s="21">
        <f>IF(OR($A1886="",$B1886=""),"",SUMIFS($H$2:$H$2001,$A$2:$A$2001,$A1886,$B$2:$B$2001,$B1886))</f>
        <v/>
      </c>
      <c r="N1886" s="20">
        <f>IF($M1886="","",IF($M1886&lt;=0,"Sin stock: reponer ya",IF($M1886&lt;IFERROR(N(INDEX(Vinos!$N$2:$N$301,MATCH($B1886,Vinos!$A$2:$A$301,0))),0),"Bajo mínimo: reponer","OK")))</f>
        <v/>
      </c>
      <c r="O1886" s="14" t="n"/>
      <c r="P1886" s="14" t="n"/>
      <c r="Q1886" s="20">
        <f>IF($B1886="","",IFERROR(INDEX(Vinos!$C$2:$C$301,MATCH($B1886,Vinos!$A$2:$A$301,0)),""))</f>
        <v/>
      </c>
      <c r="R1886" s="20">
        <f>IF(OR($A1886="",$A1886&lt;&gt;'Resumen del inventario'!$C$3,$N1886="",$N1886="OK"),"",IF(COUNTIFS($A$2:$A1886,$A1886,$B$2:$B1886,$B1886)=1,1,""))</f>
        <v/>
      </c>
      <c r="S1886" s="20">
        <f>IF($R1886=1,COUNTIF($R$2:$R1886,1),"")</f>
        <v/>
      </c>
    </row>
    <row r="1887">
      <c r="A1887" s="19" t="n"/>
      <c r="B1887" s="14" t="n"/>
      <c r="C1887" s="20">
        <f>IF($B1887="","",IFERROR(INDEX(Vinos!$B$2:$B$301,MATCH($B1887,Vinos!$A$2:$A$301,0)),"Código no cargado"))</f>
        <v/>
      </c>
      <c r="D1887" s="14" t="n"/>
      <c r="E1887" s="14" t="n"/>
      <c r="F1887" s="18" t="n"/>
      <c r="G1887" s="18" t="n"/>
      <c r="H1887" s="21">
        <f>IF(AND($F1887="",$G1887=""),"",N($F1887)*IFERROR(N(INDEX(Vinos!$H$2:$H$301,MATCH($B1887,Vinos!$A$2:$A$301,0))),0)+N($G1887))</f>
        <v/>
      </c>
      <c r="I1887" s="18" t="n"/>
      <c r="J1887" s="21">
        <f>IF(OR($H1887="",$I1887=""),"",$H1887-$I1887)</f>
        <v/>
      </c>
      <c r="K1887" s="16">
        <f>IF($H1887="","",IFERROR(IF(INDEX(Vinos!$J$2:$J$301,MATCH($B1887,Vinos!$A$2:$A$301,0))="","",$H1887*INDEX(Vinos!$J$2:$J$301,MATCH($B1887,Vinos!$A$2:$A$301,0))),""))</f>
        <v/>
      </c>
      <c r="L1887" s="16">
        <f>IF($H1887="","",IFERROR(IF(INDEX(Vinos!$K$2:$K$301,MATCH($B1887,Vinos!$A$2:$A$301,0))="","",$H1887*INDEX(Vinos!$K$2:$K$301,MATCH($B1887,Vinos!$A$2:$A$301,0))),""))</f>
        <v/>
      </c>
      <c r="M1887" s="21">
        <f>IF(OR($A1887="",$B1887=""),"",SUMIFS($H$2:$H$2001,$A$2:$A$2001,$A1887,$B$2:$B$2001,$B1887))</f>
        <v/>
      </c>
      <c r="N1887" s="20">
        <f>IF($M1887="","",IF($M1887&lt;=0,"Sin stock: reponer ya",IF($M1887&lt;IFERROR(N(INDEX(Vinos!$N$2:$N$301,MATCH($B1887,Vinos!$A$2:$A$301,0))),0),"Bajo mínimo: reponer","OK")))</f>
        <v/>
      </c>
      <c r="O1887" s="14" t="n"/>
      <c r="P1887" s="14" t="n"/>
      <c r="Q1887" s="20">
        <f>IF($B1887="","",IFERROR(INDEX(Vinos!$C$2:$C$301,MATCH($B1887,Vinos!$A$2:$A$301,0)),""))</f>
        <v/>
      </c>
      <c r="R1887" s="20">
        <f>IF(OR($A1887="",$A1887&lt;&gt;'Resumen del inventario'!$C$3,$N1887="",$N1887="OK"),"",IF(COUNTIFS($A$2:$A1887,$A1887,$B$2:$B1887,$B1887)=1,1,""))</f>
        <v/>
      </c>
      <c r="S1887" s="20">
        <f>IF($R1887=1,COUNTIF($R$2:$R1887,1),"")</f>
        <v/>
      </c>
    </row>
    <row r="1888">
      <c r="A1888" s="19" t="n"/>
      <c r="B1888" s="14" t="n"/>
      <c r="C1888" s="20">
        <f>IF($B1888="","",IFERROR(INDEX(Vinos!$B$2:$B$301,MATCH($B1888,Vinos!$A$2:$A$301,0)),"Código no cargado"))</f>
        <v/>
      </c>
      <c r="D1888" s="14" t="n"/>
      <c r="E1888" s="14" t="n"/>
      <c r="F1888" s="18" t="n"/>
      <c r="G1888" s="18" t="n"/>
      <c r="H1888" s="21">
        <f>IF(AND($F1888="",$G1888=""),"",N($F1888)*IFERROR(N(INDEX(Vinos!$H$2:$H$301,MATCH($B1888,Vinos!$A$2:$A$301,0))),0)+N($G1888))</f>
        <v/>
      </c>
      <c r="I1888" s="18" t="n"/>
      <c r="J1888" s="21">
        <f>IF(OR($H1888="",$I1888=""),"",$H1888-$I1888)</f>
        <v/>
      </c>
      <c r="K1888" s="16">
        <f>IF($H1888="","",IFERROR(IF(INDEX(Vinos!$J$2:$J$301,MATCH($B1888,Vinos!$A$2:$A$301,0))="","",$H1888*INDEX(Vinos!$J$2:$J$301,MATCH($B1888,Vinos!$A$2:$A$301,0))),""))</f>
        <v/>
      </c>
      <c r="L1888" s="16">
        <f>IF($H1888="","",IFERROR(IF(INDEX(Vinos!$K$2:$K$301,MATCH($B1888,Vinos!$A$2:$A$301,0))="","",$H1888*INDEX(Vinos!$K$2:$K$301,MATCH($B1888,Vinos!$A$2:$A$301,0))),""))</f>
        <v/>
      </c>
      <c r="M1888" s="21">
        <f>IF(OR($A1888="",$B1888=""),"",SUMIFS($H$2:$H$2001,$A$2:$A$2001,$A1888,$B$2:$B$2001,$B1888))</f>
        <v/>
      </c>
      <c r="N1888" s="20">
        <f>IF($M1888="","",IF($M1888&lt;=0,"Sin stock: reponer ya",IF($M1888&lt;IFERROR(N(INDEX(Vinos!$N$2:$N$301,MATCH($B1888,Vinos!$A$2:$A$301,0))),0),"Bajo mínimo: reponer","OK")))</f>
        <v/>
      </c>
      <c r="O1888" s="14" t="n"/>
      <c r="P1888" s="14" t="n"/>
      <c r="Q1888" s="20">
        <f>IF($B1888="","",IFERROR(INDEX(Vinos!$C$2:$C$301,MATCH($B1888,Vinos!$A$2:$A$301,0)),""))</f>
        <v/>
      </c>
      <c r="R1888" s="20">
        <f>IF(OR($A1888="",$A1888&lt;&gt;'Resumen del inventario'!$C$3,$N1888="",$N1888="OK"),"",IF(COUNTIFS($A$2:$A1888,$A1888,$B$2:$B1888,$B1888)=1,1,""))</f>
        <v/>
      </c>
      <c r="S1888" s="20">
        <f>IF($R1888=1,COUNTIF($R$2:$R1888,1),"")</f>
        <v/>
      </c>
    </row>
    <row r="1889">
      <c r="A1889" s="19" t="n"/>
      <c r="B1889" s="14" t="n"/>
      <c r="C1889" s="20">
        <f>IF($B1889="","",IFERROR(INDEX(Vinos!$B$2:$B$301,MATCH($B1889,Vinos!$A$2:$A$301,0)),"Código no cargado"))</f>
        <v/>
      </c>
      <c r="D1889" s="14" t="n"/>
      <c r="E1889" s="14" t="n"/>
      <c r="F1889" s="18" t="n"/>
      <c r="G1889" s="18" t="n"/>
      <c r="H1889" s="21">
        <f>IF(AND($F1889="",$G1889=""),"",N($F1889)*IFERROR(N(INDEX(Vinos!$H$2:$H$301,MATCH($B1889,Vinos!$A$2:$A$301,0))),0)+N($G1889))</f>
        <v/>
      </c>
      <c r="I1889" s="18" t="n"/>
      <c r="J1889" s="21">
        <f>IF(OR($H1889="",$I1889=""),"",$H1889-$I1889)</f>
        <v/>
      </c>
      <c r="K1889" s="16">
        <f>IF($H1889="","",IFERROR(IF(INDEX(Vinos!$J$2:$J$301,MATCH($B1889,Vinos!$A$2:$A$301,0))="","",$H1889*INDEX(Vinos!$J$2:$J$301,MATCH($B1889,Vinos!$A$2:$A$301,0))),""))</f>
        <v/>
      </c>
      <c r="L1889" s="16">
        <f>IF($H1889="","",IFERROR(IF(INDEX(Vinos!$K$2:$K$301,MATCH($B1889,Vinos!$A$2:$A$301,0))="","",$H1889*INDEX(Vinos!$K$2:$K$301,MATCH($B1889,Vinos!$A$2:$A$301,0))),""))</f>
        <v/>
      </c>
      <c r="M1889" s="21">
        <f>IF(OR($A1889="",$B1889=""),"",SUMIFS($H$2:$H$2001,$A$2:$A$2001,$A1889,$B$2:$B$2001,$B1889))</f>
        <v/>
      </c>
      <c r="N1889" s="20">
        <f>IF($M1889="","",IF($M1889&lt;=0,"Sin stock: reponer ya",IF($M1889&lt;IFERROR(N(INDEX(Vinos!$N$2:$N$301,MATCH($B1889,Vinos!$A$2:$A$301,0))),0),"Bajo mínimo: reponer","OK")))</f>
        <v/>
      </c>
      <c r="O1889" s="14" t="n"/>
      <c r="P1889" s="14" t="n"/>
      <c r="Q1889" s="20">
        <f>IF($B1889="","",IFERROR(INDEX(Vinos!$C$2:$C$301,MATCH($B1889,Vinos!$A$2:$A$301,0)),""))</f>
        <v/>
      </c>
      <c r="R1889" s="20">
        <f>IF(OR($A1889="",$A1889&lt;&gt;'Resumen del inventario'!$C$3,$N1889="",$N1889="OK"),"",IF(COUNTIFS($A$2:$A1889,$A1889,$B$2:$B1889,$B1889)=1,1,""))</f>
        <v/>
      </c>
      <c r="S1889" s="20">
        <f>IF($R1889=1,COUNTIF($R$2:$R1889,1),"")</f>
        <v/>
      </c>
    </row>
    <row r="1890">
      <c r="A1890" s="19" t="n"/>
      <c r="B1890" s="14" t="n"/>
      <c r="C1890" s="20">
        <f>IF($B1890="","",IFERROR(INDEX(Vinos!$B$2:$B$301,MATCH($B1890,Vinos!$A$2:$A$301,0)),"Código no cargado"))</f>
        <v/>
      </c>
      <c r="D1890" s="14" t="n"/>
      <c r="E1890" s="14" t="n"/>
      <c r="F1890" s="18" t="n"/>
      <c r="G1890" s="18" t="n"/>
      <c r="H1890" s="21">
        <f>IF(AND($F1890="",$G1890=""),"",N($F1890)*IFERROR(N(INDEX(Vinos!$H$2:$H$301,MATCH($B1890,Vinos!$A$2:$A$301,0))),0)+N($G1890))</f>
        <v/>
      </c>
      <c r="I1890" s="18" t="n"/>
      <c r="J1890" s="21">
        <f>IF(OR($H1890="",$I1890=""),"",$H1890-$I1890)</f>
        <v/>
      </c>
      <c r="K1890" s="16">
        <f>IF($H1890="","",IFERROR(IF(INDEX(Vinos!$J$2:$J$301,MATCH($B1890,Vinos!$A$2:$A$301,0))="","",$H1890*INDEX(Vinos!$J$2:$J$301,MATCH($B1890,Vinos!$A$2:$A$301,0))),""))</f>
        <v/>
      </c>
      <c r="L1890" s="16">
        <f>IF($H1890="","",IFERROR(IF(INDEX(Vinos!$K$2:$K$301,MATCH($B1890,Vinos!$A$2:$A$301,0))="","",$H1890*INDEX(Vinos!$K$2:$K$301,MATCH($B1890,Vinos!$A$2:$A$301,0))),""))</f>
        <v/>
      </c>
      <c r="M1890" s="21">
        <f>IF(OR($A1890="",$B1890=""),"",SUMIFS($H$2:$H$2001,$A$2:$A$2001,$A1890,$B$2:$B$2001,$B1890))</f>
        <v/>
      </c>
      <c r="N1890" s="20">
        <f>IF($M1890="","",IF($M1890&lt;=0,"Sin stock: reponer ya",IF($M1890&lt;IFERROR(N(INDEX(Vinos!$N$2:$N$301,MATCH($B1890,Vinos!$A$2:$A$301,0))),0),"Bajo mínimo: reponer","OK")))</f>
        <v/>
      </c>
      <c r="O1890" s="14" t="n"/>
      <c r="P1890" s="14" t="n"/>
      <c r="Q1890" s="20">
        <f>IF($B1890="","",IFERROR(INDEX(Vinos!$C$2:$C$301,MATCH($B1890,Vinos!$A$2:$A$301,0)),""))</f>
        <v/>
      </c>
      <c r="R1890" s="20">
        <f>IF(OR($A1890="",$A1890&lt;&gt;'Resumen del inventario'!$C$3,$N1890="",$N1890="OK"),"",IF(COUNTIFS($A$2:$A1890,$A1890,$B$2:$B1890,$B1890)=1,1,""))</f>
        <v/>
      </c>
      <c r="S1890" s="20">
        <f>IF($R1890=1,COUNTIF($R$2:$R1890,1),"")</f>
        <v/>
      </c>
    </row>
    <row r="1891">
      <c r="A1891" s="19" t="n"/>
      <c r="B1891" s="14" t="n"/>
      <c r="C1891" s="20">
        <f>IF($B1891="","",IFERROR(INDEX(Vinos!$B$2:$B$301,MATCH($B1891,Vinos!$A$2:$A$301,0)),"Código no cargado"))</f>
        <v/>
      </c>
      <c r="D1891" s="14" t="n"/>
      <c r="E1891" s="14" t="n"/>
      <c r="F1891" s="18" t="n"/>
      <c r="G1891" s="18" t="n"/>
      <c r="H1891" s="21">
        <f>IF(AND($F1891="",$G1891=""),"",N($F1891)*IFERROR(N(INDEX(Vinos!$H$2:$H$301,MATCH($B1891,Vinos!$A$2:$A$301,0))),0)+N($G1891))</f>
        <v/>
      </c>
      <c r="I1891" s="18" t="n"/>
      <c r="J1891" s="21">
        <f>IF(OR($H1891="",$I1891=""),"",$H1891-$I1891)</f>
        <v/>
      </c>
      <c r="K1891" s="16">
        <f>IF($H1891="","",IFERROR(IF(INDEX(Vinos!$J$2:$J$301,MATCH($B1891,Vinos!$A$2:$A$301,0))="","",$H1891*INDEX(Vinos!$J$2:$J$301,MATCH($B1891,Vinos!$A$2:$A$301,0))),""))</f>
        <v/>
      </c>
      <c r="L1891" s="16">
        <f>IF($H1891="","",IFERROR(IF(INDEX(Vinos!$K$2:$K$301,MATCH($B1891,Vinos!$A$2:$A$301,0))="","",$H1891*INDEX(Vinos!$K$2:$K$301,MATCH($B1891,Vinos!$A$2:$A$301,0))),""))</f>
        <v/>
      </c>
      <c r="M1891" s="21">
        <f>IF(OR($A1891="",$B1891=""),"",SUMIFS($H$2:$H$2001,$A$2:$A$2001,$A1891,$B$2:$B$2001,$B1891))</f>
        <v/>
      </c>
      <c r="N1891" s="20">
        <f>IF($M1891="","",IF($M1891&lt;=0,"Sin stock: reponer ya",IF($M1891&lt;IFERROR(N(INDEX(Vinos!$N$2:$N$301,MATCH($B1891,Vinos!$A$2:$A$301,0))),0),"Bajo mínimo: reponer","OK")))</f>
        <v/>
      </c>
      <c r="O1891" s="14" t="n"/>
      <c r="P1891" s="14" t="n"/>
      <c r="Q1891" s="20">
        <f>IF($B1891="","",IFERROR(INDEX(Vinos!$C$2:$C$301,MATCH($B1891,Vinos!$A$2:$A$301,0)),""))</f>
        <v/>
      </c>
      <c r="R1891" s="20">
        <f>IF(OR($A1891="",$A1891&lt;&gt;'Resumen del inventario'!$C$3,$N1891="",$N1891="OK"),"",IF(COUNTIFS($A$2:$A1891,$A1891,$B$2:$B1891,$B1891)=1,1,""))</f>
        <v/>
      </c>
      <c r="S1891" s="20">
        <f>IF($R1891=1,COUNTIF($R$2:$R1891,1),"")</f>
        <v/>
      </c>
    </row>
    <row r="1892">
      <c r="A1892" s="19" t="n"/>
      <c r="B1892" s="14" t="n"/>
      <c r="C1892" s="20">
        <f>IF($B1892="","",IFERROR(INDEX(Vinos!$B$2:$B$301,MATCH($B1892,Vinos!$A$2:$A$301,0)),"Código no cargado"))</f>
        <v/>
      </c>
      <c r="D1892" s="14" t="n"/>
      <c r="E1892" s="14" t="n"/>
      <c r="F1892" s="18" t="n"/>
      <c r="G1892" s="18" t="n"/>
      <c r="H1892" s="21">
        <f>IF(AND($F1892="",$G1892=""),"",N($F1892)*IFERROR(N(INDEX(Vinos!$H$2:$H$301,MATCH($B1892,Vinos!$A$2:$A$301,0))),0)+N($G1892))</f>
        <v/>
      </c>
      <c r="I1892" s="18" t="n"/>
      <c r="J1892" s="21">
        <f>IF(OR($H1892="",$I1892=""),"",$H1892-$I1892)</f>
        <v/>
      </c>
      <c r="K1892" s="16">
        <f>IF($H1892="","",IFERROR(IF(INDEX(Vinos!$J$2:$J$301,MATCH($B1892,Vinos!$A$2:$A$301,0))="","",$H1892*INDEX(Vinos!$J$2:$J$301,MATCH($B1892,Vinos!$A$2:$A$301,0))),""))</f>
        <v/>
      </c>
      <c r="L1892" s="16">
        <f>IF($H1892="","",IFERROR(IF(INDEX(Vinos!$K$2:$K$301,MATCH($B1892,Vinos!$A$2:$A$301,0))="","",$H1892*INDEX(Vinos!$K$2:$K$301,MATCH($B1892,Vinos!$A$2:$A$301,0))),""))</f>
        <v/>
      </c>
      <c r="M1892" s="21">
        <f>IF(OR($A1892="",$B1892=""),"",SUMIFS($H$2:$H$2001,$A$2:$A$2001,$A1892,$B$2:$B$2001,$B1892))</f>
        <v/>
      </c>
      <c r="N1892" s="20">
        <f>IF($M1892="","",IF($M1892&lt;=0,"Sin stock: reponer ya",IF($M1892&lt;IFERROR(N(INDEX(Vinos!$N$2:$N$301,MATCH($B1892,Vinos!$A$2:$A$301,0))),0),"Bajo mínimo: reponer","OK")))</f>
        <v/>
      </c>
      <c r="O1892" s="14" t="n"/>
      <c r="P1892" s="14" t="n"/>
      <c r="Q1892" s="20">
        <f>IF($B1892="","",IFERROR(INDEX(Vinos!$C$2:$C$301,MATCH($B1892,Vinos!$A$2:$A$301,0)),""))</f>
        <v/>
      </c>
      <c r="R1892" s="20">
        <f>IF(OR($A1892="",$A1892&lt;&gt;'Resumen del inventario'!$C$3,$N1892="",$N1892="OK"),"",IF(COUNTIFS($A$2:$A1892,$A1892,$B$2:$B1892,$B1892)=1,1,""))</f>
        <v/>
      </c>
      <c r="S1892" s="20">
        <f>IF($R1892=1,COUNTIF($R$2:$R1892,1),"")</f>
        <v/>
      </c>
    </row>
    <row r="1893">
      <c r="A1893" s="19" t="n"/>
      <c r="B1893" s="14" t="n"/>
      <c r="C1893" s="20">
        <f>IF($B1893="","",IFERROR(INDEX(Vinos!$B$2:$B$301,MATCH($B1893,Vinos!$A$2:$A$301,0)),"Código no cargado"))</f>
        <v/>
      </c>
      <c r="D1893" s="14" t="n"/>
      <c r="E1893" s="14" t="n"/>
      <c r="F1893" s="18" t="n"/>
      <c r="G1893" s="18" t="n"/>
      <c r="H1893" s="21">
        <f>IF(AND($F1893="",$G1893=""),"",N($F1893)*IFERROR(N(INDEX(Vinos!$H$2:$H$301,MATCH($B1893,Vinos!$A$2:$A$301,0))),0)+N($G1893))</f>
        <v/>
      </c>
      <c r="I1893" s="18" t="n"/>
      <c r="J1893" s="21">
        <f>IF(OR($H1893="",$I1893=""),"",$H1893-$I1893)</f>
        <v/>
      </c>
      <c r="K1893" s="16">
        <f>IF($H1893="","",IFERROR(IF(INDEX(Vinos!$J$2:$J$301,MATCH($B1893,Vinos!$A$2:$A$301,0))="","",$H1893*INDEX(Vinos!$J$2:$J$301,MATCH($B1893,Vinos!$A$2:$A$301,0))),""))</f>
        <v/>
      </c>
      <c r="L1893" s="16">
        <f>IF($H1893="","",IFERROR(IF(INDEX(Vinos!$K$2:$K$301,MATCH($B1893,Vinos!$A$2:$A$301,0))="","",$H1893*INDEX(Vinos!$K$2:$K$301,MATCH($B1893,Vinos!$A$2:$A$301,0))),""))</f>
        <v/>
      </c>
      <c r="M1893" s="21">
        <f>IF(OR($A1893="",$B1893=""),"",SUMIFS($H$2:$H$2001,$A$2:$A$2001,$A1893,$B$2:$B$2001,$B1893))</f>
        <v/>
      </c>
      <c r="N1893" s="20">
        <f>IF($M1893="","",IF($M1893&lt;=0,"Sin stock: reponer ya",IF($M1893&lt;IFERROR(N(INDEX(Vinos!$N$2:$N$301,MATCH($B1893,Vinos!$A$2:$A$301,0))),0),"Bajo mínimo: reponer","OK")))</f>
        <v/>
      </c>
      <c r="O1893" s="14" t="n"/>
      <c r="P1893" s="14" t="n"/>
      <c r="Q1893" s="20">
        <f>IF($B1893="","",IFERROR(INDEX(Vinos!$C$2:$C$301,MATCH($B1893,Vinos!$A$2:$A$301,0)),""))</f>
        <v/>
      </c>
      <c r="R1893" s="20">
        <f>IF(OR($A1893="",$A1893&lt;&gt;'Resumen del inventario'!$C$3,$N1893="",$N1893="OK"),"",IF(COUNTIFS($A$2:$A1893,$A1893,$B$2:$B1893,$B1893)=1,1,""))</f>
        <v/>
      </c>
      <c r="S1893" s="20">
        <f>IF($R1893=1,COUNTIF($R$2:$R1893,1),"")</f>
        <v/>
      </c>
    </row>
    <row r="1894">
      <c r="A1894" s="19" t="n"/>
      <c r="B1894" s="14" t="n"/>
      <c r="C1894" s="20">
        <f>IF($B1894="","",IFERROR(INDEX(Vinos!$B$2:$B$301,MATCH($B1894,Vinos!$A$2:$A$301,0)),"Código no cargado"))</f>
        <v/>
      </c>
      <c r="D1894" s="14" t="n"/>
      <c r="E1894" s="14" t="n"/>
      <c r="F1894" s="18" t="n"/>
      <c r="G1894" s="18" t="n"/>
      <c r="H1894" s="21">
        <f>IF(AND($F1894="",$G1894=""),"",N($F1894)*IFERROR(N(INDEX(Vinos!$H$2:$H$301,MATCH($B1894,Vinos!$A$2:$A$301,0))),0)+N($G1894))</f>
        <v/>
      </c>
      <c r="I1894" s="18" t="n"/>
      <c r="J1894" s="21">
        <f>IF(OR($H1894="",$I1894=""),"",$H1894-$I1894)</f>
        <v/>
      </c>
      <c r="K1894" s="16">
        <f>IF($H1894="","",IFERROR(IF(INDEX(Vinos!$J$2:$J$301,MATCH($B1894,Vinos!$A$2:$A$301,0))="","",$H1894*INDEX(Vinos!$J$2:$J$301,MATCH($B1894,Vinos!$A$2:$A$301,0))),""))</f>
        <v/>
      </c>
      <c r="L1894" s="16">
        <f>IF($H1894="","",IFERROR(IF(INDEX(Vinos!$K$2:$K$301,MATCH($B1894,Vinos!$A$2:$A$301,0))="","",$H1894*INDEX(Vinos!$K$2:$K$301,MATCH($B1894,Vinos!$A$2:$A$301,0))),""))</f>
        <v/>
      </c>
      <c r="M1894" s="21">
        <f>IF(OR($A1894="",$B1894=""),"",SUMIFS($H$2:$H$2001,$A$2:$A$2001,$A1894,$B$2:$B$2001,$B1894))</f>
        <v/>
      </c>
      <c r="N1894" s="20">
        <f>IF($M1894="","",IF($M1894&lt;=0,"Sin stock: reponer ya",IF($M1894&lt;IFERROR(N(INDEX(Vinos!$N$2:$N$301,MATCH($B1894,Vinos!$A$2:$A$301,0))),0),"Bajo mínimo: reponer","OK")))</f>
        <v/>
      </c>
      <c r="O1894" s="14" t="n"/>
      <c r="P1894" s="14" t="n"/>
      <c r="Q1894" s="20">
        <f>IF($B1894="","",IFERROR(INDEX(Vinos!$C$2:$C$301,MATCH($B1894,Vinos!$A$2:$A$301,0)),""))</f>
        <v/>
      </c>
      <c r="R1894" s="20">
        <f>IF(OR($A1894="",$A1894&lt;&gt;'Resumen del inventario'!$C$3,$N1894="",$N1894="OK"),"",IF(COUNTIFS($A$2:$A1894,$A1894,$B$2:$B1894,$B1894)=1,1,""))</f>
        <v/>
      </c>
      <c r="S1894" s="20">
        <f>IF($R1894=1,COUNTIF($R$2:$R1894,1),"")</f>
        <v/>
      </c>
    </row>
    <row r="1895">
      <c r="A1895" s="19" t="n"/>
      <c r="B1895" s="14" t="n"/>
      <c r="C1895" s="20">
        <f>IF($B1895="","",IFERROR(INDEX(Vinos!$B$2:$B$301,MATCH($B1895,Vinos!$A$2:$A$301,0)),"Código no cargado"))</f>
        <v/>
      </c>
      <c r="D1895" s="14" t="n"/>
      <c r="E1895" s="14" t="n"/>
      <c r="F1895" s="18" t="n"/>
      <c r="G1895" s="18" t="n"/>
      <c r="H1895" s="21">
        <f>IF(AND($F1895="",$G1895=""),"",N($F1895)*IFERROR(N(INDEX(Vinos!$H$2:$H$301,MATCH($B1895,Vinos!$A$2:$A$301,0))),0)+N($G1895))</f>
        <v/>
      </c>
      <c r="I1895" s="18" t="n"/>
      <c r="J1895" s="21">
        <f>IF(OR($H1895="",$I1895=""),"",$H1895-$I1895)</f>
        <v/>
      </c>
      <c r="K1895" s="16">
        <f>IF($H1895="","",IFERROR(IF(INDEX(Vinos!$J$2:$J$301,MATCH($B1895,Vinos!$A$2:$A$301,0))="","",$H1895*INDEX(Vinos!$J$2:$J$301,MATCH($B1895,Vinos!$A$2:$A$301,0))),""))</f>
        <v/>
      </c>
      <c r="L1895" s="16">
        <f>IF($H1895="","",IFERROR(IF(INDEX(Vinos!$K$2:$K$301,MATCH($B1895,Vinos!$A$2:$A$301,0))="","",$H1895*INDEX(Vinos!$K$2:$K$301,MATCH($B1895,Vinos!$A$2:$A$301,0))),""))</f>
        <v/>
      </c>
      <c r="M1895" s="21">
        <f>IF(OR($A1895="",$B1895=""),"",SUMIFS($H$2:$H$2001,$A$2:$A$2001,$A1895,$B$2:$B$2001,$B1895))</f>
        <v/>
      </c>
      <c r="N1895" s="20">
        <f>IF($M1895="","",IF($M1895&lt;=0,"Sin stock: reponer ya",IF($M1895&lt;IFERROR(N(INDEX(Vinos!$N$2:$N$301,MATCH($B1895,Vinos!$A$2:$A$301,0))),0),"Bajo mínimo: reponer","OK")))</f>
        <v/>
      </c>
      <c r="O1895" s="14" t="n"/>
      <c r="P1895" s="14" t="n"/>
      <c r="Q1895" s="20">
        <f>IF($B1895="","",IFERROR(INDEX(Vinos!$C$2:$C$301,MATCH($B1895,Vinos!$A$2:$A$301,0)),""))</f>
        <v/>
      </c>
      <c r="R1895" s="20">
        <f>IF(OR($A1895="",$A1895&lt;&gt;'Resumen del inventario'!$C$3,$N1895="",$N1895="OK"),"",IF(COUNTIFS($A$2:$A1895,$A1895,$B$2:$B1895,$B1895)=1,1,""))</f>
        <v/>
      </c>
      <c r="S1895" s="20">
        <f>IF($R1895=1,COUNTIF($R$2:$R1895,1),"")</f>
        <v/>
      </c>
    </row>
    <row r="1896">
      <c r="A1896" s="19" t="n"/>
      <c r="B1896" s="14" t="n"/>
      <c r="C1896" s="20">
        <f>IF($B1896="","",IFERROR(INDEX(Vinos!$B$2:$B$301,MATCH($B1896,Vinos!$A$2:$A$301,0)),"Código no cargado"))</f>
        <v/>
      </c>
      <c r="D1896" s="14" t="n"/>
      <c r="E1896" s="14" t="n"/>
      <c r="F1896" s="18" t="n"/>
      <c r="G1896" s="18" t="n"/>
      <c r="H1896" s="21">
        <f>IF(AND($F1896="",$G1896=""),"",N($F1896)*IFERROR(N(INDEX(Vinos!$H$2:$H$301,MATCH($B1896,Vinos!$A$2:$A$301,0))),0)+N($G1896))</f>
        <v/>
      </c>
      <c r="I1896" s="18" t="n"/>
      <c r="J1896" s="21">
        <f>IF(OR($H1896="",$I1896=""),"",$H1896-$I1896)</f>
        <v/>
      </c>
      <c r="K1896" s="16">
        <f>IF($H1896="","",IFERROR(IF(INDEX(Vinos!$J$2:$J$301,MATCH($B1896,Vinos!$A$2:$A$301,0))="","",$H1896*INDEX(Vinos!$J$2:$J$301,MATCH($B1896,Vinos!$A$2:$A$301,0))),""))</f>
        <v/>
      </c>
      <c r="L1896" s="16">
        <f>IF($H1896="","",IFERROR(IF(INDEX(Vinos!$K$2:$K$301,MATCH($B1896,Vinos!$A$2:$A$301,0))="","",$H1896*INDEX(Vinos!$K$2:$K$301,MATCH($B1896,Vinos!$A$2:$A$301,0))),""))</f>
        <v/>
      </c>
      <c r="M1896" s="21">
        <f>IF(OR($A1896="",$B1896=""),"",SUMIFS($H$2:$H$2001,$A$2:$A$2001,$A1896,$B$2:$B$2001,$B1896))</f>
        <v/>
      </c>
      <c r="N1896" s="20">
        <f>IF($M1896="","",IF($M1896&lt;=0,"Sin stock: reponer ya",IF($M1896&lt;IFERROR(N(INDEX(Vinos!$N$2:$N$301,MATCH($B1896,Vinos!$A$2:$A$301,0))),0),"Bajo mínimo: reponer","OK")))</f>
        <v/>
      </c>
      <c r="O1896" s="14" t="n"/>
      <c r="P1896" s="14" t="n"/>
      <c r="Q1896" s="20">
        <f>IF($B1896="","",IFERROR(INDEX(Vinos!$C$2:$C$301,MATCH($B1896,Vinos!$A$2:$A$301,0)),""))</f>
        <v/>
      </c>
      <c r="R1896" s="20">
        <f>IF(OR($A1896="",$A1896&lt;&gt;'Resumen del inventario'!$C$3,$N1896="",$N1896="OK"),"",IF(COUNTIFS($A$2:$A1896,$A1896,$B$2:$B1896,$B1896)=1,1,""))</f>
        <v/>
      </c>
      <c r="S1896" s="20">
        <f>IF($R1896=1,COUNTIF($R$2:$R1896,1),"")</f>
        <v/>
      </c>
    </row>
    <row r="1897">
      <c r="A1897" s="19" t="n"/>
      <c r="B1897" s="14" t="n"/>
      <c r="C1897" s="20">
        <f>IF($B1897="","",IFERROR(INDEX(Vinos!$B$2:$B$301,MATCH($B1897,Vinos!$A$2:$A$301,0)),"Código no cargado"))</f>
        <v/>
      </c>
      <c r="D1897" s="14" t="n"/>
      <c r="E1897" s="14" t="n"/>
      <c r="F1897" s="18" t="n"/>
      <c r="G1897" s="18" t="n"/>
      <c r="H1897" s="21">
        <f>IF(AND($F1897="",$G1897=""),"",N($F1897)*IFERROR(N(INDEX(Vinos!$H$2:$H$301,MATCH($B1897,Vinos!$A$2:$A$301,0))),0)+N($G1897))</f>
        <v/>
      </c>
      <c r="I1897" s="18" t="n"/>
      <c r="J1897" s="21">
        <f>IF(OR($H1897="",$I1897=""),"",$H1897-$I1897)</f>
        <v/>
      </c>
      <c r="K1897" s="16">
        <f>IF($H1897="","",IFERROR(IF(INDEX(Vinos!$J$2:$J$301,MATCH($B1897,Vinos!$A$2:$A$301,0))="","",$H1897*INDEX(Vinos!$J$2:$J$301,MATCH($B1897,Vinos!$A$2:$A$301,0))),""))</f>
        <v/>
      </c>
      <c r="L1897" s="16">
        <f>IF($H1897="","",IFERROR(IF(INDEX(Vinos!$K$2:$K$301,MATCH($B1897,Vinos!$A$2:$A$301,0))="","",$H1897*INDEX(Vinos!$K$2:$K$301,MATCH($B1897,Vinos!$A$2:$A$301,0))),""))</f>
        <v/>
      </c>
      <c r="M1897" s="21">
        <f>IF(OR($A1897="",$B1897=""),"",SUMIFS($H$2:$H$2001,$A$2:$A$2001,$A1897,$B$2:$B$2001,$B1897))</f>
        <v/>
      </c>
      <c r="N1897" s="20">
        <f>IF($M1897="","",IF($M1897&lt;=0,"Sin stock: reponer ya",IF($M1897&lt;IFERROR(N(INDEX(Vinos!$N$2:$N$301,MATCH($B1897,Vinos!$A$2:$A$301,0))),0),"Bajo mínimo: reponer","OK")))</f>
        <v/>
      </c>
      <c r="O1897" s="14" t="n"/>
      <c r="P1897" s="14" t="n"/>
      <c r="Q1897" s="20">
        <f>IF($B1897="","",IFERROR(INDEX(Vinos!$C$2:$C$301,MATCH($B1897,Vinos!$A$2:$A$301,0)),""))</f>
        <v/>
      </c>
      <c r="R1897" s="20">
        <f>IF(OR($A1897="",$A1897&lt;&gt;'Resumen del inventario'!$C$3,$N1897="",$N1897="OK"),"",IF(COUNTIFS($A$2:$A1897,$A1897,$B$2:$B1897,$B1897)=1,1,""))</f>
        <v/>
      </c>
      <c r="S1897" s="20">
        <f>IF($R1897=1,COUNTIF($R$2:$R1897,1),"")</f>
        <v/>
      </c>
    </row>
    <row r="1898">
      <c r="A1898" s="19" t="n"/>
      <c r="B1898" s="14" t="n"/>
      <c r="C1898" s="20">
        <f>IF($B1898="","",IFERROR(INDEX(Vinos!$B$2:$B$301,MATCH($B1898,Vinos!$A$2:$A$301,0)),"Código no cargado"))</f>
        <v/>
      </c>
      <c r="D1898" s="14" t="n"/>
      <c r="E1898" s="14" t="n"/>
      <c r="F1898" s="18" t="n"/>
      <c r="G1898" s="18" t="n"/>
      <c r="H1898" s="21">
        <f>IF(AND($F1898="",$G1898=""),"",N($F1898)*IFERROR(N(INDEX(Vinos!$H$2:$H$301,MATCH($B1898,Vinos!$A$2:$A$301,0))),0)+N($G1898))</f>
        <v/>
      </c>
      <c r="I1898" s="18" t="n"/>
      <c r="J1898" s="21">
        <f>IF(OR($H1898="",$I1898=""),"",$H1898-$I1898)</f>
        <v/>
      </c>
      <c r="K1898" s="16">
        <f>IF($H1898="","",IFERROR(IF(INDEX(Vinos!$J$2:$J$301,MATCH($B1898,Vinos!$A$2:$A$301,0))="","",$H1898*INDEX(Vinos!$J$2:$J$301,MATCH($B1898,Vinos!$A$2:$A$301,0))),""))</f>
        <v/>
      </c>
      <c r="L1898" s="16">
        <f>IF($H1898="","",IFERROR(IF(INDEX(Vinos!$K$2:$K$301,MATCH($B1898,Vinos!$A$2:$A$301,0))="","",$H1898*INDEX(Vinos!$K$2:$K$301,MATCH($B1898,Vinos!$A$2:$A$301,0))),""))</f>
        <v/>
      </c>
      <c r="M1898" s="21">
        <f>IF(OR($A1898="",$B1898=""),"",SUMIFS($H$2:$H$2001,$A$2:$A$2001,$A1898,$B$2:$B$2001,$B1898))</f>
        <v/>
      </c>
      <c r="N1898" s="20">
        <f>IF($M1898="","",IF($M1898&lt;=0,"Sin stock: reponer ya",IF($M1898&lt;IFERROR(N(INDEX(Vinos!$N$2:$N$301,MATCH($B1898,Vinos!$A$2:$A$301,0))),0),"Bajo mínimo: reponer","OK")))</f>
        <v/>
      </c>
      <c r="O1898" s="14" t="n"/>
      <c r="P1898" s="14" t="n"/>
      <c r="Q1898" s="20">
        <f>IF($B1898="","",IFERROR(INDEX(Vinos!$C$2:$C$301,MATCH($B1898,Vinos!$A$2:$A$301,0)),""))</f>
        <v/>
      </c>
      <c r="R1898" s="20">
        <f>IF(OR($A1898="",$A1898&lt;&gt;'Resumen del inventario'!$C$3,$N1898="",$N1898="OK"),"",IF(COUNTIFS($A$2:$A1898,$A1898,$B$2:$B1898,$B1898)=1,1,""))</f>
        <v/>
      </c>
      <c r="S1898" s="20">
        <f>IF($R1898=1,COUNTIF($R$2:$R1898,1),"")</f>
        <v/>
      </c>
    </row>
    <row r="1899">
      <c r="A1899" s="19" t="n"/>
      <c r="B1899" s="14" t="n"/>
      <c r="C1899" s="20">
        <f>IF($B1899="","",IFERROR(INDEX(Vinos!$B$2:$B$301,MATCH($B1899,Vinos!$A$2:$A$301,0)),"Código no cargado"))</f>
        <v/>
      </c>
      <c r="D1899" s="14" t="n"/>
      <c r="E1899" s="14" t="n"/>
      <c r="F1899" s="18" t="n"/>
      <c r="G1899" s="18" t="n"/>
      <c r="H1899" s="21">
        <f>IF(AND($F1899="",$G1899=""),"",N($F1899)*IFERROR(N(INDEX(Vinos!$H$2:$H$301,MATCH($B1899,Vinos!$A$2:$A$301,0))),0)+N($G1899))</f>
        <v/>
      </c>
      <c r="I1899" s="18" t="n"/>
      <c r="J1899" s="21">
        <f>IF(OR($H1899="",$I1899=""),"",$H1899-$I1899)</f>
        <v/>
      </c>
      <c r="K1899" s="16">
        <f>IF($H1899="","",IFERROR(IF(INDEX(Vinos!$J$2:$J$301,MATCH($B1899,Vinos!$A$2:$A$301,0))="","",$H1899*INDEX(Vinos!$J$2:$J$301,MATCH($B1899,Vinos!$A$2:$A$301,0))),""))</f>
        <v/>
      </c>
      <c r="L1899" s="16">
        <f>IF($H1899="","",IFERROR(IF(INDEX(Vinos!$K$2:$K$301,MATCH($B1899,Vinos!$A$2:$A$301,0))="","",$H1899*INDEX(Vinos!$K$2:$K$301,MATCH($B1899,Vinos!$A$2:$A$301,0))),""))</f>
        <v/>
      </c>
      <c r="M1899" s="21">
        <f>IF(OR($A1899="",$B1899=""),"",SUMIFS($H$2:$H$2001,$A$2:$A$2001,$A1899,$B$2:$B$2001,$B1899))</f>
        <v/>
      </c>
      <c r="N1899" s="20">
        <f>IF($M1899="","",IF($M1899&lt;=0,"Sin stock: reponer ya",IF($M1899&lt;IFERROR(N(INDEX(Vinos!$N$2:$N$301,MATCH($B1899,Vinos!$A$2:$A$301,0))),0),"Bajo mínimo: reponer","OK")))</f>
        <v/>
      </c>
      <c r="O1899" s="14" t="n"/>
      <c r="P1899" s="14" t="n"/>
      <c r="Q1899" s="20">
        <f>IF($B1899="","",IFERROR(INDEX(Vinos!$C$2:$C$301,MATCH($B1899,Vinos!$A$2:$A$301,0)),""))</f>
        <v/>
      </c>
      <c r="R1899" s="20">
        <f>IF(OR($A1899="",$A1899&lt;&gt;'Resumen del inventario'!$C$3,$N1899="",$N1899="OK"),"",IF(COUNTIFS($A$2:$A1899,$A1899,$B$2:$B1899,$B1899)=1,1,""))</f>
        <v/>
      </c>
      <c r="S1899" s="20">
        <f>IF($R1899=1,COUNTIF($R$2:$R1899,1),"")</f>
        <v/>
      </c>
    </row>
    <row r="1900">
      <c r="A1900" s="19" t="n"/>
      <c r="B1900" s="14" t="n"/>
      <c r="C1900" s="20">
        <f>IF($B1900="","",IFERROR(INDEX(Vinos!$B$2:$B$301,MATCH($B1900,Vinos!$A$2:$A$301,0)),"Código no cargado"))</f>
        <v/>
      </c>
      <c r="D1900" s="14" t="n"/>
      <c r="E1900" s="14" t="n"/>
      <c r="F1900" s="18" t="n"/>
      <c r="G1900" s="18" t="n"/>
      <c r="H1900" s="21">
        <f>IF(AND($F1900="",$G1900=""),"",N($F1900)*IFERROR(N(INDEX(Vinos!$H$2:$H$301,MATCH($B1900,Vinos!$A$2:$A$301,0))),0)+N($G1900))</f>
        <v/>
      </c>
      <c r="I1900" s="18" t="n"/>
      <c r="J1900" s="21">
        <f>IF(OR($H1900="",$I1900=""),"",$H1900-$I1900)</f>
        <v/>
      </c>
      <c r="K1900" s="16">
        <f>IF($H1900="","",IFERROR(IF(INDEX(Vinos!$J$2:$J$301,MATCH($B1900,Vinos!$A$2:$A$301,0))="","",$H1900*INDEX(Vinos!$J$2:$J$301,MATCH($B1900,Vinos!$A$2:$A$301,0))),""))</f>
        <v/>
      </c>
      <c r="L1900" s="16">
        <f>IF($H1900="","",IFERROR(IF(INDEX(Vinos!$K$2:$K$301,MATCH($B1900,Vinos!$A$2:$A$301,0))="","",$H1900*INDEX(Vinos!$K$2:$K$301,MATCH($B1900,Vinos!$A$2:$A$301,0))),""))</f>
        <v/>
      </c>
      <c r="M1900" s="21">
        <f>IF(OR($A1900="",$B1900=""),"",SUMIFS($H$2:$H$2001,$A$2:$A$2001,$A1900,$B$2:$B$2001,$B1900))</f>
        <v/>
      </c>
      <c r="N1900" s="20">
        <f>IF($M1900="","",IF($M1900&lt;=0,"Sin stock: reponer ya",IF($M1900&lt;IFERROR(N(INDEX(Vinos!$N$2:$N$301,MATCH($B1900,Vinos!$A$2:$A$301,0))),0),"Bajo mínimo: reponer","OK")))</f>
        <v/>
      </c>
      <c r="O1900" s="14" t="n"/>
      <c r="P1900" s="14" t="n"/>
      <c r="Q1900" s="20">
        <f>IF($B1900="","",IFERROR(INDEX(Vinos!$C$2:$C$301,MATCH($B1900,Vinos!$A$2:$A$301,0)),""))</f>
        <v/>
      </c>
      <c r="R1900" s="20">
        <f>IF(OR($A1900="",$A1900&lt;&gt;'Resumen del inventario'!$C$3,$N1900="",$N1900="OK"),"",IF(COUNTIFS($A$2:$A1900,$A1900,$B$2:$B1900,$B1900)=1,1,""))</f>
        <v/>
      </c>
      <c r="S1900" s="20">
        <f>IF($R1900=1,COUNTIF($R$2:$R1900,1),"")</f>
        <v/>
      </c>
    </row>
    <row r="1901">
      <c r="A1901" s="19" t="n"/>
      <c r="B1901" s="14" t="n"/>
      <c r="C1901" s="20">
        <f>IF($B1901="","",IFERROR(INDEX(Vinos!$B$2:$B$301,MATCH($B1901,Vinos!$A$2:$A$301,0)),"Código no cargado"))</f>
        <v/>
      </c>
      <c r="D1901" s="14" t="n"/>
      <c r="E1901" s="14" t="n"/>
      <c r="F1901" s="18" t="n"/>
      <c r="G1901" s="18" t="n"/>
      <c r="H1901" s="21">
        <f>IF(AND($F1901="",$G1901=""),"",N($F1901)*IFERROR(N(INDEX(Vinos!$H$2:$H$301,MATCH($B1901,Vinos!$A$2:$A$301,0))),0)+N($G1901))</f>
        <v/>
      </c>
      <c r="I1901" s="18" t="n"/>
      <c r="J1901" s="21">
        <f>IF(OR($H1901="",$I1901=""),"",$H1901-$I1901)</f>
        <v/>
      </c>
      <c r="K1901" s="16">
        <f>IF($H1901="","",IFERROR(IF(INDEX(Vinos!$J$2:$J$301,MATCH($B1901,Vinos!$A$2:$A$301,0))="","",$H1901*INDEX(Vinos!$J$2:$J$301,MATCH($B1901,Vinos!$A$2:$A$301,0))),""))</f>
        <v/>
      </c>
      <c r="L1901" s="16">
        <f>IF($H1901="","",IFERROR(IF(INDEX(Vinos!$K$2:$K$301,MATCH($B1901,Vinos!$A$2:$A$301,0))="","",$H1901*INDEX(Vinos!$K$2:$K$301,MATCH($B1901,Vinos!$A$2:$A$301,0))),""))</f>
        <v/>
      </c>
      <c r="M1901" s="21">
        <f>IF(OR($A1901="",$B1901=""),"",SUMIFS($H$2:$H$2001,$A$2:$A$2001,$A1901,$B$2:$B$2001,$B1901))</f>
        <v/>
      </c>
      <c r="N1901" s="20">
        <f>IF($M1901="","",IF($M1901&lt;=0,"Sin stock: reponer ya",IF($M1901&lt;IFERROR(N(INDEX(Vinos!$N$2:$N$301,MATCH($B1901,Vinos!$A$2:$A$301,0))),0),"Bajo mínimo: reponer","OK")))</f>
        <v/>
      </c>
      <c r="O1901" s="14" t="n"/>
      <c r="P1901" s="14" t="n"/>
      <c r="Q1901" s="20">
        <f>IF($B1901="","",IFERROR(INDEX(Vinos!$C$2:$C$301,MATCH($B1901,Vinos!$A$2:$A$301,0)),""))</f>
        <v/>
      </c>
      <c r="R1901" s="20">
        <f>IF(OR($A1901="",$A1901&lt;&gt;'Resumen del inventario'!$C$3,$N1901="",$N1901="OK"),"",IF(COUNTIFS($A$2:$A1901,$A1901,$B$2:$B1901,$B1901)=1,1,""))</f>
        <v/>
      </c>
      <c r="S1901" s="20">
        <f>IF($R1901=1,COUNTIF($R$2:$R1901,1),"")</f>
        <v/>
      </c>
    </row>
    <row r="1902">
      <c r="A1902" s="19" t="n"/>
      <c r="B1902" s="14" t="n"/>
      <c r="C1902" s="20">
        <f>IF($B1902="","",IFERROR(INDEX(Vinos!$B$2:$B$301,MATCH($B1902,Vinos!$A$2:$A$301,0)),"Código no cargado"))</f>
        <v/>
      </c>
      <c r="D1902" s="14" t="n"/>
      <c r="E1902" s="14" t="n"/>
      <c r="F1902" s="18" t="n"/>
      <c r="G1902" s="18" t="n"/>
      <c r="H1902" s="21">
        <f>IF(AND($F1902="",$G1902=""),"",N($F1902)*IFERROR(N(INDEX(Vinos!$H$2:$H$301,MATCH($B1902,Vinos!$A$2:$A$301,0))),0)+N($G1902))</f>
        <v/>
      </c>
      <c r="I1902" s="18" t="n"/>
      <c r="J1902" s="21">
        <f>IF(OR($H1902="",$I1902=""),"",$H1902-$I1902)</f>
        <v/>
      </c>
      <c r="K1902" s="16">
        <f>IF($H1902="","",IFERROR(IF(INDEX(Vinos!$J$2:$J$301,MATCH($B1902,Vinos!$A$2:$A$301,0))="","",$H1902*INDEX(Vinos!$J$2:$J$301,MATCH($B1902,Vinos!$A$2:$A$301,0))),""))</f>
        <v/>
      </c>
      <c r="L1902" s="16">
        <f>IF($H1902="","",IFERROR(IF(INDEX(Vinos!$K$2:$K$301,MATCH($B1902,Vinos!$A$2:$A$301,0))="","",$H1902*INDEX(Vinos!$K$2:$K$301,MATCH($B1902,Vinos!$A$2:$A$301,0))),""))</f>
        <v/>
      </c>
      <c r="M1902" s="21">
        <f>IF(OR($A1902="",$B1902=""),"",SUMIFS($H$2:$H$2001,$A$2:$A$2001,$A1902,$B$2:$B$2001,$B1902))</f>
        <v/>
      </c>
      <c r="N1902" s="20">
        <f>IF($M1902="","",IF($M1902&lt;=0,"Sin stock: reponer ya",IF($M1902&lt;IFERROR(N(INDEX(Vinos!$N$2:$N$301,MATCH($B1902,Vinos!$A$2:$A$301,0))),0),"Bajo mínimo: reponer","OK")))</f>
        <v/>
      </c>
      <c r="O1902" s="14" t="n"/>
      <c r="P1902" s="14" t="n"/>
      <c r="Q1902" s="20">
        <f>IF($B1902="","",IFERROR(INDEX(Vinos!$C$2:$C$301,MATCH($B1902,Vinos!$A$2:$A$301,0)),""))</f>
        <v/>
      </c>
      <c r="R1902" s="20">
        <f>IF(OR($A1902="",$A1902&lt;&gt;'Resumen del inventario'!$C$3,$N1902="",$N1902="OK"),"",IF(COUNTIFS($A$2:$A1902,$A1902,$B$2:$B1902,$B1902)=1,1,""))</f>
        <v/>
      </c>
      <c r="S1902" s="20">
        <f>IF($R1902=1,COUNTIF($R$2:$R1902,1),"")</f>
        <v/>
      </c>
    </row>
    <row r="1903">
      <c r="A1903" s="19" t="n"/>
      <c r="B1903" s="14" t="n"/>
      <c r="C1903" s="20">
        <f>IF($B1903="","",IFERROR(INDEX(Vinos!$B$2:$B$301,MATCH($B1903,Vinos!$A$2:$A$301,0)),"Código no cargado"))</f>
        <v/>
      </c>
      <c r="D1903" s="14" t="n"/>
      <c r="E1903" s="14" t="n"/>
      <c r="F1903" s="18" t="n"/>
      <c r="G1903" s="18" t="n"/>
      <c r="H1903" s="21">
        <f>IF(AND($F1903="",$G1903=""),"",N($F1903)*IFERROR(N(INDEX(Vinos!$H$2:$H$301,MATCH($B1903,Vinos!$A$2:$A$301,0))),0)+N($G1903))</f>
        <v/>
      </c>
      <c r="I1903" s="18" t="n"/>
      <c r="J1903" s="21">
        <f>IF(OR($H1903="",$I1903=""),"",$H1903-$I1903)</f>
        <v/>
      </c>
      <c r="K1903" s="16">
        <f>IF($H1903="","",IFERROR(IF(INDEX(Vinos!$J$2:$J$301,MATCH($B1903,Vinos!$A$2:$A$301,0))="","",$H1903*INDEX(Vinos!$J$2:$J$301,MATCH($B1903,Vinos!$A$2:$A$301,0))),""))</f>
        <v/>
      </c>
      <c r="L1903" s="16">
        <f>IF($H1903="","",IFERROR(IF(INDEX(Vinos!$K$2:$K$301,MATCH($B1903,Vinos!$A$2:$A$301,0))="","",$H1903*INDEX(Vinos!$K$2:$K$301,MATCH($B1903,Vinos!$A$2:$A$301,0))),""))</f>
        <v/>
      </c>
      <c r="M1903" s="21">
        <f>IF(OR($A1903="",$B1903=""),"",SUMIFS($H$2:$H$2001,$A$2:$A$2001,$A1903,$B$2:$B$2001,$B1903))</f>
        <v/>
      </c>
      <c r="N1903" s="20">
        <f>IF($M1903="","",IF($M1903&lt;=0,"Sin stock: reponer ya",IF($M1903&lt;IFERROR(N(INDEX(Vinos!$N$2:$N$301,MATCH($B1903,Vinos!$A$2:$A$301,0))),0),"Bajo mínimo: reponer","OK")))</f>
        <v/>
      </c>
      <c r="O1903" s="14" t="n"/>
      <c r="P1903" s="14" t="n"/>
      <c r="Q1903" s="20">
        <f>IF($B1903="","",IFERROR(INDEX(Vinos!$C$2:$C$301,MATCH($B1903,Vinos!$A$2:$A$301,0)),""))</f>
        <v/>
      </c>
      <c r="R1903" s="20">
        <f>IF(OR($A1903="",$A1903&lt;&gt;'Resumen del inventario'!$C$3,$N1903="",$N1903="OK"),"",IF(COUNTIFS($A$2:$A1903,$A1903,$B$2:$B1903,$B1903)=1,1,""))</f>
        <v/>
      </c>
      <c r="S1903" s="20">
        <f>IF($R1903=1,COUNTIF($R$2:$R1903,1),"")</f>
        <v/>
      </c>
    </row>
    <row r="1904">
      <c r="A1904" s="19" t="n"/>
      <c r="B1904" s="14" t="n"/>
      <c r="C1904" s="20">
        <f>IF($B1904="","",IFERROR(INDEX(Vinos!$B$2:$B$301,MATCH($B1904,Vinos!$A$2:$A$301,0)),"Código no cargado"))</f>
        <v/>
      </c>
      <c r="D1904" s="14" t="n"/>
      <c r="E1904" s="14" t="n"/>
      <c r="F1904" s="18" t="n"/>
      <c r="G1904" s="18" t="n"/>
      <c r="H1904" s="21">
        <f>IF(AND($F1904="",$G1904=""),"",N($F1904)*IFERROR(N(INDEX(Vinos!$H$2:$H$301,MATCH($B1904,Vinos!$A$2:$A$301,0))),0)+N($G1904))</f>
        <v/>
      </c>
      <c r="I1904" s="18" t="n"/>
      <c r="J1904" s="21">
        <f>IF(OR($H1904="",$I1904=""),"",$H1904-$I1904)</f>
        <v/>
      </c>
      <c r="K1904" s="16">
        <f>IF($H1904="","",IFERROR(IF(INDEX(Vinos!$J$2:$J$301,MATCH($B1904,Vinos!$A$2:$A$301,0))="","",$H1904*INDEX(Vinos!$J$2:$J$301,MATCH($B1904,Vinos!$A$2:$A$301,0))),""))</f>
        <v/>
      </c>
      <c r="L1904" s="16">
        <f>IF($H1904="","",IFERROR(IF(INDEX(Vinos!$K$2:$K$301,MATCH($B1904,Vinos!$A$2:$A$301,0))="","",$H1904*INDEX(Vinos!$K$2:$K$301,MATCH($B1904,Vinos!$A$2:$A$301,0))),""))</f>
        <v/>
      </c>
      <c r="M1904" s="21">
        <f>IF(OR($A1904="",$B1904=""),"",SUMIFS($H$2:$H$2001,$A$2:$A$2001,$A1904,$B$2:$B$2001,$B1904))</f>
        <v/>
      </c>
      <c r="N1904" s="20">
        <f>IF($M1904="","",IF($M1904&lt;=0,"Sin stock: reponer ya",IF($M1904&lt;IFERROR(N(INDEX(Vinos!$N$2:$N$301,MATCH($B1904,Vinos!$A$2:$A$301,0))),0),"Bajo mínimo: reponer","OK")))</f>
        <v/>
      </c>
      <c r="O1904" s="14" t="n"/>
      <c r="P1904" s="14" t="n"/>
      <c r="Q1904" s="20">
        <f>IF($B1904="","",IFERROR(INDEX(Vinos!$C$2:$C$301,MATCH($B1904,Vinos!$A$2:$A$301,0)),""))</f>
        <v/>
      </c>
      <c r="R1904" s="20">
        <f>IF(OR($A1904="",$A1904&lt;&gt;'Resumen del inventario'!$C$3,$N1904="",$N1904="OK"),"",IF(COUNTIFS($A$2:$A1904,$A1904,$B$2:$B1904,$B1904)=1,1,""))</f>
        <v/>
      </c>
      <c r="S1904" s="20">
        <f>IF($R1904=1,COUNTIF($R$2:$R1904,1),"")</f>
        <v/>
      </c>
    </row>
    <row r="1905">
      <c r="A1905" s="19" t="n"/>
      <c r="B1905" s="14" t="n"/>
      <c r="C1905" s="20">
        <f>IF($B1905="","",IFERROR(INDEX(Vinos!$B$2:$B$301,MATCH($B1905,Vinos!$A$2:$A$301,0)),"Código no cargado"))</f>
        <v/>
      </c>
      <c r="D1905" s="14" t="n"/>
      <c r="E1905" s="14" t="n"/>
      <c r="F1905" s="18" t="n"/>
      <c r="G1905" s="18" t="n"/>
      <c r="H1905" s="21">
        <f>IF(AND($F1905="",$G1905=""),"",N($F1905)*IFERROR(N(INDEX(Vinos!$H$2:$H$301,MATCH($B1905,Vinos!$A$2:$A$301,0))),0)+N($G1905))</f>
        <v/>
      </c>
      <c r="I1905" s="18" t="n"/>
      <c r="J1905" s="21">
        <f>IF(OR($H1905="",$I1905=""),"",$H1905-$I1905)</f>
        <v/>
      </c>
      <c r="K1905" s="16">
        <f>IF($H1905="","",IFERROR(IF(INDEX(Vinos!$J$2:$J$301,MATCH($B1905,Vinos!$A$2:$A$301,0))="","",$H1905*INDEX(Vinos!$J$2:$J$301,MATCH($B1905,Vinos!$A$2:$A$301,0))),""))</f>
        <v/>
      </c>
      <c r="L1905" s="16">
        <f>IF($H1905="","",IFERROR(IF(INDEX(Vinos!$K$2:$K$301,MATCH($B1905,Vinos!$A$2:$A$301,0))="","",$H1905*INDEX(Vinos!$K$2:$K$301,MATCH($B1905,Vinos!$A$2:$A$301,0))),""))</f>
        <v/>
      </c>
      <c r="M1905" s="21">
        <f>IF(OR($A1905="",$B1905=""),"",SUMIFS($H$2:$H$2001,$A$2:$A$2001,$A1905,$B$2:$B$2001,$B1905))</f>
        <v/>
      </c>
      <c r="N1905" s="20">
        <f>IF($M1905="","",IF($M1905&lt;=0,"Sin stock: reponer ya",IF($M1905&lt;IFERROR(N(INDEX(Vinos!$N$2:$N$301,MATCH($B1905,Vinos!$A$2:$A$301,0))),0),"Bajo mínimo: reponer","OK")))</f>
        <v/>
      </c>
      <c r="O1905" s="14" t="n"/>
      <c r="P1905" s="14" t="n"/>
      <c r="Q1905" s="20">
        <f>IF($B1905="","",IFERROR(INDEX(Vinos!$C$2:$C$301,MATCH($B1905,Vinos!$A$2:$A$301,0)),""))</f>
        <v/>
      </c>
      <c r="R1905" s="20">
        <f>IF(OR($A1905="",$A1905&lt;&gt;'Resumen del inventario'!$C$3,$N1905="",$N1905="OK"),"",IF(COUNTIFS($A$2:$A1905,$A1905,$B$2:$B1905,$B1905)=1,1,""))</f>
        <v/>
      </c>
      <c r="S1905" s="20">
        <f>IF($R1905=1,COUNTIF($R$2:$R1905,1),"")</f>
        <v/>
      </c>
    </row>
    <row r="1906">
      <c r="A1906" s="19" t="n"/>
      <c r="B1906" s="14" t="n"/>
      <c r="C1906" s="20">
        <f>IF($B1906="","",IFERROR(INDEX(Vinos!$B$2:$B$301,MATCH($B1906,Vinos!$A$2:$A$301,0)),"Código no cargado"))</f>
        <v/>
      </c>
      <c r="D1906" s="14" t="n"/>
      <c r="E1906" s="14" t="n"/>
      <c r="F1906" s="18" t="n"/>
      <c r="G1906" s="18" t="n"/>
      <c r="H1906" s="21">
        <f>IF(AND($F1906="",$G1906=""),"",N($F1906)*IFERROR(N(INDEX(Vinos!$H$2:$H$301,MATCH($B1906,Vinos!$A$2:$A$301,0))),0)+N($G1906))</f>
        <v/>
      </c>
      <c r="I1906" s="18" t="n"/>
      <c r="J1906" s="21">
        <f>IF(OR($H1906="",$I1906=""),"",$H1906-$I1906)</f>
        <v/>
      </c>
      <c r="K1906" s="16">
        <f>IF($H1906="","",IFERROR(IF(INDEX(Vinos!$J$2:$J$301,MATCH($B1906,Vinos!$A$2:$A$301,0))="","",$H1906*INDEX(Vinos!$J$2:$J$301,MATCH($B1906,Vinos!$A$2:$A$301,0))),""))</f>
        <v/>
      </c>
      <c r="L1906" s="16">
        <f>IF($H1906="","",IFERROR(IF(INDEX(Vinos!$K$2:$K$301,MATCH($B1906,Vinos!$A$2:$A$301,0))="","",$H1906*INDEX(Vinos!$K$2:$K$301,MATCH($B1906,Vinos!$A$2:$A$301,0))),""))</f>
        <v/>
      </c>
      <c r="M1906" s="21">
        <f>IF(OR($A1906="",$B1906=""),"",SUMIFS($H$2:$H$2001,$A$2:$A$2001,$A1906,$B$2:$B$2001,$B1906))</f>
        <v/>
      </c>
      <c r="N1906" s="20">
        <f>IF($M1906="","",IF($M1906&lt;=0,"Sin stock: reponer ya",IF($M1906&lt;IFERROR(N(INDEX(Vinos!$N$2:$N$301,MATCH($B1906,Vinos!$A$2:$A$301,0))),0),"Bajo mínimo: reponer","OK")))</f>
        <v/>
      </c>
      <c r="O1906" s="14" t="n"/>
      <c r="P1906" s="14" t="n"/>
      <c r="Q1906" s="20">
        <f>IF($B1906="","",IFERROR(INDEX(Vinos!$C$2:$C$301,MATCH($B1906,Vinos!$A$2:$A$301,0)),""))</f>
        <v/>
      </c>
      <c r="R1906" s="20">
        <f>IF(OR($A1906="",$A1906&lt;&gt;'Resumen del inventario'!$C$3,$N1906="",$N1906="OK"),"",IF(COUNTIFS($A$2:$A1906,$A1906,$B$2:$B1906,$B1906)=1,1,""))</f>
        <v/>
      </c>
      <c r="S1906" s="20">
        <f>IF($R1906=1,COUNTIF($R$2:$R1906,1),"")</f>
        <v/>
      </c>
    </row>
    <row r="1907">
      <c r="A1907" s="19" t="n"/>
      <c r="B1907" s="14" t="n"/>
      <c r="C1907" s="20">
        <f>IF($B1907="","",IFERROR(INDEX(Vinos!$B$2:$B$301,MATCH($B1907,Vinos!$A$2:$A$301,0)),"Código no cargado"))</f>
        <v/>
      </c>
      <c r="D1907" s="14" t="n"/>
      <c r="E1907" s="14" t="n"/>
      <c r="F1907" s="18" t="n"/>
      <c r="G1907" s="18" t="n"/>
      <c r="H1907" s="21">
        <f>IF(AND($F1907="",$G1907=""),"",N($F1907)*IFERROR(N(INDEX(Vinos!$H$2:$H$301,MATCH($B1907,Vinos!$A$2:$A$301,0))),0)+N($G1907))</f>
        <v/>
      </c>
      <c r="I1907" s="18" t="n"/>
      <c r="J1907" s="21">
        <f>IF(OR($H1907="",$I1907=""),"",$H1907-$I1907)</f>
        <v/>
      </c>
      <c r="K1907" s="16">
        <f>IF($H1907="","",IFERROR(IF(INDEX(Vinos!$J$2:$J$301,MATCH($B1907,Vinos!$A$2:$A$301,0))="","",$H1907*INDEX(Vinos!$J$2:$J$301,MATCH($B1907,Vinos!$A$2:$A$301,0))),""))</f>
        <v/>
      </c>
      <c r="L1907" s="16">
        <f>IF($H1907="","",IFERROR(IF(INDEX(Vinos!$K$2:$K$301,MATCH($B1907,Vinos!$A$2:$A$301,0))="","",$H1907*INDEX(Vinos!$K$2:$K$301,MATCH($B1907,Vinos!$A$2:$A$301,0))),""))</f>
        <v/>
      </c>
      <c r="M1907" s="21">
        <f>IF(OR($A1907="",$B1907=""),"",SUMIFS($H$2:$H$2001,$A$2:$A$2001,$A1907,$B$2:$B$2001,$B1907))</f>
        <v/>
      </c>
      <c r="N1907" s="20">
        <f>IF($M1907="","",IF($M1907&lt;=0,"Sin stock: reponer ya",IF($M1907&lt;IFERROR(N(INDEX(Vinos!$N$2:$N$301,MATCH($B1907,Vinos!$A$2:$A$301,0))),0),"Bajo mínimo: reponer","OK")))</f>
        <v/>
      </c>
      <c r="O1907" s="14" t="n"/>
      <c r="P1907" s="14" t="n"/>
      <c r="Q1907" s="20">
        <f>IF($B1907="","",IFERROR(INDEX(Vinos!$C$2:$C$301,MATCH($B1907,Vinos!$A$2:$A$301,0)),""))</f>
        <v/>
      </c>
      <c r="R1907" s="20">
        <f>IF(OR($A1907="",$A1907&lt;&gt;'Resumen del inventario'!$C$3,$N1907="",$N1907="OK"),"",IF(COUNTIFS($A$2:$A1907,$A1907,$B$2:$B1907,$B1907)=1,1,""))</f>
        <v/>
      </c>
      <c r="S1907" s="20">
        <f>IF($R1907=1,COUNTIF($R$2:$R1907,1),"")</f>
        <v/>
      </c>
    </row>
    <row r="1908">
      <c r="A1908" s="19" t="n"/>
      <c r="B1908" s="14" t="n"/>
      <c r="C1908" s="20">
        <f>IF($B1908="","",IFERROR(INDEX(Vinos!$B$2:$B$301,MATCH($B1908,Vinos!$A$2:$A$301,0)),"Código no cargado"))</f>
        <v/>
      </c>
      <c r="D1908" s="14" t="n"/>
      <c r="E1908" s="14" t="n"/>
      <c r="F1908" s="18" t="n"/>
      <c r="G1908" s="18" t="n"/>
      <c r="H1908" s="21">
        <f>IF(AND($F1908="",$G1908=""),"",N($F1908)*IFERROR(N(INDEX(Vinos!$H$2:$H$301,MATCH($B1908,Vinos!$A$2:$A$301,0))),0)+N($G1908))</f>
        <v/>
      </c>
      <c r="I1908" s="18" t="n"/>
      <c r="J1908" s="21">
        <f>IF(OR($H1908="",$I1908=""),"",$H1908-$I1908)</f>
        <v/>
      </c>
      <c r="K1908" s="16">
        <f>IF($H1908="","",IFERROR(IF(INDEX(Vinos!$J$2:$J$301,MATCH($B1908,Vinos!$A$2:$A$301,0))="","",$H1908*INDEX(Vinos!$J$2:$J$301,MATCH($B1908,Vinos!$A$2:$A$301,0))),""))</f>
        <v/>
      </c>
      <c r="L1908" s="16">
        <f>IF($H1908="","",IFERROR(IF(INDEX(Vinos!$K$2:$K$301,MATCH($B1908,Vinos!$A$2:$A$301,0))="","",$H1908*INDEX(Vinos!$K$2:$K$301,MATCH($B1908,Vinos!$A$2:$A$301,0))),""))</f>
        <v/>
      </c>
      <c r="M1908" s="21">
        <f>IF(OR($A1908="",$B1908=""),"",SUMIFS($H$2:$H$2001,$A$2:$A$2001,$A1908,$B$2:$B$2001,$B1908))</f>
        <v/>
      </c>
      <c r="N1908" s="20">
        <f>IF($M1908="","",IF($M1908&lt;=0,"Sin stock: reponer ya",IF($M1908&lt;IFERROR(N(INDEX(Vinos!$N$2:$N$301,MATCH($B1908,Vinos!$A$2:$A$301,0))),0),"Bajo mínimo: reponer","OK")))</f>
        <v/>
      </c>
      <c r="O1908" s="14" t="n"/>
      <c r="P1908" s="14" t="n"/>
      <c r="Q1908" s="20">
        <f>IF($B1908="","",IFERROR(INDEX(Vinos!$C$2:$C$301,MATCH($B1908,Vinos!$A$2:$A$301,0)),""))</f>
        <v/>
      </c>
      <c r="R1908" s="20">
        <f>IF(OR($A1908="",$A1908&lt;&gt;'Resumen del inventario'!$C$3,$N1908="",$N1908="OK"),"",IF(COUNTIFS($A$2:$A1908,$A1908,$B$2:$B1908,$B1908)=1,1,""))</f>
        <v/>
      </c>
      <c r="S1908" s="20">
        <f>IF($R1908=1,COUNTIF($R$2:$R1908,1),"")</f>
        <v/>
      </c>
    </row>
    <row r="1909">
      <c r="A1909" s="19" t="n"/>
      <c r="B1909" s="14" t="n"/>
      <c r="C1909" s="20">
        <f>IF($B1909="","",IFERROR(INDEX(Vinos!$B$2:$B$301,MATCH($B1909,Vinos!$A$2:$A$301,0)),"Código no cargado"))</f>
        <v/>
      </c>
      <c r="D1909" s="14" t="n"/>
      <c r="E1909" s="14" t="n"/>
      <c r="F1909" s="18" t="n"/>
      <c r="G1909" s="18" t="n"/>
      <c r="H1909" s="21">
        <f>IF(AND($F1909="",$G1909=""),"",N($F1909)*IFERROR(N(INDEX(Vinos!$H$2:$H$301,MATCH($B1909,Vinos!$A$2:$A$301,0))),0)+N($G1909))</f>
        <v/>
      </c>
      <c r="I1909" s="18" t="n"/>
      <c r="J1909" s="21">
        <f>IF(OR($H1909="",$I1909=""),"",$H1909-$I1909)</f>
        <v/>
      </c>
      <c r="K1909" s="16">
        <f>IF($H1909="","",IFERROR(IF(INDEX(Vinos!$J$2:$J$301,MATCH($B1909,Vinos!$A$2:$A$301,0))="","",$H1909*INDEX(Vinos!$J$2:$J$301,MATCH($B1909,Vinos!$A$2:$A$301,0))),""))</f>
        <v/>
      </c>
      <c r="L1909" s="16">
        <f>IF($H1909="","",IFERROR(IF(INDEX(Vinos!$K$2:$K$301,MATCH($B1909,Vinos!$A$2:$A$301,0))="","",$H1909*INDEX(Vinos!$K$2:$K$301,MATCH($B1909,Vinos!$A$2:$A$301,0))),""))</f>
        <v/>
      </c>
      <c r="M1909" s="21">
        <f>IF(OR($A1909="",$B1909=""),"",SUMIFS($H$2:$H$2001,$A$2:$A$2001,$A1909,$B$2:$B$2001,$B1909))</f>
        <v/>
      </c>
      <c r="N1909" s="20">
        <f>IF($M1909="","",IF($M1909&lt;=0,"Sin stock: reponer ya",IF($M1909&lt;IFERROR(N(INDEX(Vinos!$N$2:$N$301,MATCH($B1909,Vinos!$A$2:$A$301,0))),0),"Bajo mínimo: reponer","OK")))</f>
        <v/>
      </c>
      <c r="O1909" s="14" t="n"/>
      <c r="P1909" s="14" t="n"/>
      <c r="Q1909" s="20">
        <f>IF($B1909="","",IFERROR(INDEX(Vinos!$C$2:$C$301,MATCH($B1909,Vinos!$A$2:$A$301,0)),""))</f>
        <v/>
      </c>
      <c r="R1909" s="20">
        <f>IF(OR($A1909="",$A1909&lt;&gt;'Resumen del inventario'!$C$3,$N1909="",$N1909="OK"),"",IF(COUNTIFS($A$2:$A1909,$A1909,$B$2:$B1909,$B1909)=1,1,""))</f>
        <v/>
      </c>
      <c r="S1909" s="20">
        <f>IF($R1909=1,COUNTIF($R$2:$R1909,1),"")</f>
        <v/>
      </c>
    </row>
    <row r="1910">
      <c r="A1910" s="19" t="n"/>
      <c r="B1910" s="14" t="n"/>
      <c r="C1910" s="20">
        <f>IF($B1910="","",IFERROR(INDEX(Vinos!$B$2:$B$301,MATCH($B1910,Vinos!$A$2:$A$301,0)),"Código no cargado"))</f>
        <v/>
      </c>
      <c r="D1910" s="14" t="n"/>
      <c r="E1910" s="14" t="n"/>
      <c r="F1910" s="18" t="n"/>
      <c r="G1910" s="18" t="n"/>
      <c r="H1910" s="21">
        <f>IF(AND($F1910="",$G1910=""),"",N($F1910)*IFERROR(N(INDEX(Vinos!$H$2:$H$301,MATCH($B1910,Vinos!$A$2:$A$301,0))),0)+N($G1910))</f>
        <v/>
      </c>
      <c r="I1910" s="18" t="n"/>
      <c r="J1910" s="21">
        <f>IF(OR($H1910="",$I1910=""),"",$H1910-$I1910)</f>
        <v/>
      </c>
      <c r="K1910" s="16">
        <f>IF($H1910="","",IFERROR(IF(INDEX(Vinos!$J$2:$J$301,MATCH($B1910,Vinos!$A$2:$A$301,0))="","",$H1910*INDEX(Vinos!$J$2:$J$301,MATCH($B1910,Vinos!$A$2:$A$301,0))),""))</f>
        <v/>
      </c>
      <c r="L1910" s="16">
        <f>IF($H1910="","",IFERROR(IF(INDEX(Vinos!$K$2:$K$301,MATCH($B1910,Vinos!$A$2:$A$301,0))="","",$H1910*INDEX(Vinos!$K$2:$K$301,MATCH($B1910,Vinos!$A$2:$A$301,0))),""))</f>
        <v/>
      </c>
      <c r="M1910" s="21">
        <f>IF(OR($A1910="",$B1910=""),"",SUMIFS($H$2:$H$2001,$A$2:$A$2001,$A1910,$B$2:$B$2001,$B1910))</f>
        <v/>
      </c>
      <c r="N1910" s="20">
        <f>IF($M1910="","",IF($M1910&lt;=0,"Sin stock: reponer ya",IF($M1910&lt;IFERROR(N(INDEX(Vinos!$N$2:$N$301,MATCH($B1910,Vinos!$A$2:$A$301,0))),0),"Bajo mínimo: reponer","OK")))</f>
        <v/>
      </c>
      <c r="O1910" s="14" t="n"/>
      <c r="P1910" s="14" t="n"/>
      <c r="Q1910" s="20">
        <f>IF($B1910="","",IFERROR(INDEX(Vinos!$C$2:$C$301,MATCH($B1910,Vinos!$A$2:$A$301,0)),""))</f>
        <v/>
      </c>
      <c r="R1910" s="20">
        <f>IF(OR($A1910="",$A1910&lt;&gt;'Resumen del inventario'!$C$3,$N1910="",$N1910="OK"),"",IF(COUNTIFS($A$2:$A1910,$A1910,$B$2:$B1910,$B1910)=1,1,""))</f>
        <v/>
      </c>
      <c r="S1910" s="20">
        <f>IF($R1910=1,COUNTIF($R$2:$R1910,1),"")</f>
        <v/>
      </c>
    </row>
    <row r="1911">
      <c r="A1911" s="19" t="n"/>
      <c r="B1911" s="14" t="n"/>
      <c r="C1911" s="20">
        <f>IF($B1911="","",IFERROR(INDEX(Vinos!$B$2:$B$301,MATCH($B1911,Vinos!$A$2:$A$301,0)),"Código no cargado"))</f>
        <v/>
      </c>
      <c r="D1911" s="14" t="n"/>
      <c r="E1911" s="14" t="n"/>
      <c r="F1911" s="18" t="n"/>
      <c r="G1911" s="18" t="n"/>
      <c r="H1911" s="21">
        <f>IF(AND($F1911="",$G1911=""),"",N($F1911)*IFERROR(N(INDEX(Vinos!$H$2:$H$301,MATCH($B1911,Vinos!$A$2:$A$301,0))),0)+N($G1911))</f>
        <v/>
      </c>
      <c r="I1911" s="18" t="n"/>
      <c r="J1911" s="21">
        <f>IF(OR($H1911="",$I1911=""),"",$H1911-$I1911)</f>
        <v/>
      </c>
      <c r="K1911" s="16">
        <f>IF($H1911="","",IFERROR(IF(INDEX(Vinos!$J$2:$J$301,MATCH($B1911,Vinos!$A$2:$A$301,0))="","",$H1911*INDEX(Vinos!$J$2:$J$301,MATCH($B1911,Vinos!$A$2:$A$301,0))),""))</f>
        <v/>
      </c>
      <c r="L1911" s="16">
        <f>IF($H1911="","",IFERROR(IF(INDEX(Vinos!$K$2:$K$301,MATCH($B1911,Vinos!$A$2:$A$301,0))="","",$H1911*INDEX(Vinos!$K$2:$K$301,MATCH($B1911,Vinos!$A$2:$A$301,0))),""))</f>
        <v/>
      </c>
      <c r="M1911" s="21">
        <f>IF(OR($A1911="",$B1911=""),"",SUMIFS($H$2:$H$2001,$A$2:$A$2001,$A1911,$B$2:$B$2001,$B1911))</f>
        <v/>
      </c>
      <c r="N1911" s="20">
        <f>IF($M1911="","",IF($M1911&lt;=0,"Sin stock: reponer ya",IF($M1911&lt;IFERROR(N(INDEX(Vinos!$N$2:$N$301,MATCH($B1911,Vinos!$A$2:$A$301,0))),0),"Bajo mínimo: reponer","OK")))</f>
        <v/>
      </c>
      <c r="O1911" s="14" t="n"/>
      <c r="P1911" s="14" t="n"/>
      <c r="Q1911" s="20">
        <f>IF($B1911="","",IFERROR(INDEX(Vinos!$C$2:$C$301,MATCH($B1911,Vinos!$A$2:$A$301,0)),""))</f>
        <v/>
      </c>
      <c r="R1911" s="20">
        <f>IF(OR($A1911="",$A1911&lt;&gt;'Resumen del inventario'!$C$3,$N1911="",$N1911="OK"),"",IF(COUNTIFS($A$2:$A1911,$A1911,$B$2:$B1911,$B1911)=1,1,""))</f>
        <v/>
      </c>
      <c r="S1911" s="20">
        <f>IF($R1911=1,COUNTIF($R$2:$R1911,1),"")</f>
        <v/>
      </c>
    </row>
    <row r="1912">
      <c r="A1912" s="19" t="n"/>
      <c r="B1912" s="14" t="n"/>
      <c r="C1912" s="20">
        <f>IF($B1912="","",IFERROR(INDEX(Vinos!$B$2:$B$301,MATCH($B1912,Vinos!$A$2:$A$301,0)),"Código no cargado"))</f>
        <v/>
      </c>
      <c r="D1912" s="14" t="n"/>
      <c r="E1912" s="14" t="n"/>
      <c r="F1912" s="18" t="n"/>
      <c r="G1912" s="18" t="n"/>
      <c r="H1912" s="21">
        <f>IF(AND($F1912="",$G1912=""),"",N($F1912)*IFERROR(N(INDEX(Vinos!$H$2:$H$301,MATCH($B1912,Vinos!$A$2:$A$301,0))),0)+N($G1912))</f>
        <v/>
      </c>
      <c r="I1912" s="18" t="n"/>
      <c r="J1912" s="21">
        <f>IF(OR($H1912="",$I1912=""),"",$H1912-$I1912)</f>
        <v/>
      </c>
      <c r="K1912" s="16">
        <f>IF($H1912="","",IFERROR(IF(INDEX(Vinos!$J$2:$J$301,MATCH($B1912,Vinos!$A$2:$A$301,0))="","",$H1912*INDEX(Vinos!$J$2:$J$301,MATCH($B1912,Vinos!$A$2:$A$301,0))),""))</f>
        <v/>
      </c>
      <c r="L1912" s="16">
        <f>IF($H1912="","",IFERROR(IF(INDEX(Vinos!$K$2:$K$301,MATCH($B1912,Vinos!$A$2:$A$301,0))="","",$H1912*INDEX(Vinos!$K$2:$K$301,MATCH($B1912,Vinos!$A$2:$A$301,0))),""))</f>
        <v/>
      </c>
      <c r="M1912" s="21">
        <f>IF(OR($A1912="",$B1912=""),"",SUMIFS($H$2:$H$2001,$A$2:$A$2001,$A1912,$B$2:$B$2001,$B1912))</f>
        <v/>
      </c>
      <c r="N1912" s="20">
        <f>IF($M1912="","",IF($M1912&lt;=0,"Sin stock: reponer ya",IF($M1912&lt;IFERROR(N(INDEX(Vinos!$N$2:$N$301,MATCH($B1912,Vinos!$A$2:$A$301,0))),0),"Bajo mínimo: reponer","OK")))</f>
        <v/>
      </c>
      <c r="O1912" s="14" t="n"/>
      <c r="P1912" s="14" t="n"/>
      <c r="Q1912" s="20">
        <f>IF($B1912="","",IFERROR(INDEX(Vinos!$C$2:$C$301,MATCH($B1912,Vinos!$A$2:$A$301,0)),""))</f>
        <v/>
      </c>
      <c r="R1912" s="20">
        <f>IF(OR($A1912="",$A1912&lt;&gt;'Resumen del inventario'!$C$3,$N1912="",$N1912="OK"),"",IF(COUNTIFS($A$2:$A1912,$A1912,$B$2:$B1912,$B1912)=1,1,""))</f>
        <v/>
      </c>
      <c r="S1912" s="20">
        <f>IF($R1912=1,COUNTIF($R$2:$R1912,1),"")</f>
        <v/>
      </c>
    </row>
    <row r="1913">
      <c r="A1913" s="19" t="n"/>
      <c r="B1913" s="14" t="n"/>
      <c r="C1913" s="20">
        <f>IF($B1913="","",IFERROR(INDEX(Vinos!$B$2:$B$301,MATCH($B1913,Vinos!$A$2:$A$301,0)),"Código no cargado"))</f>
        <v/>
      </c>
      <c r="D1913" s="14" t="n"/>
      <c r="E1913" s="14" t="n"/>
      <c r="F1913" s="18" t="n"/>
      <c r="G1913" s="18" t="n"/>
      <c r="H1913" s="21">
        <f>IF(AND($F1913="",$G1913=""),"",N($F1913)*IFERROR(N(INDEX(Vinos!$H$2:$H$301,MATCH($B1913,Vinos!$A$2:$A$301,0))),0)+N($G1913))</f>
        <v/>
      </c>
      <c r="I1913" s="18" t="n"/>
      <c r="J1913" s="21">
        <f>IF(OR($H1913="",$I1913=""),"",$H1913-$I1913)</f>
        <v/>
      </c>
      <c r="K1913" s="16">
        <f>IF($H1913="","",IFERROR(IF(INDEX(Vinos!$J$2:$J$301,MATCH($B1913,Vinos!$A$2:$A$301,0))="","",$H1913*INDEX(Vinos!$J$2:$J$301,MATCH($B1913,Vinos!$A$2:$A$301,0))),""))</f>
        <v/>
      </c>
      <c r="L1913" s="16">
        <f>IF($H1913="","",IFERROR(IF(INDEX(Vinos!$K$2:$K$301,MATCH($B1913,Vinos!$A$2:$A$301,0))="","",$H1913*INDEX(Vinos!$K$2:$K$301,MATCH($B1913,Vinos!$A$2:$A$301,0))),""))</f>
        <v/>
      </c>
      <c r="M1913" s="21">
        <f>IF(OR($A1913="",$B1913=""),"",SUMIFS($H$2:$H$2001,$A$2:$A$2001,$A1913,$B$2:$B$2001,$B1913))</f>
        <v/>
      </c>
      <c r="N1913" s="20">
        <f>IF($M1913="","",IF($M1913&lt;=0,"Sin stock: reponer ya",IF($M1913&lt;IFERROR(N(INDEX(Vinos!$N$2:$N$301,MATCH($B1913,Vinos!$A$2:$A$301,0))),0),"Bajo mínimo: reponer","OK")))</f>
        <v/>
      </c>
      <c r="O1913" s="14" t="n"/>
      <c r="P1913" s="14" t="n"/>
      <c r="Q1913" s="20">
        <f>IF($B1913="","",IFERROR(INDEX(Vinos!$C$2:$C$301,MATCH($B1913,Vinos!$A$2:$A$301,0)),""))</f>
        <v/>
      </c>
      <c r="R1913" s="20">
        <f>IF(OR($A1913="",$A1913&lt;&gt;'Resumen del inventario'!$C$3,$N1913="",$N1913="OK"),"",IF(COUNTIFS($A$2:$A1913,$A1913,$B$2:$B1913,$B1913)=1,1,""))</f>
        <v/>
      </c>
      <c r="S1913" s="20">
        <f>IF($R1913=1,COUNTIF($R$2:$R1913,1),"")</f>
        <v/>
      </c>
    </row>
    <row r="1914">
      <c r="A1914" s="19" t="n"/>
      <c r="B1914" s="14" t="n"/>
      <c r="C1914" s="20">
        <f>IF($B1914="","",IFERROR(INDEX(Vinos!$B$2:$B$301,MATCH($B1914,Vinos!$A$2:$A$301,0)),"Código no cargado"))</f>
        <v/>
      </c>
      <c r="D1914" s="14" t="n"/>
      <c r="E1914" s="14" t="n"/>
      <c r="F1914" s="18" t="n"/>
      <c r="G1914" s="18" t="n"/>
      <c r="H1914" s="21">
        <f>IF(AND($F1914="",$G1914=""),"",N($F1914)*IFERROR(N(INDEX(Vinos!$H$2:$H$301,MATCH($B1914,Vinos!$A$2:$A$301,0))),0)+N($G1914))</f>
        <v/>
      </c>
      <c r="I1914" s="18" t="n"/>
      <c r="J1914" s="21">
        <f>IF(OR($H1914="",$I1914=""),"",$H1914-$I1914)</f>
        <v/>
      </c>
      <c r="K1914" s="16">
        <f>IF($H1914="","",IFERROR(IF(INDEX(Vinos!$J$2:$J$301,MATCH($B1914,Vinos!$A$2:$A$301,0))="","",$H1914*INDEX(Vinos!$J$2:$J$301,MATCH($B1914,Vinos!$A$2:$A$301,0))),""))</f>
        <v/>
      </c>
      <c r="L1914" s="16">
        <f>IF($H1914="","",IFERROR(IF(INDEX(Vinos!$K$2:$K$301,MATCH($B1914,Vinos!$A$2:$A$301,0))="","",$H1914*INDEX(Vinos!$K$2:$K$301,MATCH($B1914,Vinos!$A$2:$A$301,0))),""))</f>
        <v/>
      </c>
      <c r="M1914" s="21">
        <f>IF(OR($A1914="",$B1914=""),"",SUMIFS($H$2:$H$2001,$A$2:$A$2001,$A1914,$B$2:$B$2001,$B1914))</f>
        <v/>
      </c>
      <c r="N1914" s="20">
        <f>IF($M1914="","",IF($M1914&lt;=0,"Sin stock: reponer ya",IF($M1914&lt;IFERROR(N(INDEX(Vinos!$N$2:$N$301,MATCH($B1914,Vinos!$A$2:$A$301,0))),0),"Bajo mínimo: reponer","OK")))</f>
        <v/>
      </c>
      <c r="O1914" s="14" t="n"/>
      <c r="P1914" s="14" t="n"/>
      <c r="Q1914" s="20">
        <f>IF($B1914="","",IFERROR(INDEX(Vinos!$C$2:$C$301,MATCH($B1914,Vinos!$A$2:$A$301,0)),""))</f>
        <v/>
      </c>
      <c r="R1914" s="20">
        <f>IF(OR($A1914="",$A1914&lt;&gt;'Resumen del inventario'!$C$3,$N1914="",$N1914="OK"),"",IF(COUNTIFS($A$2:$A1914,$A1914,$B$2:$B1914,$B1914)=1,1,""))</f>
        <v/>
      </c>
      <c r="S1914" s="20">
        <f>IF($R1914=1,COUNTIF($R$2:$R1914,1),"")</f>
        <v/>
      </c>
    </row>
    <row r="1915">
      <c r="A1915" s="19" t="n"/>
      <c r="B1915" s="14" t="n"/>
      <c r="C1915" s="20">
        <f>IF($B1915="","",IFERROR(INDEX(Vinos!$B$2:$B$301,MATCH($B1915,Vinos!$A$2:$A$301,0)),"Código no cargado"))</f>
        <v/>
      </c>
      <c r="D1915" s="14" t="n"/>
      <c r="E1915" s="14" t="n"/>
      <c r="F1915" s="18" t="n"/>
      <c r="G1915" s="18" t="n"/>
      <c r="H1915" s="21">
        <f>IF(AND($F1915="",$G1915=""),"",N($F1915)*IFERROR(N(INDEX(Vinos!$H$2:$H$301,MATCH($B1915,Vinos!$A$2:$A$301,0))),0)+N($G1915))</f>
        <v/>
      </c>
      <c r="I1915" s="18" t="n"/>
      <c r="J1915" s="21">
        <f>IF(OR($H1915="",$I1915=""),"",$H1915-$I1915)</f>
        <v/>
      </c>
      <c r="K1915" s="16">
        <f>IF($H1915="","",IFERROR(IF(INDEX(Vinos!$J$2:$J$301,MATCH($B1915,Vinos!$A$2:$A$301,0))="","",$H1915*INDEX(Vinos!$J$2:$J$301,MATCH($B1915,Vinos!$A$2:$A$301,0))),""))</f>
        <v/>
      </c>
      <c r="L1915" s="16">
        <f>IF($H1915="","",IFERROR(IF(INDEX(Vinos!$K$2:$K$301,MATCH($B1915,Vinos!$A$2:$A$301,0))="","",$H1915*INDEX(Vinos!$K$2:$K$301,MATCH($B1915,Vinos!$A$2:$A$301,0))),""))</f>
        <v/>
      </c>
      <c r="M1915" s="21">
        <f>IF(OR($A1915="",$B1915=""),"",SUMIFS($H$2:$H$2001,$A$2:$A$2001,$A1915,$B$2:$B$2001,$B1915))</f>
        <v/>
      </c>
      <c r="N1915" s="20">
        <f>IF($M1915="","",IF($M1915&lt;=0,"Sin stock: reponer ya",IF($M1915&lt;IFERROR(N(INDEX(Vinos!$N$2:$N$301,MATCH($B1915,Vinos!$A$2:$A$301,0))),0),"Bajo mínimo: reponer","OK")))</f>
        <v/>
      </c>
      <c r="O1915" s="14" t="n"/>
      <c r="P1915" s="14" t="n"/>
      <c r="Q1915" s="20">
        <f>IF($B1915="","",IFERROR(INDEX(Vinos!$C$2:$C$301,MATCH($B1915,Vinos!$A$2:$A$301,0)),""))</f>
        <v/>
      </c>
      <c r="R1915" s="20">
        <f>IF(OR($A1915="",$A1915&lt;&gt;'Resumen del inventario'!$C$3,$N1915="",$N1915="OK"),"",IF(COUNTIFS($A$2:$A1915,$A1915,$B$2:$B1915,$B1915)=1,1,""))</f>
        <v/>
      </c>
      <c r="S1915" s="20">
        <f>IF($R1915=1,COUNTIF($R$2:$R1915,1),"")</f>
        <v/>
      </c>
    </row>
    <row r="1916">
      <c r="A1916" s="19" t="n"/>
      <c r="B1916" s="14" t="n"/>
      <c r="C1916" s="20">
        <f>IF($B1916="","",IFERROR(INDEX(Vinos!$B$2:$B$301,MATCH($B1916,Vinos!$A$2:$A$301,0)),"Código no cargado"))</f>
        <v/>
      </c>
      <c r="D1916" s="14" t="n"/>
      <c r="E1916" s="14" t="n"/>
      <c r="F1916" s="18" t="n"/>
      <c r="G1916" s="18" t="n"/>
      <c r="H1916" s="21">
        <f>IF(AND($F1916="",$G1916=""),"",N($F1916)*IFERROR(N(INDEX(Vinos!$H$2:$H$301,MATCH($B1916,Vinos!$A$2:$A$301,0))),0)+N($G1916))</f>
        <v/>
      </c>
      <c r="I1916" s="18" t="n"/>
      <c r="J1916" s="21">
        <f>IF(OR($H1916="",$I1916=""),"",$H1916-$I1916)</f>
        <v/>
      </c>
      <c r="K1916" s="16">
        <f>IF($H1916="","",IFERROR(IF(INDEX(Vinos!$J$2:$J$301,MATCH($B1916,Vinos!$A$2:$A$301,0))="","",$H1916*INDEX(Vinos!$J$2:$J$301,MATCH($B1916,Vinos!$A$2:$A$301,0))),""))</f>
        <v/>
      </c>
      <c r="L1916" s="16">
        <f>IF($H1916="","",IFERROR(IF(INDEX(Vinos!$K$2:$K$301,MATCH($B1916,Vinos!$A$2:$A$301,0))="","",$H1916*INDEX(Vinos!$K$2:$K$301,MATCH($B1916,Vinos!$A$2:$A$301,0))),""))</f>
        <v/>
      </c>
      <c r="M1916" s="21">
        <f>IF(OR($A1916="",$B1916=""),"",SUMIFS($H$2:$H$2001,$A$2:$A$2001,$A1916,$B$2:$B$2001,$B1916))</f>
        <v/>
      </c>
      <c r="N1916" s="20">
        <f>IF($M1916="","",IF($M1916&lt;=0,"Sin stock: reponer ya",IF($M1916&lt;IFERROR(N(INDEX(Vinos!$N$2:$N$301,MATCH($B1916,Vinos!$A$2:$A$301,0))),0),"Bajo mínimo: reponer","OK")))</f>
        <v/>
      </c>
      <c r="O1916" s="14" t="n"/>
      <c r="P1916" s="14" t="n"/>
      <c r="Q1916" s="20">
        <f>IF($B1916="","",IFERROR(INDEX(Vinos!$C$2:$C$301,MATCH($B1916,Vinos!$A$2:$A$301,0)),""))</f>
        <v/>
      </c>
      <c r="R1916" s="20">
        <f>IF(OR($A1916="",$A1916&lt;&gt;'Resumen del inventario'!$C$3,$N1916="",$N1916="OK"),"",IF(COUNTIFS($A$2:$A1916,$A1916,$B$2:$B1916,$B1916)=1,1,""))</f>
        <v/>
      </c>
      <c r="S1916" s="20">
        <f>IF($R1916=1,COUNTIF($R$2:$R1916,1),"")</f>
        <v/>
      </c>
    </row>
    <row r="1917">
      <c r="A1917" s="19" t="n"/>
      <c r="B1917" s="14" t="n"/>
      <c r="C1917" s="20">
        <f>IF($B1917="","",IFERROR(INDEX(Vinos!$B$2:$B$301,MATCH($B1917,Vinos!$A$2:$A$301,0)),"Código no cargado"))</f>
        <v/>
      </c>
      <c r="D1917" s="14" t="n"/>
      <c r="E1917" s="14" t="n"/>
      <c r="F1917" s="18" t="n"/>
      <c r="G1917" s="18" t="n"/>
      <c r="H1917" s="21">
        <f>IF(AND($F1917="",$G1917=""),"",N($F1917)*IFERROR(N(INDEX(Vinos!$H$2:$H$301,MATCH($B1917,Vinos!$A$2:$A$301,0))),0)+N($G1917))</f>
        <v/>
      </c>
      <c r="I1917" s="18" t="n"/>
      <c r="J1917" s="21">
        <f>IF(OR($H1917="",$I1917=""),"",$H1917-$I1917)</f>
        <v/>
      </c>
      <c r="K1917" s="16">
        <f>IF($H1917="","",IFERROR(IF(INDEX(Vinos!$J$2:$J$301,MATCH($B1917,Vinos!$A$2:$A$301,0))="","",$H1917*INDEX(Vinos!$J$2:$J$301,MATCH($B1917,Vinos!$A$2:$A$301,0))),""))</f>
        <v/>
      </c>
      <c r="L1917" s="16">
        <f>IF($H1917="","",IFERROR(IF(INDEX(Vinos!$K$2:$K$301,MATCH($B1917,Vinos!$A$2:$A$301,0))="","",$H1917*INDEX(Vinos!$K$2:$K$301,MATCH($B1917,Vinos!$A$2:$A$301,0))),""))</f>
        <v/>
      </c>
      <c r="M1917" s="21">
        <f>IF(OR($A1917="",$B1917=""),"",SUMIFS($H$2:$H$2001,$A$2:$A$2001,$A1917,$B$2:$B$2001,$B1917))</f>
        <v/>
      </c>
      <c r="N1917" s="20">
        <f>IF($M1917="","",IF($M1917&lt;=0,"Sin stock: reponer ya",IF($M1917&lt;IFERROR(N(INDEX(Vinos!$N$2:$N$301,MATCH($B1917,Vinos!$A$2:$A$301,0))),0),"Bajo mínimo: reponer","OK")))</f>
        <v/>
      </c>
      <c r="O1917" s="14" t="n"/>
      <c r="P1917" s="14" t="n"/>
      <c r="Q1917" s="20">
        <f>IF($B1917="","",IFERROR(INDEX(Vinos!$C$2:$C$301,MATCH($B1917,Vinos!$A$2:$A$301,0)),""))</f>
        <v/>
      </c>
      <c r="R1917" s="20">
        <f>IF(OR($A1917="",$A1917&lt;&gt;'Resumen del inventario'!$C$3,$N1917="",$N1917="OK"),"",IF(COUNTIFS($A$2:$A1917,$A1917,$B$2:$B1917,$B1917)=1,1,""))</f>
        <v/>
      </c>
      <c r="S1917" s="20">
        <f>IF($R1917=1,COUNTIF($R$2:$R1917,1),"")</f>
        <v/>
      </c>
    </row>
    <row r="1918">
      <c r="A1918" s="19" t="n"/>
      <c r="B1918" s="14" t="n"/>
      <c r="C1918" s="20">
        <f>IF($B1918="","",IFERROR(INDEX(Vinos!$B$2:$B$301,MATCH($B1918,Vinos!$A$2:$A$301,0)),"Código no cargado"))</f>
        <v/>
      </c>
      <c r="D1918" s="14" t="n"/>
      <c r="E1918" s="14" t="n"/>
      <c r="F1918" s="18" t="n"/>
      <c r="G1918" s="18" t="n"/>
      <c r="H1918" s="21">
        <f>IF(AND($F1918="",$G1918=""),"",N($F1918)*IFERROR(N(INDEX(Vinos!$H$2:$H$301,MATCH($B1918,Vinos!$A$2:$A$301,0))),0)+N($G1918))</f>
        <v/>
      </c>
      <c r="I1918" s="18" t="n"/>
      <c r="J1918" s="21">
        <f>IF(OR($H1918="",$I1918=""),"",$H1918-$I1918)</f>
        <v/>
      </c>
      <c r="K1918" s="16">
        <f>IF($H1918="","",IFERROR(IF(INDEX(Vinos!$J$2:$J$301,MATCH($B1918,Vinos!$A$2:$A$301,0))="","",$H1918*INDEX(Vinos!$J$2:$J$301,MATCH($B1918,Vinos!$A$2:$A$301,0))),""))</f>
        <v/>
      </c>
      <c r="L1918" s="16">
        <f>IF($H1918="","",IFERROR(IF(INDEX(Vinos!$K$2:$K$301,MATCH($B1918,Vinos!$A$2:$A$301,0))="","",$H1918*INDEX(Vinos!$K$2:$K$301,MATCH($B1918,Vinos!$A$2:$A$301,0))),""))</f>
        <v/>
      </c>
      <c r="M1918" s="21">
        <f>IF(OR($A1918="",$B1918=""),"",SUMIFS($H$2:$H$2001,$A$2:$A$2001,$A1918,$B$2:$B$2001,$B1918))</f>
        <v/>
      </c>
      <c r="N1918" s="20">
        <f>IF($M1918="","",IF($M1918&lt;=0,"Sin stock: reponer ya",IF($M1918&lt;IFERROR(N(INDEX(Vinos!$N$2:$N$301,MATCH($B1918,Vinos!$A$2:$A$301,0))),0),"Bajo mínimo: reponer","OK")))</f>
        <v/>
      </c>
      <c r="O1918" s="14" t="n"/>
      <c r="P1918" s="14" t="n"/>
      <c r="Q1918" s="20">
        <f>IF($B1918="","",IFERROR(INDEX(Vinos!$C$2:$C$301,MATCH($B1918,Vinos!$A$2:$A$301,0)),""))</f>
        <v/>
      </c>
      <c r="R1918" s="20">
        <f>IF(OR($A1918="",$A1918&lt;&gt;'Resumen del inventario'!$C$3,$N1918="",$N1918="OK"),"",IF(COUNTIFS($A$2:$A1918,$A1918,$B$2:$B1918,$B1918)=1,1,""))</f>
        <v/>
      </c>
      <c r="S1918" s="20">
        <f>IF($R1918=1,COUNTIF($R$2:$R1918,1),"")</f>
        <v/>
      </c>
    </row>
    <row r="1919">
      <c r="A1919" s="19" t="n"/>
      <c r="B1919" s="14" t="n"/>
      <c r="C1919" s="20">
        <f>IF($B1919="","",IFERROR(INDEX(Vinos!$B$2:$B$301,MATCH($B1919,Vinos!$A$2:$A$301,0)),"Código no cargado"))</f>
        <v/>
      </c>
      <c r="D1919" s="14" t="n"/>
      <c r="E1919" s="14" t="n"/>
      <c r="F1919" s="18" t="n"/>
      <c r="G1919" s="18" t="n"/>
      <c r="H1919" s="21">
        <f>IF(AND($F1919="",$G1919=""),"",N($F1919)*IFERROR(N(INDEX(Vinos!$H$2:$H$301,MATCH($B1919,Vinos!$A$2:$A$301,0))),0)+N($G1919))</f>
        <v/>
      </c>
      <c r="I1919" s="18" t="n"/>
      <c r="J1919" s="21">
        <f>IF(OR($H1919="",$I1919=""),"",$H1919-$I1919)</f>
        <v/>
      </c>
      <c r="K1919" s="16">
        <f>IF($H1919="","",IFERROR(IF(INDEX(Vinos!$J$2:$J$301,MATCH($B1919,Vinos!$A$2:$A$301,0))="","",$H1919*INDEX(Vinos!$J$2:$J$301,MATCH($B1919,Vinos!$A$2:$A$301,0))),""))</f>
        <v/>
      </c>
      <c r="L1919" s="16">
        <f>IF($H1919="","",IFERROR(IF(INDEX(Vinos!$K$2:$K$301,MATCH($B1919,Vinos!$A$2:$A$301,0))="","",$H1919*INDEX(Vinos!$K$2:$K$301,MATCH($B1919,Vinos!$A$2:$A$301,0))),""))</f>
        <v/>
      </c>
      <c r="M1919" s="21">
        <f>IF(OR($A1919="",$B1919=""),"",SUMIFS($H$2:$H$2001,$A$2:$A$2001,$A1919,$B$2:$B$2001,$B1919))</f>
        <v/>
      </c>
      <c r="N1919" s="20">
        <f>IF($M1919="","",IF($M1919&lt;=0,"Sin stock: reponer ya",IF($M1919&lt;IFERROR(N(INDEX(Vinos!$N$2:$N$301,MATCH($B1919,Vinos!$A$2:$A$301,0))),0),"Bajo mínimo: reponer","OK")))</f>
        <v/>
      </c>
      <c r="O1919" s="14" t="n"/>
      <c r="P1919" s="14" t="n"/>
      <c r="Q1919" s="20">
        <f>IF($B1919="","",IFERROR(INDEX(Vinos!$C$2:$C$301,MATCH($B1919,Vinos!$A$2:$A$301,0)),""))</f>
        <v/>
      </c>
      <c r="R1919" s="20">
        <f>IF(OR($A1919="",$A1919&lt;&gt;'Resumen del inventario'!$C$3,$N1919="",$N1919="OK"),"",IF(COUNTIFS($A$2:$A1919,$A1919,$B$2:$B1919,$B1919)=1,1,""))</f>
        <v/>
      </c>
      <c r="S1919" s="20">
        <f>IF($R1919=1,COUNTIF($R$2:$R1919,1),"")</f>
        <v/>
      </c>
    </row>
    <row r="1920">
      <c r="A1920" s="19" t="n"/>
      <c r="B1920" s="14" t="n"/>
      <c r="C1920" s="20">
        <f>IF($B1920="","",IFERROR(INDEX(Vinos!$B$2:$B$301,MATCH($B1920,Vinos!$A$2:$A$301,0)),"Código no cargado"))</f>
        <v/>
      </c>
      <c r="D1920" s="14" t="n"/>
      <c r="E1920" s="14" t="n"/>
      <c r="F1920" s="18" t="n"/>
      <c r="G1920" s="18" t="n"/>
      <c r="H1920" s="21">
        <f>IF(AND($F1920="",$G1920=""),"",N($F1920)*IFERROR(N(INDEX(Vinos!$H$2:$H$301,MATCH($B1920,Vinos!$A$2:$A$301,0))),0)+N($G1920))</f>
        <v/>
      </c>
      <c r="I1920" s="18" t="n"/>
      <c r="J1920" s="21">
        <f>IF(OR($H1920="",$I1920=""),"",$H1920-$I1920)</f>
        <v/>
      </c>
      <c r="K1920" s="16">
        <f>IF($H1920="","",IFERROR(IF(INDEX(Vinos!$J$2:$J$301,MATCH($B1920,Vinos!$A$2:$A$301,0))="","",$H1920*INDEX(Vinos!$J$2:$J$301,MATCH($B1920,Vinos!$A$2:$A$301,0))),""))</f>
        <v/>
      </c>
      <c r="L1920" s="16">
        <f>IF($H1920="","",IFERROR(IF(INDEX(Vinos!$K$2:$K$301,MATCH($B1920,Vinos!$A$2:$A$301,0))="","",$H1920*INDEX(Vinos!$K$2:$K$301,MATCH($B1920,Vinos!$A$2:$A$301,0))),""))</f>
        <v/>
      </c>
      <c r="M1920" s="21">
        <f>IF(OR($A1920="",$B1920=""),"",SUMIFS($H$2:$H$2001,$A$2:$A$2001,$A1920,$B$2:$B$2001,$B1920))</f>
        <v/>
      </c>
      <c r="N1920" s="20">
        <f>IF($M1920="","",IF($M1920&lt;=0,"Sin stock: reponer ya",IF($M1920&lt;IFERROR(N(INDEX(Vinos!$N$2:$N$301,MATCH($B1920,Vinos!$A$2:$A$301,0))),0),"Bajo mínimo: reponer","OK")))</f>
        <v/>
      </c>
      <c r="O1920" s="14" t="n"/>
      <c r="P1920" s="14" t="n"/>
      <c r="Q1920" s="20">
        <f>IF($B1920="","",IFERROR(INDEX(Vinos!$C$2:$C$301,MATCH($B1920,Vinos!$A$2:$A$301,0)),""))</f>
        <v/>
      </c>
      <c r="R1920" s="20">
        <f>IF(OR($A1920="",$A1920&lt;&gt;'Resumen del inventario'!$C$3,$N1920="",$N1920="OK"),"",IF(COUNTIFS($A$2:$A1920,$A1920,$B$2:$B1920,$B1920)=1,1,""))</f>
        <v/>
      </c>
      <c r="S1920" s="20">
        <f>IF($R1920=1,COUNTIF($R$2:$R1920,1),"")</f>
        <v/>
      </c>
    </row>
    <row r="1921">
      <c r="A1921" s="19" t="n"/>
      <c r="B1921" s="14" t="n"/>
      <c r="C1921" s="20">
        <f>IF($B1921="","",IFERROR(INDEX(Vinos!$B$2:$B$301,MATCH($B1921,Vinos!$A$2:$A$301,0)),"Código no cargado"))</f>
        <v/>
      </c>
      <c r="D1921" s="14" t="n"/>
      <c r="E1921" s="14" t="n"/>
      <c r="F1921" s="18" t="n"/>
      <c r="G1921" s="18" t="n"/>
      <c r="H1921" s="21">
        <f>IF(AND($F1921="",$G1921=""),"",N($F1921)*IFERROR(N(INDEX(Vinos!$H$2:$H$301,MATCH($B1921,Vinos!$A$2:$A$301,0))),0)+N($G1921))</f>
        <v/>
      </c>
      <c r="I1921" s="18" t="n"/>
      <c r="J1921" s="21">
        <f>IF(OR($H1921="",$I1921=""),"",$H1921-$I1921)</f>
        <v/>
      </c>
      <c r="K1921" s="16">
        <f>IF($H1921="","",IFERROR(IF(INDEX(Vinos!$J$2:$J$301,MATCH($B1921,Vinos!$A$2:$A$301,0))="","",$H1921*INDEX(Vinos!$J$2:$J$301,MATCH($B1921,Vinos!$A$2:$A$301,0))),""))</f>
        <v/>
      </c>
      <c r="L1921" s="16">
        <f>IF($H1921="","",IFERROR(IF(INDEX(Vinos!$K$2:$K$301,MATCH($B1921,Vinos!$A$2:$A$301,0))="","",$H1921*INDEX(Vinos!$K$2:$K$301,MATCH($B1921,Vinos!$A$2:$A$301,0))),""))</f>
        <v/>
      </c>
      <c r="M1921" s="21">
        <f>IF(OR($A1921="",$B1921=""),"",SUMIFS($H$2:$H$2001,$A$2:$A$2001,$A1921,$B$2:$B$2001,$B1921))</f>
        <v/>
      </c>
      <c r="N1921" s="20">
        <f>IF($M1921="","",IF($M1921&lt;=0,"Sin stock: reponer ya",IF($M1921&lt;IFERROR(N(INDEX(Vinos!$N$2:$N$301,MATCH($B1921,Vinos!$A$2:$A$301,0))),0),"Bajo mínimo: reponer","OK")))</f>
        <v/>
      </c>
      <c r="O1921" s="14" t="n"/>
      <c r="P1921" s="14" t="n"/>
      <c r="Q1921" s="20">
        <f>IF($B1921="","",IFERROR(INDEX(Vinos!$C$2:$C$301,MATCH($B1921,Vinos!$A$2:$A$301,0)),""))</f>
        <v/>
      </c>
      <c r="R1921" s="20">
        <f>IF(OR($A1921="",$A1921&lt;&gt;'Resumen del inventario'!$C$3,$N1921="",$N1921="OK"),"",IF(COUNTIFS($A$2:$A1921,$A1921,$B$2:$B1921,$B1921)=1,1,""))</f>
        <v/>
      </c>
      <c r="S1921" s="20">
        <f>IF($R1921=1,COUNTIF($R$2:$R1921,1),"")</f>
        <v/>
      </c>
    </row>
    <row r="1922">
      <c r="A1922" s="19" t="n"/>
      <c r="B1922" s="14" t="n"/>
      <c r="C1922" s="20">
        <f>IF($B1922="","",IFERROR(INDEX(Vinos!$B$2:$B$301,MATCH($B1922,Vinos!$A$2:$A$301,0)),"Código no cargado"))</f>
        <v/>
      </c>
      <c r="D1922" s="14" t="n"/>
      <c r="E1922" s="14" t="n"/>
      <c r="F1922" s="18" t="n"/>
      <c r="G1922" s="18" t="n"/>
      <c r="H1922" s="21">
        <f>IF(AND($F1922="",$G1922=""),"",N($F1922)*IFERROR(N(INDEX(Vinos!$H$2:$H$301,MATCH($B1922,Vinos!$A$2:$A$301,0))),0)+N($G1922))</f>
        <v/>
      </c>
      <c r="I1922" s="18" t="n"/>
      <c r="J1922" s="21">
        <f>IF(OR($H1922="",$I1922=""),"",$H1922-$I1922)</f>
        <v/>
      </c>
      <c r="K1922" s="16">
        <f>IF($H1922="","",IFERROR(IF(INDEX(Vinos!$J$2:$J$301,MATCH($B1922,Vinos!$A$2:$A$301,0))="","",$H1922*INDEX(Vinos!$J$2:$J$301,MATCH($B1922,Vinos!$A$2:$A$301,0))),""))</f>
        <v/>
      </c>
      <c r="L1922" s="16">
        <f>IF($H1922="","",IFERROR(IF(INDEX(Vinos!$K$2:$K$301,MATCH($B1922,Vinos!$A$2:$A$301,0))="","",$H1922*INDEX(Vinos!$K$2:$K$301,MATCH($B1922,Vinos!$A$2:$A$301,0))),""))</f>
        <v/>
      </c>
      <c r="M1922" s="21">
        <f>IF(OR($A1922="",$B1922=""),"",SUMIFS($H$2:$H$2001,$A$2:$A$2001,$A1922,$B$2:$B$2001,$B1922))</f>
        <v/>
      </c>
      <c r="N1922" s="20">
        <f>IF($M1922="","",IF($M1922&lt;=0,"Sin stock: reponer ya",IF($M1922&lt;IFERROR(N(INDEX(Vinos!$N$2:$N$301,MATCH($B1922,Vinos!$A$2:$A$301,0))),0),"Bajo mínimo: reponer","OK")))</f>
        <v/>
      </c>
      <c r="O1922" s="14" t="n"/>
      <c r="P1922" s="14" t="n"/>
      <c r="Q1922" s="20">
        <f>IF($B1922="","",IFERROR(INDEX(Vinos!$C$2:$C$301,MATCH($B1922,Vinos!$A$2:$A$301,0)),""))</f>
        <v/>
      </c>
      <c r="R1922" s="20">
        <f>IF(OR($A1922="",$A1922&lt;&gt;'Resumen del inventario'!$C$3,$N1922="",$N1922="OK"),"",IF(COUNTIFS($A$2:$A1922,$A1922,$B$2:$B1922,$B1922)=1,1,""))</f>
        <v/>
      </c>
      <c r="S1922" s="20">
        <f>IF($R1922=1,COUNTIF($R$2:$R1922,1),"")</f>
        <v/>
      </c>
    </row>
    <row r="1923">
      <c r="A1923" s="19" t="n"/>
      <c r="B1923" s="14" t="n"/>
      <c r="C1923" s="20">
        <f>IF($B1923="","",IFERROR(INDEX(Vinos!$B$2:$B$301,MATCH($B1923,Vinos!$A$2:$A$301,0)),"Código no cargado"))</f>
        <v/>
      </c>
      <c r="D1923" s="14" t="n"/>
      <c r="E1923" s="14" t="n"/>
      <c r="F1923" s="18" t="n"/>
      <c r="G1923" s="18" t="n"/>
      <c r="H1923" s="21">
        <f>IF(AND($F1923="",$G1923=""),"",N($F1923)*IFERROR(N(INDEX(Vinos!$H$2:$H$301,MATCH($B1923,Vinos!$A$2:$A$301,0))),0)+N($G1923))</f>
        <v/>
      </c>
      <c r="I1923" s="18" t="n"/>
      <c r="J1923" s="21">
        <f>IF(OR($H1923="",$I1923=""),"",$H1923-$I1923)</f>
        <v/>
      </c>
      <c r="K1923" s="16">
        <f>IF($H1923="","",IFERROR(IF(INDEX(Vinos!$J$2:$J$301,MATCH($B1923,Vinos!$A$2:$A$301,0))="","",$H1923*INDEX(Vinos!$J$2:$J$301,MATCH($B1923,Vinos!$A$2:$A$301,0))),""))</f>
        <v/>
      </c>
      <c r="L1923" s="16">
        <f>IF($H1923="","",IFERROR(IF(INDEX(Vinos!$K$2:$K$301,MATCH($B1923,Vinos!$A$2:$A$301,0))="","",$H1923*INDEX(Vinos!$K$2:$K$301,MATCH($B1923,Vinos!$A$2:$A$301,0))),""))</f>
        <v/>
      </c>
      <c r="M1923" s="21">
        <f>IF(OR($A1923="",$B1923=""),"",SUMIFS($H$2:$H$2001,$A$2:$A$2001,$A1923,$B$2:$B$2001,$B1923))</f>
        <v/>
      </c>
      <c r="N1923" s="20">
        <f>IF($M1923="","",IF($M1923&lt;=0,"Sin stock: reponer ya",IF($M1923&lt;IFERROR(N(INDEX(Vinos!$N$2:$N$301,MATCH($B1923,Vinos!$A$2:$A$301,0))),0),"Bajo mínimo: reponer","OK")))</f>
        <v/>
      </c>
      <c r="O1923" s="14" t="n"/>
      <c r="P1923" s="14" t="n"/>
      <c r="Q1923" s="20">
        <f>IF($B1923="","",IFERROR(INDEX(Vinos!$C$2:$C$301,MATCH($B1923,Vinos!$A$2:$A$301,0)),""))</f>
        <v/>
      </c>
      <c r="R1923" s="20">
        <f>IF(OR($A1923="",$A1923&lt;&gt;'Resumen del inventario'!$C$3,$N1923="",$N1923="OK"),"",IF(COUNTIFS($A$2:$A1923,$A1923,$B$2:$B1923,$B1923)=1,1,""))</f>
        <v/>
      </c>
      <c r="S1923" s="20">
        <f>IF($R1923=1,COUNTIF($R$2:$R1923,1),"")</f>
        <v/>
      </c>
    </row>
    <row r="1924">
      <c r="A1924" s="19" t="n"/>
      <c r="B1924" s="14" t="n"/>
      <c r="C1924" s="20">
        <f>IF($B1924="","",IFERROR(INDEX(Vinos!$B$2:$B$301,MATCH($B1924,Vinos!$A$2:$A$301,0)),"Código no cargado"))</f>
        <v/>
      </c>
      <c r="D1924" s="14" t="n"/>
      <c r="E1924" s="14" t="n"/>
      <c r="F1924" s="18" t="n"/>
      <c r="G1924" s="18" t="n"/>
      <c r="H1924" s="21">
        <f>IF(AND($F1924="",$G1924=""),"",N($F1924)*IFERROR(N(INDEX(Vinos!$H$2:$H$301,MATCH($B1924,Vinos!$A$2:$A$301,0))),0)+N($G1924))</f>
        <v/>
      </c>
      <c r="I1924" s="18" t="n"/>
      <c r="J1924" s="21">
        <f>IF(OR($H1924="",$I1924=""),"",$H1924-$I1924)</f>
        <v/>
      </c>
      <c r="K1924" s="16">
        <f>IF($H1924="","",IFERROR(IF(INDEX(Vinos!$J$2:$J$301,MATCH($B1924,Vinos!$A$2:$A$301,0))="","",$H1924*INDEX(Vinos!$J$2:$J$301,MATCH($B1924,Vinos!$A$2:$A$301,0))),""))</f>
        <v/>
      </c>
      <c r="L1924" s="16">
        <f>IF($H1924="","",IFERROR(IF(INDEX(Vinos!$K$2:$K$301,MATCH($B1924,Vinos!$A$2:$A$301,0))="","",$H1924*INDEX(Vinos!$K$2:$K$301,MATCH($B1924,Vinos!$A$2:$A$301,0))),""))</f>
        <v/>
      </c>
      <c r="M1924" s="21">
        <f>IF(OR($A1924="",$B1924=""),"",SUMIFS($H$2:$H$2001,$A$2:$A$2001,$A1924,$B$2:$B$2001,$B1924))</f>
        <v/>
      </c>
      <c r="N1924" s="20">
        <f>IF($M1924="","",IF($M1924&lt;=0,"Sin stock: reponer ya",IF($M1924&lt;IFERROR(N(INDEX(Vinos!$N$2:$N$301,MATCH($B1924,Vinos!$A$2:$A$301,0))),0),"Bajo mínimo: reponer","OK")))</f>
        <v/>
      </c>
      <c r="O1924" s="14" t="n"/>
      <c r="P1924" s="14" t="n"/>
      <c r="Q1924" s="20">
        <f>IF($B1924="","",IFERROR(INDEX(Vinos!$C$2:$C$301,MATCH($B1924,Vinos!$A$2:$A$301,0)),""))</f>
        <v/>
      </c>
      <c r="R1924" s="20">
        <f>IF(OR($A1924="",$A1924&lt;&gt;'Resumen del inventario'!$C$3,$N1924="",$N1924="OK"),"",IF(COUNTIFS($A$2:$A1924,$A1924,$B$2:$B1924,$B1924)=1,1,""))</f>
        <v/>
      </c>
      <c r="S1924" s="20">
        <f>IF($R1924=1,COUNTIF($R$2:$R1924,1),"")</f>
        <v/>
      </c>
    </row>
    <row r="1925">
      <c r="A1925" s="19" t="n"/>
      <c r="B1925" s="14" t="n"/>
      <c r="C1925" s="20">
        <f>IF($B1925="","",IFERROR(INDEX(Vinos!$B$2:$B$301,MATCH($B1925,Vinos!$A$2:$A$301,0)),"Código no cargado"))</f>
        <v/>
      </c>
      <c r="D1925" s="14" t="n"/>
      <c r="E1925" s="14" t="n"/>
      <c r="F1925" s="18" t="n"/>
      <c r="G1925" s="18" t="n"/>
      <c r="H1925" s="21">
        <f>IF(AND($F1925="",$G1925=""),"",N($F1925)*IFERROR(N(INDEX(Vinos!$H$2:$H$301,MATCH($B1925,Vinos!$A$2:$A$301,0))),0)+N($G1925))</f>
        <v/>
      </c>
      <c r="I1925" s="18" t="n"/>
      <c r="J1925" s="21">
        <f>IF(OR($H1925="",$I1925=""),"",$H1925-$I1925)</f>
        <v/>
      </c>
      <c r="K1925" s="16">
        <f>IF($H1925="","",IFERROR(IF(INDEX(Vinos!$J$2:$J$301,MATCH($B1925,Vinos!$A$2:$A$301,0))="","",$H1925*INDEX(Vinos!$J$2:$J$301,MATCH($B1925,Vinos!$A$2:$A$301,0))),""))</f>
        <v/>
      </c>
      <c r="L1925" s="16">
        <f>IF($H1925="","",IFERROR(IF(INDEX(Vinos!$K$2:$K$301,MATCH($B1925,Vinos!$A$2:$A$301,0))="","",$H1925*INDEX(Vinos!$K$2:$K$301,MATCH($B1925,Vinos!$A$2:$A$301,0))),""))</f>
        <v/>
      </c>
      <c r="M1925" s="21">
        <f>IF(OR($A1925="",$B1925=""),"",SUMIFS($H$2:$H$2001,$A$2:$A$2001,$A1925,$B$2:$B$2001,$B1925))</f>
        <v/>
      </c>
      <c r="N1925" s="20">
        <f>IF($M1925="","",IF($M1925&lt;=0,"Sin stock: reponer ya",IF($M1925&lt;IFERROR(N(INDEX(Vinos!$N$2:$N$301,MATCH($B1925,Vinos!$A$2:$A$301,0))),0),"Bajo mínimo: reponer","OK")))</f>
        <v/>
      </c>
      <c r="O1925" s="14" t="n"/>
      <c r="P1925" s="14" t="n"/>
      <c r="Q1925" s="20">
        <f>IF($B1925="","",IFERROR(INDEX(Vinos!$C$2:$C$301,MATCH($B1925,Vinos!$A$2:$A$301,0)),""))</f>
        <v/>
      </c>
      <c r="R1925" s="20">
        <f>IF(OR($A1925="",$A1925&lt;&gt;'Resumen del inventario'!$C$3,$N1925="",$N1925="OK"),"",IF(COUNTIFS($A$2:$A1925,$A1925,$B$2:$B1925,$B1925)=1,1,""))</f>
        <v/>
      </c>
      <c r="S1925" s="20">
        <f>IF($R1925=1,COUNTIF($R$2:$R1925,1),"")</f>
        <v/>
      </c>
    </row>
    <row r="1926">
      <c r="A1926" s="19" t="n"/>
      <c r="B1926" s="14" t="n"/>
      <c r="C1926" s="20">
        <f>IF($B1926="","",IFERROR(INDEX(Vinos!$B$2:$B$301,MATCH($B1926,Vinos!$A$2:$A$301,0)),"Código no cargado"))</f>
        <v/>
      </c>
      <c r="D1926" s="14" t="n"/>
      <c r="E1926" s="14" t="n"/>
      <c r="F1926" s="18" t="n"/>
      <c r="G1926" s="18" t="n"/>
      <c r="H1926" s="21">
        <f>IF(AND($F1926="",$G1926=""),"",N($F1926)*IFERROR(N(INDEX(Vinos!$H$2:$H$301,MATCH($B1926,Vinos!$A$2:$A$301,0))),0)+N($G1926))</f>
        <v/>
      </c>
      <c r="I1926" s="18" t="n"/>
      <c r="J1926" s="21">
        <f>IF(OR($H1926="",$I1926=""),"",$H1926-$I1926)</f>
        <v/>
      </c>
      <c r="K1926" s="16">
        <f>IF($H1926="","",IFERROR(IF(INDEX(Vinos!$J$2:$J$301,MATCH($B1926,Vinos!$A$2:$A$301,0))="","",$H1926*INDEX(Vinos!$J$2:$J$301,MATCH($B1926,Vinos!$A$2:$A$301,0))),""))</f>
        <v/>
      </c>
      <c r="L1926" s="16">
        <f>IF($H1926="","",IFERROR(IF(INDEX(Vinos!$K$2:$K$301,MATCH($B1926,Vinos!$A$2:$A$301,0))="","",$H1926*INDEX(Vinos!$K$2:$K$301,MATCH($B1926,Vinos!$A$2:$A$301,0))),""))</f>
        <v/>
      </c>
      <c r="M1926" s="21">
        <f>IF(OR($A1926="",$B1926=""),"",SUMIFS($H$2:$H$2001,$A$2:$A$2001,$A1926,$B$2:$B$2001,$B1926))</f>
        <v/>
      </c>
      <c r="N1926" s="20">
        <f>IF($M1926="","",IF($M1926&lt;=0,"Sin stock: reponer ya",IF($M1926&lt;IFERROR(N(INDEX(Vinos!$N$2:$N$301,MATCH($B1926,Vinos!$A$2:$A$301,0))),0),"Bajo mínimo: reponer","OK")))</f>
        <v/>
      </c>
      <c r="O1926" s="14" t="n"/>
      <c r="P1926" s="14" t="n"/>
      <c r="Q1926" s="20">
        <f>IF($B1926="","",IFERROR(INDEX(Vinos!$C$2:$C$301,MATCH($B1926,Vinos!$A$2:$A$301,0)),""))</f>
        <v/>
      </c>
      <c r="R1926" s="20">
        <f>IF(OR($A1926="",$A1926&lt;&gt;'Resumen del inventario'!$C$3,$N1926="",$N1926="OK"),"",IF(COUNTIFS($A$2:$A1926,$A1926,$B$2:$B1926,$B1926)=1,1,""))</f>
        <v/>
      </c>
      <c r="S1926" s="20">
        <f>IF($R1926=1,COUNTIF($R$2:$R1926,1),"")</f>
        <v/>
      </c>
    </row>
    <row r="1927">
      <c r="A1927" s="19" t="n"/>
      <c r="B1927" s="14" t="n"/>
      <c r="C1927" s="20">
        <f>IF($B1927="","",IFERROR(INDEX(Vinos!$B$2:$B$301,MATCH($B1927,Vinos!$A$2:$A$301,0)),"Código no cargado"))</f>
        <v/>
      </c>
      <c r="D1927" s="14" t="n"/>
      <c r="E1927" s="14" t="n"/>
      <c r="F1927" s="18" t="n"/>
      <c r="G1927" s="18" t="n"/>
      <c r="H1927" s="21">
        <f>IF(AND($F1927="",$G1927=""),"",N($F1927)*IFERROR(N(INDEX(Vinos!$H$2:$H$301,MATCH($B1927,Vinos!$A$2:$A$301,0))),0)+N($G1927))</f>
        <v/>
      </c>
      <c r="I1927" s="18" t="n"/>
      <c r="J1927" s="21">
        <f>IF(OR($H1927="",$I1927=""),"",$H1927-$I1927)</f>
        <v/>
      </c>
      <c r="K1927" s="16">
        <f>IF($H1927="","",IFERROR(IF(INDEX(Vinos!$J$2:$J$301,MATCH($B1927,Vinos!$A$2:$A$301,0))="","",$H1927*INDEX(Vinos!$J$2:$J$301,MATCH($B1927,Vinos!$A$2:$A$301,0))),""))</f>
        <v/>
      </c>
      <c r="L1927" s="16">
        <f>IF($H1927="","",IFERROR(IF(INDEX(Vinos!$K$2:$K$301,MATCH($B1927,Vinos!$A$2:$A$301,0))="","",$H1927*INDEX(Vinos!$K$2:$K$301,MATCH($B1927,Vinos!$A$2:$A$301,0))),""))</f>
        <v/>
      </c>
      <c r="M1927" s="21">
        <f>IF(OR($A1927="",$B1927=""),"",SUMIFS($H$2:$H$2001,$A$2:$A$2001,$A1927,$B$2:$B$2001,$B1927))</f>
        <v/>
      </c>
      <c r="N1927" s="20">
        <f>IF($M1927="","",IF($M1927&lt;=0,"Sin stock: reponer ya",IF($M1927&lt;IFERROR(N(INDEX(Vinos!$N$2:$N$301,MATCH($B1927,Vinos!$A$2:$A$301,0))),0),"Bajo mínimo: reponer","OK")))</f>
        <v/>
      </c>
      <c r="O1927" s="14" t="n"/>
      <c r="P1927" s="14" t="n"/>
      <c r="Q1927" s="20">
        <f>IF($B1927="","",IFERROR(INDEX(Vinos!$C$2:$C$301,MATCH($B1927,Vinos!$A$2:$A$301,0)),""))</f>
        <v/>
      </c>
      <c r="R1927" s="20">
        <f>IF(OR($A1927="",$A1927&lt;&gt;'Resumen del inventario'!$C$3,$N1927="",$N1927="OK"),"",IF(COUNTIFS($A$2:$A1927,$A1927,$B$2:$B1927,$B1927)=1,1,""))</f>
        <v/>
      </c>
      <c r="S1927" s="20">
        <f>IF($R1927=1,COUNTIF($R$2:$R1927,1),"")</f>
        <v/>
      </c>
    </row>
    <row r="1928">
      <c r="A1928" s="19" t="n"/>
      <c r="B1928" s="14" t="n"/>
      <c r="C1928" s="20">
        <f>IF($B1928="","",IFERROR(INDEX(Vinos!$B$2:$B$301,MATCH($B1928,Vinos!$A$2:$A$301,0)),"Código no cargado"))</f>
        <v/>
      </c>
      <c r="D1928" s="14" t="n"/>
      <c r="E1928" s="14" t="n"/>
      <c r="F1928" s="18" t="n"/>
      <c r="G1928" s="18" t="n"/>
      <c r="H1928" s="21">
        <f>IF(AND($F1928="",$G1928=""),"",N($F1928)*IFERROR(N(INDEX(Vinos!$H$2:$H$301,MATCH($B1928,Vinos!$A$2:$A$301,0))),0)+N($G1928))</f>
        <v/>
      </c>
      <c r="I1928" s="18" t="n"/>
      <c r="J1928" s="21">
        <f>IF(OR($H1928="",$I1928=""),"",$H1928-$I1928)</f>
        <v/>
      </c>
      <c r="K1928" s="16">
        <f>IF($H1928="","",IFERROR(IF(INDEX(Vinos!$J$2:$J$301,MATCH($B1928,Vinos!$A$2:$A$301,0))="","",$H1928*INDEX(Vinos!$J$2:$J$301,MATCH($B1928,Vinos!$A$2:$A$301,0))),""))</f>
        <v/>
      </c>
      <c r="L1928" s="16">
        <f>IF($H1928="","",IFERROR(IF(INDEX(Vinos!$K$2:$K$301,MATCH($B1928,Vinos!$A$2:$A$301,0))="","",$H1928*INDEX(Vinos!$K$2:$K$301,MATCH($B1928,Vinos!$A$2:$A$301,0))),""))</f>
        <v/>
      </c>
      <c r="M1928" s="21">
        <f>IF(OR($A1928="",$B1928=""),"",SUMIFS($H$2:$H$2001,$A$2:$A$2001,$A1928,$B$2:$B$2001,$B1928))</f>
        <v/>
      </c>
      <c r="N1928" s="20">
        <f>IF($M1928="","",IF($M1928&lt;=0,"Sin stock: reponer ya",IF($M1928&lt;IFERROR(N(INDEX(Vinos!$N$2:$N$301,MATCH($B1928,Vinos!$A$2:$A$301,0))),0),"Bajo mínimo: reponer","OK")))</f>
        <v/>
      </c>
      <c r="O1928" s="14" t="n"/>
      <c r="P1928" s="14" t="n"/>
      <c r="Q1928" s="20">
        <f>IF($B1928="","",IFERROR(INDEX(Vinos!$C$2:$C$301,MATCH($B1928,Vinos!$A$2:$A$301,0)),""))</f>
        <v/>
      </c>
      <c r="R1928" s="20">
        <f>IF(OR($A1928="",$A1928&lt;&gt;'Resumen del inventario'!$C$3,$N1928="",$N1928="OK"),"",IF(COUNTIFS($A$2:$A1928,$A1928,$B$2:$B1928,$B1928)=1,1,""))</f>
        <v/>
      </c>
      <c r="S1928" s="20">
        <f>IF($R1928=1,COUNTIF($R$2:$R1928,1),"")</f>
        <v/>
      </c>
    </row>
    <row r="1929">
      <c r="A1929" s="19" t="n"/>
      <c r="B1929" s="14" t="n"/>
      <c r="C1929" s="20">
        <f>IF($B1929="","",IFERROR(INDEX(Vinos!$B$2:$B$301,MATCH($B1929,Vinos!$A$2:$A$301,0)),"Código no cargado"))</f>
        <v/>
      </c>
      <c r="D1929" s="14" t="n"/>
      <c r="E1929" s="14" t="n"/>
      <c r="F1929" s="18" t="n"/>
      <c r="G1929" s="18" t="n"/>
      <c r="H1929" s="21">
        <f>IF(AND($F1929="",$G1929=""),"",N($F1929)*IFERROR(N(INDEX(Vinos!$H$2:$H$301,MATCH($B1929,Vinos!$A$2:$A$301,0))),0)+N($G1929))</f>
        <v/>
      </c>
      <c r="I1929" s="18" t="n"/>
      <c r="J1929" s="21">
        <f>IF(OR($H1929="",$I1929=""),"",$H1929-$I1929)</f>
        <v/>
      </c>
      <c r="K1929" s="16">
        <f>IF($H1929="","",IFERROR(IF(INDEX(Vinos!$J$2:$J$301,MATCH($B1929,Vinos!$A$2:$A$301,0))="","",$H1929*INDEX(Vinos!$J$2:$J$301,MATCH($B1929,Vinos!$A$2:$A$301,0))),""))</f>
        <v/>
      </c>
      <c r="L1929" s="16">
        <f>IF($H1929="","",IFERROR(IF(INDEX(Vinos!$K$2:$K$301,MATCH($B1929,Vinos!$A$2:$A$301,0))="","",$H1929*INDEX(Vinos!$K$2:$K$301,MATCH($B1929,Vinos!$A$2:$A$301,0))),""))</f>
        <v/>
      </c>
      <c r="M1929" s="21">
        <f>IF(OR($A1929="",$B1929=""),"",SUMIFS($H$2:$H$2001,$A$2:$A$2001,$A1929,$B$2:$B$2001,$B1929))</f>
        <v/>
      </c>
      <c r="N1929" s="20">
        <f>IF($M1929="","",IF($M1929&lt;=0,"Sin stock: reponer ya",IF($M1929&lt;IFERROR(N(INDEX(Vinos!$N$2:$N$301,MATCH($B1929,Vinos!$A$2:$A$301,0))),0),"Bajo mínimo: reponer","OK")))</f>
        <v/>
      </c>
      <c r="O1929" s="14" t="n"/>
      <c r="P1929" s="14" t="n"/>
      <c r="Q1929" s="20">
        <f>IF($B1929="","",IFERROR(INDEX(Vinos!$C$2:$C$301,MATCH($B1929,Vinos!$A$2:$A$301,0)),""))</f>
        <v/>
      </c>
      <c r="R1929" s="20">
        <f>IF(OR($A1929="",$A1929&lt;&gt;'Resumen del inventario'!$C$3,$N1929="",$N1929="OK"),"",IF(COUNTIFS($A$2:$A1929,$A1929,$B$2:$B1929,$B1929)=1,1,""))</f>
        <v/>
      </c>
      <c r="S1929" s="20">
        <f>IF($R1929=1,COUNTIF($R$2:$R1929,1),"")</f>
        <v/>
      </c>
    </row>
    <row r="1930">
      <c r="A1930" s="19" t="n"/>
      <c r="B1930" s="14" t="n"/>
      <c r="C1930" s="20">
        <f>IF($B1930="","",IFERROR(INDEX(Vinos!$B$2:$B$301,MATCH($B1930,Vinos!$A$2:$A$301,0)),"Código no cargado"))</f>
        <v/>
      </c>
      <c r="D1930" s="14" t="n"/>
      <c r="E1930" s="14" t="n"/>
      <c r="F1930" s="18" t="n"/>
      <c r="G1930" s="18" t="n"/>
      <c r="H1930" s="21">
        <f>IF(AND($F1930="",$G1930=""),"",N($F1930)*IFERROR(N(INDEX(Vinos!$H$2:$H$301,MATCH($B1930,Vinos!$A$2:$A$301,0))),0)+N($G1930))</f>
        <v/>
      </c>
      <c r="I1930" s="18" t="n"/>
      <c r="J1930" s="21">
        <f>IF(OR($H1930="",$I1930=""),"",$H1930-$I1930)</f>
        <v/>
      </c>
      <c r="K1930" s="16">
        <f>IF($H1930="","",IFERROR(IF(INDEX(Vinos!$J$2:$J$301,MATCH($B1930,Vinos!$A$2:$A$301,0))="","",$H1930*INDEX(Vinos!$J$2:$J$301,MATCH($B1930,Vinos!$A$2:$A$301,0))),""))</f>
        <v/>
      </c>
      <c r="L1930" s="16">
        <f>IF($H1930="","",IFERROR(IF(INDEX(Vinos!$K$2:$K$301,MATCH($B1930,Vinos!$A$2:$A$301,0))="","",$H1930*INDEX(Vinos!$K$2:$K$301,MATCH($B1930,Vinos!$A$2:$A$301,0))),""))</f>
        <v/>
      </c>
      <c r="M1930" s="21">
        <f>IF(OR($A1930="",$B1930=""),"",SUMIFS($H$2:$H$2001,$A$2:$A$2001,$A1930,$B$2:$B$2001,$B1930))</f>
        <v/>
      </c>
      <c r="N1930" s="20">
        <f>IF($M1930="","",IF($M1930&lt;=0,"Sin stock: reponer ya",IF($M1930&lt;IFERROR(N(INDEX(Vinos!$N$2:$N$301,MATCH($B1930,Vinos!$A$2:$A$301,0))),0),"Bajo mínimo: reponer","OK")))</f>
        <v/>
      </c>
      <c r="O1930" s="14" t="n"/>
      <c r="P1930" s="14" t="n"/>
      <c r="Q1930" s="20">
        <f>IF($B1930="","",IFERROR(INDEX(Vinos!$C$2:$C$301,MATCH($B1930,Vinos!$A$2:$A$301,0)),""))</f>
        <v/>
      </c>
      <c r="R1930" s="20">
        <f>IF(OR($A1930="",$A1930&lt;&gt;'Resumen del inventario'!$C$3,$N1930="",$N1930="OK"),"",IF(COUNTIFS($A$2:$A1930,$A1930,$B$2:$B1930,$B1930)=1,1,""))</f>
        <v/>
      </c>
      <c r="S1930" s="20">
        <f>IF($R1930=1,COUNTIF($R$2:$R1930,1),"")</f>
        <v/>
      </c>
    </row>
    <row r="1931">
      <c r="A1931" s="19" t="n"/>
      <c r="B1931" s="14" t="n"/>
      <c r="C1931" s="20">
        <f>IF($B1931="","",IFERROR(INDEX(Vinos!$B$2:$B$301,MATCH($B1931,Vinos!$A$2:$A$301,0)),"Código no cargado"))</f>
        <v/>
      </c>
      <c r="D1931" s="14" t="n"/>
      <c r="E1931" s="14" t="n"/>
      <c r="F1931" s="18" t="n"/>
      <c r="G1931" s="18" t="n"/>
      <c r="H1931" s="21">
        <f>IF(AND($F1931="",$G1931=""),"",N($F1931)*IFERROR(N(INDEX(Vinos!$H$2:$H$301,MATCH($B1931,Vinos!$A$2:$A$301,0))),0)+N($G1931))</f>
        <v/>
      </c>
      <c r="I1931" s="18" t="n"/>
      <c r="J1931" s="21">
        <f>IF(OR($H1931="",$I1931=""),"",$H1931-$I1931)</f>
        <v/>
      </c>
      <c r="K1931" s="16">
        <f>IF($H1931="","",IFERROR(IF(INDEX(Vinos!$J$2:$J$301,MATCH($B1931,Vinos!$A$2:$A$301,0))="","",$H1931*INDEX(Vinos!$J$2:$J$301,MATCH($B1931,Vinos!$A$2:$A$301,0))),""))</f>
        <v/>
      </c>
      <c r="L1931" s="16">
        <f>IF($H1931="","",IFERROR(IF(INDEX(Vinos!$K$2:$K$301,MATCH($B1931,Vinos!$A$2:$A$301,0))="","",$H1931*INDEX(Vinos!$K$2:$K$301,MATCH($B1931,Vinos!$A$2:$A$301,0))),""))</f>
        <v/>
      </c>
      <c r="M1931" s="21">
        <f>IF(OR($A1931="",$B1931=""),"",SUMIFS($H$2:$H$2001,$A$2:$A$2001,$A1931,$B$2:$B$2001,$B1931))</f>
        <v/>
      </c>
      <c r="N1931" s="20">
        <f>IF($M1931="","",IF($M1931&lt;=0,"Sin stock: reponer ya",IF($M1931&lt;IFERROR(N(INDEX(Vinos!$N$2:$N$301,MATCH($B1931,Vinos!$A$2:$A$301,0))),0),"Bajo mínimo: reponer","OK")))</f>
        <v/>
      </c>
      <c r="O1931" s="14" t="n"/>
      <c r="P1931" s="14" t="n"/>
      <c r="Q1931" s="20">
        <f>IF($B1931="","",IFERROR(INDEX(Vinos!$C$2:$C$301,MATCH($B1931,Vinos!$A$2:$A$301,0)),""))</f>
        <v/>
      </c>
      <c r="R1931" s="20">
        <f>IF(OR($A1931="",$A1931&lt;&gt;'Resumen del inventario'!$C$3,$N1931="",$N1931="OK"),"",IF(COUNTIFS($A$2:$A1931,$A1931,$B$2:$B1931,$B1931)=1,1,""))</f>
        <v/>
      </c>
      <c r="S1931" s="20">
        <f>IF($R1931=1,COUNTIF($R$2:$R1931,1),"")</f>
        <v/>
      </c>
    </row>
    <row r="1932">
      <c r="A1932" s="19" t="n"/>
      <c r="B1932" s="14" t="n"/>
      <c r="C1932" s="20">
        <f>IF($B1932="","",IFERROR(INDEX(Vinos!$B$2:$B$301,MATCH($B1932,Vinos!$A$2:$A$301,0)),"Código no cargado"))</f>
        <v/>
      </c>
      <c r="D1932" s="14" t="n"/>
      <c r="E1932" s="14" t="n"/>
      <c r="F1932" s="18" t="n"/>
      <c r="G1932" s="18" t="n"/>
      <c r="H1932" s="21">
        <f>IF(AND($F1932="",$G1932=""),"",N($F1932)*IFERROR(N(INDEX(Vinos!$H$2:$H$301,MATCH($B1932,Vinos!$A$2:$A$301,0))),0)+N($G1932))</f>
        <v/>
      </c>
      <c r="I1932" s="18" t="n"/>
      <c r="J1932" s="21">
        <f>IF(OR($H1932="",$I1932=""),"",$H1932-$I1932)</f>
        <v/>
      </c>
      <c r="K1932" s="16">
        <f>IF($H1932="","",IFERROR(IF(INDEX(Vinos!$J$2:$J$301,MATCH($B1932,Vinos!$A$2:$A$301,0))="","",$H1932*INDEX(Vinos!$J$2:$J$301,MATCH($B1932,Vinos!$A$2:$A$301,0))),""))</f>
        <v/>
      </c>
      <c r="L1932" s="16">
        <f>IF($H1932="","",IFERROR(IF(INDEX(Vinos!$K$2:$K$301,MATCH($B1932,Vinos!$A$2:$A$301,0))="","",$H1932*INDEX(Vinos!$K$2:$K$301,MATCH($B1932,Vinos!$A$2:$A$301,0))),""))</f>
        <v/>
      </c>
      <c r="M1932" s="21">
        <f>IF(OR($A1932="",$B1932=""),"",SUMIFS($H$2:$H$2001,$A$2:$A$2001,$A1932,$B$2:$B$2001,$B1932))</f>
        <v/>
      </c>
      <c r="N1932" s="20">
        <f>IF($M1932="","",IF($M1932&lt;=0,"Sin stock: reponer ya",IF($M1932&lt;IFERROR(N(INDEX(Vinos!$N$2:$N$301,MATCH($B1932,Vinos!$A$2:$A$301,0))),0),"Bajo mínimo: reponer","OK")))</f>
        <v/>
      </c>
      <c r="O1932" s="14" t="n"/>
      <c r="P1932" s="14" t="n"/>
      <c r="Q1932" s="20">
        <f>IF($B1932="","",IFERROR(INDEX(Vinos!$C$2:$C$301,MATCH($B1932,Vinos!$A$2:$A$301,0)),""))</f>
        <v/>
      </c>
      <c r="R1932" s="20">
        <f>IF(OR($A1932="",$A1932&lt;&gt;'Resumen del inventario'!$C$3,$N1932="",$N1932="OK"),"",IF(COUNTIFS($A$2:$A1932,$A1932,$B$2:$B1932,$B1932)=1,1,""))</f>
        <v/>
      </c>
      <c r="S1932" s="20">
        <f>IF($R1932=1,COUNTIF($R$2:$R1932,1),"")</f>
        <v/>
      </c>
    </row>
    <row r="1933">
      <c r="A1933" s="19" t="n"/>
      <c r="B1933" s="14" t="n"/>
      <c r="C1933" s="20">
        <f>IF($B1933="","",IFERROR(INDEX(Vinos!$B$2:$B$301,MATCH($B1933,Vinos!$A$2:$A$301,0)),"Código no cargado"))</f>
        <v/>
      </c>
      <c r="D1933" s="14" t="n"/>
      <c r="E1933" s="14" t="n"/>
      <c r="F1933" s="18" t="n"/>
      <c r="G1933" s="18" t="n"/>
      <c r="H1933" s="21">
        <f>IF(AND($F1933="",$G1933=""),"",N($F1933)*IFERROR(N(INDEX(Vinos!$H$2:$H$301,MATCH($B1933,Vinos!$A$2:$A$301,0))),0)+N($G1933))</f>
        <v/>
      </c>
      <c r="I1933" s="18" t="n"/>
      <c r="J1933" s="21">
        <f>IF(OR($H1933="",$I1933=""),"",$H1933-$I1933)</f>
        <v/>
      </c>
      <c r="K1933" s="16">
        <f>IF($H1933="","",IFERROR(IF(INDEX(Vinos!$J$2:$J$301,MATCH($B1933,Vinos!$A$2:$A$301,0))="","",$H1933*INDEX(Vinos!$J$2:$J$301,MATCH($B1933,Vinos!$A$2:$A$301,0))),""))</f>
        <v/>
      </c>
      <c r="L1933" s="16">
        <f>IF($H1933="","",IFERROR(IF(INDEX(Vinos!$K$2:$K$301,MATCH($B1933,Vinos!$A$2:$A$301,0))="","",$H1933*INDEX(Vinos!$K$2:$K$301,MATCH($B1933,Vinos!$A$2:$A$301,0))),""))</f>
        <v/>
      </c>
      <c r="M1933" s="21">
        <f>IF(OR($A1933="",$B1933=""),"",SUMIFS($H$2:$H$2001,$A$2:$A$2001,$A1933,$B$2:$B$2001,$B1933))</f>
        <v/>
      </c>
      <c r="N1933" s="20">
        <f>IF($M1933="","",IF($M1933&lt;=0,"Sin stock: reponer ya",IF($M1933&lt;IFERROR(N(INDEX(Vinos!$N$2:$N$301,MATCH($B1933,Vinos!$A$2:$A$301,0))),0),"Bajo mínimo: reponer","OK")))</f>
        <v/>
      </c>
      <c r="O1933" s="14" t="n"/>
      <c r="P1933" s="14" t="n"/>
      <c r="Q1933" s="20">
        <f>IF($B1933="","",IFERROR(INDEX(Vinos!$C$2:$C$301,MATCH($B1933,Vinos!$A$2:$A$301,0)),""))</f>
        <v/>
      </c>
      <c r="R1933" s="20">
        <f>IF(OR($A1933="",$A1933&lt;&gt;'Resumen del inventario'!$C$3,$N1933="",$N1933="OK"),"",IF(COUNTIFS($A$2:$A1933,$A1933,$B$2:$B1933,$B1933)=1,1,""))</f>
        <v/>
      </c>
      <c r="S1933" s="20">
        <f>IF($R1933=1,COUNTIF($R$2:$R1933,1),"")</f>
        <v/>
      </c>
    </row>
    <row r="1934">
      <c r="A1934" s="19" t="n"/>
      <c r="B1934" s="14" t="n"/>
      <c r="C1934" s="20">
        <f>IF($B1934="","",IFERROR(INDEX(Vinos!$B$2:$B$301,MATCH($B1934,Vinos!$A$2:$A$301,0)),"Código no cargado"))</f>
        <v/>
      </c>
      <c r="D1934" s="14" t="n"/>
      <c r="E1934" s="14" t="n"/>
      <c r="F1934" s="18" t="n"/>
      <c r="G1934" s="18" t="n"/>
      <c r="H1934" s="21">
        <f>IF(AND($F1934="",$G1934=""),"",N($F1934)*IFERROR(N(INDEX(Vinos!$H$2:$H$301,MATCH($B1934,Vinos!$A$2:$A$301,0))),0)+N($G1934))</f>
        <v/>
      </c>
      <c r="I1934" s="18" t="n"/>
      <c r="J1934" s="21">
        <f>IF(OR($H1934="",$I1934=""),"",$H1934-$I1934)</f>
        <v/>
      </c>
      <c r="K1934" s="16">
        <f>IF($H1934="","",IFERROR(IF(INDEX(Vinos!$J$2:$J$301,MATCH($B1934,Vinos!$A$2:$A$301,0))="","",$H1934*INDEX(Vinos!$J$2:$J$301,MATCH($B1934,Vinos!$A$2:$A$301,0))),""))</f>
        <v/>
      </c>
      <c r="L1934" s="16">
        <f>IF($H1934="","",IFERROR(IF(INDEX(Vinos!$K$2:$K$301,MATCH($B1934,Vinos!$A$2:$A$301,0))="","",$H1934*INDEX(Vinos!$K$2:$K$301,MATCH($B1934,Vinos!$A$2:$A$301,0))),""))</f>
        <v/>
      </c>
      <c r="M1934" s="21">
        <f>IF(OR($A1934="",$B1934=""),"",SUMIFS($H$2:$H$2001,$A$2:$A$2001,$A1934,$B$2:$B$2001,$B1934))</f>
        <v/>
      </c>
      <c r="N1934" s="20">
        <f>IF($M1934="","",IF($M1934&lt;=0,"Sin stock: reponer ya",IF($M1934&lt;IFERROR(N(INDEX(Vinos!$N$2:$N$301,MATCH($B1934,Vinos!$A$2:$A$301,0))),0),"Bajo mínimo: reponer","OK")))</f>
        <v/>
      </c>
      <c r="O1934" s="14" t="n"/>
      <c r="P1934" s="14" t="n"/>
      <c r="Q1934" s="20">
        <f>IF($B1934="","",IFERROR(INDEX(Vinos!$C$2:$C$301,MATCH($B1934,Vinos!$A$2:$A$301,0)),""))</f>
        <v/>
      </c>
      <c r="R1934" s="20">
        <f>IF(OR($A1934="",$A1934&lt;&gt;'Resumen del inventario'!$C$3,$N1934="",$N1934="OK"),"",IF(COUNTIFS($A$2:$A1934,$A1934,$B$2:$B1934,$B1934)=1,1,""))</f>
        <v/>
      </c>
      <c r="S1934" s="20">
        <f>IF($R1934=1,COUNTIF($R$2:$R1934,1),"")</f>
        <v/>
      </c>
    </row>
    <row r="1935">
      <c r="A1935" s="19" t="n"/>
      <c r="B1935" s="14" t="n"/>
      <c r="C1935" s="20">
        <f>IF($B1935="","",IFERROR(INDEX(Vinos!$B$2:$B$301,MATCH($B1935,Vinos!$A$2:$A$301,0)),"Código no cargado"))</f>
        <v/>
      </c>
      <c r="D1935" s="14" t="n"/>
      <c r="E1935" s="14" t="n"/>
      <c r="F1935" s="18" t="n"/>
      <c r="G1935" s="18" t="n"/>
      <c r="H1935" s="21">
        <f>IF(AND($F1935="",$G1935=""),"",N($F1935)*IFERROR(N(INDEX(Vinos!$H$2:$H$301,MATCH($B1935,Vinos!$A$2:$A$301,0))),0)+N($G1935))</f>
        <v/>
      </c>
      <c r="I1935" s="18" t="n"/>
      <c r="J1935" s="21">
        <f>IF(OR($H1935="",$I1935=""),"",$H1935-$I1935)</f>
        <v/>
      </c>
      <c r="K1935" s="16">
        <f>IF($H1935="","",IFERROR(IF(INDEX(Vinos!$J$2:$J$301,MATCH($B1935,Vinos!$A$2:$A$301,0))="","",$H1935*INDEX(Vinos!$J$2:$J$301,MATCH($B1935,Vinos!$A$2:$A$301,0))),""))</f>
        <v/>
      </c>
      <c r="L1935" s="16">
        <f>IF($H1935="","",IFERROR(IF(INDEX(Vinos!$K$2:$K$301,MATCH($B1935,Vinos!$A$2:$A$301,0))="","",$H1935*INDEX(Vinos!$K$2:$K$301,MATCH($B1935,Vinos!$A$2:$A$301,0))),""))</f>
        <v/>
      </c>
      <c r="M1935" s="21">
        <f>IF(OR($A1935="",$B1935=""),"",SUMIFS($H$2:$H$2001,$A$2:$A$2001,$A1935,$B$2:$B$2001,$B1935))</f>
        <v/>
      </c>
      <c r="N1935" s="20">
        <f>IF($M1935="","",IF($M1935&lt;=0,"Sin stock: reponer ya",IF($M1935&lt;IFERROR(N(INDEX(Vinos!$N$2:$N$301,MATCH($B1935,Vinos!$A$2:$A$301,0))),0),"Bajo mínimo: reponer","OK")))</f>
        <v/>
      </c>
      <c r="O1935" s="14" t="n"/>
      <c r="P1935" s="14" t="n"/>
      <c r="Q1935" s="20">
        <f>IF($B1935="","",IFERROR(INDEX(Vinos!$C$2:$C$301,MATCH($B1935,Vinos!$A$2:$A$301,0)),""))</f>
        <v/>
      </c>
      <c r="R1935" s="20">
        <f>IF(OR($A1935="",$A1935&lt;&gt;'Resumen del inventario'!$C$3,$N1935="",$N1935="OK"),"",IF(COUNTIFS($A$2:$A1935,$A1935,$B$2:$B1935,$B1935)=1,1,""))</f>
        <v/>
      </c>
      <c r="S1935" s="20">
        <f>IF($R1935=1,COUNTIF($R$2:$R1935,1),"")</f>
        <v/>
      </c>
    </row>
    <row r="1936">
      <c r="A1936" s="19" t="n"/>
      <c r="B1936" s="14" t="n"/>
      <c r="C1936" s="20">
        <f>IF($B1936="","",IFERROR(INDEX(Vinos!$B$2:$B$301,MATCH($B1936,Vinos!$A$2:$A$301,0)),"Código no cargado"))</f>
        <v/>
      </c>
      <c r="D1936" s="14" t="n"/>
      <c r="E1936" s="14" t="n"/>
      <c r="F1936" s="18" t="n"/>
      <c r="G1936" s="18" t="n"/>
      <c r="H1936" s="21">
        <f>IF(AND($F1936="",$G1936=""),"",N($F1936)*IFERROR(N(INDEX(Vinos!$H$2:$H$301,MATCH($B1936,Vinos!$A$2:$A$301,0))),0)+N($G1936))</f>
        <v/>
      </c>
      <c r="I1936" s="18" t="n"/>
      <c r="J1936" s="21">
        <f>IF(OR($H1936="",$I1936=""),"",$H1936-$I1936)</f>
        <v/>
      </c>
      <c r="K1936" s="16">
        <f>IF($H1936="","",IFERROR(IF(INDEX(Vinos!$J$2:$J$301,MATCH($B1936,Vinos!$A$2:$A$301,0))="","",$H1936*INDEX(Vinos!$J$2:$J$301,MATCH($B1936,Vinos!$A$2:$A$301,0))),""))</f>
        <v/>
      </c>
      <c r="L1936" s="16">
        <f>IF($H1936="","",IFERROR(IF(INDEX(Vinos!$K$2:$K$301,MATCH($B1936,Vinos!$A$2:$A$301,0))="","",$H1936*INDEX(Vinos!$K$2:$K$301,MATCH($B1936,Vinos!$A$2:$A$301,0))),""))</f>
        <v/>
      </c>
      <c r="M1936" s="21">
        <f>IF(OR($A1936="",$B1936=""),"",SUMIFS($H$2:$H$2001,$A$2:$A$2001,$A1936,$B$2:$B$2001,$B1936))</f>
        <v/>
      </c>
      <c r="N1936" s="20">
        <f>IF($M1936="","",IF($M1936&lt;=0,"Sin stock: reponer ya",IF($M1936&lt;IFERROR(N(INDEX(Vinos!$N$2:$N$301,MATCH($B1936,Vinos!$A$2:$A$301,0))),0),"Bajo mínimo: reponer","OK")))</f>
        <v/>
      </c>
      <c r="O1936" s="14" t="n"/>
      <c r="P1936" s="14" t="n"/>
      <c r="Q1936" s="20">
        <f>IF($B1936="","",IFERROR(INDEX(Vinos!$C$2:$C$301,MATCH($B1936,Vinos!$A$2:$A$301,0)),""))</f>
        <v/>
      </c>
      <c r="R1936" s="20">
        <f>IF(OR($A1936="",$A1936&lt;&gt;'Resumen del inventario'!$C$3,$N1936="",$N1936="OK"),"",IF(COUNTIFS($A$2:$A1936,$A1936,$B$2:$B1936,$B1936)=1,1,""))</f>
        <v/>
      </c>
      <c r="S1936" s="20">
        <f>IF($R1936=1,COUNTIF($R$2:$R1936,1),"")</f>
        <v/>
      </c>
    </row>
    <row r="1937">
      <c r="A1937" s="19" t="n"/>
      <c r="B1937" s="14" t="n"/>
      <c r="C1937" s="20">
        <f>IF($B1937="","",IFERROR(INDEX(Vinos!$B$2:$B$301,MATCH($B1937,Vinos!$A$2:$A$301,0)),"Código no cargado"))</f>
        <v/>
      </c>
      <c r="D1937" s="14" t="n"/>
      <c r="E1937" s="14" t="n"/>
      <c r="F1937" s="18" t="n"/>
      <c r="G1937" s="18" t="n"/>
      <c r="H1937" s="21">
        <f>IF(AND($F1937="",$G1937=""),"",N($F1937)*IFERROR(N(INDEX(Vinos!$H$2:$H$301,MATCH($B1937,Vinos!$A$2:$A$301,0))),0)+N($G1937))</f>
        <v/>
      </c>
      <c r="I1937" s="18" t="n"/>
      <c r="J1937" s="21">
        <f>IF(OR($H1937="",$I1937=""),"",$H1937-$I1937)</f>
        <v/>
      </c>
      <c r="K1937" s="16">
        <f>IF($H1937="","",IFERROR(IF(INDEX(Vinos!$J$2:$J$301,MATCH($B1937,Vinos!$A$2:$A$301,0))="","",$H1937*INDEX(Vinos!$J$2:$J$301,MATCH($B1937,Vinos!$A$2:$A$301,0))),""))</f>
        <v/>
      </c>
      <c r="L1937" s="16">
        <f>IF($H1937="","",IFERROR(IF(INDEX(Vinos!$K$2:$K$301,MATCH($B1937,Vinos!$A$2:$A$301,0))="","",$H1937*INDEX(Vinos!$K$2:$K$301,MATCH($B1937,Vinos!$A$2:$A$301,0))),""))</f>
        <v/>
      </c>
      <c r="M1937" s="21">
        <f>IF(OR($A1937="",$B1937=""),"",SUMIFS($H$2:$H$2001,$A$2:$A$2001,$A1937,$B$2:$B$2001,$B1937))</f>
        <v/>
      </c>
      <c r="N1937" s="20">
        <f>IF($M1937="","",IF($M1937&lt;=0,"Sin stock: reponer ya",IF($M1937&lt;IFERROR(N(INDEX(Vinos!$N$2:$N$301,MATCH($B1937,Vinos!$A$2:$A$301,0))),0),"Bajo mínimo: reponer","OK")))</f>
        <v/>
      </c>
      <c r="O1937" s="14" t="n"/>
      <c r="P1937" s="14" t="n"/>
      <c r="Q1937" s="20">
        <f>IF($B1937="","",IFERROR(INDEX(Vinos!$C$2:$C$301,MATCH($B1937,Vinos!$A$2:$A$301,0)),""))</f>
        <v/>
      </c>
      <c r="R1937" s="20">
        <f>IF(OR($A1937="",$A1937&lt;&gt;'Resumen del inventario'!$C$3,$N1937="",$N1937="OK"),"",IF(COUNTIFS($A$2:$A1937,$A1937,$B$2:$B1937,$B1937)=1,1,""))</f>
        <v/>
      </c>
      <c r="S1937" s="20">
        <f>IF($R1937=1,COUNTIF($R$2:$R1937,1),"")</f>
        <v/>
      </c>
    </row>
    <row r="1938">
      <c r="A1938" s="19" t="n"/>
      <c r="B1938" s="14" t="n"/>
      <c r="C1938" s="20">
        <f>IF($B1938="","",IFERROR(INDEX(Vinos!$B$2:$B$301,MATCH($B1938,Vinos!$A$2:$A$301,0)),"Código no cargado"))</f>
        <v/>
      </c>
      <c r="D1938" s="14" t="n"/>
      <c r="E1938" s="14" t="n"/>
      <c r="F1938" s="18" t="n"/>
      <c r="G1938" s="18" t="n"/>
      <c r="H1938" s="21">
        <f>IF(AND($F1938="",$G1938=""),"",N($F1938)*IFERROR(N(INDEX(Vinos!$H$2:$H$301,MATCH($B1938,Vinos!$A$2:$A$301,0))),0)+N($G1938))</f>
        <v/>
      </c>
      <c r="I1938" s="18" t="n"/>
      <c r="J1938" s="21">
        <f>IF(OR($H1938="",$I1938=""),"",$H1938-$I1938)</f>
        <v/>
      </c>
      <c r="K1938" s="16">
        <f>IF($H1938="","",IFERROR(IF(INDEX(Vinos!$J$2:$J$301,MATCH($B1938,Vinos!$A$2:$A$301,0))="","",$H1938*INDEX(Vinos!$J$2:$J$301,MATCH($B1938,Vinos!$A$2:$A$301,0))),""))</f>
        <v/>
      </c>
      <c r="L1938" s="16">
        <f>IF($H1938="","",IFERROR(IF(INDEX(Vinos!$K$2:$K$301,MATCH($B1938,Vinos!$A$2:$A$301,0))="","",$H1938*INDEX(Vinos!$K$2:$K$301,MATCH($B1938,Vinos!$A$2:$A$301,0))),""))</f>
        <v/>
      </c>
      <c r="M1938" s="21">
        <f>IF(OR($A1938="",$B1938=""),"",SUMIFS($H$2:$H$2001,$A$2:$A$2001,$A1938,$B$2:$B$2001,$B1938))</f>
        <v/>
      </c>
      <c r="N1938" s="20">
        <f>IF($M1938="","",IF($M1938&lt;=0,"Sin stock: reponer ya",IF($M1938&lt;IFERROR(N(INDEX(Vinos!$N$2:$N$301,MATCH($B1938,Vinos!$A$2:$A$301,0))),0),"Bajo mínimo: reponer","OK")))</f>
        <v/>
      </c>
      <c r="O1938" s="14" t="n"/>
      <c r="P1938" s="14" t="n"/>
      <c r="Q1938" s="20">
        <f>IF($B1938="","",IFERROR(INDEX(Vinos!$C$2:$C$301,MATCH($B1938,Vinos!$A$2:$A$301,0)),""))</f>
        <v/>
      </c>
      <c r="R1938" s="20">
        <f>IF(OR($A1938="",$A1938&lt;&gt;'Resumen del inventario'!$C$3,$N1938="",$N1938="OK"),"",IF(COUNTIFS($A$2:$A1938,$A1938,$B$2:$B1938,$B1938)=1,1,""))</f>
        <v/>
      </c>
      <c r="S1938" s="20">
        <f>IF($R1938=1,COUNTIF($R$2:$R1938,1),"")</f>
        <v/>
      </c>
    </row>
    <row r="1939">
      <c r="A1939" s="19" t="n"/>
      <c r="B1939" s="14" t="n"/>
      <c r="C1939" s="20">
        <f>IF($B1939="","",IFERROR(INDEX(Vinos!$B$2:$B$301,MATCH($B1939,Vinos!$A$2:$A$301,0)),"Código no cargado"))</f>
        <v/>
      </c>
      <c r="D1939" s="14" t="n"/>
      <c r="E1939" s="14" t="n"/>
      <c r="F1939" s="18" t="n"/>
      <c r="G1939" s="18" t="n"/>
      <c r="H1939" s="21">
        <f>IF(AND($F1939="",$G1939=""),"",N($F1939)*IFERROR(N(INDEX(Vinos!$H$2:$H$301,MATCH($B1939,Vinos!$A$2:$A$301,0))),0)+N($G1939))</f>
        <v/>
      </c>
      <c r="I1939" s="18" t="n"/>
      <c r="J1939" s="21">
        <f>IF(OR($H1939="",$I1939=""),"",$H1939-$I1939)</f>
        <v/>
      </c>
      <c r="K1939" s="16">
        <f>IF($H1939="","",IFERROR(IF(INDEX(Vinos!$J$2:$J$301,MATCH($B1939,Vinos!$A$2:$A$301,0))="","",$H1939*INDEX(Vinos!$J$2:$J$301,MATCH($B1939,Vinos!$A$2:$A$301,0))),""))</f>
        <v/>
      </c>
      <c r="L1939" s="16">
        <f>IF($H1939="","",IFERROR(IF(INDEX(Vinos!$K$2:$K$301,MATCH($B1939,Vinos!$A$2:$A$301,0))="","",$H1939*INDEX(Vinos!$K$2:$K$301,MATCH($B1939,Vinos!$A$2:$A$301,0))),""))</f>
        <v/>
      </c>
      <c r="M1939" s="21">
        <f>IF(OR($A1939="",$B1939=""),"",SUMIFS($H$2:$H$2001,$A$2:$A$2001,$A1939,$B$2:$B$2001,$B1939))</f>
        <v/>
      </c>
      <c r="N1939" s="20">
        <f>IF($M1939="","",IF($M1939&lt;=0,"Sin stock: reponer ya",IF($M1939&lt;IFERROR(N(INDEX(Vinos!$N$2:$N$301,MATCH($B1939,Vinos!$A$2:$A$301,0))),0),"Bajo mínimo: reponer","OK")))</f>
        <v/>
      </c>
      <c r="O1939" s="14" t="n"/>
      <c r="P1939" s="14" t="n"/>
      <c r="Q1939" s="20">
        <f>IF($B1939="","",IFERROR(INDEX(Vinos!$C$2:$C$301,MATCH($B1939,Vinos!$A$2:$A$301,0)),""))</f>
        <v/>
      </c>
      <c r="R1939" s="20">
        <f>IF(OR($A1939="",$A1939&lt;&gt;'Resumen del inventario'!$C$3,$N1939="",$N1939="OK"),"",IF(COUNTIFS($A$2:$A1939,$A1939,$B$2:$B1939,$B1939)=1,1,""))</f>
        <v/>
      </c>
      <c r="S1939" s="20">
        <f>IF($R1939=1,COUNTIF($R$2:$R1939,1),"")</f>
        <v/>
      </c>
    </row>
    <row r="1940">
      <c r="A1940" s="19" t="n"/>
      <c r="B1940" s="14" t="n"/>
      <c r="C1940" s="20">
        <f>IF($B1940="","",IFERROR(INDEX(Vinos!$B$2:$B$301,MATCH($B1940,Vinos!$A$2:$A$301,0)),"Código no cargado"))</f>
        <v/>
      </c>
      <c r="D1940" s="14" t="n"/>
      <c r="E1940" s="14" t="n"/>
      <c r="F1940" s="18" t="n"/>
      <c r="G1940" s="18" t="n"/>
      <c r="H1940" s="21">
        <f>IF(AND($F1940="",$G1940=""),"",N($F1940)*IFERROR(N(INDEX(Vinos!$H$2:$H$301,MATCH($B1940,Vinos!$A$2:$A$301,0))),0)+N($G1940))</f>
        <v/>
      </c>
      <c r="I1940" s="18" t="n"/>
      <c r="J1940" s="21">
        <f>IF(OR($H1940="",$I1940=""),"",$H1940-$I1940)</f>
        <v/>
      </c>
      <c r="K1940" s="16">
        <f>IF($H1940="","",IFERROR(IF(INDEX(Vinos!$J$2:$J$301,MATCH($B1940,Vinos!$A$2:$A$301,0))="","",$H1940*INDEX(Vinos!$J$2:$J$301,MATCH($B1940,Vinos!$A$2:$A$301,0))),""))</f>
        <v/>
      </c>
      <c r="L1940" s="16">
        <f>IF($H1940="","",IFERROR(IF(INDEX(Vinos!$K$2:$K$301,MATCH($B1940,Vinos!$A$2:$A$301,0))="","",$H1940*INDEX(Vinos!$K$2:$K$301,MATCH($B1940,Vinos!$A$2:$A$301,0))),""))</f>
        <v/>
      </c>
      <c r="M1940" s="21">
        <f>IF(OR($A1940="",$B1940=""),"",SUMIFS($H$2:$H$2001,$A$2:$A$2001,$A1940,$B$2:$B$2001,$B1940))</f>
        <v/>
      </c>
      <c r="N1940" s="20">
        <f>IF($M1940="","",IF($M1940&lt;=0,"Sin stock: reponer ya",IF($M1940&lt;IFERROR(N(INDEX(Vinos!$N$2:$N$301,MATCH($B1940,Vinos!$A$2:$A$301,0))),0),"Bajo mínimo: reponer","OK")))</f>
        <v/>
      </c>
      <c r="O1940" s="14" t="n"/>
      <c r="P1940" s="14" t="n"/>
      <c r="Q1940" s="20">
        <f>IF($B1940="","",IFERROR(INDEX(Vinos!$C$2:$C$301,MATCH($B1940,Vinos!$A$2:$A$301,0)),""))</f>
        <v/>
      </c>
      <c r="R1940" s="20">
        <f>IF(OR($A1940="",$A1940&lt;&gt;'Resumen del inventario'!$C$3,$N1940="",$N1940="OK"),"",IF(COUNTIFS($A$2:$A1940,$A1940,$B$2:$B1940,$B1940)=1,1,""))</f>
        <v/>
      </c>
      <c r="S1940" s="20">
        <f>IF($R1940=1,COUNTIF($R$2:$R1940,1),"")</f>
        <v/>
      </c>
    </row>
    <row r="1941">
      <c r="A1941" s="19" t="n"/>
      <c r="B1941" s="14" t="n"/>
      <c r="C1941" s="20">
        <f>IF($B1941="","",IFERROR(INDEX(Vinos!$B$2:$B$301,MATCH($B1941,Vinos!$A$2:$A$301,0)),"Código no cargado"))</f>
        <v/>
      </c>
      <c r="D1941" s="14" t="n"/>
      <c r="E1941" s="14" t="n"/>
      <c r="F1941" s="18" t="n"/>
      <c r="G1941" s="18" t="n"/>
      <c r="H1941" s="21">
        <f>IF(AND($F1941="",$G1941=""),"",N($F1941)*IFERROR(N(INDEX(Vinos!$H$2:$H$301,MATCH($B1941,Vinos!$A$2:$A$301,0))),0)+N($G1941))</f>
        <v/>
      </c>
      <c r="I1941" s="18" t="n"/>
      <c r="J1941" s="21">
        <f>IF(OR($H1941="",$I1941=""),"",$H1941-$I1941)</f>
        <v/>
      </c>
      <c r="K1941" s="16">
        <f>IF($H1941="","",IFERROR(IF(INDEX(Vinos!$J$2:$J$301,MATCH($B1941,Vinos!$A$2:$A$301,0))="","",$H1941*INDEX(Vinos!$J$2:$J$301,MATCH($B1941,Vinos!$A$2:$A$301,0))),""))</f>
        <v/>
      </c>
      <c r="L1941" s="16">
        <f>IF($H1941="","",IFERROR(IF(INDEX(Vinos!$K$2:$K$301,MATCH($B1941,Vinos!$A$2:$A$301,0))="","",$H1941*INDEX(Vinos!$K$2:$K$301,MATCH($B1941,Vinos!$A$2:$A$301,0))),""))</f>
        <v/>
      </c>
      <c r="M1941" s="21">
        <f>IF(OR($A1941="",$B1941=""),"",SUMIFS($H$2:$H$2001,$A$2:$A$2001,$A1941,$B$2:$B$2001,$B1941))</f>
        <v/>
      </c>
      <c r="N1941" s="20">
        <f>IF($M1941="","",IF($M1941&lt;=0,"Sin stock: reponer ya",IF($M1941&lt;IFERROR(N(INDEX(Vinos!$N$2:$N$301,MATCH($B1941,Vinos!$A$2:$A$301,0))),0),"Bajo mínimo: reponer","OK")))</f>
        <v/>
      </c>
      <c r="O1941" s="14" t="n"/>
      <c r="P1941" s="14" t="n"/>
      <c r="Q1941" s="20">
        <f>IF($B1941="","",IFERROR(INDEX(Vinos!$C$2:$C$301,MATCH($B1941,Vinos!$A$2:$A$301,0)),""))</f>
        <v/>
      </c>
      <c r="R1941" s="20">
        <f>IF(OR($A1941="",$A1941&lt;&gt;'Resumen del inventario'!$C$3,$N1941="",$N1941="OK"),"",IF(COUNTIFS($A$2:$A1941,$A1941,$B$2:$B1941,$B1941)=1,1,""))</f>
        <v/>
      </c>
      <c r="S1941" s="20">
        <f>IF($R1941=1,COUNTIF($R$2:$R1941,1),"")</f>
        <v/>
      </c>
    </row>
    <row r="1942">
      <c r="A1942" s="19" t="n"/>
      <c r="B1942" s="14" t="n"/>
      <c r="C1942" s="20">
        <f>IF($B1942="","",IFERROR(INDEX(Vinos!$B$2:$B$301,MATCH($B1942,Vinos!$A$2:$A$301,0)),"Código no cargado"))</f>
        <v/>
      </c>
      <c r="D1942" s="14" t="n"/>
      <c r="E1942" s="14" t="n"/>
      <c r="F1942" s="18" t="n"/>
      <c r="G1942" s="18" t="n"/>
      <c r="H1942" s="21">
        <f>IF(AND($F1942="",$G1942=""),"",N($F1942)*IFERROR(N(INDEX(Vinos!$H$2:$H$301,MATCH($B1942,Vinos!$A$2:$A$301,0))),0)+N($G1942))</f>
        <v/>
      </c>
      <c r="I1942" s="18" t="n"/>
      <c r="J1942" s="21">
        <f>IF(OR($H1942="",$I1942=""),"",$H1942-$I1942)</f>
        <v/>
      </c>
      <c r="K1942" s="16">
        <f>IF($H1942="","",IFERROR(IF(INDEX(Vinos!$J$2:$J$301,MATCH($B1942,Vinos!$A$2:$A$301,0))="","",$H1942*INDEX(Vinos!$J$2:$J$301,MATCH($B1942,Vinos!$A$2:$A$301,0))),""))</f>
        <v/>
      </c>
      <c r="L1942" s="16">
        <f>IF($H1942="","",IFERROR(IF(INDEX(Vinos!$K$2:$K$301,MATCH($B1942,Vinos!$A$2:$A$301,0))="","",$H1942*INDEX(Vinos!$K$2:$K$301,MATCH($B1942,Vinos!$A$2:$A$301,0))),""))</f>
        <v/>
      </c>
      <c r="M1942" s="21">
        <f>IF(OR($A1942="",$B1942=""),"",SUMIFS($H$2:$H$2001,$A$2:$A$2001,$A1942,$B$2:$B$2001,$B1942))</f>
        <v/>
      </c>
      <c r="N1942" s="20">
        <f>IF($M1942="","",IF($M1942&lt;=0,"Sin stock: reponer ya",IF($M1942&lt;IFERROR(N(INDEX(Vinos!$N$2:$N$301,MATCH($B1942,Vinos!$A$2:$A$301,0))),0),"Bajo mínimo: reponer","OK")))</f>
        <v/>
      </c>
      <c r="O1942" s="14" t="n"/>
      <c r="P1942" s="14" t="n"/>
      <c r="Q1942" s="20">
        <f>IF($B1942="","",IFERROR(INDEX(Vinos!$C$2:$C$301,MATCH($B1942,Vinos!$A$2:$A$301,0)),""))</f>
        <v/>
      </c>
      <c r="R1942" s="20">
        <f>IF(OR($A1942="",$A1942&lt;&gt;'Resumen del inventario'!$C$3,$N1942="",$N1942="OK"),"",IF(COUNTIFS($A$2:$A1942,$A1942,$B$2:$B1942,$B1942)=1,1,""))</f>
        <v/>
      </c>
      <c r="S1942" s="20">
        <f>IF($R1942=1,COUNTIF($R$2:$R1942,1),"")</f>
        <v/>
      </c>
    </row>
    <row r="1943">
      <c r="A1943" s="19" t="n"/>
      <c r="B1943" s="14" t="n"/>
      <c r="C1943" s="20">
        <f>IF($B1943="","",IFERROR(INDEX(Vinos!$B$2:$B$301,MATCH($B1943,Vinos!$A$2:$A$301,0)),"Código no cargado"))</f>
        <v/>
      </c>
      <c r="D1943" s="14" t="n"/>
      <c r="E1943" s="14" t="n"/>
      <c r="F1943" s="18" t="n"/>
      <c r="G1943" s="18" t="n"/>
      <c r="H1943" s="21">
        <f>IF(AND($F1943="",$G1943=""),"",N($F1943)*IFERROR(N(INDEX(Vinos!$H$2:$H$301,MATCH($B1943,Vinos!$A$2:$A$301,0))),0)+N($G1943))</f>
        <v/>
      </c>
      <c r="I1943" s="18" t="n"/>
      <c r="J1943" s="21">
        <f>IF(OR($H1943="",$I1943=""),"",$H1943-$I1943)</f>
        <v/>
      </c>
      <c r="K1943" s="16">
        <f>IF($H1943="","",IFERROR(IF(INDEX(Vinos!$J$2:$J$301,MATCH($B1943,Vinos!$A$2:$A$301,0))="","",$H1943*INDEX(Vinos!$J$2:$J$301,MATCH($B1943,Vinos!$A$2:$A$301,0))),""))</f>
        <v/>
      </c>
      <c r="L1943" s="16">
        <f>IF($H1943="","",IFERROR(IF(INDEX(Vinos!$K$2:$K$301,MATCH($B1943,Vinos!$A$2:$A$301,0))="","",$H1943*INDEX(Vinos!$K$2:$K$301,MATCH($B1943,Vinos!$A$2:$A$301,0))),""))</f>
        <v/>
      </c>
      <c r="M1943" s="21">
        <f>IF(OR($A1943="",$B1943=""),"",SUMIFS($H$2:$H$2001,$A$2:$A$2001,$A1943,$B$2:$B$2001,$B1943))</f>
        <v/>
      </c>
      <c r="N1943" s="20">
        <f>IF($M1943="","",IF($M1943&lt;=0,"Sin stock: reponer ya",IF($M1943&lt;IFERROR(N(INDEX(Vinos!$N$2:$N$301,MATCH($B1943,Vinos!$A$2:$A$301,0))),0),"Bajo mínimo: reponer","OK")))</f>
        <v/>
      </c>
      <c r="O1943" s="14" t="n"/>
      <c r="P1943" s="14" t="n"/>
      <c r="Q1943" s="20">
        <f>IF($B1943="","",IFERROR(INDEX(Vinos!$C$2:$C$301,MATCH($B1943,Vinos!$A$2:$A$301,0)),""))</f>
        <v/>
      </c>
      <c r="R1943" s="20">
        <f>IF(OR($A1943="",$A1943&lt;&gt;'Resumen del inventario'!$C$3,$N1943="",$N1943="OK"),"",IF(COUNTIFS($A$2:$A1943,$A1943,$B$2:$B1943,$B1943)=1,1,""))</f>
        <v/>
      </c>
      <c r="S1943" s="20">
        <f>IF($R1943=1,COUNTIF($R$2:$R1943,1),"")</f>
        <v/>
      </c>
    </row>
    <row r="1944">
      <c r="A1944" s="19" t="n"/>
      <c r="B1944" s="14" t="n"/>
      <c r="C1944" s="20">
        <f>IF($B1944="","",IFERROR(INDEX(Vinos!$B$2:$B$301,MATCH($B1944,Vinos!$A$2:$A$301,0)),"Código no cargado"))</f>
        <v/>
      </c>
      <c r="D1944" s="14" t="n"/>
      <c r="E1944" s="14" t="n"/>
      <c r="F1944" s="18" t="n"/>
      <c r="G1944" s="18" t="n"/>
      <c r="H1944" s="21">
        <f>IF(AND($F1944="",$G1944=""),"",N($F1944)*IFERROR(N(INDEX(Vinos!$H$2:$H$301,MATCH($B1944,Vinos!$A$2:$A$301,0))),0)+N($G1944))</f>
        <v/>
      </c>
      <c r="I1944" s="18" t="n"/>
      <c r="J1944" s="21">
        <f>IF(OR($H1944="",$I1944=""),"",$H1944-$I1944)</f>
        <v/>
      </c>
      <c r="K1944" s="16">
        <f>IF($H1944="","",IFERROR(IF(INDEX(Vinos!$J$2:$J$301,MATCH($B1944,Vinos!$A$2:$A$301,0))="","",$H1944*INDEX(Vinos!$J$2:$J$301,MATCH($B1944,Vinos!$A$2:$A$301,0))),""))</f>
        <v/>
      </c>
      <c r="L1944" s="16">
        <f>IF($H1944="","",IFERROR(IF(INDEX(Vinos!$K$2:$K$301,MATCH($B1944,Vinos!$A$2:$A$301,0))="","",$H1944*INDEX(Vinos!$K$2:$K$301,MATCH($B1944,Vinos!$A$2:$A$301,0))),""))</f>
        <v/>
      </c>
      <c r="M1944" s="21">
        <f>IF(OR($A1944="",$B1944=""),"",SUMIFS($H$2:$H$2001,$A$2:$A$2001,$A1944,$B$2:$B$2001,$B1944))</f>
        <v/>
      </c>
      <c r="N1944" s="20">
        <f>IF($M1944="","",IF($M1944&lt;=0,"Sin stock: reponer ya",IF($M1944&lt;IFERROR(N(INDEX(Vinos!$N$2:$N$301,MATCH($B1944,Vinos!$A$2:$A$301,0))),0),"Bajo mínimo: reponer","OK")))</f>
        <v/>
      </c>
      <c r="O1944" s="14" t="n"/>
      <c r="P1944" s="14" t="n"/>
      <c r="Q1944" s="20">
        <f>IF($B1944="","",IFERROR(INDEX(Vinos!$C$2:$C$301,MATCH($B1944,Vinos!$A$2:$A$301,0)),""))</f>
        <v/>
      </c>
      <c r="R1944" s="20">
        <f>IF(OR($A1944="",$A1944&lt;&gt;'Resumen del inventario'!$C$3,$N1944="",$N1944="OK"),"",IF(COUNTIFS($A$2:$A1944,$A1944,$B$2:$B1944,$B1944)=1,1,""))</f>
        <v/>
      </c>
      <c r="S1944" s="20">
        <f>IF($R1944=1,COUNTIF($R$2:$R1944,1),"")</f>
        <v/>
      </c>
    </row>
    <row r="1945">
      <c r="A1945" s="19" t="n"/>
      <c r="B1945" s="14" t="n"/>
      <c r="C1945" s="20">
        <f>IF($B1945="","",IFERROR(INDEX(Vinos!$B$2:$B$301,MATCH($B1945,Vinos!$A$2:$A$301,0)),"Código no cargado"))</f>
        <v/>
      </c>
      <c r="D1945" s="14" t="n"/>
      <c r="E1945" s="14" t="n"/>
      <c r="F1945" s="18" t="n"/>
      <c r="G1945" s="18" t="n"/>
      <c r="H1945" s="21">
        <f>IF(AND($F1945="",$G1945=""),"",N($F1945)*IFERROR(N(INDEX(Vinos!$H$2:$H$301,MATCH($B1945,Vinos!$A$2:$A$301,0))),0)+N($G1945))</f>
        <v/>
      </c>
      <c r="I1945" s="18" t="n"/>
      <c r="J1945" s="21">
        <f>IF(OR($H1945="",$I1945=""),"",$H1945-$I1945)</f>
        <v/>
      </c>
      <c r="K1945" s="16">
        <f>IF($H1945="","",IFERROR(IF(INDEX(Vinos!$J$2:$J$301,MATCH($B1945,Vinos!$A$2:$A$301,0))="","",$H1945*INDEX(Vinos!$J$2:$J$301,MATCH($B1945,Vinos!$A$2:$A$301,0))),""))</f>
        <v/>
      </c>
      <c r="L1945" s="16">
        <f>IF($H1945="","",IFERROR(IF(INDEX(Vinos!$K$2:$K$301,MATCH($B1945,Vinos!$A$2:$A$301,0))="","",$H1945*INDEX(Vinos!$K$2:$K$301,MATCH($B1945,Vinos!$A$2:$A$301,0))),""))</f>
        <v/>
      </c>
      <c r="M1945" s="21">
        <f>IF(OR($A1945="",$B1945=""),"",SUMIFS($H$2:$H$2001,$A$2:$A$2001,$A1945,$B$2:$B$2001,$B1945))</f>
        <v/>
      </c>
      <c r="N1945" s="20">
        <f>IF($M1945="","",IF($M1945&lt;=0,"Sin stock: reponer ya",IF($M1945&lt;IFERROR(N(INDEX(Vinos!$N$2:$N$301,MATCH($B1945,Vinos!$A$2:$A$301,0))),0),"Bajo mínimo: reponer","OK")))</f>
        <v/>
      </c>
      <c r="O1945" s="14" t="n"/>
      <c r="P1945" s="14" t="n"/>
      <c r="Q1945" s="20">
        <f>IF($B1945="","",IFERROR(INDEX(Vinos!$C$2:$C$301,MATCH($B1945,Vinos!$A$2:$A$301,0)),""))</f>
        <v/>
      </c>
      <c r="R1945" s="20">
        <f>IF(OR($A1945="",$A1945&lt;&gt;'Resumen del inventario'!$C$3,$N1945="",$N1945="OK"),"",IF(COUNTIFS($A$2:$A1945,$A1945,$B$2:$B1945,$B1945)=1,1,""))</f>
        <v/>
      </c>
      <c r="S1945" s="20">
        <f>IF($R1945=1,COUNTIF($R$2:$R1945,1),"")</f>
        <v/>
      </c>
    </row>
    <row r="1946">
      <c r="A1946" s="19" t="n"/>
      <c r="B1946" s="14" t="n"/>
      <c r="C1946" s="20">
        <f>IF($B1946="","",IFERROR(INDEX(Vinos!$B$2:$B$301,MATCH($B1946,Vinos!$A$2:$A$301,0)),"Código no cargado"))</f>
        <v/>
      </c>
      <c r="D1946" s="14" t="n"/>
      <c r="E1946" s="14" t="n"/>
      <c r="F1946" s="18" t="n"/>
      <c r="G1946" s="18" t="n"/>
      <c r="H1946" s="21">
        <f>IF(AND($F1946="",$G1946=""),"",N($F1946)*IFERROR(N(INDEX(Vinos!$H$2:$H$301,MATCH($B1946,Vinos!$A$2:$A$301,0))),0)+N($G1946))</f>
        <v/>
      </c>
      <c r="I1946" s="18" t="n"/>
      <c r="J1946" s="21">
        <f>IF(OR($H1946="",$I1946=""),"",$H1946-$I1946)</f>
        <v/>
      </c>
      <c r="K1946" s="16">
        <f>IF($H1946="","",IFERROR(IF(INDEX(Vinos!$J$2:$J$301,MATCH($B1946,Vinos!$A$2:$A$301,0))="","",$H1946*INDEX(Vinos!$J$2:$J$301,MATCH($B1946,Vinos!$A$2:$A$301,0))),""))</f>
        <v/>
      </c>
      <c r="L1946" s="16">
        <f>IF($H1946="","",IFERROR(IF(INDEX(Vinos!$K$2:$K$301,MATCH($B1946,Vinos!$A$2:$A$301,0))="","",$H1946*INDEX(Vinos!$K$2:$K$301,MATCH($B1946,Vinos!$A$2:$A$301,0))),""))</f>
        <v/>
      </c>
      <c r="M1946" s="21">
        <f>IF(OR($A1946="",$B1946=""),"",SUMIFS($H$2:$H$2001,$A$2:$A$2001,$A1946,$B$2:$B$2001,$B1946))</f>
        <v/>
      </c>
      <c r="N1946" s="20">
        <f>IF($M1946="","",IF($M1946&lt;=0,"Sin stock: reponer ya",IF($M1946&lt;IFERROR(N(INDEX(Vinos!$N$2:$N$301,MATCH($B1946,Vinos!$A$2:$A$301,0))),0),"Bajo mínimo: reponer","OK")))</f>
        <v/>
      </c>
      <c r="O1946" s="14" t="n"/>
      <c r="P1946" s="14" t="n"/>
      <c r="Q1946" s="20">
        <f>IF($B1946="","",IFERROR(INDEX(Vinos!$C$2:$C$301,MATCH($B1946,Vinos!$A$2:$A$301,0)),""))</f>
        <v/>
      </c>
      <c r="R1946" s="20">
        <f>IF(OR($A1946="",$A1946&lt;&gt;'Resumen del inventario'!$C$3,$N1946="",$N1946="OK"),"",IF(COUNTIFS($A$2:$A1946,$A1946,$B$2:$B1946,$B1946)=1,1,""))</f>
        <v/>
      </c>
      <c r="S1946" s="20">
        <f>IF($R1946=1,COUNTIF($R$2:$R1946,1),"")</f>
        <v/>
      </c>
    </row>
    <row r="1947">
      <c r="A1947" s="19" t="n"/>
      <c r="B1947" s="14" t="n"/>
      <c r="C1947" s="20">
        <f>IF($B1947="","",IFERROR(INDEX(Vinos!$B$2:$B$301,MATCH($B1947,Vinos!$A$2:$A$301,0)),"Código no cargado"))</f>
        <v/>
      </c>
      <c r="D1947" s="14" t="n"/>
      <c r="E1947" s="14" t="n"/>
      <c r="F1947" s="18" t="n"/>
      <c r="G1947" s="18" t="n"/>
      <c r="H1947" s="21">
        <f>IF(AND($F1947="",$G1947=""),"",N($F1947)*IFERROR(N(INDEX(Vinos!$H$2:$H$301,MATCH($B1947,Vinos!$A$2:$A$301,0))),0)+N($G1947))</f>
        <v/>
      </c>
      <c r="I1947" s="18" t="n"/>
      <c r="J1947" s="21">
        <f>IF(OR($H1947="",$I1947=""),"",$H1947-$I1947)</f>
        <v/>
      </c>
      <c r="K1947" s="16">
        <f>IF($H1947="","",IFERROR(IF(INDEX(Vinos!$J$2:$J$301,MATCH($B1947,Vinos!$A$2:$A$301,0))="","",$H1947*INDEX(Vinos!$J$2:$J$301,MATCH($B1947,Vinos!$A$2:$A$301,0))),""))</f>
        <v/>
      </c>
      <c r="L1947" s="16">
        <f>IF($H1947="","",IFERROR(IF(INDEX(Vinos!$K$2:$K$301,MATCH($B1947,Vinos!$A$2:$A$301,0))="","",$H1947*INDEX(Vinos!$K$2:$K$301,MATCH($B1947,Vinos!$A$2:$A$301,0))),""))</f>
        <v/>
      </c>
      <c r="M1947" s="21">
        <f>IF(OR($A1947="",$B1947=""),"",SUMIFS($H$2:$H$2001,$A$2:$A$2001,$A1947,$B$2:$B$2001,$B1947))</f>
        <v/>
      </c>
      <c r="N1947" s="20">
        <f>IF($M1947="","",IF($M1947&lt;=0,"Sin stock: reponer ya",IF($M1947&lt;IFERROR(N(INDEX(Vinos!$N$2:$N$301,MATCH($B1947,Vinos!$A$2:$A$301,0))),0),"Bajo mínimo: reponer","OK")))</f>
        <v/>
      </c>
      <c r="O1947" s="14" t="n"/>
      <c r="P1947" s="14" t="n"/>
      <c r="Q1947" s="20">
        <f>IF($B1947="","",IFERROR(INDEX(Vinos!$C$2:$C$301,MATCH($B1947,Vinos!$A$2:$A$301,0)),""))</f>
        <v/>
      </c>
      <c r="R1947" s="20">
        <f>IF(OR($A1947="",$A1947&lt;&gt;'Resumen del inventario'!$C$3,$N1947="",$N1947="OK"),"",IF(COUNTIFS($A$2:$A1947,$A1947,$B$2:$B1947,$B1947)=1,1,""))</f>
        <v/>
      </c>
      <c r="S1947" s="20">
        <f>IF($R1947=1,COUNTIF($R$2:$R1947,1),"")</f>
        <v/>
      </c>
    </row>
    <row r="1948">
      <c r="A1948" s="19" t="n"/>
      <c r="B1948" s="14" t="n"/>
      <c r="C1948" s="20">
        <f>IF($B1948="","",IFERROR(INDEX(Vinos!$B$2:$B$301,MATCH($B1948,Vinos!$A$2:$A$301,0)),"Código no cargado"))</f>
        <v/>
      </c>
      <c r="D1948" s="14" t="n"/>
      <c r="E1948" s="14" t="n"/>
      <c r="F1948" s="18" t="n"/>
      <c r="G1948" s="18" t="n"/>
      <c r="H1948" s="21">
        <f>IF(AND($F1948="",$G1948=""),"",N($F1948)*IFERROR(N(INDEX(Vinos!$H$2:$H$301,MATCH($B1948,Vinos!$A$2:$A$301,0))),0)+N($G1948))</f>
        <v/>
      </c>
      <c r="I1948" s="18" t="n"/>
      <c r="J1948" s="21">
        <f>IF(OR($H1948="",$I1948=""),"",$H1948-$I1948)</f>
        <v/>
      </c>
      <c r="K1948" s="16">
        <f>IF($H1948="","",IFERROR(IF(INDEX(Vinos!$J$2:$J$301,MATCH($B1948,Vinos!$A$2:$A$301,0))="","",$H1948*INDEX(Vinos!$J$2:$J$301,MATCH($B1948,Vinos!$A$2:$A$301,0))),""))</f>
        <v/>
      </c>
      <c r="L1948" s="16">
        <f>IF($H1948="","",IFERROR(IF(INDEX(Vinos!$K$2:$K$301,MATCH($B1948,Vinos!$A$2:$A$301,0))="","",$H1948*INDEX(Vinos!$K$2:$K$301,MATCH($B1948,Vinos!$A$2:$A$301,0))),""))</f>
        <v/>
      </c>
      <c r="M1948" s="21">
        <f>IF(OR($A1948="",$B1948=""),"",SUMIFS($H$2:$H$2001,$A$2:$A$2001,$A1948,$B$2:$B$2001,$B1948))</f>
        <v/>
      </c>
      <c r="N1948" s="20">
        <f>IF($M1948="","",IF($M1948&lt;=0,"Sin stock: reponer ya",IF($M1948&lt;IFERROR(N(INDEX(Vinos!$N$2:$N$301,MATCH($B1948,Vinos!$A$2:$A$301,0))),0),"Bajo mínimo: reponer","OK")))</f>
        <v/>
      </c>
      <c r="O1948" s="14" t="n"/>
      <c r="P1948" s="14" t="n"/>
      <c r="Q1948" s="20">
        <f>IF($B1948="","",IFERROR(INDEX(Vinos!$C$2:$C$301,MATCH($B1948,Vinos!$A$2:$A$301,0)),""))</f>
        <v/>
      </c>
      <c r="R1948" s="20">
        <f>IF(OR($A1948="",$A1948&lt;&gt;'Resumen del inventario'!$C$3,$N1948="",$N1948="OK"),"",IF(COUNTIFS($A$2:$A1948,$A1948,$B$2:$B1948,$B1948)=1,1,""))</f>
        <v/>
      </c>
      <c r="S1948" s="20">
        <f>IF($R1948=1,COUNTIF($R$2:$R1948,1),"")</f>
        <v/>
      </c>
    </row>
    <row r="1949">
      <c r="A1949" s="19" t="n"/>
      <c r="B1949" s="14" t="n"/>
      <c r="C1949" s="20">
        <f>IF($B1949="","",IFERROR(INDEX(Vinos!$B$2:$B$301,MATCH($B1949,Vinos!$A$2:$A$301,0)),"Código no cargado"))</f>
        <v/>
      </c>
      <c r="D1949" s="14" t="n"/>
      <c r="E1949" s="14" t="n"/>
      <c r="F1949" s="18" t="n"/>
      <c r="G1949" s="18" t="n"/>
      <c r="H1949" s="21">
        <f>IF(AND($F1949="",$G1949=""),"",N($F1949)*IFERROR(N(INDEX(Vinos!$H$2:$H$301,MATCH($B1949,Vinos!$A$2:$A$301,0))),0)+N($G1949))</f>
        <v/>
      </c>
      <c r="I1949" s="18" t="n"/>
      <c r="J1949" s="21">
        <f>IF(OR($H1949="",$I1949=""),"",$H1949-$I1949)</f>
        <v/>
      </c>
      <c r="K1949" s="16">
        <f>IF($H1949="","",IFERROR(IF(INDEX(Vinos!$J$2:$J$301,MATCH($B1949,Vinos!$A$2:$A$301,0))="","",$H1949*INDEX(Vinos!$J$2:$J$301,MATCH($B1949,Vinos!$A$2:$A$301,0))),""))</f>
        <v/>
      </c>
      <c r="L1949" s="16">
        <f>IF($H1949="","",IFERROR(IF(INDEX(Vinos!$K$2:$K$301,MATCH($B1949,Vinos!$A$2:$A$301,0))="","",$H1949*INDEX(Vinos!$K$2:$K$301,MATCH($B1949,Vinos!$A$2:$A$301,0))),""))</f>
        <v/>
      </c>
      <c r="M1949" s="21">
        <f>IF(OR($A1949="",$B1949=""),"",SUMIFS($H$2:$H$2001,$A$2:$A$2001,$A1949,$B$2:$B$2001,$B1949))</f>
        <v/>
      </c>
      <c r="N1949" s="20">
        <f>IF($M1949="","",IF($M1949&lt;=0,"Sin stock: reponer ya",IF($M1949&lt;IFERROR(N(INDEX(Vinos!$N$2:$N$301,MATCH($B1949,Vinos!$A$2:$A$301,0))),0),"Bajo mínimo: reponer","OK")))</f>
        <v/>
      </c>
      <c r="O1949" s="14" t="n"/>
      <c r="P1949" s="14" t="n"/>
      <c r="Q1949" s="20">
        <f>IF($B1949="","",IFERROR(INDEX(Vinos!$C$2:$C$301,MATCH($B1949,Vinos!$A$2:$A$301,0)),""))</f>
        <v/>
      </c>
      <c r="R1949" s="20">
        <f>IF(OR($A1949="",$A1949&lt;&gt;'Resumen del inventario'!$C$3,$N1949="",$N1949="OK"),"",IF(COUNTIFS($A$2:$A1949,$A1949,$B$2:$B1949,$B1949)=1,1,""))</f>
        <v/>
      </c>
      <c r="S1949" s="20">
        <f>IF($R1949=1,COUNTIF($R$2:$R1949,1),"")</f>
        <v/>
      </c>
    </row>
    <row r="1950">
      <c r="A1950" s="19" t="n"/>
      <c r="B1950" s="14" t="n"/>
      <c r="C1950" s="20">
        <f>IF($B1950="","",IFERROR(INDEX(Vinos!$B$2:$B$301,MATCH($B1950,Vinos!$A$2:$A$301,0)),"Código no cargado"))</f>
        <v/>
      </c>
      <c r="D1950" s="14" t="n"/>
      <c r="E1950" s="14" t="n"/>
      <c r="F1950" s="18" t="n"/>
      <c r="G1950" s="18" t="n"/>
      <c r="H1950" s="21">
        <f>IF(AND($F1950="",$G1950=""),"",N($F1950)*IFERROR(N(INDEX(Vinos!$H$2:$H$301,MATCH($B1950,Vinos!$A$2:$A$301,0))),0)+N($G1950))</f>
        <v/>
      </c>
      <c r="I1950" s="18" t="n"/>
      <c r="J1950" s="21">
        <f>IF(OR($H1950="",$I1950=""),"",$H1950-$I1950)</f>
        <v/>
      </c>
      <c r="K1950" s="16">
        <f>IF($H1950="","",IFERROR(IF(INDEX(Vinos!$J$2:$J$301,MATCH($B1950,Vinos!$A$2:$A$301,0))="","",$H1950*INDEX(Vinos!$J$2:$J$301,MATCH($B1950,Vinos!$A$2:$A$301,0))),""))</f>
        <v/>
      </c>
      <c r="L1950" s="16">
        <f>IF($H1950="","",IFERROR(IF(INDEX(Vinos!$K$2:$K$301,MATCH($B1950,Vinos!$A$2:$A$301,0))="","",$H1950*INDEX(Vinos!$K$2:$K$301,MATCH($B1950,Vinos!$A$2:$A$301,0))),""))</f>
        <v/>
      </c>
      <c r="M1950" s="21">
        <f>IF(OR($A1950="",$B1950=""),"",SUMIFS($H$2:$H$2001,$A$2:$A$2001,$A1950,$B$2:$B$2001,$B1950))</f>
        <v/>
      </c>
      <c r="N1950" s="20">
        <f>IF($M1950="","",IF($M1950&lt;=0,"Sin stock: reponer ya",IF($M1950&lt;IFERROR(N(INDEX(Vinos!$N$2:$N$301,MATCH($B1950,Vinos!$A$2:$A$301,0))),0),"Bajo mínimo: reponer","OK")))</f>
        <v/>
      </c>
      <c r="O1950" s="14" t="n"/>
      <c r="P1950" s="14" t="n"/>
      <c r="Q1950" s="20">
        <f>IF($B1950="","",IFERROR(INDEX(Vinos!$C$2:$C$301,MATCH($B1950,Vinos!$A$2:$A$301,0)),""))</f>
        <v/>
      </c>
      <c r="R1950" s="20">
        <f>IF(OR($A1950="",$A1950&lt;&gt;'Resumen del inventario'!$C$3,$N1950="",$N1950="OK"),"",IF(COUNTIFS($A$2:$A1950,$A1950,$B$2:$B1950,$B1950)=1,1,""))</f>
        <v/>
      </c>
      <c r="S1950" s="20">
        <f>IF($R1950=1,COUNTIF($R$2:$R1950,1),"")</f>
        <v/>
      </c>
    </row>
    <row r="1951">
      <c r="A1951" s="19" t="n"/>
      <c r="B1951" s="14" t="n"/>
      <c r="C1951" s="20">
        <f>IF($B1951="","",IFERROR(INDEX(Vinos!$B$2:$B$301,MATCH($B1951,Vinos!$A$2:$A$301,0)),"Código no cargado"))</f>
        <v/>
      </c>
      <c r="D1951" s="14" t="n"/>
      <c r="E1951" s="14" t="n"/>
      <c r="F1951" s="18" t="n"/>
      <c r="G1951" s="18" t="n"/>
      <c r="H1951" s="21">
        <f>IF(AND($F1951="",$G1951=""),"",N($F1951)*IFERROR(N(INDEX(Vinos!$H$2:$H$301,MATCH($B1951,Vinos!$A$2:$A$301,0))),0)+N($G1951))</f>
        <v/>
      </c>
      <c r="I1951" s="18" t="n"/>
      <c r="J1951" s="21">
        <f>IF(OR($H1951="",$I1951=""),"",$H1951-$I1951)</f>
        <v/>
      </c>
      <c r="K1951" s="16">
        <f>IF($H1951="","",IFERROR(IF(INDEX(Vinos!$J$2:$J$301,MATCH($B1951,Vinos!$A$2:$A$301,0))="","",$H1951*INDEX(Vinos!$J$2:$J$301,MATCH($B1951,Vinos!$A$2:$A$301,0))),""))</f>
        <v/>
      </c>
      <c r="L1951" s="16">
        <f>IF($H1951="","",IFERROR(IF(INDEX(Vinos!$K$2:$K$301,MATCH($B1951,Vinos!$A$2:$A$301,0))="","",$H1951*INDEX(Vinos!$K$2:$K$301,MATCH($B1951,Vinos!$A$2:$A$301,0))),""))</f>
        <v/>
      </c>
      <c r="M1951" s="21">
        <f>IF(OR($A1951="",$B1951=""),"",SUMIFS($H$2:$H$2001,$A$2:$A$2001,$A1951,$B$2:$B$2001,$B1951))</f>
        <v/>
      </c>
      <c r="N1951" s="20">
        <f>IF($M1951="","",IF($M1951&lt;=0,"Sin stock: reponer ya",IF($M1951&lt;IFERROR(N(INDEX(Vinos!$N$2:$N$301,MATCH($B1951,Vinos!$A$2:$A$301,0))),0),"Bajo mínimo: reponer","OK")))</f>
        <v/>
      </c>
      <c r="O1951" s="14" t="n"/>
      <c r="P1951" s="14" t="n"/>
      <c r="Q1951" s="20">
        <f>IF($B1951="","",IFERROR(INDEX(Vinos!$C$2:$C$301,MATCH($B1951,Vinos!$A$2:$A$301,0)),""))</f>
        <v/>
      </c>
      <c r="R1951" s="20">
        <f>IF(OR($A1951="",$A1951&lt;&gt;'Resumen del inventario'!$C$3,$N1951="",$N1951="OK"),"",IF(COUNTIFS($A$2:$A1951,$A1951,$B$2:$B1951,$B1951)=1,1,""))</f>
        <v/>
      </c>
      <c r="S1951" s="20">
        <f>IF($R1951=1,COUNTIF($R$2:$R1951,1),"")</f>
        <v/>
      </c>
    </row>
    <row r="1952">
      <c r="A1952" s="19" t="n"/>
      <c r="B1952" s="14" t="n"/>
      <c r="C1952" s="20">
        <f>IF($B1952="","",IFERROR(INDEX(Vinos!$B$2:$B$301,MATCH($B1952,Vinos!$A$2:$A$301,0)),"Código no cargado"))</f>
        <v/>
      </c>
      <c r="D1952" s="14" t="n"/>
      <c r="E1952" s="14" t="n"/>
      <c r="F1952" s="18" t="n"/>
      <c r="G1952" s="18" t="n"/>
      <c r="H1952" s="21">
        <f>IF(AND($F1952="",$G1952=""),"",N($F1952)*IFERROR(N(INDEX(Vinos!$H$2:$H$301,MATCH($B1952,Vinos!$A$2:$A$301,0))),0)+N($G1952))</f>
        <v/>
      </c>
      <c r="I1952" s="18" t="n"/>
      <c r="J1952" s="21">
        <f>IF(OR($H1952="",$I1952=""),"",$H1952-$I1952)</f>
        <v/>
      </c>
      <c r="K1952" s="16">
        <f>IF($H1952="","",IFERROR(IF(INDEX(Vinos!$J$2:$J$301,MATCH($B1952,Vinos!$A$2:$A$301,0))="","",$H1952*INDEX(Vinos!$J$2:$J$301,MATCH($B1952,Vinos!$A$2:$A$301,0))),""))</f>
        <v/>
      </c>
      <c r="L1952" s="16">
        <f>IF($H1952="","",IFERROR(IF(INDEX(Vinos!$K$2:$K$301,MATCH($B1952,Vinos!$A$2:$A$301,0))="","",$H1952*INDEX(Vinos!$K$2:$K$301,MATCH($B1952,Vinos!$A$2:$A$301,0))),""))</f>
        <v/>
      </c>
      <c r="M1952" s="21">
        <f>IF(OR($A1952="",$B1952=""),"",SUMIFS($H$2:$H$2001,$A$2:$A$2001,$A1952,$B$2:$B$2001,$B1952))</f>
        <v/>
      </c>
      <c r="N1952" s="20">
        <f>IF($M1952="","",IF($M1952&lt;=0,"Sin stock: reponer ya",IF($M1952&lt;IFERROR(N(INDEX(Vinos!$N$2:$N$301,MATCH($B1952,Vinos!$A$2:$A$301,0))),0),"Bajo mínimo: reponer","OK")))</f>
        <v/>
      </c>
      <c r="O1952" s="14" t="n"/>
      <c r="P1952" s="14" t="n"/>
      <c r="Q1952" s="20">
        <f>IF($B1952="","",IFERROR(INDEX(Vinos!$C$2:$C$301,MATCH($B1952,Vinos!$A$2:$A$301,0)),""))</f>
        <v/>
      </c>
      <c r="R1952" s="20">
        <f>IF(OR($A1952="",$A1952&lt;&gt;'Resumen del inventario'!$C$3,$N1952="",$N1952="OK"),"",IF(COUNTIFS($A$2:$A1952,$A1952,$B$2:$B1952,$B1952)=1,1,""))</f>
        <v/>
      </c>
      <c r="S1952" s="20">
        <f>IF($R1952=1,COUNTIF($R$2:$R1952,1),"")</f>
        <v/>
      </c>
    </row>
    <row r="1953">
      <c r="A1953" s="19" t="n"/>
      <c r="B1953" s="14" t="n"/>
      <c r="C1953" s="20">
        <f>IF($B1953="","",IFERROR(INDEX(Vinos!$B$2:$B$301,MATCH($B1953,Vinos!$A$2:$A$301,0)),"Código no cargado"))</f>
        <v/>
      </c>
      <c r="D1953" s="14" t="n"/>
      <c r="E1953" s="14" t="n"/>
      <c r="F1953" s="18" t="n"/>
      <c r="G1953" s="18" t="n"/>
      <c r="H1953" s="21">
        <f>IF(AND($F1953="",$G1953=""),"",N($F1953)*IFERROR(N(INDEX(Vinos!$H$2:$H$301,MATCH($B1953,Vinos!$A$2:$A$301,0))),0)+N($G1953))</f>
        <v/>
      </c>
      <c r="I1953" s="18" t="n"/>
      <c r="J1953" s="21">
        <f>IF(OR($H1953="",$I1953=""),"",$H1953-$I1953)</f>
        <v/>
      </c>
      <c r="K1953" s="16">
        <f>IF($H1953="","",IFERROR(IF(INDEX(Vinos!$J$2:$J$301,MATCH($B1953,Vinos!$A$2:$A$301,0))="","",$H1953*INDEX(Vinos!$J$2:$J$301,MATCH($B1953,Vinos!$A$2:$A$301,0))),""))</f>
        <v/>
      </c>
      <c r="L1953" s="16">
        <f>IF($H1953="","",IFERROR(IF(INDEX(Vinos!$K$2:$K$301,MATCH($B1953,Vinos!$A$2:$A$301,0))="","",$H1953*INDEX(Vinos!$K$2:$K$301,MATCH($B1953,Vinos!$A$2:$A$301,0))),""))</f>
        <v/>
      </c>
      <c r="M1953" s="21">
        <f>IF(OR($A1953="",$B1953=""),"",SUMIFS($H$2:$H$2001,$A$2:$A$2001,$A1953,$B$2:$B$2001,$B1953))</f>
        <v/>
      </c>
      <c r="N1953" s="20">
        <f>IF($M1953="","",IF($M1953&lt;=0,"Sin stock: reponer ya",IF($M1953&lt;IFERROR(N(INDEX(Vinos!$N$2:$N$301,MATCH($B1953,Vinos!$A$2:$A$301,0))),0),"Bajo mínimo: reponer","OK")))</f>
        <v/>
      </c>
      <c r="O1953" s="14" t="n"/>
      <c r="P1953" s="14" t="n"/>
      <c r="Q1953" s="20">
        <f>IF($B1953="","",IFERROR(INDEX(Vinos!$C$2:$C$301,MATCH($B1953,Vinos!$A$2:$A$301,0)),""))</f>
        <v/>
      </c>
      <c r="R1953" s="20">
        <f>IF(OR($A1953="",$A1953&lt;&gt;'Resumen del inventario'!$C$3,$N1953="",$N1953="OK"),"",IF(COUNTIFS($A$2:$A1953,$A1953,$B$2:$B1953,$B1953)=1,1,""))</f>
        <v/>
      </c>
      <c r="S1953" s="20">
        <f>IF($R1953=1,COUNTIF($R$2:$R1953,1),"")</f>
        <v/>
      </c>
    </row>
    <row r="1954">
      <c r="A1954" s="19" t="n"/>
      <c r="B1954" s="14" t="n"/>
      <c r="C1954" s="20">
        <f>IF($B1954="","",IFERROR(INDEX(Vinos!$B$2:$B$301,MATCH($B1954,Vinos!$A$2:$A$301,0)),"Código no cargado"))</f>
        <v/>
      </c>
      <c r="D1954" s="14" t="n"/>
      <c r="E1954" s="14" t="n"/>
      <c r="F1954" s="18" t="n"/>
      <c r="G1954" s="18" t="n"/>
      <c r="H1954" s="21">
        <f>IF(AND($F1954="",$G1954=""),"",N($F1954)*IFERROR(N(INDEX(Vinos!$H$2:$H$301,MATCH($B1954,Vinos!$A$2:$A$301,0))),0)+N($G1954))</f>
        <v/>
      </c>
      <c r="I1954" s="18" t="n"/>
      <c r="J1954" s="21">
        <f>IF(OR($H1954="",$I1954=""),"",$H1954-$I1954)</f>
        <v/>
      </c>
      <c r="K1954" s="16">
        <f>IF($H1954="","",IFERROR(IF(INDEX(Vinos!$J$2:$J$301,MATCH($B1954,Vinos!$A$2:$A$301,0))="","",$H1954*INDEX(Vinos!$J$2:$J$301,MATCH($B1954,Vinos!$A$2:$A$301,0))),""))</f>
        <v/>
      </c>
      <c r="L1954" s="16">
        <f>IF($H1954="","",IFERROR(IF(INDEX(Vinos!$K$2:$K$301,MATCH($B1954,Vinos!$A$2:$A$301,0))="","",$H1954*INDEX(Vinos!$K$2:$K$301,MATCH($B1954,Vinos!$A$2:$A$301,0))),""))</f>
        <v/>
      </c>
      <c r="M1954" s="21">
        <f>IF(OR($A1954="",$B1954=""),"",SUMIFS($H$2:$H$2001,$A$2:$A$2001,$A1954,$B$2:$B$2001,$B1954))</f>
        <v/>
      </c>
      <c r="N1954" s="20">
        <f>IF($M1954="","",IF($M1954&lt;=0,"Sin stock: reponer ya",IF($M1954&lt;IFERROR(N(INDEX(Vinos!$N$2:$N$301,MATCH($B1954,Vinos!$A$2:$A$301,0))),0),"Bajo mínimo: reponer","OK")))</f>
        <v/>
      </c>
      <c r="O1954" s="14" t="n"/>
      <c r="P1954" s="14" t="n"/>
      <c r="Q1954" s="20">
        <f>IF($B1954="","",IFERROR(INDEX(Vinos!$C$2:$C$301,MATCH($B1954,Vinos!$A$2:$A$301,0)),""))</f>
        <v/>
      </c>
      <c r="R1954" s="20">
        <f>IF(OR($A1954="",$A1954&lt;&gt;'Resumen del inventario'!$C$3,$N1954="",$N1954="OK"),"",IF(COUNTIFS($A$2:$A1954,$A1954,$B$2:$B1954,$B1954)=1,1,""))</f>
        <v/>
      </c>
      <c r="S1954" s="20">
        <f>IF($R1954=1,COUNTIF($R$2:$R1954,1),"")</f>
        <v/>
      </c>
    </row>
    <row r="1955">
      <c r="A1955" s="19" t="n"/>
      <c r="B1955" s="14" t="n"/>
      <c r="C1955" s="20">
        <f>IF($B1955="","",IFERROR(INDEX(Vinos!$B$2:$B$301,MATCH($B1955,Vinos!$A$2:$A$301,0)),"Código no cargado"))</f>
        <v/>
      </c>
      <c r="D1955" s="14" t="n"/>
      <c r="E1955" s="14" t="n"/>
      <c r="F1955" s="18" t="n"/>
      <c r="G1955" s="18" t="n"/>
      <c r="H1955" s="21">
        <f>IF(AND($F1955="",$G1955=""),"",N($F1955)*IFERROR(N(INDEX(Vinos!$H$2:$H$301,MATCH($B1955,Vinos!$A$2:$A$301,0))),0)+N($G1955))</f>
        <v/>
      </c>
      <c r="I1955" s="18" t="n"/>
      <c r="J1955" s="21">
        <f>IF(OR($H1955="",$I1955=""),"",$H1955-$I1955)</f>
        <v/>
      </c>
      <c r="K1955" s="16">
        <f>IF($H1955="","",IFERROR(IF(INDEX(Vinos!$J$2:$J$301,MATCH($B1955,Vinos!$A$2:$A$301,0))="","",$H1955*INDEX(Vinos!$J$2:$J$301,MATCH($B1955,Vinos!$A$2:$A$301,0))),""))</f>
        <v/>
      </c>
      <c r="L1955" s="16">
        <f>IF($H1955="","",IFERROR(IF(INDEX(Vinos!$K$2:$K$301,MATCH($B1955,Vinos!$A$2:$A$301,0))="","",$H1955*INDEX(Vinos!$K$2:$K$301,MATCH($B1955,Vinos!$A$2:$A$301,0))),""))</f>
        <v/>
      </c>
      <c r="M1955" s="21">
        <f>IF(OR($A1955="",$B1955=""),"",SUMIFS($H$2:$H$2001,$A$2:$A$2001,$A1955,$B$2:$B$2001,$B1955))</f>
        <v/>
      </c>
      <c r="N1955" s="20">
        <f>IF($M1955="","",IF($M1955&lt;=0,"Sin stock: reponer ya",IF($M1955&lt;IFERROR(N(INDEX(Vinos!$N$2:$N$301,MATCH($B1955,Vinos!$A$2:$A$301,0))),0),"Bajo mínimo: reponer","OK")))</f>
        <v/>
      </c>
      <c r="O1955" s="14" t="n"/>
      <c r="P1955" s="14" t="n"/>
      <c r="Q1955" s="20">
        <f>IF($B1955="","",IFERROR(INDEX(Vinos!$C$2:$C$301,MATCH($B1955,Vinos!$A$2:$A$301,0)),""))</f>
        <v/>
      </c>
      <c r="R1955" s="20">
        <f>IF(OR($A1955="",$A1955&lt;&gt;'Resumen del inventario'!$C$3,$N1955="",$N1955="OK"),"",IF(COUNTIFS($A$2:$A1955,$A1955,$B$2:$B1955,$B1955)=1,1,""))</f>
        <v/>
      </c>
      <c r="S1955" s="20">
        <f>IF($R1955=1,COUNTIF($R$2:$R1955,1),"")</f>
        <v/>
      </c>
    </row>
    <row r="1956">
      <c r="A1956" s="19" t="n"/>
      <c r="B1956" s="14" t="n"/>
      <c r="C1956" s="20">
        <f>IF($B1956="","",IFERROR(INDEX(Vinos!$B$2:$B$301,MATCH($B1956,Vinos!$A$2:$A$301,0)),"Código no cargado"))</f>
        <v/>
      </c>
      <c r="D1956" s="14" t="n"/>
      <c r="E1956" s="14" t="n"/>
      <c r="F1956" s="18" t="n"/>
      <c r="G1956" s="18" t="n"/>
      <c r="H1956" s="21">
        <f>IF(AND($F1956="",$G1956=""),"",N($F1956)*IFERROR(N(INDEX(Vinos!$H$2:$H$301,MATCH($B1956,Vinos!$A$2:$A$301,0))),0)+N($G1956))</f>
        <v/>
      </c>
      <c r="I1956" s="18" t="n"/>
      <c r="J1956" s="21">
        <f>IF(OR($H1956="",$I1956=""),"",$H1956-$I1956)</f>
        <v/>
      </c>
      <c r="K1956" s="16">
        <f>IF($H1956="","",IFERROR(IF(INDEX(Vinos!$J$2:$J$301,MATCH($B1956,Vinos!$A$2:$A$301,0))="","",$H1956*INDEX(Vinos!$J$2:$J$301,MATCH($B1956,Vinos!$A$2:$A$301,0))),""))</f>
        <v/>
      </c>
      <c r="L1956" s="16">
        <f>IF($H1956="","",IFERROR(IF(INDEX(Vinos!$K$2:$K$301,MATCH($B1956,Vinos!$A$2:$A$301,0))="","",$H1956*INDEX(Vinos!$K$2:$K$301,MATCH($B1956,Vinos!$A$2:$A$301,0))),""))</f>
        <v/>
      </c>
      <c r="M1956" s="21">
        <f>IF(OR($A1956="",$B1956=""),"",SUMIFS($H$2:$H$2001,$A$2:$A$2001,$A1956,$B$2:$B$2001,$B1956))</f>
        <v/>
      </c>
      <c r="N1956" s="20">
        <f>IF($M1956="","",IF($M1956&lt;=0,"Sin stock: reponer ya",IF($M1956&lt;IFERROR(N(INDEX(Vinos!$N$2:$N$301,MATCH($B1956,Vinos!$A$2:$A$301,0))),0),"Bajo mínimo: reponer","OK")))</f>
        <v/>
      </c>
      <c r="O1956" s="14" t="n"/>
      <c r="P1956" s="14" t="n"/>
      <c r="Q1956" s="20">
        <f>IF($B1956="","",IFERROR(INDEX(Vinos!$C$2:$C$301,MATCH($B1956,Vinos!$A$2:$A$301,0)),""))</f>
        <v/>
      </c>
      <c r="R1956" s="20">
        <f>IF(OR($A1956="",$A1956&lt;&gt;'Resumen del inventario'!$C$3,$N1956="",$N1956="OK"),"",IF(COUNTIFS($A$2:$A1956,$A1956,$B$2:$B1956,$B1956)=1,1,""))</f>
        <v/>
      </c>
      <c r="S1956" s="20">
        <f>IF($R1956=1,COUNTIF($R$2:$R1956,1),"")</f>
        <v/>
      </c>
    </row>
    <row r="1957">
      <c r="A1957" s="19" t="n"/>
      <c r="B1957" s="14" t="n"/>
      <c r="C1957" s="20">
        <f>IF($B1957="","",IFERROR(INDEX(Vinos!$B$2:$B$301,MATCH($B1957,Vinos!$A$2:$A$301,0)),"Código no cargado"))</f>
        <v/>
      </c>
      <c r="D1957" s="14" t="n"/>
      <c r="E1957" s="14" t="n"/>
      <c r="F1957" s="18" t="n"/>
      <c r="G1957" s="18" t="n"/>
      <c r="H1957" s="21">
        <f>IF(AND($F1957="",$G1957=""),"",N($F1957)*IFERROR(N(INDEX(Vinos!$H$2:$H$301,MATCH($B1957,Vinos!$A$2:$A$301,0))),0)+N($G1957))</f>
        <v/>
      </c>
      <c r="I1957" s="18" t="n"/>
      <c r="J1957" s="21">
        <f>IF(OR($H1957="",$I1957=""),"",$H1957-$I1957)</f>
        <v/>
      </c>
      <c r="K1957" s="16">
        <f>IF($H1957="","",IFERROR(IF(INDEX(Vinos!$J$2:$J$301,MATCH($B1957,Vinos!$A$2:$A$301,0))="","",$H1957*INDEX(Vinos!$J$2:$J$301,MATCH($B1957,Vinos!$A$2:$A$301,0))),""))</f>
        <v/>
      </c>
      <c r="L1957" s="16">
        <f>IF($H1957="","",IFERROR(IF(INDEX(Vinos!$K$2:$K$301,MATCH($B1957,Vinos!$A$2:$A$301,0))="","",$H1957*INDEX(Vinos!$K$2:$K$301,MATCH($B1957,Vinos!$A$2:$A$301,0))),""))</f>
        <v/>
      </c>
      <c r="M1957" s="21">
        <f>IF(OR($A1957="",$B1957=""),"",SUMIFS($H$2:$H$2001,$A$2:$A$2001,$A1957,$B$2:$B$2001,$B1957))</f>
        <v/>
      </c>
      <c r="N1957" s="20">
        <f>IF($M1957="","",IF($M1957&lt;=0,"Sin stock: reponer ya",IF($M1957&lt;IFERROR(N(INDEX(Vinos!$N$2:$N$301,MATCH($B1957,Vinos!$A$2:$A$301,0))),0),"Bajo mínimo: reponer","OK")))</f>
        <v/>
      </c>
      <c r="O1957" s="14" t="n"/>
      <c r="P1957" s="14" t="n"/>
      <c r="Q1957" s="20">
        <f>IF($B1957="","",IFERROR(INDEX(Vinos!$C$2:$C$301,MATCH($B1957,Vinos!$A$2:$A$301,0)),""))</f>
        <v/>
      </c>
      <c r="R1957" s="20">
        <f>IF(OR($A1957="",$A1957&lt;&gt;'Resumen del inventario'!$C$3,$N1957="",$N1957="OK"),"",IF(COUNTIFS($A$2:$A1957,$A1957,$B$2:$B1957,$B1957)=1,1,""))</f>
        <v/>
      </c>
      <c r="S1957" s="20">
        <f>IF($R1957=1,COUNTIF($R$2:$R1957,1),"")</f>
        <v/>
      </c>
    </row>
    <row r="1958">
      <c r="A1958" s="19" t="n"/>
      <c r="B1958" s="14" t="n"/>
      <c r="C1958" s="20">
        <f>IF($B1958="","",IFERROR(INDEX(Vinos!$B$2:$B$301,MATCH($B1958,Vinos!$A$2:$A$301,0)),"Código no cargado"))</f>
        <v/>
      </c>
      <c r="D1958" s="14" t="n"/>
      <c r="E1958" s="14" t="n"/>
      <c r="F1958" s="18" t="n"/>
      <c r="G1958" s="18" t="n"/>
      <c r="H1958" s="21">
        <f>IF(AND($F1958="",$G1958=""),"",N($F1958)*IFERROR(N(INDEX(Vinos!$H$2:$H$301,MATCH($B1958,Vinos!$A$2:$A$301,0))),0)+N($G1958))</f>
        <v/>
      </c>
      <c r="I1958" s="18" t="n"/>
      <c r="J1958" s="21">
        <f>IF(OR($H1958="",$I1958=""),"",$H1958-$I1958)</f>
        <v/>
      </c>
      <c r="K1958" s="16">
        <f>IF($H1958="","",IFERROR(IF(INDEX(Vinos!$J$2:$J$301,MATCH($B1958,Vinos!$A$2:$A$301,0))="","",$H1958*INDEX(Vinos!$J$2:$J$301,MATCH($B1958,Vinos!$A$2:$A$301,0))),""))</f>
        <v/>
      </c>
      <c r="L1958" s="16">
        <f>IF($H1958="","",IFERROR(IF(INDEX(Vinos!$K$2:$K$301,MATCH($B1958,Vinos!$A$2:$A$301,0))="","",$H1958*INDEX(Vinos!$K$2:$K$301,MATCH($B1958,Vinos!$A$2:$A$301,0))),""))</f>
        <v/>
      </c>
      <c r="M1958" s="21">
        <f>IF(OR($A1958="",$B1958=""),"",SUMIFS($H$2:$H$2001,$A$2:$A$2001,$A1958,$B$2:$B$2001,$B1958))</f>
        <v/>
      </c>
      <c r="N1958" s="20">
        <f>IF($M1958="","",IF($M1958&lt;=0,"Sin stock: reponer ya",IF($M1958&lt;IFERROR(N(INDEX(Vinos!$N$2:$N$301,MATCH($B1958,Vinos!$A$2:$A$301,0))),0),"Bajo mínimo: reponer","OK")))</f>
        <v/>
      </c>
      <c r="O1958" s="14" t="n"/>
      <c r="P1958" s="14" t="n"/>
      <c r="Q1958" s="20">
        <f>IF($B1958="","",IFERROR(INDEX(Vinos!$C$2:$C$301,MATCH($B1958,Vinos!$A$2:$A$301,0)),""))</f>
        <v/>
      </c>
      <c r="R1958" s="20">
        <f>IF(OR($A1958="",$A1958&lt;&gt;'Resumen del inventario'!$C$3,$N1958="",$N1958="OK"),"",IF(COUNTIFS($A$2:$A1958,$A1958,$B$2:$B1958,$B1958)=1,1,""))</f>
        <v/>
      </c>
      <c r="S1958" s="20">
        <f>IF($R1958=1,COUNTIF($R$2:$R1958,1),"")</f>
        <v/>
      </c>
    </row>
    <row r="1959">
      <c r="A1959" s="19" t="n"/>
      <c r="B1959" s="14" t="n"/>
      <c r="C1959" s="20">
        <f>IF($B1959="","",IFERROR(INDEX(Vinos!$B$2:$B$301,MATCH($B1959,Vinos!$A$2:$A$301,0)),"Código no cargado"))</f>
        <v/>
      </c>
      <c r="D1959" s="14" t="n"/>
      <c r="E1959" s="14" t="n"/>
      <c r="F1959" s="18" t="n"/>
      <c r="G1959" s="18" t="n"/>
      <c r="H1959" s="21">
        <f>IF(AND($F1959="",$G1959=""),"",N($F1959)*IFERROR(N(INDEX(Vinos!$H$2:$H$301,MATCH($B1959,Vinos!$A$2:$A$301,0))),0)+N($G1959))</f>
        <v/>
      </c>
      <c r="I1959" s="18" t="n"/>
      <c r="J1959" s="21">
        <f>IF(OR($H1959="",$I1959=""),"",$H1959-$I1959)</f>
        <v/>
      </c>
      <c r="K1959" s="16">
        <f>IF($H1959="","",IFERROR(IF(INDEX(Vinos!$J$2:$J$301,MATCH($B1959,Vinos!$A$2:$A$301,0))="","",$H1959*INDEX(Vinos!$J$2:$J$301,MATCH($B1959,Vinos!$A$2:$A$301,0))),""))</f>
        <v/>
      </c>
      <c r="L1959" s="16">
        <f>IF($H1959="","",IFERROR(IF(INDEX(Vinos!$K$2:$K$301,MATCH($B1959,Vinos!$A$2:$A$301,0))="","",$H1959*INDEX(Vinos!$K$2:$K$301,MATCH($B1959,Vinos!$A$2:$A$301,0))),""))</f>
        <v/>
      </c>
      <c r="M1959" s="21">
        <f>IF(OR($A1959="",$B1959=""),"",SUMIFS($H$2:$H$2001,$A$2:$A$2001,$A1959,$B$2:$B$2001,$B1959))</f>
        <v/>
      </c>
      <c r="N1959" s="20">
        <f>IF($M1959="","",IF($M1959&lt;=0,"Sin stock: reponer ya",IF($M1959&lt;IFERROR(N(INDEX(Vinos!$N$2:$N$301,MATCH($B1959,Vinos!$A$2:$A$301,0))),0),"Bajo mínimo: reponer","OK")))</f>
        <v/>
      </c>
      <c r="O1959" s="14" t="n"/>
      <c r="P1959" s="14" t="n"/>
      <c r="Q1959" s="20">
        <f>IF($B1959="","",IFERROR(INDEX(Vinos!$C$2:$C$301,MATCH($B1959,Vinos!$A$2:$A$301,0)),""))</f>
        <v/>
      </c>
      <c r="R1959" s="20">
        <f>IF(OR($A1959="",$A1959&lt;&gt;'Resumen del inventario'!$C$3,$N1959="",$N1959="OK"),"",IF(COUNTIFS($A$2:$A1959,$A1959,$B$2:$B1959,$B1959)=1,1,""))</f>
        <v/>
      </c>
      <c r="S1959" s="20">
        <f>IF($R1959=1,COUNTIF($R$2:$R1959,1),"")</f>
        <v/>
      </c>
    </row>
    <row r="1960">
      <c r="A1960" s="19" t="n"/>
      <c r="B1960" s="14" t="n"/>
      <c r="C1960" s="20">
        <f>IF($B1960="","",IFERROR(INDEX(Vinos!$B$2:$B$301,MATCH($B1960,Vinos!$A$2:$A$301,0)),"Código no cargado"))</f>
        <v/>
      </c>
      <c r="D1960" s="14" t="n"/>
      <c r="E1960" s="14" t="n"/>
      <c r="F1960" s="18" t="n"/>
      <c r="G1960" s="18" t="n"/>
      <c r="H1960" s="21">
        <f>IF(AND($F1960="",$G1960=""),"",N($F1960)*IFERROR(N(INDEX(Vinos!$H$2:$H$301,MATCH($B1960,Vinos!$A$2:$A$301,0))),0)+N($G1960))</f>
        <v/>
      </c>
      <c r="I1960" s="18" t="n"/>
      <c r="J1960" s="21">
        <f>IF(OR($H1960="",$I1960=""),"",$H1960-$I1960)</f>
        <v/>
      </c>
      <c r="K1960" s="16">
        <f>IF($H1960="","",IFERROR(IF(INDEX(Vinos!$J$2:$J$301,MATCH($B1960,Vinos!$A$2:$A$301,0))="","",$H1960*INDEX(Vinos!$J$2:$J$301,MATCH($B1960,Vinos!$A$2:$A$301,0))),""))</f>
        <v/>
      </c>
      <c r="L1960" s="16">
        <f>IF($H1960="","",IFERROR(IF(INDEX(Vinos!$K$2:$K$301,MATCH($B1960,Vinos!$A$2:$A$301,0))="","",$H1960*INDEX(Vinos!$K$2:$K$301,MATCH($B1960,Vinos!$A$2:$A$301,0))),""))</f>
        <v/>
      </c>
      <c r="M1960" s="21">
        <f>IF(OR($A1960="",$B1960=""),"",SUMIFS($H$2:$H$2001,$A$2:$A$2001,$A1960,$B$2:$B$2001,$B1960))</f>
        <v/>
      </c>
      <c r="N1960" s="20">
        <f>IF($M1960="","",IF($M1960&lt;=0,"Sin stock: reponer ya",IF($M1960&lt;IFERROR(N(INDEX(Vinos!$N$2:$N$301,MATCH($B1960,Vinos!$A$2:$A$301,0))),0),"Bajo mínimo: reponer","OK")))</f>
        <v/>
      </c>
      <c r="O1960" s="14" t="n"/>
      <c r="P1960" s="14" t="n"/>
      <c r="Q1960" s="20">
        <f>IF($B1960="","",IFERROR(INDEX(Vinos!$C$2:$C$301,MATCH($B1960,Vinos!$A$2:$A$301,0)),""))</f>
        <v/>
      </c>
      <c r="R1960" s="20">
        <f>IF(OR($A1960="",$A1960&lt;&gt;'Resumen del inventario'!$C$3,$N1960="",$N1960="OK"),"",IF(COUNTIFS($A$2:$A1960,$A1960,$B$2:$B1960,$B1960)=1,1,""))</f>
        <v/>
      </c>
      <c r="S1960" s="20">
        <f>IF($R1960=1,COUNTIF($R$2:$R1960,1),"")</f>
        <v/>
      </c>
    </row>
    <row r="1961">
      <c r="A1961" s="19" t="n"/>
      <c r="B1961" s="14" t="n"/>
      <c r="C1961" s="20">
        <f>IF($B1961="","",IFERROR(INDEX(Vinos!$B$2:$B$301,MATCH($B1961,Vinos!$A$2:$A$301,0)),"Código no cargado"))</f>
        <v/>
      </c>
      <c r="D1961" s="14" t="n"/>
      <c r="E1961" s="14" t="n"/>
      <c r="F1961" s="18" t="n"/>
      <c r="G1961" s="18" t="n"/>
      <c r="H1961" s="21">
        <f>IF(AND($F1961="",$G1961=""),"",N($F1961)*IFERROR(N(INDEX(Vinos!$H$2:$H$301,MATCH($B1961,Vinos!$A$2:$A$301,0))),0)+N($G1961))</f>
        <v/>
      </c>
      <c r="I1961" s="18" t="n"/>
      <c r="J1961" s="21">
        <f>IF(OR($H1961="",$I1961=""),"",$H1961-$I1961)</f>
        <v/>
      </c>
      <c r="K1961" s="16">
        <f>IF($H1961="","",IFERROR(IF(INDEX(Vinos!$J$2:$J$301,MATCH($B1961,Vinos!$A$2:$A$301,0))="","",$H1961*INDEX(Vinos!$J$2:$J$301,MATCH($B1961,Vinos!$A$2:$A$301,0))),""))</f>
        <v/>
      </c>
      <c r="L1961" s="16">
        <f>IF($H1961="","",IFERROR(IF(INDEX(Vinos!$K$2:$K$301,MATCH($B1961,Vinos!$A$2:$A$301,0))="","",$H1961*INDEX(Vinos!$K$2:$K$301,MATCH($B1961,Vinos!$A$2:$A$301,0))),""))</f>
        <v/>
      </c>
      <c r="M1961" s="21">
        <f>IF(OR($A1961="",$B1961=""),"",SUMIFS($H$2:$H$2001,$A$2:$A$2001,$A1961,$B$2:$B$2001,$B1961))</f>
        <v/>
      </c>
      <c r="N1961" s="20">
        <f>IF($M1961="","",IF($M1961&lt;=0,"Sin stock: reponer ya",IF($M1961&lt;IFERROR(N(INDEX(Vinos!$N$2:$N$301,MATCH($B1961,Vinos!$A$2:$A$301,0))),0),"Bajo mínimo: reponer","OK")))</f>
        <v/>
      </c>
      <c r="O1961" s="14" t="n"/>
      <c r="P1961" s="14" t="n"/>
      <c r="Q1961" s="20">
        <f>IF($B1961="","",IFERROR(INDEX(Vinos!$C$2:$C$301,MATCH($B1961,Vinos!$A$2:$A$301,0)),""))</f>
        <v/>
      </c>
      <c r="R1961" s="20">
        <f>IF(OR($A1961="",$A1961&lt;&gt;'Resumen del inventario'!$C$3,$N1961="",$N1961="OK"),"",IF(COUNTIFS($A$2:$A1961,$A1961,$B$2:$B1961,$B1961)=1,1,""))</f>
        <v/>
      </c>
      <c r="S1961" s="20">
        <f>IF($R1961=1,COUNTIF($R$2:$R1961,1),"")</f>
        <v/>
      </c>
    </row>
    <row r="1962">
      <c r="A1962" s="19" t="n"/>
      <c r="B1962" s="14" t="n"/>
      <c r="C1962" s="20">
        <f>IF($B1962="","",IFERROR(INDEX(Vinos!$B$2:$B$301,MATCH($B1962,Vinos!$A$2:$A$301,0)),"Código no cargado"))</f>
        <v/>
      </c>
      <c r="D1962" s="14" t="n"/>
      <c r="E1962" s="14" t="n"/>
      <c r="F1962" s="18" t="n"/>
      <c r="G1962" s="18" t="n"/>
      <c r="H1962" s="21">
        <f>IF(AND($F1962="",$G1962=""),"",N($F1962)*IFERROR(N(INDEX(Vinos!$H$2:$H$301,MATCH($B1962,Vinos!$A$2:$A$301,0))),0)+N($G1962))</f>
        <v/>
      </c>
      <c r="I1962" s="18" t="n"/>
      <c r="J1962" s="21">
        <f>IF(OR($H1962="",$I1962=""),"",$H1962-$I1962)</f>
        <v/>
      </c>
      <c r="K1962" s="16">
        <f>IF($H1962="","",IFERROR(IF(INDEX(Vinos!$J$2:$J$301,MATCH($B1962,Vinos!$A$2:$A$301,0))="","",$H1962*INDEX(Vinos!$J$2:$J$301,MATCH($B1962,Vinos!$A$2:$A$301,0))),""))</f>
        <v/>
      </c>
      <c r="L1962" s="16">
        <f>IF($H1962="","",IFERROR(IF(INDEX(Vinos!$K$2:$K$301,MATCH($B1962,Vinos!$A$2:$A$301,0))="","",$H1962*INDEX(Vinos!$K$2:$K$301,MATCH($B1962,Vinos!$A$2:$A$301,0))),""))</f>
        <v/>
      </c>
      <c r="M1962" s="21">
        <f>IF(OR($A1962="",$B1962=""),"",SUMIFS($H$2:$H$2001,$A$2:$A$2001,$A1962,$B$2:$B$2001,$B1962))</f>
        <v/>
      </c>
      <c r="N1962" s="20">
        <f>IF($M1962="","",IF($M1962&lt;=0,"Sin stock: reponer ya",IF($M1962&lt;IFERROR(N(INDEX(Vinos!$N$2:$N$301,MATCH($B1962,Vinos!$A$2:$A$301,0))),0),"Bajo mínimo: reponer","OK")))</f>
        <v/>
      </c>
      <c r="O1962" s="14" t="n"/>
      <c r="P1962" s="14" t="n"/>
      <c r="Q1962" s="20">
        <f>IF($B1962="","",IFERROR(INDEX(Vinos!$C$2:$C$301,MATCH($B1962,Vinos!$A$2:$A$301,0)),""))</f>
        <v/>
      </c>
      <c r="R1962" s="20">
        <f>IF(OR($A1962="",$A1962&lt;&gt;'Resumen del inventario'!$C$3,$N1962="",$N1962="OK"),"",IF(COUNTIFS($A$2:$A1962,$A1962,$B$2:$B1962,$B1962)=1,1,""))</f>
        <v/>
      </c>
      <c r="S1962" s="20">
        <f>IF($R1962=1,COUNTIF($R$2:$R1962,1),"")</f>
        <v/>
      </c>
    </row>
    <row r="1963">
      <c r="A1963" s="19" t="n"/>
      <c r="B1963" s="14" t="n"/>
      <c r="C1963" s="20">
        <f>IF($B1963="","",IFERROR(INDEX(Vinos!$B$2:$B$301,MATCH($B1963,Vinos!$A$2:$A$301,0)),"Código no cargado"))</f>
        <v/>
      </c>
      <c r="D1963" s="14" t="n"/>
      <c r="E1963" s="14" t="n"/>
      <c r="F1963" s="18" t="n"/>
      <c r="G1963" s="18" t="n"/>
      <c r="H1963" s="21">
        <f>IF(AND($F1963="",$G1963=""),"",N($F1963)*IFERROR(N(INDEX(Vinos!$H$2:$H$301,MATCH($B1963,Vinos!$A$2:$A$301,0))),0)+N($G1963))</f>
        <v/>
      </c>
      <c r="I1963" s="18" t="n"/>
      <c r="J1963" s="21">
        <f>IF(OR($H1963="",$I1963=""),"",$H1963-$I1963)</f>
        <v/>
      </c>
      <c r="K1963" s="16">
        <f>IF($H1963="","",IFERROR(IF(INDEX(Vinos!$J$2:$J$301,MATCH($B1963,Vinos!$A$2:$A$301,0))="","",$H1963*INDEX(Vinos!$J$2:$J$301,MATCH($B1963,Vinos!$A$2:$A$301,0))),""))</f>
        <v/>
      </c>
      <c r="L1963" s="16">
        <f>IF($H1963="","",IFERROR(IF(INDEX(Vinos!$K$2:$K$301,MATCH($B1963,Vinos!$A$2:$A$301,0))="","",$H1963*INDEX(Vinos!$K$2:$K$301,MATCH($B1963,Vinos!$A$2:$A$301,0))),""))</f>
        <v/>
      </c>
      <c r="M1963" s="21">
        <f>IF(OR($A1963="",$B1963=""),"",SUMIFS($H$2:$H$2001,$A$2:$A$2001,$A1963,$B$2:$B$2001,$B1963))</f>
        <v/>
      </c>
      <c r="N1963" s="20">
        <f>IF($M1963="","",IF($M1963&lt;=0,"Sin stock: reponer ya",IF($M1963&lt;IFERROR(N(INDEX(Vinos!$N$2:$N$301,MATCH($B1963,Vinos!$A$2:$A$301,0))),0),"Bajo mínimo: reponer","OK")))</f>
        <v/>
      </c>
      <c r="O1963" s="14" t="n"/>
      <c r="P1963" s="14" t="n"/>
      <c r="Q1963" s="20">
        <f>IF($B1963="","",IFERROR(INDEX(Vinos!$C$2:$C$301,MATCH($B1963,Vinos!$A$2:$A$301,0)),""))</f>
        <v/>
      </c>
      <c r="R1963" s="20">
        <f>IF(OR($A1963="",$A1963&lt;&gt;'Resumen del inventario'!$C$3,$N1963="",$N1963="OK"),"",IF(COUNTIFS($A$2:$A1963,$A1963,$B$2:$B1963,$B1963)=1,1,""))</f>
        <v/>
      </c>
      <c r="S1963" s="20">
        <f>IF($R1963=1,COUNTIF($R$2:$R1963,1),"")</f>
        <v/>
      </c>
    </row>
    <row r="1964">
      <c r="A1964" s="19" t="n"/>
      <c r="B1964" s="14" t="n"/>
      <c r="C1964" s="20">
        <f>IF($B1964="","",IFERROR(INDEX(Vinos!$B$2:$B$301,MATCH($B1964,Vinos!$A$2:$A$301,0)),"Código no cargado"))</f>
        <v/>
      </c>
      <c r="D1964" s="14" t="n"/>
      <c r="E1964" s="14" t="n"/>
      <c r="F1964" s="18" t="n"/>
      <c r="G1964" s="18" t="n"/>
      <c r="H1964" s="21">
        <f>IF(AND($F1964="",$G1964=""),"",N($F1964)*IFERROR(N(INDEX(Vinos!$H$2:$H$301,MATCH($B1964,Vinos!$A$2:$A$301,0))),0)+N($G1964))</f>
        <v/>
      </c>
      <c r="I1964" s="18" t="n"/>
      <c r="J1964" s="21">
        <f>IF(OR($H1964="",$I1964=""),"",$H1964-$I1964)</f>
        <v/>
      </c>
      <c r="K1964" s="16">
        <f>IF($H1964="","",IFERROR(IF(INDEX(Vinos!$J$2:$J$301,MATCH($B1964,Vinos!$A$2:$A$301,0))="","",$H1964*INDEX(Vinos!$J$2:$J$301,MATCH($B1964,Vinos!$A$2:$A$301,0))),""))</f>
        <v/>
      </c>
      <c r="L1964" s="16">
        <f>IF($H1964="","",IFERROR(IF(INDEX(Vinos!$K$2:$K$301,MATCH($B1964,Vinos!$A$2:$A$301,0))="","",$H1964*INDEX(Vinos!$K$2:$K$301,MATCH($B1964,Vinos!$A$2:$A$301,0))),""))</f>
        <v/>
      </c>
      <c r="M1964" s="21">
        <f>IF(OR($A1964="",$B1964=""),"",SUMIFS($H$2:$H$2001,$A$2:$A$2001,$A1964,$B$2:$B$2001,$B1964))</f>
        <v/>
      </c>
      <c r="N1964" s="20">
        <f>IF($M1964="","",IF($M1964&lt;=0,"Sin stock: reponer ya",IF($M1964&lt;IFERROR(N(INDEX(Vinos!$N$2:$N$301,MATCH($B1964,Vinos!$A$2:$A$301,0))),0),"Bajo mínimo: reponer","OK")))</f>
        <v/>
      </c>
      <c r="O1964" s="14" t="n"/>
      <c r="P1964" s="14" t="n"/>
      <c r="Q1964" s="20">
        <f>IF($B1964="","",IFERROR(INDEX(Vinos!$C$2:$C$301,MATCH($B1964,Vinos!$A$2:$A$301,0)),""))</f>
        <v/>
      </c>
      <c r="R1964" s="20">
        <f>IF(OR($A1964="",$A1964&lt;&gt;'Resumen del inventario'!$C$3,$N1964="",$N1964="OK"),"",IF(COUNTIFS($A$2:$A1964,$A1964,$B$2:$B1964,$B1964)=1,1,""))</f>
        <v/>
      </c>
      <c r="S1964" s="20">
        <f>IF($R1964=1,COUNTIF($R$2:$R1964,1),"")</f>
        <v/>
      </c>
    </row>
    <row r="1965">
      <c r="A1965" s="19" t="n"/>
      <c r="B1965" s="14" t="n"/>
      <c r="C1965" s="20">
        <f>IF($B1965="","",IFERROR(INDEX(Vinos!$B$2:$B$301,MATCH($B1965,Vinos!$A$2:$A$301,0)),"Código no cargado"))</f>
        <v/>
      </c>
      <c r="D1965" s="14" t="n"/>
      <c r="E1965" s="14" t="n"/>
      <c r="F1965" s="18" t="n"/>
      <c r="G1965" s="18" t="n"/>
      <c r="H1965" s="21">
        <f>IF(AND($F1965="",$G1965=""),"",N($F1965)*IFERROR(N(INDEX(Vinos!$H$2:$H$301,MATCH($B1965,Vinos!$A$2:$A$301,0))),0)+N($G1965))</f>
        <v/>
      </c>
      <c r="I1965" s="18" t="n"/>
      <c r="J1965" s="21">
        <f>IF(OR($H1965="",$I1965=""),"",$H1965-$I1965)</f>
        <v/>
      </c>
      <c r="K1965" s="16">
        <f>IF($H1965="","",IFERROR(IF(INDEX(Vinos!$J$2:$J$301,MATCH($B1965,Vinos!$A$2:$A$301,0))="","",$H1965*INDEX(Vinos!$J$2:$J$301,MATCH($B1965,Vinos!$A$2:$A$301,0))),""))</f>
        <v/>
      </c>
      <c r="L1965" s="16">
        <f>IF($H1965="","",IFERROR(IF(INDEX(Vinos!$K$2:$K$301,MATCH($B1965,Vinos!$A$2:$A$301,0))="","",$H1965*INDEX(Vinos!$K$2:$K$301,MATCH($B1965,Vinos!$A$2:$A$301,0))),""))</f>
        <v/>
      </c>
      <c r="M1965" s="21">
        <f>IF(OR($A1965="",$B1965=""),"",SUMIFS($H$2:$H$2001,$A$2:$A$2001,$A1965,$B$2:$B$2001,$B1965))</f>
        <v/>
      </c>
      <c r="N1965" s="20">
        <f>IF($M1965="","",IF($M1965&lt;=0,"Sin stock: reponer ya",IF($M1965&lt;IFERROR(N(INDEX(Vinos!$N$2:$N$301,MATCH($B1965,Vinos!$A$2:$A$301,0))),0),"Bajo mínimo: reponer","OK")))</f>
        <v/>
      </c>
      <c r="O1965" s="14" t="n"/>
      <c r="P1965" s="14" t="n"/>
      <c r="Q1965" s="20">
        <f>IF($B1965="","",IFERROR(INDEX(Vinos!$C$2:$C$301,MATCH($B1965,Vinos!$A$2:$A$301,0)),""))</f>
        <v/>
      </c>
      <c r="R1965" s="20">
        <f>IF(OR($A1965="",$A1965&lt;&gt;'Resumen del inventario'!$C$3,$N1965="",$N1965="OK"),"",IF(COUNTIFS($A$2:$A1965,$A1965,$B$2:$B1965,$B1965)=1,1,""))</f>
        <v/>
      </c>
      <c r="S1965" s="20">
        <f>IF($R1965=1,COUNTIF($R$2:$R1965,1),"")</f>
        <v/>
      </c>
    </row>
    <row r="1966">
      <c r="A1966" s="19" t="n"/>
      <c r="B1966" s="14" t="n"/>
      <c r="C1966" s="20">
        <f>IF($B1966="","",IFERROR(INDEX(Vinos!$B$2:$B$301,MATCH($B1966,Vinos!$A$2:$A$301,0)),"Código no cargado"))</f>
        <v/>
      </c>
      <c r="D1966" s="14" t="n"/>
      <c r="E1966" s="14" t="n"/>
      <c r="F1966" s="18" t="n"/>
      <c r="G1966" s="18" t="n"/>
      <c r="H1966" s="21">
        <f>IF(AND($F1966="",$G1966=""),"",N($F1966)*IFERROR(N(INDEX(Vinos!$H$2:$H$301,MATCH($B1966,Vinos!$A$2:$A$301,0))),0)+N($G1966))</f>
        <v/>
      </c>
      <c r="I1966" s="18" t="n"/>
      <c r="J1966" s="21">
        <f>IF(OR($H1966="",$I1966=""),"",$H1966-$I1966)</f>
        <v/>
      </c>
      <c r="K1966" s="16">
        <f>IF($H1966="","",IFERROR(IF(INDEX(Vinos!$J$2:$J$301,MATCH($B1966,Vinos!$A$2:$A$301,0))="","",$H1966*INDEX(Vinos!$J$2:$J$301,MATCH($B1966,Vinos!$A$2:$A$301,0))),""))</f>
        <v/>
      </c>
      <c r="L1966" s="16">
        <f>IF($H1966="","",IFERROR(IF(INDEX(Vinos!$K$2:$K$301,MATCH($B1966,Vinos!$A$2:$A$301,0))="","",$H1966*INDEX(Vinos!$K$2:$K$301,MATCH($B1966,Vinos!$A$2:$A$301,0))),""))</f>
        <v/>
      </c>
      <c r="M1966" s="21">
        <f>IF(OR($A1966="",$B1966=""),"",SUMIFS($H$2:$H$2001,$A$2:$A$2001,$A1966,$B$2:$B$2001,$B1966))</f>
        <v/>
      </c>
      <c r="N1966" s="20">
        <f>IF($M1966="","",IF($M1966&lt;=0,"Sin stock: reponer ya",IF($M1966&lt;IFERROR(N(INDEX(Vinos!$N$2:$N$301,MATCH($B1966,Vinos!$A$2:$A$301,0))),0),"Bajo mínimo: reponer","OK")))</f>
        <v/>
      </c>
      <c r="O1966" s="14" t="n"/>
      <c r="P1966" s="14" t="n"/>
      <c r="Q1966" s="20">
        <f>IF($B1966="","",IFERROR(INDEX(Vinos!$C$2:$C$301,MATCH($B1966,Vinos!$A$2:$A$301,0)),""))</f>
        <v/>
      </c>
      <c r="R1966" s="20">
        <f>IF(OR($A1966="",$A1966&lt;&gt;'Resumen del inventario'!$C$3,$N1966="",$N1966="OK"),"",IF(COUNTIFS($A$2:$A1966,$A1966,$B$2:$B1966,$B1966)=1,1,""))</f>
        <v/>
      </c>
      <c r="S1966" s="20">
        <f>IF($R1966=1,COUNTIF($R$2:$R1966,1),"")</f>
        <v/>
      </c>
    </row>
    <row r="1967">
      <c r="A1967" s="19" t="n"/>
      <c r="B1967" s="14" t="n"/>
      <c r="C1967" s="20">
        <f>IF($B1967="","",IFERROR(INDEX(Vinos!$B$2:$B$301,MATCH($B1967,Vinos!$A$2:$A$301,0)),"Código no cargado"))</f>
        <v/>
      </c>
      <c r="D1967" s="14" t="n"/>
      <c r="E1967" s="14" t="n"/>
      <c r="F1967" s="18" t="n"/>
      <c r="G1967" s="18" t="n"/>
      <c r="H1967" s="21">
        <f>IF(AND($F1967="",$G1967=""),"",N($F1967)*IFERROR(N(INDEX(Vinos!$H$2:$H$301,MATCH($B1967,Vinos!$A$2:$A$301,0))),0)+N($G1967))</f>
        <v/>
      </c>
      <c r="I1967" s="18" t="n"/>
      <c r="J1967" s="21">
        <f>IF(OR($H1967="",$I1967=""),"",$H1967-$I1967)</f>
        <v/>
      </c>
      <c r="K1967" s="16">
        <f>IF($H1967="","",IFERROR(IF(INDEX(Vinos!$J$2:$J$301,MATCH($B1967,Vinos!$A$2:$A$301,0))="","",$H1967*INDEX(Vinos!$J$2:$J$301,MATCH($B1967,Vinos!$A$2:$A$301,0))),""))</f>
        <v/>
      </c>
      <c r="L1967" s="16">
        <f>IF($H1967="","",IFERROR(IF(INDEX(Vinos!$K$2:$K$301,MATCH($B1967,Vinos!$A$2:$A$301,0))="","",$H1967*INDEX(Vinos!$K$2:$K$301,MATCH($B1967,Vinos!$A$2:$A$301,0))),""))</f>
        <v/>
      </c>
      <c r="M1967" s="21">
        <f>IF(OR($A1967="",$B1967=""),"",SUMIFS($H$2:$H$2001,$A$2:$A$2001,$A1967,$B$2:$B$2001,$B1967))</f>
        <v/>
      </c>
      <c r="N1967" s="20">
        <f>IF($M1967="","",IF($M1967&lt;=0,"Sin stock: reponer ya",IF($M1967&lt;IFERROR(N(INDEX(Vinos!$N$2:$N$301,MATCH($B1967,Vinos!$A$2:$A$301,0))),0),"Bajo mínimo: reponer","OK")))</f>
        <v/>
      </c>
      <c r="O1967" s="14" t="n"/>
      <c r="P1967" s="14" t="n"/>
      <c r="Q1967" s="20">
        <f>IF($B1967="","",IFERROR(INDEX(Vinos!$C$2:$C$301,MATCH($B1967,Vinos!$A$2:$A$301,0)),""))</f>
        <v/>
      </c>
      <c r="R1967" s="20">
        <f>IF(OR($A1967="",$A1967&lt;&gt;'Resumen del inventario'!$C$3,$N1967="",$N1967="OK"),"",IF(COUNTIFS($A$2:$A1967,$A1967,$B$2:$B1967,$B1967)=1,1,""))</f>
        <v/>
      </c>
      <c r="S1967" s="20">
        <f>IF($R1967=1,COUNTIF($R$2:$R1967,1),"")</f>
        <v/>
      </c>
    </row>
    <row r="1968">
      <c r="A1968" s="19" t="n"/>
      <c r="B1968" s="14" t="n"/>
      <c r="C1968" s="20">
        <f>IF($B1968="","",IFERROR(INDEX(Vinos!$B$2:$B$301,MATCH($B1968,Vinos!$A$2:$A$301,0)),"Código no cargado"))</f>
        <v/>
      </c>
      <c r="D1968" s="14" t="n"/>
      <c r="E1968" s="14" t="n"/>
      <c r="F1968" s="18" t="n"/>
      <c r="G1968" s="18" t="n"/>
      <c r="H1968" s="21">
        <f>IF(AND($F1968="",$G1968=""),"",N($F1968)*IFERROR(N(INDEX(Vinos!$H$2:$H$301,MATCH($B1968,Vinos!$A$2:$A$301,0))),0)+N($G1968))</f>
        <v/>
      </c>
      <c r="I1968" s="18" t="n"/>
      <c r="J1968" s="21">
        <f>IF(OR($H1968="",$I1968=""),"",$H1968-$I1968)</f>
        <v/>
      </c>
      <c r="K1968" s="16">
        <f>IF($H1968="","",IFERROR(IF(INDEX(Vinos!$J$2:$J$301,MATCH($B1968,Vinos!$A$2:$A$301,0))="","",$H1968*INDEX(Vinos!$J$2:$J$301,MATCH($B1968,Vinos!$A$2:$A$301,0))),""))</f>
        <v/>
      </c>
      <c r="L1968" s="16">
        <f>IF($H1968="","",IFERROR(IF(INDEX(Vinos!$K$2:$K$301,MATCH($B1968,Vinos!$A$2:$A$301,0))="","",$H1968*INDEX(Vinos!$K$2:$K$301,MATCH($B1968,Vinos!$A$2:$A$301,0))),""))</f>
        <v/>
      </c>
      <c r="M1968" s="21">
        <f>IF(OR($A1968="",$B1968=""),"",SUMIFS($H$2:$H$2001,$A$2:$A$2001,$A1968,$B$2:$B$2001,$B1968))</f>
        <v/>
      </c>
      <c r="N1968" s="20">
        <f>IF($M1968="","",IF($M1968&lt;=0,"Sin stock: reponer ya",IF($M1968&lt;IFERROR(N(INDEX(Vinos!$N$2:$N$301,MATCH($B1968,Vinos!$A$2:$A$301,0))),0),"Bajo mínimo: reponer","OK")))</f>
        <v/>
      </c>
      <c r="O1968" s="14" t="n"/>
      <c r="P1968" s="14" t="n"/>
      <c r="Q1968" s="20">
        <f>IF($B1968="","",IFERROR(INDEX(Vinos!$C$2:$C$301,MATCH($B1968,Vinos!$A$2:$A$301,0)),""))</f>
        <v/>
      </c>
      <c r="R1968" s="20">
        <f>IF(OR($A1968="",$A1968&lt;&gt;'Resumen del inventario'!$C$3,$N1968="",$N1968="OK"),"",IF(COUNTIFS($A$2:$A1968,$A1968,$B$2:$B1968,$B1968)=1,1,""))</f>
        <v/>
      </c>
      <c r="S1968" s="20">
        <f>IF($R1968=1,COUNTIF($R$2:$R1968,1),"")</f>
        <v/>
      </c>
    </row>
    <row r="1969">
      <c r="A1969" s="19" t="n"/>
      <c r="B1969" s="14" t="n"/>
      <c r="C1969" s="20">
        <f>IF($B1969="","",IFERROR(INDEX(Vinos!$B$2:$B$301,MATCH($B1969,Vinos!$A$2:$A$301,0)),"Código no cargado"))</f>
        <v/>
      </c>
      <c r="D1969" s="14" t="n"/>
      <c r="E1969" s="14" t="n"/>
      <c r="F1969" s="18" t="n"/>
      <c r="G1969" s="18" t="n"/>
      <c r="H1969" s="21">
        <f>IF(AND($F1969="",$G1969=""),"",N($F1969)*IFERROR(N(INDEX(Vinos!$H$2:$H$301,MATCH($B1969,Vinos!$A$2:$A$301,0))),0)+N($G1969))</f>
        <v/>
      </c>
      <c r="I1969" s="18" t="n"/>
      <c r="J1969" s="21">
        <f>IF(OR($H1969="",$I1969=""),"",$H1969-$I1969)</f>
        <v/>
      </c>
      <c r="K1969" s="16">
        <f>IF($H1969="","",IFERROR(IF(INDEX(Vinos!$J$2:$J$301,MATCH($B1969,Vinos!$A$2:$A$301,0))="","",$H1969*INDEX(Vinos!$J$2:$J$301,MATCH($B1969,Vinos!$A$2:$A$301,0))),""))</f>
        <v/>
      </c>
      <c r="L1969" s="16">
        <f>IF($H1969="","",IFERROR(IF(INDEX(Vinos!$K$2:$K$301,MATCH($B1969,Vinos!$A$2:$A$301,0))="","",$H1969*INDEX(Vinos!$K$2:$K$301,MATCH($B1969,Vinos!$A$2:$A$301,0))),""))</f>
        <v/>
      </c>
      <c r="M1969" s="21">
        <f>IF(OR($A1969="",$B1969=""),"",SUMIFS($H$2:$H$2001,$A$2:$A$2001,$A1969,$B$2:$B$2001,$B1969))</f>
        <v/>
      </c>
      <c r="N1969" s="20">
        <f>IF($M1969="","",IF($M1969&lt;=0,"Sin stock: reponer ya",IF($M1969&lt;IFERROR(N(INDEX(Vinos!$N$2:$N$301,MATCH($B1969,Vinos!$A$2:$A$301,0))),0),"Bajo mínimo: reponer","OK")))</f>
        <v/>
      </c>
      <c r="O1969" s="14" t="n"/>
      <c r="P1969" s="14" t="n"/>
      <c r="Q1969" s="20">
        <f>IF($B1969="","",IFERROR(INDEX(Vinos!$C$2:$C$301,MATCH($B1969,Vinos!$A$2:$A$301,0)),""))</f>
        <v/>
      </c>
      <c r="R1969" s="20">
        <f>IF(OR($A1969="",$A1969&lt;&gt;'Resumen del inventario'!$C$3,$N1969="",$N1969="OK"),"",IF(COUNTIFS($A$2:$A1969,$A1969,$B$2:$B1969,$B1969)=1,1,""))</f>
        <v/>
      </c>
      <c r="S1969" s="20">
        <f>IF($R1969=1,COUNTIF($R$2:$R1969,1),"")</f>
        <v/>
      </c>
    </row>
    <row r="1970">
      <c r="A1970" s="19" t="n"/>
      <c r="B1970" s="14" t="n"/>
      <c r="C1970" s="20">
        <f>IF($B1970="","",IFERROR(INDEX(Vinos!$B$2:$B$301,MATCH($B1970,Vinos!$A$2:$A$301,0)),"Código no cargado"))</f>
        <v/>
      </c>
      <c r="D1970" s="14" t="n"/>
      <c r="E1970" s="14" t="n"/>
      <c r="F1970" s="18" t="n"/>
      <c r="G1970" s="18" t="n"/>
      <c r="H1970" s="21">
        <f>IF(AND($F1970="",$G1970=""),"",N($F1970)*IFERROR(N(INDEX(Vinos!$H$2:$H$301,MATCH($B1970,Vinos!$A$2:$A$301,0))),0)+N($G1970))</f>
        <v/>
      </c>
      <c r="I1970" s="18" t="n"/>
      <c r="J1970" s="21">
        <f>IF(OR($H1970="",$I1970=""),"",$H1970-$I1970)</f>
        <v/>
      </c>
      <c r="K1970" s="16">
        <f>IF($H1970="","",IFERROR(IF(INDEX(Vinos!$J$2:$J$301,MATCH($B1970,Vinos!$A$2:$A$301,0))="","",$H1970*INDEX(Vinos!$J$2:$J$301,MATCH($B1970,Vinos!$A$2:$A$301,0))),""))</f>
        <v/>
      </c>
      <c r="L1970" s="16">
        <f>IF($H1970="","",IFERROR(IF(INDEX(Vinos!$K$2:$K$301,MATCH($B1970,Vinos!$A$2:$A$301,0))="","",$H1970*INDEX(Vinos!$K$2:$K$301,MATCH($B1970,Vinos!$A$2:$A$301,0))),""))</f>
        <v/>
      </c>
      <c r="M1970" s="21">
        <f>IF(OR($A1970="",$B1970=""),"",SUMIFS($H$2:$H$2001,$A$2:$A$2001,$A1970,$B$2:$B$2001,$B1970))</f>
        <v/>
      </c>
      <c r="N1970" s="20">
        <f>IF($M1970="","",IF($M1970&lt;=0,"Sin stock: reponer ya",IF($M1970&lt;IFERROR(N(INDEX(Vinos!$N$2:$N$301,MATCH($B1970,Vinos!$A$2:$A$301,0))),0),"Bajo mínimo: reponer","OK")))</f>
        <v/>
      </c>
      <c r="O1970" s="14" t="n"/>
      <c r="P1970" s="14" t="n"/>
      <c r="Q1970" s="20">
        <f>IF($B1970="","",IFERROR(INDEX(Vinos!$C$2:$C$301,MATCH($B1970,Vinos!$A$2:$A$301,0)),""))</f>
        <v/>
      </c>
      <c r="R1970" s="20">
        <f>IF(OR($A1970="",$A1970&lt;&gt;'Resumen del inventario'!$C$3,$N1970="",$N1970="OK"),"",IF(COUNTIFS($A$2:$A1970,$A1970,$B$2:$B1970,$B1970)=1,1,""))</f>
        <v/>
      </c>
      <c r="S1970" s="20">
        <f>IF($R1970=1,COUNTIF($R$2:$R1970,1),"")</f>
        <v/>
      </c>
    </row>
    <row r="1971">
      <c r="A1971" s="19" t="n"/>
      <c r="B1971" s="14" t="n"/>
      <c r="C1971" s="20">
        <f>IF($B1971="","",IFERROR(INDEX(Vinos!$B$2:$B$301,MATCH($B1971,Vinos!$A$2:$A$301,0)),"Código no cargado"))</f>
        <v/>
      </c>
      <c r="D1971" s="14" t="n"/>
      <c r="E1971" s="14" t="n"/>
      <c r="F1971" s="18" t="n"/>
      <c r="G1971" s="18" t="n"/>
      <c r="H1971" s="21">
        <f>IF(AND($F1971="",$G1971=""),"",N($F1971)*IFERROR(N(INDEX(Vinos!$H$2:$H$301,MATCH($B1971,Vinos!$A$2:$A$301,0))),0)+N($G1971))</f>
        <v/>
      </c>
      <c r="I1971" s="18" t="n"/>
      <c r="J1971" s="21">
        <f>IF(OR($H1971="",$I1971=""),"",$H1971-$I1971)</f>
        <v/>
      </c>
      <c r="K1971" s="16">
        <f>IF($H1971="","",IFERROR(IF(INDEX(Vinos!$J$2:$J$301,MATCH($B1971,Vinos!$A$2:$A$301,0))="","",$H1971*INDEX(Vinos!$J$2:$J$301,MATCH($B1971,Vinos!$A$2:$A$301,0))),""))</f>
        <v/>
      </c>
      <c r="L1971" s="16">
        <f>IF($H1971="","",IFERROR(IF(INDEX(Vinos!$K$2:$K$301,MATCH($B1971,Vinos!$A$2:$A$301,0))="","",$H1971*INDEX(Vinos!$K$2:$K$301,MATCH($B1971,Vinos!$A$2:$A$301,0))),""))</f>
        <v/>
      </c>
      <c r="M1971" s="21">
        <f>IF(OR($A1971="",$B1971=""),"",SUMIFS($H$2:$H$2001,$A$2:$A$2001,$A1971,$B$2:$B$2001,$B1971))</f>
        <v/>
      </c>
      <c r="N1971" s="20">
        <f>IF($M1971="","",IF($M1971&lt;=0,"Sin stock: reponer ya",IF($M1971&lt;IFERROR(N(INDEX(Vinos!$N$2:$N$301,MATCH($B1971,Vinos!$A$2:$A$301,0))),0),"Bajo mínimo: reponer","OK")))</f>
        <v/>
      </c>
      <c r="O1971" s="14" t="n"/>
      <c r="P1971" s="14" t="n"/>
      <c r="Q1971" s="20">
        <f>IF($B1971="","",IFERROR(INDEX(Vinos!$C$2:$C$301,MATCH($B1971,Vinos!$A$2:$A$301,0)),""))</f>
        <v/>
      </c>
      <c r="R1971" s="20">
        <f>IF(OR($A1971="",$A1971&lt;&gt;'Resumen del inventario'!$C$3,$N1971="",$N1971="OK"),"",IF(COUNTIFS($A$2:$A1971,$A1971,$B$2:$B1971,$B1971)=1,1,""))</f>
        <v/>
      </c>
      <c r="S1971" s="20">
        <f>IF($R1971=1,COUNTIF($R$2:$R1971,1),"")</f>
        <v/>
      </c>
    </row>
    <row r="1972">
      <c r="A1972" s="19" t="n"/>
      <c r="B1972" s="14" t="n"/>
      <c r="C1972" s="20">
        <f>IF($B1972="","",IFERROR(INDEX(Vinos!$B$2:$B$301,MATCH($B1972,Vinos!$A$2:$A$301,0)),"Código no cargado"))</f>
        <v/>
      </c>
      <c r="D1972" s="14" t="n"/>
      <c r="E1972" s="14" t="n"/>
      <c r="F1972" s="18" t="n"/>
      <c r="G1972" s="18" t="n"/>
      <c r="H1972" s="21">
        <f>IF(AND($F1972="",$G1972=""),"",N($F1972)*IFERROR(N(INDEX(Vinos!$H$2:$H$301,MATCH($B1972,Vinos!$A$2:$A$301,0))),0)+N($G1972))</f>
        <v/>
      </c>
      <c r="I1972" s="18" t="n"/>
      <c r="J1972" s="21">
        <f>IF(OR($H1972="",$I1972=""),"",$H1972-$I1972)</f>
        <v/>
      </c>
      <c r="K1972" s="16">
        <f>IF($H1972="","",IFERROR(IF(INDEX(Vinos!$J$2:$J$301,MATCH($B1972,Vinos!$A$2:$A$301,0))="","",$H1972*INDEX(Vinos!$J$2:$J$301,MATCH($B1972,Vinos!$A$2:$A$301,0))),""))</f>
        <v/>
      </c>
      <c r="L1972" s="16">
        <f>IF($H1972="","",IFERROR(IF(INDEX(Vinos!$K$2:$K$301,MATCH($B1972,Vinos!$A$2:$A$301,0))="","",$H1972*INDEX(Vinos!$K$2:$K$301,MATCH($B1972,Vinos!$A$2:$A$301,0))),""))</f>
        <v/>
      </c>
      <c r="M1972" s="21">
        <f>IF(OR($A1972="",$B1972=""),"",SUMIFS($H$2:$H$2001,$A$2:$A$2001,$A1972,$B$2:$B$2001,$B1972))</f>
        <v/>
      </c>
      <c r="N1972" s="20">
        <f>IF($M1972="","",IF($M1972&lt;=0,"Sin stock: reponer ya",IF($M1972&lt;IFERROR(N(INDEX(Vinos!$N$2:$N$301,MATCH($B1972,Vinos!$A$2:$A$301,0))),0),"Bajo mínimo: reponer","OK")))</f>
        <v/>
      </c>
      <c r="O1972" s="14" t="n"/>
      <c r="P1972" s="14" t="n"/>
      <c r="Q1972" s="20">
        <f>IF($B1972="","",IFERROR(INDEX(Vinos!$C$2:$C$301,MATCH($B1972,Vinos!$A$2:$A$301,0)),""))</f>
        <v/>
      </c>
      <c r="R1972" s="20">
        <f>IF(OR($A1972="",$A1972&lt;&gt;'Resumen del inventario'!$C$3,$N1972="",$N1972="OK"),"",IF(COUNTIFS($A$2:$A1972,$A1972,$B$2:$B1972,$B1972)=1,1,""))</f>
        <v/>
      </c>
      <c r="S1972" s="20">
        <f>IF($R1972=1,COUNTIF($R$2:$R1972,1),"")</f>
        <v/>
      </c>
    </row>
    <row r="1973">
      <c r="A1973" s="19" t="n"/>
      <c r="B1973" s="14" t="n"/>
      <c r="C1973" s="20">
        <f>IF($B1973="","",IFERROR(INDEX(Vinos!$B$2:$B$301,MATCH($B1973,Vinos!$A$2:$A$301,0)),"Código no cargado"))</f>
        <v/>
      </c>
      <c r="D1973" s="14" t="n"/>
      <c r="E1973" s="14" t="n"/>
      <c r="F1973" s="18" t="n"/>
      <c r="G1973" s="18" t="n"/>
      <c r="H1973" s="21">
        <f>IF(AND($F1973="",$G1973=""),"",N($F1973)*IFERROR(N(INDEX(Vinos!$H$2:$H$301,MATCH($B1973,Vinos!$A$2:$A$301,0))),0)+N($G1973))</f>
        <v/>
      </c>
      <c r="I1973" s="18" t="n"/>
      <c r="J1973" s="21">
        <f>IF(OR($H1973="",$I1973=""),"",$H1973-$I1973)</f>
        <v/>
      </c>
      <c r="K1973" s="16">
        <f>IF($H1973="","",IFERROR(IF(INDEX(Vinos!$J$2:$J$301,MATCH($B1973,Vinos!$A$2:$A$301,0))="","",$H1973*INDEX(Vinos!$J$2:$J$301,MATCH($B1973,Vinos!$A$2:$A$301,0))),""))</f>
        <v/>
      </c>
      <c r="L1973" s="16">
        <f>IF($H1973="","",IFERROR(IF(INDEX(Vinos!$K$2:$K$301,MATCH($B1973,Vinos!$A$2:$A$301,0))="","",$H1973*INDEX(Vinos!$K$2:$K$301,MATCH($B1973,Vinos!$A$2:$A$301,0))),""))</f>
        <v/>
      </c>
      <c r="M1973" s="21">
        <f>IF(OR($A1973="",$B1973=""),"",SUMIFS($H$2:$H$2001,$A$2:$A$2001,$A1973,$B$2:$B$2001,$B1973))</f>
        <v/>
      </c>
      <c r="N1973" s="20">
        <f>IF($M1973="","",IF($M1973&lt;=0,"Sin stock: reponer ya",IF($M1973&lt;IFERROR(N(INDEX(Vinos!$N$2:$N$301,MATCH($B1973,Vinos!$A$2:$A$301,0))),0),"Bajo mínimo: reponer","OK")))</f>
        <v/>
      </c>
      <c r="O1973" s="14" t="n"/>
      <c r="P1973" s="14" t="n"/>
      <c r="Q1973" s="20">
        <f>IF($B1973="","",IFERROR(INDEX(Vinos!$C$2:$C$301,MATCH($B1973,Vinos!$A$2:$A$301,0)),""))</f>
        <v/>
      </c>
      <c r="R1973" s="20">
        <f>IF(OR($A1973="",$A1973&lt;&gt;'Resumen del inventario'!$C$3,$N1973="",$N1973="OK"),"",IF(COUNTIFS($A$2:$A1973,$A1973,$B$2:$B1973,$B1973)=1,1,""))</f>
        <v/>
      </c>
      <c r="S1973" s="20">
        <f>IF($R1973=1,COUNTIF($R$2:$R1973,1),"")</f>
        <v/>
      </c>
    </row>
    <row r="1974">
      <c r="A1974" s="19" t="n"/>
      <c r="B1974" s="14" t="n"/>
      <c r="C1974" s="20">
        <f>IF($B1974="","",IFERROR(INDEX(Vinos!$B$2:$B$301,MATCH($B1974,Vinos!$A$2:$A$301,0)),"Código no cargado"))</f>
        <v/>
      </c>
      <c r="D1974" s="14" t="n"/>
      <c r="E1974" s="14" t="n"/>
      <c r="F1974" s="18" t="n"/>
      <c r="G1974" s="18" t="n"/>
      <c r="H1974" s="21">
        <f>IF(AND($F1974="",$G1974=""),"",N($F1974)*IFERROR(N(INDEX(Vinos!$H$2:$H$301,MATCH($B1974,Vinos!$A$2:$A$301,0))),0)+N($G1974))</f>
        <v/>
      </c>
      <c r="I1974" s="18" t="n"/>
      <c r="J1974" s="21">
        <f>IF(OR($H1974="",$I1974=""),"",$H1974-$I1974)</f>
        <v/>
      </c>
      <c r="K1974" s="16">
        <f>IF($H1974="","",IFERROR(IF(INDEX(Vinos!$J$2:$J$301,MATCH($B1974,Vinos!$A$2:$A$301,0))="","",$H1974*INDEX(Vinos!$J$2:$J$301,MATCH($B1974,Vinos!$A$2:$A$301,0))),""))</f>
        <v/>
      </c>
      <c r="L1974" s="16">
        <f>IF($H1974="","",IFERROR(IF(INDEX(Vinos!$K$2:$K$301,MATCH($B1974,Vinos!$A$2:$A$301,0))="","",$H1974*INDEX(Vinos!$K$2:$K$301,MATCH($B1974,Vinos!$A$2:$A$301,0))),""))</f>
        <v/>
      </c>
      <c r="M1974" s="21">
        <f>IF(OR($A1974="",$B1974=""),"",SUMIFS($H$2:$H$2001,$A$2:$A$2001,$A1974,$B$2:$B$2001,$B1974))</f>
        <v/>
      </c>
      <c r="N1974" s="20">
        <f>IF($M1974="","",IF($M1974&lt;=0,"Sin stock: reponer ya",IF($M1974&lt;IFERROR(N(INDEX(Vinos!$N$2:$N$301,MATCH($B1974,Vinos!$A$2:$A$301,0))),0),"Bajo mínimo: reponer","OK")))</f>
        <v/>
      </c>
      <c r="O1974" s="14" t="n"/>
      <c r="P1974" s="14" t="n"/>
      <c r="Q1974" s="20">
        <f>IF($B1974="","",IFERROR(INDEX(Vinos!$C$2:$C$301,MATCH($B1974,Vinos!$A$2:$A$301,0)),""))</f>
        <v/>
      </c>
      <c r="R1974" s="20">
        <f>IF(OR($A1974="",$A1974&lt;&gt;'Resumen del inventario'!$C$3,$N1974="",$N1974="OK"),"",IF(COUNTIFS($A$2:$A1974,$A1974,$B$2:$B1974,$B1974)=1,1,""))</f>
        <v/>
      </c>
      <c r="S1974" s="20">
        <f>IF($R1974=1,COUNTIF($R$2:$R1974,1),"")</f>
        <v/>
      </c>
    </row>
    <row r="1975">
      <c r="A1975" s="19" t="n"/>
      <c r="B1975" s="14" t="n"/>
      <c r="C1975" s="20">
        <f>IF($B1975="","",IFERROR(INDEX(Vinos!$B$2:$B$301,MATCH($B1975,Vinos!$A$2:$A$301,0)),"Código no cargado"))</f>
        <v/>
      </c>
      <c r="D1975" s="14" t="n"/>
      <c r="E1975" s="14" t="n"/>
      <c r="F1975" s="18" t="n"/>
      <c r="G1975" s="18" t="n"/>
      <c r="H1975" s="21">
        <f>IF(AND($F1975="",$G1975=""),"",N($F1975)*IFERROR(N(INDEX(Vinos!$H$2:$H$301,MATCH($B1975,Vinos!$A$2:$A$301,0))),0)+N($G1975))</f>
        <v/>
      </c>
      <c r="I1975" s="18" t="n"/>
      <c r="J1975" s="21">
        <f>IF(OR($H1975="",$I1975=""),"",$H1975-$I1975)</f>
        <v/>
      </c>
      <c r="K1975" s="16">
        <f>IF($H1975="","",IFERROR(IF(INDEX(Vinos!$J$2:$J$301,MATCH($B1975,Vinos!$A$2:$A$301,0))="","",$H1975*INDEX(Vinos!$J$2:$J$301,MATCH($B1975,Vinos!$A$2:$A$301,0))),""))</f>
        <v/>
      </c>
      <c r="L1975" s="16">
        <f>IF($H1975="","",IFERROR(IF(INDEX(Vinos!$K$2:$K$301,MATCH($B1975,Vinos!$A$2:$A$301,0))="","",$H1975*INDEX(Vinos!$K$2:$K$301,MATCH($B1975,Vinos!$A$2:$A$301,0))),""))</f>
        <v/>
      </c>
      <c r="M1975" s="21">
        <f>IF(OR($A1975="",$B1975=""),"",SUMIFS($H$2:$H$2001,$A$2:$A$2001,$A1975,$B$2:$B$2001,$B1975))</f>
        <v/>
      </c>
      <c r="N1975" s="20">
        <f>IF($M1975="","",IF($M1975&lt;=0,"Sin stock: reponer ya",IF($M1975&lt;IFERROR(N(INDEX(Vinos!$N$2:$N$301,MATCH($B1975,Vinos!$A$2:$A$301,0))),0),"Bajo mínimo: reponer","OK")))</f>
        <v/>
      </c>
      <c r="O1975" s="14" t="n"/>
      <c r="P1975" s="14" t="n"/>
      <c r="Q1975" s="20">
        <f>IF($B1975="","",IFERROR(INDEX(Vinos!$C$2:$C$301,MATCH($B1975,Vinos!$A$2:$A$301,0)),""))</f>
        <v/>
      </c>
      <c r="R1975" s="20">
        <f>IF(OR($A1975="",$A1975&lt;&gt;'Resumen del inventario'!$C$3,$N1975="",$N1975="OK"),"",IF(COUNTIFS($A$2:$A1975,$A1975,$B$2:$B1975,$B1975)=1,1,""))</f>
        <v/>
      </c>
      <c r="S1975" s="20">
        <f>IF($R1975=1,COUNTIF($R$2:$R1975,1),"")</f>
        <v/>
      </c>
    </row>
    <row r="1976">
      <c r="A1976" s="19" t="n"/>
      <c r="B1976" s="14" t="n"/>
      <c r="C1976" s="20">
        <f>IF($B1976="","",IFERROR(INDEX(Vinos!$B$2:$B$301,MATCH($B1976,Vinos!$A$2:$A$301,0)),"Código no cargado"))</f>
        <v/>
      </c>
      <c r="D1976" s="14" t="n"/>
      <c r="E1976" s="14" t="n"/>
      <c r="F1976" s="18" t="n"/>
      <c r="G1976" s="18" t="n"/>
      <c r="H1976" s="21">
        <f>IF(AND($F1976="",$G1976=""),"",N($F1976)*IFERROR(N(INDEX(Vinos!$H$2:$H$301,MATCH($B1976,Vinos!$A$2:$A$301,0))),0)+N($G1976))</f>
        <v/>
      </c>
      <c r="I1976" s="18" t="n"/>
      <c r="J1976" s="21">
        <f>IF(OR($H1976="",$I1976=""),"",$H1976-$I1976)</f>
        <v/>
      </c>
      <c r="K1976" s="16">
        <f>IF($H1976="","",IFERROR(IF(INDEX(Vinos!$J$2:$J$301,MATCH($B1976,Vinos!$A$2:$A$301,0))="","",$H1976*INDEX(Vinos!$J$2:$J$301,MATCH($B1976,Vinos!$A$2:$A$301,0))),""))</f>
        <v/>
      </c>
      <c r="L1976" s="16">
        <f>IF($H1976="","",IFERROR(IF(INDEX(Vinos!$K$2:$K$301,MATCH($B1976,Vinos!$A$2:$A$301,0))="","",$H1976*INDEX(Vinos!$K$2:$K$301,MATCH($B1976,Vinos!$A$2:$A$301,0))),""))</f>
        <v/>
      </c>
      <c r="M1976" s="21">
        <f>IF(OR($A1976="",$B1976=""),"",SUMIFS($H$2:$H$2001,$A$2:$A$2001,$A1976,$B$2:$B$2001,$B1976))</f>
        <v/>
      </c>
      <c r="N1976" s="20">
        <f>IF($M1976="","",IF($M1976&lt;=0,"Sin stock: reponer ya",IF($M1976&lt;IFERROR(N(INDEX(Vinos!$N$2:$N$301,MATCH($B1976,Vinos!$A$2:$A$301,0))),0),"Bajo mínimo: reponer","OK")))</f>
        <v/>
      </c>
      <c r="O1976" s="14" t="n"/>
      <c r="P1976" s="14" t="n"/>
      <c r="Q1976" s="20">
        <f>IF($B1976="","",IFERROR(INDEX(Vinos!$C$2:$C$301,MATCH($B1976,Vinos!$A$2:$A$301,0)),""))</f>
        <v/>
      </c>
      <c r="R1976" s="20">
        <f>IF(OR($A1976="",$A1976&lt;&gt;'Resumen del inventario'!$C$3,$N1976="",$N1976="OK"),"",IF(COUNTIFS($A$2:$A1976,$A1976,$B$2:$B1976,$B1976)=1,1,""))</f>
        <v/>
      </c>
      <c r="S1976" s="20">
        <f>IF($R1976=1,COUNTIF($R$2:$R1976,1),"")</f>
        <v/>
      </c>
    </row>
    <row r="1977">
      <c r="A1977" s="19" t="n"/>
      <c r="B1977" s="14" t="n"/>
      <c r="C1977" s="20">
        <f>IF($B1977="","",IFERROR(INDEX(Vinos!$B$2:$B$301,MATCH($B1977,Vinos!$A$2:$A$301,0)),"Código no cargado"))</f>
        <v/>
      </c>
      <c r="D1977" s="14" t="n"/>
      <c r="E1977" s="14" t="n"/>
      <c r="F1977" s="18" t="n"/>
      <c r="G1977" s="18" t="n"/>
      <c r="H1977" s="21">
        <f>IF(AND($F1977="",$G1977=""),"",N($F1977)*IFERROR(N(INDEX(Vinos!$H$2:$H$301,MATCH($B1977,Vinos!$A$2:$A$301,0))),0)+N($G1977))</f>
        <v/>
      </c>
      <c r="I1977" s="18" t="n"/>
      <c r="J1977" s="21">
        <f>IF(OR($H1977="",$I1977=""),"",$H1977-$I1977)</f>
        <v/>
      </c>
      <c r="K1977" s="16">
        <f>IF($H1977="","",IFERROR(IF(INDEX(Vinos!$J$2:$J$301,MATCH($B1977,Vinos!$A$2:$A$301,0))="","",$H1977*INDEX(Vinos!$J$2:$J$301,MATCH($B1977,Vinos!$A$2:$A$301,0))),""))</f>
        <v/>
      </c>
      <c r="L1977" s="16">
        <f>IF($H1977="","",IFERROR(IF(INDEX(Vinos!$K$2:$K$301,MATCH($B1977,Vinos!$A$2:$A$301,0))="","",$H1977*INDEX(Vinos!$K$2:$K$301,MATCH($B1977,Vinos!$A$2:$A$301,0))),""))</f>
        <v/>
      </c>
      <c r="M1977" s="21">
        <f>IF(OR($A1977="",$B1977=""),"",SUMIFS($H$2:$H$2001,$A$2:$A$2001,$A1977,$B$2:$B$2001,$B1977))</f>
        <v/>
      </c>
      <c r="N1977" s="20">
        <f>IF($M1977="","",IF($M1977&lt;=0,"Sin stock: reponer ya",IF($M1977&lt;IFERROR(N(INDEX(Vinos!$N$2:$N$301,MATCH($B1977,Vinos!$A$2:$A$301,0))),0),"Bajo mínimo: reponer","OK")))</f>
        <v/>
      </c>
      <c r="O1977" s="14" t="n"/>
      <c r="P1977" s="14" t="n"/>
      <c r="Q1977" s="20">
        <f>IF($B1977="","",IFERROR(INDEX(Vinos!$C$2:$C$301,MATCH($B1977,Vinos!$A$2:$A$301,0)),""))</f>
        <v/>
      </c>
      <c r="R1977" s="20">
        <f>IF(OR($A1977="",$A1977&lt;&gt;'Resumen del inventario'!$C$3,$N1977="",$N1977="OK"),"",IF(COUNTIFS($A$2:$A1977,$A1977,$B$2:$B1977,$B1977)=1,1,""))</f>
        <v/>
      </c>
      <c r="S1977" s="20">
        <f>IF($R1977=1,COUNTIF($R$2:$R1977,1),"")</f>
        <v/>
      </c>
    </row>
    <row r="1978">
      <c r="A1978" s="19" t="n"/>
      <c r="B1978" s="14" t="n"/>
      <c r="C1978" s="20">
        <f>IF($B1978="","",IFERROR(INDEX(Vinos!$B$2:$B$301,MATCH($B1978,Vinos!$A$2:$A$301,0)),"Código no cargado"))</f>
        <v/>
      </c>
      <c r="D1978" s="14" t="n"/>
      <c r="E1978" s="14" t="n"/>
      <c r="F1978" s="18" t="n"/>
      <c r="G1978" s="18" t="n"/>
      <c r="H1978" s="21">
        <f>IF(AND($F1978="",$G1978=""),"",N($F1978)*IFERROR(N(INDEX(Vinos!$H$2:$H$301,MATCH($B1978,Vinos!$A$2:$A$301,0))),0)+N($G1978))</f>
        <v/>
      </c>
      <c r="I1978" s="18" t="n"/>
      <c r="J1978" s="21">
        <f>IF(OR($H1978="",$I1978=""),"",$H1978-$I1978)</f>
        <v/>
      </c>
      <c r="K1978" s="16">
        <f>IF($H1978="","",IFERROR(IF(INDEX(Vinos!$J$2:$J$301,MATCH($B1978,Vinos!$A$2:$A$301,0))="","",$H1978*INDEX(Vinos!$J$2:$J$301,MATCH($B1978,Vinos!$A$2:$A$301,0))),""))</f>
        <v/>
      </c>
      <c r="L1978" s="16">
        <f>IF($H1978="","",IFERROR(IF(INDEX(Vinos!$K$2:$K$301,MATCH($B1978,Vinos!$A$2:$A$301,0))="","",$H1978*INDEX(Vinos!$K$2:$K$301,MATCH($B1978,Vinos!$A$2:$A$301,0))),""))</f>
        <v/>
      </c>
      <c r="M1978" s="21">
        <f>IF(OR($A1978="",$B1978=""),"",SUMIFS($H$2:$H$2001,$A$2:$A$2001,$A1978,$B$2:$B$2001,$B1978))</f>
        <v/>
      </c>
      <c r="N1978" s="20">
        <f>IF($M1978="","",IF($M1978&lt;=0,"Sin stock: reponer ya",IF($M1978&lt;IFERROR(N(INDEX(Vinos!$N$2:$N$301,MATCH($B1978,Vinos!$A$2:$A$301,0))),0),"Bajo mínimo: reponer","OK")))</f>
        <v/>
      </c>
      <c r="O1978" s="14" t="n"/>
      <c r="P1978" s="14" t="n"/>
      <c r="Q1978" s="20">
        <f>IF($B1978="","",IFERROR(INDEX(Vinos!$C$2:$C$301,MATCH($B1978,Vinos!$A$2:$A$301,0)),""))</f>
        <v/>
      </c>
      <c r="R1978" s="20">
        <f>IF(OR($A1978="",$A1978&lt;&gt;'Resumen del inventario'!$C$3,$N1978="",$N1978="OK"),"",IF(COUNTIFS($A$2:$A1978,$A1978,$B$2:$B1978,$B1978)=1,1,""))</f>
        <v/>
      </c>
      <c r="S1978" s="20">
        <f>IF($R1978=1,COUNTIF($R$2:$R1978,1),"")</f>
        <v/>
      </c>
    </row>
    <row r="1979">
      <c r="A1979" s="19" t="n"/>
      <c r="B1979" s="14" t="n"/>
      <c r="C1979" s="20">
        <f>IF($B1979="","",IFERROR(INDEX(Vinos!$B$2:$B$301,MATCH($B1979,Vinos!$A$2:$A$301,0)),"Código no cargado"))</f>
        <v/>
      </c>
      <c r="D1979" s="14" t="n"/>
      <c r="E1979" s="14" t="n"/>
      <c r="F1979" s="18" t="n"/>
      <c r="G1979" s="18" t="n"/>
      <c r="H1979" s="21">
        <f>IF(AND($F1979="",$G1979=""),"",N($F1979)*IFERROR(N(INDEX(Vinos!$H$2:$H$301,MATCH($B1979,Vinos!$A$2:$A$301,0))),0)+N($G1979))</f>
        <v/>
      </c>
      <c r="I1979" s="18" t="n"/>
      <c r="J1979" s="21">
        <f>IF(OR($H1979="",$I1979=""),"",$H1979-$I1979)</f>
        <v/>
      </c>
      <c r="K1979" s="16">
        <f>IF($H1979="","",IFERROR(IF(INDEX(Vinos!$J$2:$J$301,MATCH($B1979,Vinos!$A$2:$A$301,0))="","",$H1979*INDEX(Vinos!$J$2:$J$301,MATCH($B1979,Vinos!$A$2:$A$301,0))),""))</f>
        <v/>
      </c>
      <c r="L1979" s="16">
        <f>IF($H1979="","",IFERROR(IF(INDEX(Vinos!$K$2:$K$301,MATCH($B1979,Vinos!$A$2:$A$301,0))="","",$H1979*INDEX(Vinos!$K$2:$K$301,MATCH($B1979,Vinos!$A$2:$A$301,0))),""))</f>
        <v/>
      </c>
      <c r="M1979" s="21">
        <f>IF(OR($A1979="",$B1979=""),"",SUMIFS($H$2:$H$2001,$A$2:$A$2001,$A1979,$B$2:$B$2001,$B1979))</f>
        <v/>
      </c>
      <c r="N1979" s="20">
        <f>IF($M1979="","",IF($M1979&lt;=0,"Sin stock: reponer ya",IF($M1979&lt;IFERROR(N(INDEX(Vinos!$N$2:$N$301,MATCH($B1979,Vinos!$A$2:$A$301,0))),0),"Bajo mínimo: reponer","OK")))</f>
        <v/>
      </c>
      <c r="O1979" s="14" t="n"/>
      <c r="P1979" s="14" t="n"/>
      <c r="Q1979" s="20">
        <f>IF($B1979="","",IFERROR(INDEX(Vinos!$C$2:$C$301,MATCH($B1979,Vinos!$A$2:$A$301,0)),""))</f>
        <v/>
      </c>
      <c r="R1979" s="20">
        <f>IF(OR($A1979="",$A1979&lt;&gt;'Resumen del inventario'!$C$3,$N1979="",$N1979="OK"),"",IF(COUNTIFS($A$2:$A1979,$A1979,$B$2:$B1979,$B1979)=1,1,""))</f>
        <v/>
      </c>
      <c r="S1979" s="20">
        <f>IF($R1979=1,COUNTIF($R$2:$R1979,1),"")</f>
        <v/>
      </c>
    </row>
    <row r="1980">
      <c r="A1980" s="19" t="n"/>
      <c r="B1980" s="14" t="n"/>
      <c r="C1980" s="20">
        <f>IF($B1980="","",IFERROR(INDEX(Vinos!$B$2:$B$301,MATCH($B1980,Vinos!$A$2:$A$301,0)),"Código no cargado"))</f>
        <v/>
      </c>
      <c r="D1980" s="14" t="n"/>
      <c r="E1980" s="14" t="n"/>
      <c r="F1980" s="18" t="n"/>
      <c r="G1980" s="18" t="n"/>
      <c r="H1980" s="21">
        <f>IF(AND($F1980="",$G1980=""),"",N($F1980)*IFERROR(N(INDEX(Vinos!$H$2:$H$301,MATCH($B1980,Vinos!$A$2:$A$301,0))),0)+N($G1980))</f>
        <v/>
      </c>
      <c r="I1980" s="18" t="n"/>
      <c r="J1980" s="21">
        <f>IF(OR($H1980="",$I1980=""),"",$H1980-$I1980)</f>
        <v/>
      </c>
      <c r="K1980" s="16">
        <f>IF($H1980="","",IFERROR(IF(INDEX(Vinos!$J$2:$J$301,MATCH($B1980,Vinos!$A$2:$A$301,0))="","",$H1980*INDEX(Vinos!$J$2:$J$301,MATCH($B1980,Vinos!$A$2:$A$301,0))),""))</f>
        <v/>
      </c>
      <c r="L1980" s="16">
        <f>IF($H1980="","",IFERROR(IF(INDEX(Vinos!$K$2:$K$301,MATCH($B1980,Vinos!$A$2:$A$301,0))="","",$H1980*INDEX(Vinos!$K$2:$K$301,MATCH($B1980,Vinos!$A$2:$A$301,0))),""))</f>
        <v/>
      </c>
      <c r="M1980" s="21">
        <f>IF(OR($A1980="",$B1980=""),"",SUMIFS($H$2:$H$2001,$A$2:$A$2001,$A1980,$B$2:$B$2001,$B1980))</f>
        <v/>
      </c>
      <c r="N1980" s="20">
        <f>IF($M1980="","",IF($M1980&lt;=0,"Sin stock: reponer ya",IF($M1980&lt;IFERROR(N(INDEX(Vinos!$N$2:$N$301,MATCH($B1980,Vinos!$A$2:$A$301,0))),0),"Bajo mínimo: reponer","OK")))</f>
        <v/>
      </c>
      <c r="O1980" s="14" t="n"/>
      <c r="P1980" s="14" t="n"/>
      <c r="Q1980" s="20">
        <f>IF($B1980="","",IFERROR(INDEX(Vinos!$C$2:$C$301,MATCH($B1980,Vinos!$A$2:$A$301,0)),""))</f>
        <v/>
      </c>
      <c r="R1980" s="20">
        <f>IF(OR($A1980="",$A1980&lt;&gt;'Resumen del inventario'!$C$3,$N1980="",$N1980="OK"),"",IF(COUNTIFS($A$2:$A1980,$A1980,$B$2:$B1980,$B1980)=1,1,""))</f>
        <v/>
      </c>
      <c r="S1980" s="20">
        <f>IF($R1980=1,COUNTIF($R$2:$R1980,1),"")</f>
        <v/>
      </c>
    </row>
    <row r="1981">
      <c r="A1981" s="19" t="n"/>
      <c r="B1981" s="14" t="n"/>
      <c r="C1981" s="20">
        <f>IF($B1981="","",IFERROR(INDEX(Vinos!$B$2:$B$301,MATCH($B1981,Vinos!$A$2:$A$301,0)),"Código no cargado"))</f>
        <v/>
      </c>
      <c r="D1981" s="14" t="n"/>
      <c r="E1981" s="14" t="n"/>
      <c r="F1981" s="18" t="n"/>
      <c r="G1981" s="18" t="n"/>
      <c r="H1981" s="21">
        <f>IF(AND($F1981="",$G1981=""),"",N($F1981)*IFERROR(N(INDEX(Vinos!$H$2:$H$301,MATCH($B1981,Vinos!$A$2:$A$301,0))),0)+N($G1981))</f>
        <v/>
      </c>
      <c r="I1981" s="18" t="n"/>
      <c r="J1981" s="21">
        <f>IF(OR($H1981="",$I1981=""),"",$H1981-$I1981)</f>
        <v/>
      </c>
      <c r="K1981" s="16">
        <f>IF($H1981="","",IFERROR(IF(INDEX(Vinos!$J$2:$J$301,MATCH($B1981,Vinos!$A$2:$A$301,0))="","",$H1981*INDEX(Vinos!$J$2:$J$301,MATCH($B1981,Vinos!$A$2:$A$301,0))),""))</f>
        <v/>
      </c>
      <c r="L1981" s="16">
        <f>IF($H1981="","",IFERROR(IF(INDEX(Vinos!$K$2:$K$301,MATCH($B1981,Vinos!$A$2:$A$301,0))="","",$H1981*INDEX(Vinos!$K$2:$K$301,MATCH($B1981,Vinos!$A$2:$A$301,0))),""))</f>
        <v/>
      </c>
      <c r="M1981" s="21">
        <f>IF(OR($A1981="",$B1981=""),"",SUMIFS($H$2:$H$2001,$A$2:$A$2001,$A1981,$B$2:$B$2001,$B1981))</f>
        <v/>
      </c>
      <c r="N1981" s="20">
        <f>IF($M1981="","",IF($M1981&lt;=0,"Sin stock: reponer ya",IF($M1981&lt;IFERROR(N(INDEX(Vinos!$N$2:$N$301,MATCH($B1981,Vinos!$A$2:$A$301,0))),0),"Bajo mínimo: reponer","OK")))</f>
        <v/>
      </c>
      <c r="O1981" s="14" t="n"/>
      <c r="P1981" s="14" t="n"/>
      <c r="Q1981" s="20">
        <f>IF($B1981="","",IFERROR(INDEX(Vinos!$C$2:$C$301,MATCH($B1981,Vinos!$A$2:$A$301,0)),""))</f>
        <v/>
      </c>
      <c r="R1981" s="20">
        <f>IF(OR($A1981="",$A1981&lt;&gt;'Resumen del inventario'!$C$3,$N1981="",$N1981="OK"),"",IF(COUNTIFS($A$2:$A1981,$A1981,$B$2:$B1981,$B1981)=1,1,""))</f>
        <v/>
      </c>
      <c r="S1981" s="20">
        <f>IF($R1981=1,COUNTIF($R$2:$R1981,1),"")</f>
        <v/>
      </c>
    </row>
    <row r="1982">
      <c r="A1982" s="19" t="n"/>
      <c r="B1982" s="14" t="n"/>
      <c r="C1982" s="20">
        <f>IF($B1982="","",IFERROR(INDEX(Vinos!$B$2:$B$301,MATCH($B1982,Vinos!$A$2:$A$301,0)),"Código no cargado"))</f>
        <v/>
      </c>
      <c r="D1982" s="14" t="n"/>
      <c r="E1982" s="14" t="n"/>
      <c r="F1982" s="18" t="n"/>
      <c r="G1982" s="18" t="n"/>
      <c r="H1982" s="21">
        <f>IF(AND($F1982="",$G1982=""),"",N($F1982)*IFERROR(N(INDEX(Vinos!$H$2:$H$301,MATCH($B1982,Vinos!$A$2:$A$301,0))),0)+N($G1982))</f>
        <v/>
      </c>
      <c r="I1982" s="18" t="n"/>
      <c r="J1982" s="21">
        <f>IF(OR($H1982="",$I1982=""),"",$H1982-$I1982)</f>
        <v/>
      </c>
      <c r="K1982" s="16">
        <f>IF($H1982="","",IFERROR(IF(INDEX(Vinos!$J$2:$J$301,MATCH($B1982,Vinos!$A$2:$A$301,0))="","",$H1982*INDEX(Vinos!$J$2:$J$301,MATCH($B1982,Vinos!$A$2:$A$301,0))),""))</f>
        <v/>
      </c>
      <c r="L1982" s="16">
        <f>IF($H1982="","",IFERROR(IF(INDEX(Vinos!$K$2:$K$301,MATCH($B1982,Vinos!$A$2:$A$301,0))="","",$H1982*INDEX(Vinos!$K$2:$K$301,MATCH($B1982,Vinos!$A$2:$A$301,0))),""))</f>
        <v/>
      </c>
      <c r="M1982" s="21">
        <f>IF(OR($A1982="",$B1982=""),"",SUMIFS($H$2:$H$2001,$A$2:$A$2001,$A1982,$B$2:$B$2001,$B1982))</f>
        <v/>
      </c>
      <c r="N1982" s="20">
        <f>IF($M1982="","",IF($M1982&lt;=0,"Sin stock: reponer ya",IF($M1982&lt;IFERROR(N(INDEX(Vinos!$N$2:$N$301,MATCH($B1982,Vinos!$A$2:$A$301,0))),0),"Bajo mínimo: reponer","OK")))</f>
        <v/>
      </c>
      <c r="O1982" s="14" t="n"/>
      <c r="P1982" s="14" t="n"/>
      <c r="Q1982" s="20">
        <f>IF($B1982="","",IFERROR(INDEX(Vinos!$C$2:$C$301,MATCH($B1982,Vinos!$A$2:$A$301,0)),""))</f>
        <v/>
      </c>
      <c r="R1982" s="20">
        <f>IF(OR($A1982="",$A1982&lt;&gt;'Resumen del inventario'!$C$3,$N1982="",$N1982="OK"),"",IF(COUNTIFS($A$2:$A1982,$A1982,$B$2:$B1982,$B1982)=1,1,""))</f>
        <v/>
      </c>
      <c r="S1982" s="20">
        <f>IF($R1982=1,COUNTIF($R$2:$R1982,1),"")</f>
        <v/>
      </c>
    </row>
    <row r="1983">
      <c r="A1983" s="19" t="n"/>
      <c r="B1983" s="14" t="n"/>
      <c r="C1983" s="20">
        <f>IF($B1983="","",IFERROR(INDEX(Vinos!$B$2:$B$301,MATCH($B1983,Vinos!$A$2:$A$301,0)),"Código no cargado"))</f>
        <v/>
      </c>
      <c r="D1983" s="14" t="n"/>
      <c r="E1983" s="14" t="n"/>
      <c r="F1983" s="18" t="n"/>
      <c r="G1983" s="18" t="n"/>
      <c r="H1983" s="21">
        <f>IF(AND($F1983="",$G1983=""),"",N($F1983)*IFERROR(N(INDEX(Vinos!$H$2:$H$301,MATCH($B1983,Vinos!$A$2:$A$301,0))),0)+N($G1983))</f>
        <v/>
      </c>
      <c r="I1983" s="18" t="n"/>
      <c r="J1983" s="21">
        <f>IF(OR($H1983="",$I1983=""),"",$H1983-$I1983)</f>
        <v/>
      </c>
      <c r="K1983" s="16">
        <f>IF($H1983="","",IFERROR(IF(INDEX(Vinos!$J$2:$J$301,MATCH($B1983,Vinos!$A$2:$A$301,0))="","",$H1983*INDEX(Vinos!$J$2:$J$301,MATCH($B1983,Vinos!$A$2:$A$301,0))),""))</f>
        <v/>
      </c>
      <c r="L1983" s="16">
        <f>IF($H1983="","",IFERROR(IF(INDEX(Vinos!$K$2:$K$301,MATCH($B1983,Vinos!$A$2:$A$301,0))="","",$H1983*INDEX(Vinos!$K$2:$K$301,MATCH($B1983,Vinos!$A$2:$A$301,0))),""))</f>
        <v/>
      </c>
      <c r="M1983" s="21">
        <f>IF(OR($A1983="",$B1983=""),"",SUMIFS($H$2:$H$2001,$A$2:$A$2001,$A1983,$B$2:$B$2001,$B1983))</f>
        <v/>
      </c>
      <c r="N1983" s="20">
        <f>IF($M1983="","",IF($M1983&lt;=0,"Sin stock: reponer ya",IF($M1983&lt;IFERROR(N(INDEX(Vinos!$N$2:$N$301,MATCH($B1983,Vinos!$A$2:$A$301,0))),0),"Bajo mínimo: reponer","OK")))</f>
        <v/>
      </c>
      <c r="O1983" s="14" t="n"/>
      <c r="P1983" s="14" t="n"/>
      <c r="Q1983" s="20">
        <f>IF($B1983="","",IFERROR(INDEX(Vinos!$C$2:$C$301,MATCH($B1983,Vinos!$A$2:$A$301,0)),""))</f>
        <v/>
      </c>
      <c r="R1983" s="20">
        <f>IF(OR($A1983="",$A1983&lt;&gt;'Resumen del inventario'!$C$3,$N1983="",$N1983="OK"),"",IF(COUNTIFS($A$2:$A1983,$A1983,$B$2:$B1983,$B1983)=1,1,""))</f>
        <v/>
      </c>
      <c r="S1983" s="20">
        <f>IF($R1983=1,COUNTIF($R$2:$R1983,1),"")</f>
        <v/>
      </c>
    </row>
    <row r="1984">
      <c r="A1984" s="19" t="n"/>
      <c r="B1984" s="14" t="n"/>
      <c r="C1984" s="20">
        <f>IF($B1984="","",IFERROR(INDEX(Vinos!$B$2:$B$301,MATCH($B1984,Vinos!$A$2:$A$301,0)),"Código no cargado"))</f>
        <v/>
      </c>
      <c r="D1984" s="14" t="n"/>
      <c r="E1984" s="14" t="n"/>
      <c r="F1984" s="18" t="n"/>
      <c r="G1984" s="18" t="n"/>
      <c r="H1984" s="21">
        <f>IF(AND($F1984="",$G1984=""),"",N($F1984)*IFERROR(N(INDEX(Vinos!$H$2:$H$301,MATCH($B1984,Vinos!$A$2:$A$301,0))),0)+N($G1984))</f>
        <v/>
      </c>
      <c r="I1984" s="18" t="n"/>
      <c r="J1984" s="21">
        <f>IF(OR($H1984="",$I1984=""),"",$H1984-$I1984)</f>
        <v/>
      </c>
      <c r="K1984" s="16">
        <f>IF($H1984="","",IFERROR(IF(INDEX(Vinos!$J$2:$J$301,MATCH($B1984,Vinos!$A$2:$A$301,0))="","",$H1984*INDEX(Vinos!$J$2:$J$301,MATCH($B1984,Vinos!$A$2:$A$301,0))),""))</f>
        <v/>
      </c>
      <c r="L1984" s="16">
        <f>IF($H1984="","",IFERROR(IF(INDEX(Vinos!$K$2:$K$301,MATCH($B1984,Vinos!$A$2:$A$301,0))="","",$H1984*INDEX(Vinos!$K$2:$K$301,MATCH($B1984,Vinos!$A$2:$A$301,0))),""))</f>
        <v/>
      </c>
      <c r="M1984" s="21">
        <f>IF(OR($A1984="",$B1984=""),"",SUMIFS($H$2:$H$2001,$A$2:$A$2001,$A1984,$B$2:$B$2001,$B1984))</f>
        <v/>
      </c>
      <c r="N1984" s="20">
        <f>IF($M1984="","",IF($M1984&lt;=0,"Sin stock: reponer ya",IF($M1984&lt;IFERROR(N(INDEX(Vinos!$N$2:$N$301,MATCH($B1984,Vinos!$A$2:$A$301,0))),0),"Bajo mínimo: reponer","OK")))</f>
        <v/>
      </c>
      <c r="O1984" s="14" t="n"/>
      <c r="P1984" s="14" t="n"/>
      <c r="Q1984" s="20">
        <f>IF($B1984="","",IFERROR(INDEX(Vinos!$C$2:$C$301,MATCH($B1984,Vinos!$A$2:$A$301,0)),""))</f>
        <v/>
      </c>
      <c r="R1984" s="20">
        <f>IF(OR($A1984="",$A1984&lt;&gt;'Resumen del inventario'!$C$3,$N1984="",$N1984="OK"),"",IF(COUNTIFS($A$2:$A1984,$A1984,$B$2:$B1984,$B1984)=1,1,""))</f>
        <v/>
      </c>
      <c r="S1984" s="20">
        <f>IF($R1984=1,COUNTIF($R$2:$R1984,1),"")</f>
        <v/>
      </c>
    </row>
    <row r="1985">
      <c r="A1985" s="19" t="n"/>
      <c r="B1985" s="14" t="n"/>
      <c r="C1985" s="20">
        <f>IF($B1985="","",IFERROR(INDEX(Vinos!$B$2:$B$301,MATCH($B1985,Vinos!$A$2:$A$301,0)),"Código no cargado"))</f>
        <v/>
      </c>
      <c r="D1985" s="14" t="n"/>
      <c r="E1985" s="14" t="n"/>
      <c r="F1985" s="18" t="n"/>
      <c r="G1985" s="18" t="n"/>
      <c r="H1985" s="21">
        <f>IF(AND($F1985="",$G1985=""),"",N($F1985)*IFERROR(N(INDEX(Vinos!$H$2:$H$301,MATCH($B1985,Vinos!$A$2:$A$301,0))),0)+N($G1985))</f>
        <v/>
      </c>
      <c r="I1985" s="18" t="n"/>
      <c r="J1985" s="21">
        <f>IF(OR($H1985="",$I1985=""),"",$H1985-$I1985)</f>
        <v/>
      </c>
      <c r="K1985" s="16">
        <f>IF($H1985="","",IFERROR(IF(INDEX(Vinos!$J$2:$J$301,MATCH($B1985,Vinos!$A$2:$A$301,0))="","",$H1985*INDEX(Vinos!$J$2:$J$301,MATCH($B1985,Vinos!$A$2:$A$301,0))),""))</f>
        <v/>
      </c>
      <c r="L1985" s="16">
        <f>IF($H1985="","",IFERROR(IF(INDEX(Vinos!$K$2:$K$301,MATCH($B1985,Vinos!$A$2:$A$301,0))="","",$H1985*INDEX(Vinos!$K$2:$K$301,MATCH($B1985,Vinos!$A$2:$A$301,0))),""))</f>
        <v/>
      </c>
      <c r="M1985" s="21">
        <f>IF(OR($A1985="",$B1985=""),"",SUMIFS($H$2:$H$2001,$A$2:$A$2001,$A1985,$B$2:$B$2001,$B1985))</f>
        <v/>
      </c>
      <c r="N1985" s="20">
        <f>IF($M1985="","",IF($M1985&lt;=0,"Sin stock: reponer ya",IF($M1985&lt;IFERROR(N(INDEX(Vinos!$N$2:$N$301,MATCH($B1985,Vinos!$A$2:$A$301,0))),0),"Bajo mínimo: reponer","OK")))</f>
        <v/>
      </c>
      <c r="O1985" s="14" t="n"/>
      <c r="P1985" s="14" t="n"/>
      <c r="Q1985" s="20">
        <f>IF($B1985="","",IFERROR(INDEX(Vinos!$C$2:$C$301,MATCH($B1985,Vinos!$A$2:$A$301,0)),""))</f>
        <v/>
      </c>
      <c r="R1985" s="20">
        <f>IF(OR($A1985="",$A1985&lt;&gt;'Resumen del inventario'!$C$3,$N1985="",$N1985="OK"),"",IF(COUNTIFS($A$2:$A1985,$A1985,$B$2:$B1985,$B1985)=1,1,""))</f>
        <v/>
      </c>
      <c r="S1985" s="20">
        <f>IF($R1985=1,COUNTIF($R$2:$R1985,1),"")</f>
        <v/>
      </c>
    </row>
    <row r="1986">
      <c r="A1986" s="19" t="n"/>
      <c r="B1986" s="14" t="n"/>
      <c r="C1986" s="20">
        <f>IF($B1986="","",IFERROR(INDEX(Vinos!$B$2:$B$301,MATCH($B1986,Vinos!$A$2:$A$301,0)),"Código no cargado"))</f>
        <v/>
      </c>
      <c r="D1986" s="14" t="n"/>
      <c r="E1986" s="14" t="n"/>
      <c r="F1986" s="18" t="n"/>
      <c r="G1986" s="18" t="n"/>
      <c r="H1986" s="21">
        <f>IF(AND($F1986="",$G1986=""),"",N($F1986)*IFERROR(N(INDEX(Vinos!$H$2:$H$301,MATCH($B1986,Vinos!$A$2:$A$301,0))),0)+N($G1986))</f>
        <v/>
      </c>
      <c r="I1986" s="18" t="n"/>
      <c r="J1986" s="21">
        <f>IF(OR($H1986="",$I1986=""),"",$H1986-$I1986)</f>
        <v/>
      </c>
      <c r="K1986" s="16">
        <f>IF($H1986="","",IFERROR(IF(INDEX(Vinos!$J$2:$J$301,MATCH($B1986,Vinos!$A$2:$A$301,0))="","",$H1986*INDEX(Vinos!$J$2:$J$301,MATCH($B1986,Vinos!$A$2:$A$301,0))),""))</f>
        <v/>
      </c>
      <c r="L1986" s="16">
        <f>IF($H1986="","",IFERROR(IF(INDEX(Vinos!$K$2:$K$301,MATCH($B1986,Vinos!$A$2:$A$301,0))="","",$H1986*INDEX(Vinos!$K$2:$K$301,MATCH($B1986,Vinos!$A$2:$A$301,0))),""))</f>
        <v/>
      </c>
      <c r="M1986" s="21">
        <f>IF(OR($A1986="",$B1986=""),"",SUMIFS($H$2:$H$2001,$A$2:$A$2001,$A1986,$B$2:$B$2001,$B1986))</f>
        <v/>
      </c>
      <c r="N1986" s="20">
        <f>IF($M1986="","",IF($M1986&lt;=0,"Sin stock: reponer ya",IF($M1986&lt;IFERROR(N(INDEX(Vinos!$N$2:$N$301,MATCH($B1986,Vinos!$A$2:$A$301,0))),0),"Bajo mínimo: reponer","OK")))</f>
        <v/>
      </c>
      <c r="O1986" s="14" t="n"/>
      <c r="P1986" s="14" t="n"/>
      <c r="Q1986" s="20">
        <f>IF($B1986="","",IFERROR(INDEX(Vinos!$C$2:$C$301,MATCH($B1986,Vinos!$A$2:$A$301,0)),""))</f>
        <v/>
      </c>
      <c r="R1986" s="20">
        <f>IF(OR($A1986="",$A1986&lt;&gt;'Resumen del inventario'!$C$3,$N1986="",$N1986="OK"),"",IF(COUNTIFS($A$2:$A1986,$A1986,$B$2:$B1986,$B1986)=1,1,""))</f>
        <v/>
      </c>
      <c r="S1986" s="20">
        <f>IF($R1986=1,COUNTIF($R$2:$R1986,1),"")</f>
        <v/>
      </c>
    </row>
    <row r="1987">
      <c r="A1987" s="19" t="n"/>
      <c r="B1987" s="14" t="n"/>
      <c r="C1987" s="20">
        <f>IF($B1987="","",IFERROR(INDEX(Vinos!$B$2:$B$301,MATCH($B1987,Vinos!$A$2:$A$301,0)),"Código no cargado"))</f>
        <v/>
      </c>
      <c r="D1987" s="14" t="n"/>
      <c r="E1987" s="14" t="n"/>
      <c r="F1987" s="18" t="n"/>
      <c r="G1987" s="18" t="n"/>
      <c r="H1987" s="21">
        <f>IF(AND($F1987="",$G1987=""),"",N($F1987)*IFERROR(N(INDEX(Vinos!$H$2:$H$301,MATCH($B1987,Vinos!$A$2:$A$301,0))),0)+N($G1987))</f>
        <v/>
      </c>
      <c r="I1987" s="18" t="n"/>
      <c r="J1987" s="21">
        <f>IF(OR($H1987="",$I1987=""),"",$H1987-$I1987)</f>
        <v/>
      </c>
      <c r="K1987" s="16">
        <f>IF($H1987="","",IFERROR(IF(INDEX(Vinos!$J$2:$J$301,MATCH($B1987,Vinos!$A$2:$A$301,0))="","",$H1987*INDEX(Vinos!$J$2:$J$301,MATCH($B1987,Vinos!$A$2:$A$301,0))),""))</f>
        <v/>
      </c>
      <c r="L1987" s="16">
        <f>IF($H1987="","",IFERROR(IF(INDEX(Vinos!$K$2:$K$301,MATCH($B1987,Vinos!$A$2:$A$301,0))="","",$H1987*INDEX(Vinos!$K$2:$K$301,MATCH($B1987,Vinos!$A$2:$A$301,0))),""))</f>
        <v/>
      </c>
      <c r="M1987" s="21">
        <f>IF(OR($A1987="",$B1987=""),"",SUMIFS($H$2:$H$2001,$A$2:$A$2001,$A1987,$B$2:$B$2001,$B1987))</f>
        <v/>
      </c>
      <c r="N1987" s="20">
        <f>IF($M1987="","",IF($M1987&lt;=0,"Sin stock: reponer ya",IF($M1987&lt;IFERROR(N(INDEX(Vinos!$N$2:$N$301,MATCH($B1987,Vinos!$A$2:$A$301,0))),0),"Bajo mínimo: reponer","OK")))</f>
        <v/>
      </c>
      <c r="O1987" s="14" t="n"/>
      <c r="P1987" s="14" t="n"/>
      <c r="Q1987" s="20">
        <f>IF($B1987="","",IFERROR(INDEX(Vinos!$C$2:$C$301,MATCH($B1987,Vinos!$A$2:$A$301,0)),""))</f>
        <v/>
      </c>
      <c r="R1987" s="20">
        <f>IF(OR($A1987="",$A1987&lt;&gt;'Resumen del inventario'!$C$3,$N1987="",$N1987="OK"),"",IF(COUNTIFS($A$2:$A1987,$A1987,$B$2:$B1987,$B1987)=1,1,""))</f>
        <v/>
      </c>
      <c r="S1987" s="20">
        <f>IF($R1987=1,COUNTIF($R$2:$R1987,1),"")</f>
        <v/>
      </c>
    </row>
    <row r="1988">
      <c r="A1988" s="19" t="n"/>
      <c r="B1988" s="14" t="n"/>
      <c r="C1988" s="20">
        <f>IF($B1988="","",IFERROR(INDEX(Vinos!$B$2:$B$301,MATCH($B1988,Vinos!$A$2:$A$301,0)),"Código no cargado"))</f>
        <v/>
      </c>
      <c r="D1988" s="14" t="n"/>
      <c r="E1988" s="14" t="n"/>
      <c r="F1988" s="18" t="n"/>
      <c r="G1988" s="18" t="n"/>
      <c r="H1988" s="21">
        <f>IF(AND($F1988="",$G1988=""),"",N($F1988)*IFERROR(N(INDEX(Vinos!$H$2:$H$301,MATCH($B1988,Vinos!$A$2:$A$301,0))),0)+N($G1988))</f>
        <v/>
      </c>
      <c r="I1988" s="18" t="n"/>
      <c r="J1988" s="21">
        <f>IF(OR($H1988="",$I1988=""),"",$H1988-$I1988)</f>
        <v/>
      </c>
      <c r="K1988" s="16">
        <f>IF($H1988="","",IFERROR(IF(INDEX(Vinos!$J$2:$J$301,MATCH($B1988,Vinos!$A$2:$A$301,0))="","",$H1988*INDEX(Vinos!$J$2:$J$301,MATCH($B1988,Vinos!$A$2:$A$301,0))),""))</f>
        <v/>
      </c>
      <c r="L1988" s="16">
        <f>IF($H1988="","",IFERROR(IF(INDEX(Vinos!$K$2:$K$301,MATCH($B1988,Vinos!$A$2:$A$301,0))="","",$H1988*INDEX(Vinos!$K$2:$K$301,MATCH($B1988,Vinos!$A$2:$A$301,0))),""))</f>
        <v/>
      </c>
      <c r="M1988" s="21">
        <f>IF(OR($A1988="",$B1988=""),"",SUMIFS($H$2:$H$2001,$A$2:$A$2001,$A1988,$B$2:$B$2001,$B1988))</f>
        <v/>
      </c>
      <c r="N1988" s="20">
        <f>IF($M1988="","",IF($M1988&lt;=0,"Sin stock: reponer ya",IF($M1988&lt;IFERROR(N(INDEX(Vinos!$N$2:$N$301,MATCH($B1988,Vinos!$A$2:$A$301,0))),0),"Bajo mínimo: reponer","OK")))</f>
        <v/>
      </c>
      <c r="O1988" s="14" t="n"/>
      <c r="P1988" s="14" t="n"/>
      <c r="Q1988" s="20">
        <f>IF($B1988="","",IFERROR(INDEX(Vinos!$C$2:$C$301,MATCH($B1988,Vinos!$A$2:$A$301,0)),""))</f>
        <v/>
      </c>
      <c r="R1988" s="20">
        <f>IF(OR($A1988="",$A1988&lt;&gt;'Resumen del inventario'!$C$3,$N1988="",$N1988="OK"),"",IF(COUNTIFS($A$2:$A1988,$A1988,$B$2:$B1988,$B1988)=1,1,""))</f>
        <v/>
      </c>
      <c r="S1988" s="20">
        <f>IF($R1988=1,COUNTIF($R$2:$R1988,1),"")</f>
        <v/>
      </c>
    </row>
    <row r="1989">
      <c r="A1989" s="19" t="n"/>
      <c r="B1989" s="14" t="n"/>
      <c r="C1989" s="20">
        <f>IF($B1989="","",IFERROR(INDEX(Vinos!$B$2:$B$301,MATCH($B1989,Vinos!$A$2:$A$301,0)),"Código no cargado"))</f>
        <v/>
      </c>
      <c r="D1989" s="14" t="n"/>
      <c r="E1989" s="14" t="n"/>
      <c r="F1989" s="18" t="n"/>
      <c r="G1989" s="18" t="n"/>
      <c r="H1989" s="21">
        <f>IF(AND($F1989="",$G1989=""),"",N($F1989)*IFERROR(N(INDEX(Vinos!$H$2:$H$301,MATCH($B1989,Vinos!$A$2:$A$301,0))),0)+N($G1989))</f>
        <v/>
      </c>
      <c r="I1989" s="18" t="n"/>
      <c r="J1989" s="21">
        <f>IF(OR($H1989="",$I1989=""),"",$H1989-$I1989)</f>
        <v/>
      </c>
      <c r="K1989" s="16">
        <f>IF($H1989="","",IFERROR(IF(INDEX(Vinos!$J$2:$J$301,MATCH($B1989,Vinos!$A$2:$A$301,0))="","",$H1989*INDEX(Vinos!$J$2:$J$301,MATCH($B1989,Vinos!$A$2:$A$301,0))),""))</f>
        <v/>
      </c>
      <c r="L1989" s="16">
        <f>IF($H1989="","",IFERROR(IF(INDEX(Vinos!$K$2:$K$301,MATCH($B1989,Vinos!$A$2:$A$301,0))="","",$H1989*INDEX(Vinos!$K$2:$K$301,MATCH($B1989,Vinos!$A$2:$A$301,0))),""))</f>
        <v/>
      </c>
      <c r="M1989" s="21">
        <f>IF(OR($A1989="",$B1989=""),"",SUMIFS($H$2:$H$2001,$A$2:$A$2001,$A1989,$B$2:$B$2001,$B1989))</f>
        <v/>
      </c>
      <c r="N1989" s="20">
        <f>IF($M1989="","",IF($M1989&lt;=0,"Sin stock: reponer ya",IF($M1989&lt;IFERROR(N(INDEX(Vinos!$N$2:$N$301,MATCH($B1989,Vinos!$A$2:$A$301,0))),0),"Bajo mínimo: reponer","OK")))</f>
        <v/>
      </c>
      <c r="O1989" s="14" t="n"/>
      <c r="P1989" s="14" t="n"/>
      <c r="Q1989" s="20">
        <f>IF($B1989="","",IFERROR(INDEX(Vinos!$C$2:$C$301,MATCH($B1989,Vinos!$A$2:$A$301,0)),""))</f>
        <v/>
      </c>
      <c r="R1989" s="20">
        <f>IF(OR($A1989="",$A1989&lt;&gt;'Resumen del inventario'!$C$3,$N1989="",$N1989="OK"),"",IF(COUNTIFS($A$2:$A1989,$A1989,$B$2:$B1989,$B1989)=1,1,""))</f>
        <v/>
      </c>
      <c r="S1989" s="20">
        <f>IF($R1989=1,COUNTIF($R$2:$R1989,1),"")</f>
        <v/>
      </c>
    </row>
    <row r="1990">
      <c r="A1990" s="19" t="n"/>
      <c r="B1990" s="14" t="n"/>
      <c r="C1990" s="20">
        <f>IF($B1990="","",IFERROR(INDEX(Vinos!$B$2:$B$301,MATCH($B1990,Vinos!$A$2:$A$301,0)),"Código no cargado"))</f>
        <v/>
      </c>
      <c r="D1990" s="14" t="n"/>
      <c r="E1990" s="14" t="n"/>
      <c r="F1990" s="18" t="n"/>
      <c r="G1990" s="18" t="n"/>
      <c r="H1990" s="21">
        <f>IF(AND($F1990="",$G1990=""),"",N($F1990)*IFERROR(N(INDEX(Vinos!$H$2:$H$301,MATCH($B1990,Vinos!$A$2:$A$301,0))),0)+N($G1990))</f>
        <v/>
      </c>
      <c r="I1990" s="18" t="n"/>
      <c r="J1990" s="21">
        <f>IF(OR($H1990="",$I1990=""),"",$H1990-$I1990)</f>
        <v/>
      </c>
      <c r="K1990" s="16">
        <f>IF($H1990="","",IFERROR(IF(INDEX(Vinos!$J$2:$J$301,MATCH($B1990,Vinos!$A$2:$A$301,0))="","",$H1990*INDEX(Vinos!$J$2:$J$301,MATCH($B1990,Vinos!$A$2:$A$301,0))),""))</f>
        <v/>
      </c>
      <c r="L1990" s="16">
        <f>IF($H1990="","",IFERROR(IF(INDEX(Vinos!$K$2:$K$301,MATCH($B1990,Vinos!$A$2:$A$301,0))="","",$H1990*INDEX(Vinos!$K$2:$K$301,MATCH($B1990,Vinos!$A$2:$A$301,0))),""))</f>
        <v/>
      </c>
      <c r="M1990" s="21">
        <f>IF(OR($A1990="",$B1990=""),"",SUMIFS($H$2:$H$2001,$A$2:$A$2001,$A1990,$B$2:$B$2001,$B1990))</f>
        <v/>
      </c>
      <c r="N1990" s="20">
        <f>IF($M1990="","",IF($M1990&lt;=0,"Sin stock: reponer ya",IF($M1990&lt;IFERROR(N(INDEX(Vinos!$N$2:$N$301,MATCH($B1990,Vinos!$A$2:$A$301,0))),0),"Bajo mínimo: reponer","OK")))</f>
        <v/>
      </c>
      <c r="O1990" s="14" t="n"/>
      <c r="P1990" s="14" t="n"/>
      <c r="Q1990" s="20">
        <f>IF($B1990="","",IFERROR(INDEX(Vinos!$C$2:$C$301,MATCH($B1990,Vinos!$A$2:$A$301,0)),""))</f>
        <v/>
      </c>
      <c r="R1990" s="20">
        <f>IF(OR($A1990="",$A1990&lt;&gt;'Resumen del inventario'!$C$3,$N1990="",$N1990="OK"),"",IF(COUNTIFS($A$2:$A1990,$A1990,$B$2:$B1990,$B1990)=1,1,""))</f>
        <v/>
      </c>
      <c r="S1990" s="20">
        <f>IF($R1990=1,COUNTIF($R$2:$R1990,1),"")</f>
        <v/>
      </c>
    </row>
    <row r="1991">
      <c r="A1991" s="19" t="n"/>
      <c r="B1991" s="14" t="n"/>
      <c r="C1991" s="20">
        <f>IF($B1991="","",IFERROR(INDEX(Vinos!$B$2:$B$301,MATCH($B1991,Vinos!$A$2:$A$301,0)),"Código no cargado"))</f>
        <v/>
      </c>
      <c r="D1991" s="14" t="n"/>
      <c r="E1991" s="14" t="n"/>
      <c r="F1991" s="18" t="n"/>
      <c r="G1991" s="18" t="n"/>
      <c r="H1991" s="21">
        <f>IF(AND($F1991="",$G1991=""),"",N($F1991)*IFERROR(N(INDEX(Vinos!$H$2:$H$301,MATCH($B1991,Vinos!$A$2:$A$301,0))),0)+N($G1991))</f>
        <v/>
      </c>
      <c r="I1991" s="18" t="n"/>
      <c r="J1991" s="21">
        <f>IF(OR($H1991="",$I1991=""),"",$H1991-$I1991)</f>
        <v/>
      </c>
      <c r="K1991" s="16">
        <f>IF($H1991="","",IFERROR(IF(INDEX(Vinos!$J$2:$J$301,MATCH($B1991,Vinos!$A$2:$A$301,0))="","",$H1991*INDEX(Vinos!$J$2:$J$301,MATCH($B1991,Vinos!$A$2:$A$301,0))),""))</f>
        <v/>
      </c>
      <c r="L1991" s="16">
        <f>IF($H1991="","",IFERROR(IF(INDEX(Vinos!$K$2:$K$301,MATCH($B1991,Vinos!$A$2:$A$301,0))="","",$H1991*INDEX(Vinos!$K$2:$K$301,MATCH($B1991,Vinos!$A$2:$A$301,0))),""))</f>
        <v/>
      </c>
      <c r="M1991" s="21">
        <f>IF(OR($A1991="",$B1991=""),"",SUMIFS($H$2:$H$2001,$A$2:$A$2001,$A1991,$B$2:$B$2001,$B1991))</f>
        <v/>
      </c>
      <c r="N1991" s="20">
        <f>IF($M1991="","",IF($M1991&lt;=0,"Sin stock: reponer ya",IF($M1991&lt;IFERROR(N(INDEX(Vinos!$N$2:$N$301,MATCH($B1991,Vinos!$A$2:$A$301,0))),0),"Bajo mínimo: reponer","OK")))</f>
        <v/>
      </c>
      <c r="O1991" s="14" t="n"/>
      <c r="P1991" s="14" t="n"/>
      <c r="Q1991" s="20">
        <f>IF($B1991="","",IFERROR(INDEX(Vinos!$C$2:$C$301,MATCH($B1991,Vinos!$A$2:$A$301,0)),""))</f>
        <v/>
      </c>
      <c r="R1991" s="20">
        <f>IF(OR($A1991="",$A1991&lt;&gt;'Resumen del inventario'!$C$3,$N1991="",$N1991="OK"),"",IF(COUNTIFS($A$2:$A1991,$A1991,$B$2:$B1991,$B1991)=1,1,""))</f>
        <v/>
      </c>
      <c r="S1991" s="20">
        <f>IF($R1991=1,COUNTIF($R$2:$R1991,1),"")</f>
        <v/>
      </c>
    </row>
    <row r="1992">
      <c r="A1992" s="19" t="n"/>
      <c r="B1992" s="14" t="n"/>
      <c r="C1992" s="20">
        <f>IF($B1992="","",IFERROR(INDEX(Vinos!$B$2:$B$301,MATCH($B1992,Vinos!$A$2:$A$301,0)),"Código no cargado"))</f>
        <v/>
      </c>
      <c r="D1992" s="14" t="n"/>
      <c r="E1992" s="14" t="n"/>
      <c r="F1992" s="18" t="n"/>
      <c r="G1992" s="18" t="n"/>
      <c r="H1992" s="21">
        <f>IF(AND($F1992="",$G1992=""),"",N($F1992)*IFERROR(N(INDEX(Vinos!$H$2:$H$301,MATCH($B1992,Vinos!$A$2:$A$301,0))),0)+N($G1992))</f>
        <v/>
      </c>
      <c r="I1992" s="18" t="n"/>
      <c r="J1992" s="21">
        <f>IF(OR($H1992="",$I1992=""),"",$H1992-$I1992)</f>
        <v/>
      </c>
      <c r="K1992" s="16">
        <f>IF($H1992="","",IFERROR(IF(INDEX(Vinos!$J$2:$J$301,MATCH($B1992,Vinos!$A$2:$A$301,0))="","",$H1992*INDEX(Vinos!$J$2:$J$301,MATCH($B1992,Vinos!$A$2:$A$301,0))),""))</f>
        <v/>
      </c>
      <c r="L1992" s="16">
        <f>IF($H1992="","",IFERROR(IF(INDEX(Vinos!$K$2:$K$301,MATCH($B1992,Vinos!$A$2:$A$301,0))="","",$H1992*INDEX(Vinos!$K$2:$K$301,MATCH($B1992,Vinos!$A$2:$A$301,0))),""))</f>
        <v/>
      </c>
      <c r="M1992" s="21">
        <f>IF(OR($A1992="",$B1992=""),"",SUMIFS($H$2:$H$2001,$A$2:$A$2001,$A1992,$B$2:$B$2001,$B1992))</f>
        <v/>
      </c>
      <c r="N1992" s="20">
        <f>IF($M1992="","",IF($M1992&lt;=0,"Sin stock: reponer ya",IF($M1992&lt;IFERROR(N(INDEX(Vinos!$N$2:$N$301,MATCH($B1992,Vinos!$A$2:$A$301,0))),0),"Bajo mínimo: reponer","OK")))</f>
        <v/>
      </c>
      <c r="O1992" s="14" t="n"/>
      <c r="P1992" s="14" t="n"/>
      <c r="Q1992" s="20">
        <f>IF($B1992="","",IFERROR(INDEX(Vinos!$C$2:$C$301,MATCH($B1992,Vinos!$A$2:$A$301,0)),""))</f>
        <v/>
      </c>
      <c r="R1992" s="20">
        <f>IF(OR($A1992="",$A1992&lt;&gt;'Resumen del inventario'!$C$3,$N1992="",$N1992="OK"),"",IF(COUNTIFS($A$2:$A1992,$A1992,$B$2:$B1992,$B1992)=1,1,""))</f>
        <v/>
      </c>
      <c r="S1992" s="20">
        <f>IF($R1992=1,COUNTIF($R$2:$R1992,1),"")</f>
        <v/>
      </c>
    </row>
    <row r="1993">
      <c r="A1993" s="19" t="n"/>
      <c r="B1993" s="14" t="n"/>
      <c r="C1993" s="20">
        <f>IF($B1993="","",IFERROR(INDEX(Vinos!$B$2:$B$301,MATCH($B1993,Vinos!$A$2:$A$301,0)),"Código no cargado"))</f>
        <v/>
      </c>
      <c r="D1993" s="14" t="n"/>
      <c r="E1993" s="14" t="n"/>
      <c r="F1993" s="18" t="n"/>
      <c r="G1993" s="18" t="n"/>
      <c r="H1993" s="21">
        <f>IF(AND($F1993="",$G1993=""),"",N($F1993)*IFERROR(N(INDEX(Vinos!$H$2:$H$301,MATCH($B1993,Vinos!$A$2:$A$301,0))),0)+N($G1993))</f>
        <v/>
      </c>
      <c r="I1993" s="18" t="n"/>
      <c r="J1993" s="21">
        <f>IF(OR($H1993="",$I1993=""),"",$H1993-$I1993)</f>
        <v/>
      </c>
      <c r="K1993" s="16">
        <f>IF($H1993="","",IFERROR(IF(INDEX(Vinos!$J$2:$J$301,MATCH($B1993,Vinos!$A$2:$A$301,0))="","",$H1993*INDEX(Vinos!$J$2:$J$301,MATCH($B1993,Vinos!$A$2:$A$301,0))),""))</f>
        <v/>
      </c>
      <c r="L1993" s="16">
        <f>IF($H1993="","",IFERROR(IF(INDEX(Vinos!$K$2:$K$301,MATCH($B1993,Vinos!$A$2:$A$301,0))="","",$H1993*INDEX(Vinos!$K$2:$K$301,MATCH($B1993,Vinos!$A$2:$A$301,0))),""))</f>
        <v/>
      </c>
      <c r="M1993" s="21">
        <f>IF(OR($A1993="",$B1993=""),"",SUMIFS($H$2:$H$2001,$A$2:$A$2001,$A1993,$B$2:$B$2001,$B1993))</f>
        <v/>
      </c>
      <c r="N1993" s="20">
        <f>IF($M1993="","",IF($M1993&lt;=0,"Sin stock: reponer ya",IF($M1993&lt;IFERROR(N(INDEX(Vinos!$N$2:$N$301,MATCH($B1993,Vinos!$A$2:$A$301,0))),0),"Bajo mínimo: reponer","OK")))</f>
        <v/>
      </c>
      <c r="O1993" s="14" t="n"/>
      <c r="P1993" s="14" t="n"/>
      <c r="Q1993" s="20">
        <f>IF($B1993="","",IFERROR(INDEX(Vinos!$C$2:$C$301,MATCH($B1993,Vinos!$A$2:$A$301,0)),""))</f>
        <v/>
      </c>
      <c r="R1993" s="20">
        <f>IF(OR($A1993="",$A1993&lt;&gt;'Resumen del inventario'!$C$3,$N1993="",$N1993="OK"),"",IF(COUNTIFS($A$2:$A1993,$A1993,$B$2:$B1993,$B1993)=1,1,""))</f>
        <v/>
      </c>
      <c r="S1993" s="20">
        <f>IF($R1993=1,COUNTIF($R$2:$R1993,1),"")</f>
        <v/>
      </c>
    </row>
    <row r="1994">
      <c r="A1994" s="19" t="n"/>
      <c r="B1994" s="14" t="n"/>
      <c r="C1994" s="20">
        <f>IF($B1994="","",IFERROR(INDEX(Vinos!$B$2:$B$301,MATCH($B1994,Vinos!$A$2:$A$301,0)),"Código no cargado"))</f>
        <v/>
      </c>
      <c r="D1994" s="14" t="n"/>
      <c r="E1994" s="14" t="n"/>
      <c r="F1994" s="18" t="n"/>
      <c r="G1994" s="18" t="n"/>
      <c r="H1994" s="21">
        <f>IF(AND($F1994="",$G1994=""),"",N($F1994)*IFERROR(N(INDEX(Vinos!$H$2:$H$301,MATCH($B1994,Vinos!$A$2:$A$301,0))),0)+N($G1994))</f>
        <v/>
      </c>
      <c r="I1994" s="18" t="n"/>
      <c r="J1994" s="21">
        <f>IF(OR($H1994="",$I1994=""),"",$H1994-$I1994)</f>
        <v/>
      </c>
      <c r="K1994" s="16">
        <f>IF($H1994="","",IFERROR(IF(INDEX(Vinos!$J$2:$J$301,MATCH($B1994,Vinos!$A$2:$A$301,0))="","",$H1994*INDEX(Vinos!$J$2:$J$301,MATCH($B1994,Vinos!$A$2:$A$301,0))),""))</f>
        <v/>
      </c>
      <c r="L1994" s="16">
        <f>IF($H1994="","",IFERROR(IF(INDEX(Vinos!$K$2:$K$301,MATCH($B1994,Vinos!$A$2:$A$301,0))="","",$H1994*INDEX(Vinos!$K$2:$K$301,MATCH($B1994,Vinos!$A$2:$A$301,0))),""))</f>
        <v/>
      </c>
      <c r="M1994" s="21">
        <f>IF(OR($A1994="",$B1994=""),"",SUMIFS($H$2:$H$2001,$A$2:$A$2001,$A1994,$B$2:$B$2001,$B1994))</f>
        <v/>
      </c>
      <c r="N1994" s="20">
        <f>IF($M1994="","",IF($M1994&lt;=0,"Sin stock: reponer ya",IF($M1994&lt;IFERROR(N(INDEX(Vinos!$N$2:$N$301,MATCH($B1994,Vinos!$A$2:$A$301,0))),0),"Bajo mínimo: reponer","OK")))</f>
        <v/>
      </c>
      <c r="O1994" s="14" t="n"/>
      <c r="P1994" s="14" t="n"/>
      <c r="Q1994" s="20">
        <f>IF($B1994="","",IFERROR(INDEX(Vinos!$C$2:$C$301,MATCH($B1994,Vinos!$A$2:$A$301,0)),""))</f>
        <v/>
      </c>
      <c r="R1994" s="20">
        <f>IF(OR($A1994="",$A1994&lt;&gt;'Resumen del inventario'!$C$3,$N1994="",$N1994="OK"),"",IF(COUNTIFS($A$2:$A1994,$A1994,$B$2:$B1994,$B1994)=1,1,""))</f>
        <v/>
      </c>
      <c r="S1994" s="20">
        <f>IF($R1994=1,COUNTIF($R$2:$R1994,1),"")</f>
        <v/>
      </c>
    </row>
    <row r="1995">
      <c r="A1995" s="19" t="n"/>
      <c r="B1995" s="14" t="n"/>
      <c r="C1995" s="20">
        <f>IF($B1995="","",IFERROR(INDEX(Vinos!$B$2:$B$301,MATCH($B1995,Vinos!$A$2:$A$301,0)),"Código no cargado"))</f>
        <v/>
      </c>
      <c r="D1995" s="14" t="n"/>
      <c r="E1995" s="14" t="n"/>
      <c r="F1995" s="18" t="n"/>
      <c r="G1995" s="18" t="n"/>
      <c r="H1995" s="21">
        <f>IF(AND($F1995="",$G1995=""),"",N($F1995)*IFERROR(N(INDEX(Vinos!$H$2:$H$301,MATCH($B1995,Vinos!$A$2:$A$301,0))),0)+N($G1995))</f>
        <v/>
      </c>
      <c r="I1995" s="18" t="n"/>
      <c r="J1995" s="21">
        <f>IF(OR($H1995="",$I1995=""),"",$H1995-$I1995)</f>
        <v/>
      </c>
      <c r="K1995" s="16">
        <f>IF($H1995="","",IFERROR(IF(INDEX(Vinos!$J$2:$J$301,MATCH($B1995,Vinos!$A$2:$A$301,0))="","",$H1995*INDEX(Vinos!$J$2:$J$301,MATCH($B1995,Vinos!$A$2:$A$301,0))),""))</f>
        <v/>
      </c>
      <c r="L1995" s="16">
        <f>IF($H1995="","",IFERROR(IF(INDEX(Vinos!$K$2:$K$301,MATCH($B1995,Vinos!$A$2:$A$301,0))="","",$H1995*INDEX(Vinos!$K$2:$K$301,MATCH($B1995,Vinos!$A$2:$A$301,0))),""))</f>
        <v/>
      </c>
      <c r="M1995" s="21">
        <f>IF(OR($A1995="",$B1995=""),"",SUMIFS($H$2:$H$2001,$A$2:$A$2001,$A1995,$B$2:$B$2001,$B1995))</f>
        <v/>
      </c>
      <c r="N1995" s="20">
        <f>IF($M1995="","",IF($M1995&lt;=0,"Sin stock: reponer ya",IF($M1995&lt;IFERROR(N(INDEX(Vinos!$N$2:$N$301,MATCH($B1995,Vinos!$A$2:$A$301,0))),0),"Bajo mínimo: reponer","OK")))</f>
        <v/>
      </c>
      <c r="O1995" s="14" t="n"/>
      <c r="P1995" s="14" t="n"/>
      <c r="Q1995" s="20">
        <f>IF($B1995="","",IFERROR(INDEX(Vinos!$C$2:$C$301,MATCH($B1995,Vinos!$A$2:$A$301,0)),""))</f>
        <v/>
      </c>
      <c r="R1995" s="20">
        <f>IF(OR($A1995="",$A1995&lt;&gt;'Resumen del inventario'!$C$3,$N1995="",$N1995="OK"),"",IF(COUNTIFS($A$2:$A1995,$A1995,$B$2:$B1995,$B1995)=1,1,""))</f>
        <v/>
      </c>
      <c r="S1995" s="20">
        <f>IF($R1995=1,COUNTIF($R$2:$R1995,1),"")</f>
        <v/>
      </c>
    </row>
    <row r="1996">
      <c r="A1996" s="19" t="n"/>
      <c r="B1996" s="14" t="n"/>
      <c r="C1996" s="20">
        <f>IF($B1996="","",IFERROR(INDEX(Vinos!$B$2:$B$301,MATCH($B1996,Vinos!$A$2:$A$301,0)),"Código no cargado"))</f>
        <v/>
      </c>
      <c r="D1996" s="14" t="n"/>
      <c r="E1996" s="14" t="n"/>
      <c r="F1996" s="18" t="n"/>
      <c r="G1996" s="18" t="n"/>
      <c r="H1996" s="21">
        <f>IF(AND($F1996="",$G1996=""),"",N($F1996)*IFERROR(N(INDEX(Vinos!$H$2:$H$301,MATCH($B1996,Vinos!$A$2:$A$301,0))),0)+N($G1996))</f>
        <v/>
      </c>
      <c r="I1996" s="18" t="n"/>
      <c r="J1996" s="21">
        <f>IF(OR($H1996="",$I1996=""),"",$H1996-$I1996)</f>
        <v/>
      </c>
      <c r="K1996" s="16">
        <f>IF($H1996="","",IFERROR(IF(INDEX(Vinos!$J$2:$J$301,MATCH($B1996,Vinos!$A$2:$A$301,0))="","",$H1996*INDEX(Vinos!$J$2:$J$301,MATCH($B1996,Vinos!$A$2:$A$301,0))),""))</f>
        <v/>
      </c>
      <c r="L1996" s="16">
        <f>IF($H1996="","",IFERROR(IF(INDEX(Vinos!$K$2:$K$301,MATCH($B1996,Vinos!$A$2:$A$301,0))="","",$H1996*INDEX(Vinos!$K$2:$K$301,MATCH($B1996,Vinos!$A$2:$A$301,0))),""))</f>
        <v/>
      </c>
      <c r="M1996" s="21">
        <f>IF(OR($A1996="",$B1996=""),"",SUMIFS($H$2:$H$2001,$A$2:$A$2001,$A1996,$B$2:$B$2001,$B1996))</f>
        <v/>
      </c>
      <c r="N1996" s="20">
        <f>IF($M1996="","",IF($M1996&lt;=0,"Sin stock: reponer ya",IF($M1996&lt;IFERROR(N(INDEX(Vinos!$N$2:$N$301,MATCH($B1996,Vinos!$A$2:$A$301,0))),0),"Bajo mínimo: reponer","OK")))</f>
        <v/>
      </c>
      <c r="O1996" s="14" t="n"/>
      <c r="P1996" s="14" t="n"/>
      <c r="Q1996" s="20">
        <f>IF($B1996="","",IFERROR(INDEX(Vinos!$C$2:$C$301,MATCH($B1996,Vinos!$A$2:$A$301,0)),""))</f>
        <v/>
      </c>
      <c r="R1996" s="20">
        <f>IF(OR($A1996="",$A1996&lt;&gt;'Resumen del inventario'!$C$3,$N1996="",$N1996="OK"),"",IF(COUNTIFS($A$2:$A1996,$A1996,$B$2:$B1996,$B1996)=1,1,""))</f>
        <v/>
      </c>
      <c r="S1996" s="20">
        <f>IF($R1996=1,COUNTIF($R$2:$R1996,1),"")</f>
        <v/>
      </c>
    </row>
    <row r="1997">
      <c r="A1997" s="19" t="n"/>
      <c r="B1997" s="14" t="n"/>
      <c r="C1997" s="20">
        <f>IF($B1997="","",IFERROR(INDEX(Vinos!$B$2:$B$301,MATCH($B1997,Vinos!$A$2:$A$301,0)),"Código no cargado"))</f>
        <v/>
      </c>
      <c r="D1997" s="14" t="n"/>
      <c r="E1997" s="14" t="n"/>
      <c r="F1997" s="18" t="n"/>
      <c r="G1997" s="18" t="n"/>
      <c r="H1997" s="21">
        <f>IF(AND($F1997="",$G1997=""),"",N($F1997)*IFERROR(N(INDEX(Vinos!$H$2:$H$301,MATCH($B1997,Vinos!$A$2:$A$301,0))),0)+N($G1997))</f>
        <v/>
      </c>
      <c r="I1997" s="18" t="n"/>
      <c r="J1997" s="21">
        <f>IF(OR($H1997="",$I1997=""),"",$H1997-$I1997)</f>
        <v/>
      </c>
      <c r="K1997" s="16">
        <f>IF($H1997="","",IFERROR(IF(INDEX(Vinos!$J$2:$J$301,MATCH($B1997,Vinos!$A$2:$A$301,0))="","",$H1997*INDEX(Vinos!$J$2:$J$301,MATCH($B1997,Vinos!$A$2:$A$301,0))),""))</f>
        <v/>
      </c>
      <c r="L1997" s="16">
        <f>IF($H1997="","",IFERROR(IF(INDEX(Vinos!$K$2:$K$301,MATCH($B1997,Vinos!$A$2:$A$301,0))="","",$H1997*INDEX(Vinos!$K$2:$K$301,MATCH($B1997,Vinos!$A$2:$A$301,0))),""))</f>
        <v/>
      </c>
      <c r="M1997" s="21">
        <f>IF(OR($A1997="",$B1997=""),"",SUMIFS($H$2:$H$2001,$A$2:$A$2001,$A1997,$B$2:$B$2001,$B1997))</f>
        <v/>
      </c>
      <c r="N1997" s="20">
        <f>IF($M1997="","",IF($M1997&lt;=0,"Sin stock: reponer ya",IF($M1997&lt;IFERROR(N(INDEX(Vinos!$N$2:$N$301,MATCH($B1997,Vinos!$A$2:$A$301,0))),0),"Bajo mínimo: reponer","OK")))</f>
        <v/>
      </c>
      <c r="O1997" s="14" t="n"/>
      <c r="P1997" s="14" t="n"/>
      <c r="Q1997" s="20">
        <f>IF($B1997="","",IFERROR(INDEX(Vinos!$C$2:$C$301,MATCH($B1997,Vinos!$A$2:$A$301,0)),""))</f>
        <v/>
      </c>
      <c r="R1997" s="20">
        <f>IF(OR($A1997="",$A1997&lt;&gt;'Resumen del inventario'!$C$3,$N1997="",$N1997="OK"),"",IF(COUNTIFS($A$2:$A1997,$A1997,$B$2:$B1997,$B1997)=1,1,""))</f>
        <v/>
      </c>
      <c r="S1997" s="20">
        <f>IF($R1997=1,COUNTIF($R$2:$R1997,1),"")</f>
        <v/>
      </c>
    </row>
    <row r="1998">
      <c r="A1998" s="19" t="n"/>
      <c r="B1998" s="14" t="n"/>
      <c r="C1998" s="20">
        <f>IF($B1998="","",IFERROR(INDEX(Vinos!$B$2:$B$301,MATCH($B1998,Vinos!$A$2:$A$301,0)),"Código no cargado"))</f>
        <v/>
      </c>
      <c r="D1998" s="14" t="n"/>
      <c r="E1998" s="14" t="n"/>
      <c r="F1998" s="18" t="n"/>
      <c r="G1998" s="18" t="n"/>
      <c r="H1998" s="21">
        <f>IF(AND($F1998="",$G1998=""),"",N($F1998)*IFERROR(N(INDEX(Vinos!$H$2:$H$301,MATCH($B1998,Vinos!$A$2:$A$301,0))),0)+N($G1998))</f>
        <v/>
      </c>
      <c r="I1998" s="18" t="n"/>
      <c r="J1998" s="21">
        <f>IF(OR($H1998="",$I1998=""),"",$H1998-$I1998)</f>
        <v/>
      </c>
      <c r="K1998" s="16">
        <f>IF($H1998="","",IFERROR(IF(INDEX(Vinos!$J$2:$J$301,MATCH($B1998,Vinos!$A$2:$A$301,0))="","",$H1998*INDEX(Vinos!$J$2:$J$301,MATCH($B1998,Vinos!$A$2:$A$301,0))),""))</f>
        <v/>
      </c>
      <c r="L1998" s="16">
        <f>IF($H1998="","",IFERROR(IF(INDEX(Vinos!$K$2:$K$301,MATCH($B1998,Vinos!$A$2:$A$301,0))="","",$H1998*INDEX(Vinos!$K$2:$K$301,MATCH($B1998,Vinos!$A$2:$A$301,0))),""))</f>
        <v/>
      </c>
      <c r="M1998" s="21">
        <f>IF(OR($A1998="",$B1998=""),"",SUMIFS($H$2:$H$2001,$A$2:$A$2001,$A1998,$B$2:$B$2001,$B1998))</f>
        <v/>
      </c>
      <c r="N1998" s="20">
        <f>IF($M1998="","",IF($M1998&lt;=0,"Sin stock: reponer ya",IF($M1998&lt;IFERROR(N(INDEX(Vinos!$N$2:$N$301,MATCH($B1998,Vinos!$A$2:$A$301,0))),0),"Bajo mínimo: reponer","OK")))</f>
        <v/>
      </c>
      <c r="O1998" s="14" t="n"/>
      <c r="P1998" s="14" t="n"/>
      <c r="Q1998" s="20">
        <f>IF($B1998="","",IFERROR(INDEX(Vinos!$C$2:$C$301,MATCH($B1998,Vinos!$A$2:$A$301,0)),""))</f>
        <v/>
      </c>
      <c r="R1998" s="20">
        <f>IF(OR($A1998="",$A1998&lt;&gt;'Resumen del inventario'!$C$3,$N1998="",$N1998="OK"),"",IF(COUNTIFS($A$2:$A1998,$A1998,$B$2:$B1998,$B1998)=1,1,""))</f>
        <v/>
      </c>
      <c r="S1998" s="20">
        <f>IF($R1998=1,COUNTIF($R$2:$R1998,1),"")</f>
        <v/>
      </c>
    </row>
    <row r="1999">
      <c r="A1999" s="19" t="n"/>
      <c r="B1999" s="14" t="n"/>
      <c r="C1999" s="20">
        <f>IF($B1999="","",IFERROR(INDEX(Vinos!$B$2:$B$301,MATCH($B1999,Vinos!$A$2:$A$301,0)),"Código no cargado"))</f>
        <v/>
      </c>
      <c r="D1999" s="14" t="n"/>
      <c r="E1999" s="14" t="n"/>
      <c r="F1999" s="18" t="n"/>
      <c r="G1999" s="18" t="n"/>
      <c r="H1999" s="21">
        <f>IF(AND($F1999="",$G1999=""),"",N($F1999)*IFERROR(N(INDEX(Vinos!$H$2:$H$301,MATCH($B1999,Vinos!$A$2:$A$301,0))),0)+N($G1999))</f>
        <v/>
      </c>
      <c r="I1999" s="18" t="n"/>
      <c r="J1999" s="21">
        <f>IF(OR($H1999="",$I1999=""),"",$H1999-$I1999)</f>
        <v/>
      </c>
      <c r="K1999" s="16">
        <f>IF($H1999="","",IFERROR(IF(INDEX(Vinos!$J$2:$J$301,MATCH($B1999,Vinos!$A$2:$A$301,0))="","",$H1999*INDEX(Vinos!$J$2:$J$301,MATCH($B1999,Vinos!$A$2:$A$301,0))),""))</f>
        <v/>
      </c>
      <c r="L1999" s="16">
        <f>IF($H1999="","",IFERROR(IF(INDEX(Vinos!$K$2:$K$301,MATCH($B1999,Vinos!$A$2:$A$301,0))="","",$H1999*INDEX(Vinos!$K$2:$K$301,MATCH($B1999,Vinos!$A$2:$A$301,0))),""))</f>
        <v/>
      </c>
      <c r="M1999" s="21">
        <f>IF(OR($A1999="",$B1999=""),"",SUMIFS($H$2:$H$2001,$A$2:$A$2001,$A1999,$B$2:$B$2001,$B1999))</f>
        <v/>
      </c>
      <c r="N1999" s="20">
        <f>IF($M1999="","",IF($M1999&lt;=0,"Sin stock: reponer ya",IF($M1999&lt;IFERROR(N(INDEX(Vinos!$N$2:$N$301,MATCH($B1999,Vinos!$A$2:$A$301,0))),0),"Bajo mínimo: reponer","OK")))</f>
        <v/>
      </c>
      <c r="O1999" s="14" t="n"/>
      <c r="P1999" s="14" t="n"/>
      <c r="Q1999" s="20">
        <f>IF($B1999="","",IFERROR(INDEX(Vinos!$C$2:$C$301,MATCH($B1999,Vinos!$A$2:$A$301,0)),""))</f>
        <v/>
      </c>
      <c r="R1999" s="20">
        <f>IF(OR($A1999="",$A1999&lt;&gt;'Resumen del inventario'!$C$3,$N1999="",$N1999="OK"),"",IF(COUNTIFS($A$2:$A1999,$A1999,$B$2:$B1999,$B1999)=1,1,""))</f>
        <v/>
      </c>
      <c r="S1999" s="20">
        <f>IF($R1999=1,COUNTIF($R$2:$R1999,1),"")</f>
        <v/>
      </c>
    </row>
    <row r="2000">
      <c r="A2000" s="19" t="n"/>
      <c r="B2000" s="14" t="n"/>
      <c r="C2000" s="20">
        <f>IF($B2000="","",IFERROR(INDEX(Vinos!$B$2:$B$301,MATCH($B2000,Vinos!$A$2:$A$301,0)),"Código no cargado"))</f>
        <v/>
      </c>
      <c r="D2000" s="14" t="n"/>
      <c r="E2000" s="14" t="n"/>
      <c r="F2000" s="18" t="n"/>
      <c r="G2000" s="18" t="n"/>
      <c r="H2000" s="21">
        <f>IF(AND($F2000="",$G2000=""),"",N($F2000)*IFERROR(N(INDEX(Vinos!$H$2:$H$301,MATCH($B2000,Vinos!$A$2:$A$301,0))),0)+N($G2000))</f>
        <v/>
      </c>
      <c r="I2000" s="18" t="n"/>
      <c r="J2000" s="21">
        <f>IF(OR($H2000="",$I2000=""),"",$H2000-$I2000)</f>
        <v/>
      </c>
      <c r="K2000" s="16">
        <f>IF($H2000="","",IFERROR(IF(INDEX(Vinos!$J$2:$J$301,MATCH($B2000,Vinos!$A$2:$A$301,0))="","",$H2000*INDEX(Vinos!$J$2:$J$301,MATCH($B2000,Vinos!$A$2:$A$301,0))),""))</f>
        <v/>
      </c>
      <c r="L2000" s="16">
        <f>IF($H2000="","",IFERROR(IF(INDEX(Vinos!$K$2:$K$301,MATCH($B2000,Vinos!$A$2:$A$301,0))="","",$H2000*INDEX(Vinos!$K$2:$K$301,MATCH($B2000,Vinos!$A$2:$A$301,0))),""))</f>
        <v/>
      </c>
      <c r="M2000" s="21">
        <f>IF(OR($A2000="",$B2000=""),"",SUMIFS($H$2:$H$2001,$A$2:$A$2001,$A2000,$B$2:$B$2001,$B2000))</f>
        <v/>
      </c>
      <c r="N2000" s="20">
        <f>IF($M2000="","",IF($M2000&lt;=0,"Sin stock: reponer ya",IF($M2000&lt;IFERROR(N(INDEX(Vinos!$N$2:$N$301,MATCH($B2000,Vinos!$A$2:$A$301,0))),0),"Bajo mínimo: reponer","OK")))</f>
        <v/>
      </c>
      <c r="O2000" s="14" t="n"/>
      <c r="P2000" s="14" t="n"/>
      <c r="Q2000" s="20">
        <f>IF($B2000="","",IFERROR(INDEX(Vinos!$C$2:$C$301,MATCH($B2000,Vinos!$A$2:$A$301,0)),""))</f>
        <v/>
      </c>
      <c r="R2000" s="20">
        <f>IF(OR($A2000="",$A2000&lt;&gt;'Resumen del inventario'!$C$3,$N2000="",$N2000="OK"),"",IF(COUNTIFS($A$2:$A2000,$A2000,$B$2:$B2000,$B2000)=1,1,""))</f>
        <v/>
      </c>
      <c r="S2000" s="20">
        <f>IF($R2000=1,COUNTIF($R$2:$R2000,1),"")</f>
        <v/>
      </c>
    </row>
    <row r="2001">
      <c r="A2001" s="19" t="n"/>
      <c r="B2001" s="14" t="n"/>
      <c r="C2001" s="20">
        <f>IF($B2001="","",IFERROR(INDEX(Vinos!$B$2:$B$301,MATCH($B2001,Vinos!$A$2:$A$301,0)),"Código no cargado"))</f>
        <v/>
      </c>
      <c r="D2001" s="14" t="n"/>
      <c r="E2001" s="14" t="n"/>
      <c r="F2001" s="18" t="n"/>
      <c r="G2001" s="18" t="n"/>
      <c r="H2001" s="21">
        <f>IF(AND($F2001="",$G2001=""),"",N($F2001)*IFERROR(N(INDEX(Vinos!$H$2:$H$301,MATCH($B2001,Vinos!$A$2:$A$301,0))),0)+N($G2001))</f>
        <v/>
      </c>
      <c r="I2001" s="18" t="n"/>
      <c r="J2001" s="21">
        <f>IF(OR($H2001="",$I2001=""),"",$H2001-$I2001)</f>
        <v/>
      </c>
      <c r="K2001" s="16">
        <f>IF($H2001="","",IFERROR(IF(INDEX(Vinos!$J$2:$J$301,MATCH($B2001,Vinos!$A$2:$A$301,0))="","",$H2001*INDEX(Vinos!$J$2:$J$301,MATCH($B2001,Vinos!$A$2:$A$301,0))),""))</f>
        <v/>
      </c>
      <c r="L2001" s="16">
        <f>IF($H2001="","",IFERROR(IF(INDEX(Vinos!$K$2:$K$301,MATCH($B2001,Vinos!$A$2:$A$301,0))="","",$H2001*INDEX(Vinos!$K$2:$K$301,MATCH($B2001,Vinos!$A$2:$A$301,0))),""))</f>
        <v/>
      </c>
      <c r="M2001" s="21">
        <f>IF(OR($A2001="",$B2001=""),"",SUMIFS($H$2:$H$2001,$A$2:$A$2001,$A2001,$B$2:$B$2001,$B2001))</f>
        <v/>
      </c>
      <c r="N2001" s="20">
        <f>IF($M2001="","",IF($M2001&lt;=0,"Sin stock: reponer ya",IF($M2001&lt;IFERROR(N(INDEX(Vinos!$N$2:$N$301,MATCH($B2001,Vinos!$A$2:$A$301,0))),0),"Bajo mínimo: reponer","OK")))</f>
        <v/>
      </c>
      <c r="O2001" s="14" t="n"/>
      <c r="P2001" s="14" t="n"/>
      <c r="Q2001" s="20">
        <f>IF($B2001="","",IFERROR(INDEX(Vinos!$C$2:$C$301,MATCH($B2001,Vinos!$A$2:$A$301,0)),""))</f>
        <v/>
      </c>
      <c r="R2001" s="20">
        <f>IF(OR($A2001="",$A2001&lt;&gt;'Resumen del inventario'!$C$3,$N2001="",$N2001="OK"),"",IF(COUNTIFS($A$2:$A2001,$A2001,$B$2:$B2001,$B2001)=1,1,""))</f>
        <v/>
      </c>
      <c r="S2001" s="20">
        <f>IF($R2001=1,COUNTIF($R$2:$R2001,1),"")</f>
        <v/>
      </c>
    </row>
  </sheetData>
  <conditionalFormatting sqref="N2:N2001">
    <cfRule type="expression" priority="1" dxfId="0">
      <formula>$N2="OK"</formula>
    </cfRule>
    <cfRule type="expression" priority="2" dxfId="1">
      <formula>$N2="Bajo mínimo: reponer"</formula>
    </cfRule>
    <cfRule type="expression" priority="3" dxfId="2">
      <formula>$N2="Sin stock: reponer ya"</formula>
    </cfRule>
  </conditionalFormatting>
  <conditionalFormatting sqref="J2:J2001">
    <cfRule type="expression" priority="4" dxfId="3">
      <formula>AND(ISNUMBER($J2),$J2&lt;0)</formula>
    </cfRule>
  </conditionalFormatting>
  <dataValidations count="2">
    <dataValidation sqref="B2:B2001" showDropDown="0" showInputMessage="0" showErrorMessage="0" allowBlank="1" type="list">
      <formula1>=Vinos!$A$2:$A$301</formula1>
    </dataValidation>
    <dataValidation sqref="E2:E2001" showDropDown="0" showInputMessage="0" showErrorMessage="0" allowBlank="1" type="list">
      <formula1>=Configuración!$B$16:$B$23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FFAF22"/>
    <outlinePr summaryBelow="1" summaryRight="1"/>
    <pageSetUpPr fitToPage="1"/>
  </sheetPr>
  <dimension ref="B1:I8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26" customWidth="1" min="3" max="3"/>
    <col width="14" customWidth="1" min="4" max="4"/>
    <col width="14" customWidth="1" min="5" max="5"/>
    <col width="12" customWidth="1" min="6" max="6"/>
    <col width="12" customWidth="1" min="7" max="7"/>
    <col width="12" customWidth="1" min="8" max="8"/>
    <col width="14" customWidth="1" min="9" max="9"/>
  </cols>
  <sheetData>
    <row r="1">
      <c r="B1" s="9" t="inlineStr">
        <is>
          <t>Resumen del inventario de vinos</t>
        </is>
      </c>
    </row>
    <row r="3">
      <c r="B3" s="12" t="inlineStr">
        <is>
          <t>Fecha</t>
        </is>
      </c>
      <c r="C3" s="22" t="n">
        <v>46319</v>
      </c>
    </row>
    <row r="5">
      <c r="C5" s="12" t="inlineStr">
        <is>
          <t>Botellas contadas</t>
        </is>
      </c>
      <c r="D5" s="23">
        <f>SUMIFS('Conteo de inventario'!$H$2:$H$2001,'Conteo de inventario'!$A$2:$A$2001,$C$3)</f>
        <v/>
      </c>
    </row>
    <row r="6">
      <c r="C6" s="12" t="inlineStr">
        <is>
          <t>Valor al costo</t>
        </is>
      </c>
      <c r="D6" s="24">
        <f>SUMIFS('Conteo de inventario'!$K$2:$K$2001,'Conteo de inventario'!$A$2:$A$2001,$C$3)</f>
        <v/>
      </c>
    </row>
    <row r="7">
      <c r="C7" s="12" t="inlineStr">
        <is>
          <t>Valor a precio de venta</t>
        </is>
      </c>
      <c r="D7" s="24">
        <f>SUMIFS('Conteo de inventario'!$L$2:$L$2001,'Conteo de inventario'!$A$2:$A$2001,$C$3)</f>
        <v/>
      </c>
    </row>
    <row r="8">
      <c r="C8" s="12" t="inlineStr">
        <is>
          <t>Ganancia potencial del stock</t>
        </is>
      </c>
      <c r="D8" s="24">
        <f>D7-D6</f>
        <v/>
      </c>
    </row>
    <row r="9">
      <c r="C9" s="12" t="inlineStr">
        <is>
          <t>Botellas de diferencia contra el sistema</t>
        </is>
      </c>
      <c r="D9" s="23">
        <f>SUMIFS('Conteo de inventario'!$J$2:$J$2001,'Conteo de inventario'!$A$2:$A$2001,$C$3)</f>
        <v/>
      </c>
    </row>
    <row r="10">
      <c r="C10" s="12" t="inlineStr">
        <is>
          <t>Vinos para reponer</t>
        </is>
      </c>
      <c r="D10" s="23">
        <f>COUNTIF('Conteo de inventario'!$R$2:$R$2001,1)</f>
        <v/>
      </c>
    </row>
    <row r="12">
      <c r="C12" s="25" t="inlineStr">
        <is>
          <t>Tipo de vino</t>
        </is>
      </c>
      <c r="D12" s="25" t="inlineStr">
        <is>
          <t>Botellas</t>
        </is>
      </c>
      <c r="E12" s="25" t="inlineStr">
        <is>
          <t>Valor al costo</t>
        </is>
      </c>
      <c r="F12" s="25" t="inlineStr">
        <is>
          <t>Valor a precio</t>
        </is>
      </c>
    </row>
    <row r="13">
      <c r="C13" s="14">
        <f>IF(Configuración!$B$4="","",Configuración!$B$4)</f>
        <v/>
      </c>
      <c r="D13" s="18">
        <f>IF($C13="","",SUMIFS('Conteo de inventario'!$H$2:$H$2001,'Conteo de inventario'!$A$2:$A$2001,$C$3,'Conteo de inventario'!$Q$2:$Q$2001,$C13))</f>
        <v/>
      </c>
      <c r="E13" s="15">
        <f>IF($C13="","",SUMIFS('Conteo de inventario'!$K$2:$K$2001,'Conteo de inventario'!$A$2:$A$2001,$C$3,'Conteo de inventario'!$Q$2:$Q$2001,$C13))</f>
        <v/>
      </c>
      <c r="F13" s="15">
        <f>IF($C13="","",SUMIFS('Conteo de inventario'!$L$2:$L$2001,'Conteo de inventario'!$A$2:$A$2001,$C$3,'Conteo de inventario'!$Q$2:$Q$2001,$C13))</f>
        <v/>
      </c>
    </row>
    <row r="14">
      <c r="C14" s="14">
        <f>IF(Configuración!$B$5="","",Configuración!$B$5)</f>
        <v/>
      </c>
      <c r="D14" s="18">
        <f>IF($C14="","",SUMIFS('Conteo de inventario'!$H$2:$H$2001,'Conteo de inventario'!$A$2:$A$2001,$C$3,'Conteo de inventario'!$Q$2:$Q$2001,$C14))</f>
        <v/>
      </c>
      <c r="E14" s="15">
        <f>IF($C14="","",SUMIFS('Conteo de inventario'!$K$2:$K$2001,'Conteo de inventario'!$A$2:$A$2001,$C$3,'Conteo de inventario'!$Q$2:$Q$2001,$C14))</f>
        <v/>
      </c>
      <c r="F14" s="15">
        <f>IF($C14="","",SUMIFS('Conteo de inventario'!$L$2:$L$2001,'Conteo de inventario'!$A$2:$A$2001,$C$3,'Conteo de inventario'!$Q$2:$Q$2001,$C14))</f>
        <v/>
      </c>
    </row>
    <row r="15">
      <c r="C15" s="14">
        <f>IF(Configuración!$B$6="","",Configuración!$B$6)</f>
        <v/>
      </c>
      <c r="D15" s="18">
        <f>IF($C15="","",SUMIFS('Conteo de inventario'!$H$2:$H$2001,'Conteo de inventario'!$A$2:$A$2001,$C$3,'Conteo de inventario'!$Q$2:$Q$2001,$C15))</f>
        <v/>
      </c>
      <c r="E15" s="15">
        <f>IF($C15="","",SUMIFS('Conteo de inventario'!$K$2:$K$2001,'Conteo de inventario'!$A$2:$A$2001,$C$3,'Conteo de inventario'!$Q$2:$Q$2001,$C15))</f>
        <v/>
      </c>
      <c r="F15" s="15">
        <f>IF($C15="","",SUMIFS('Conteo de inventario'!$L$2:$L$2001,'Conteo de inventario'!$A$2:$A$2001,$C$3,'Conteo de inventario'!$Q$2:$Q$2001,$C15))</f>
        <v/>
      </c>
    </row>
    <row r="16">
      <c r="C16" s="14">
        <f>IF(Configuración!$B$7="","",Configuración!$B$7)</f>
        <v/>
      </c>
      <c r="D16" s="18">
        <f>IF($C16="","",SUMIFS('Conteo de inventario'!$H$2:$H$2001,'Conteo de inventario'!$A$2:$A$2001,$C$3,'Conteo de inventario'!$Q$2:$Q$2001,$C16))</f>
        <v/>
      </c>
      <c r="E16" s="15">
        <f>IF($C16="","",SUMIFS('Conteo de inventario'!$K$2:$K$2001,'Conteo de inventario'!$A$2:$A$2001,$C$3,'Conteo de inventario'!$Q$2:$Q$2001,$C16))</f>
        <v/>
      </c>
      <c r="F16" s="15">
        <f>IF($C16="","",SUMIFS('Conteo de inventario'!$L$2:$L$2001,'Conteo de inventario'!$A$2:$A$2001,$C$3,'Conteo de inventario'!$Q$2:$Q$2001,$C16))</f>
        <v/>
      </c>
    </row>
    <row r="17">
      <c r="C17" s="14">
        <f>IF(Configuración!$B$8="","",Configuración!$B$8)</f>
        <v/>
      </c>
      <c r="D17" s="18">
        <f>IF($C17="","",SUMIFS('Conteo de inventario'!$H$2:$H$2001,'Conteo de inventario'!$A$2:$A$2001,$C$3,'Conteo de inventario'!$Q$2:$Q$2001,$C17))</f>
        <v/>
      </c>
      <c r="E17" s="15">
        <f>IF($C17="","",SUMIFS('Conteo de inventario'!$K$2:$K$2001,'Conteo de inventario'!$A$2:$A$2001,$C$3,'Conteo de inventario'!$Q$2:$Q$2001,$C17))</f>
        <v/>
      </c>
      <c r="F17" s="15">
        <f>IF($C17="","",SUMIFS('Conteo de inventario'!$L$2:$L$2001,'Conteo de inventario'!$A$2:$A$2001,$C$3,'Conteo de inventario'!$Q$2:$Q$2001,$C17))</f>
        <v/>
      </c>
    </row>
    <row r="18">
      <c r="C18" s="14">
        <f>IF(Configuración!$B$9="","",Configuración!$B$9)</f>
        <v/>
      </c>
      <c r="D18" s="18">
        <f>IF($C18="","",SUMIFS('Conteo de inventario'!$H$2:$H$2001,'Conteo de inventario'!$A$2:$A$2001,$C$3,'Conteo de inventario'!$Q$2:$Q$2001,$C18))</f>
        <v/>
      </c>
      <c r="E18" s="15">
        <f>IF($C18="","",SUMIFS('Conteo de inventario'!$K$2:$K$2001,'Conteo de inventario'!$A$2:$A$2001,$C$3,'Conteo de inventario'!$Q$2:$Q$2001,$C18))</f>
        <v/>
      </c>
      <c r="F18" s="15">
        <f>IF($C18="","",SUMIFS('Conteo de inventario'!$L$2:$L$2001,'Conteo de inventario'!$A$2:$A$2001,$C$3,'Conteo de inventario'!$Q$2:$Q$2001,$C18))</f>
        <v/>
      </c>
    </row>
    <row r="19">
      <c r="C19" s="14">
        <f>IF(Configuración!$B$10="","",Configuración!$B$10)</f>
        <v/>
      </c>
      <c r="D19" s="18">
        <f>IF($C19="","",SUMIFS('Conteo de inventario'!$H$2:$H$2001,'Conteo de inventario'!$A$2:$A$2001,$C$3,'Conteo de inventario'!$Q$2:$Q$2001,$C19))</f>
        <v/>
      </c>
      <c r="E19" s="15">
        <f>IF($C19="","",SUMIFS('Conteo de inventario'!$K$2:$K$2001,'Conteo de inventario'!$A$2:$A$2001,$C$3,'Conteo de inventario'!$Q$2:$Q$2001,$C19))</f>
        <v/>
      </c>
      <c r="F19" s="15">
        <f>IF($C19="","",SUMIFS('Conteo de inventario'!$L$2:$L$2001,'Conteo de inventario'!$A$2:$A$2001,$C$3,'Conteo de inventario'!$Q$2:$Q$2001,$C19))</f>
        <v/>
      </c>
    </row>
    <row r="20">
      <c r="C20" s="14">
        <f>IF(Configuración!$B$11="","",Configuración!$B$11)</f>
        <v/>
      </c>
      <c r="D20" s="18">
        <f>IF($C20="","",SUMIFS('Conteo de inventario'!$H$2:$H$2001,'Conteo de inventario'!$A$2:$A$2001,$C$3,'Conteo de inventario'!$Q$2:$Q$2001,$C20))</f>
        <v/>
      </c>
      <c r="E20" s="15">
        <f>IF($C20="","",SUMIFS('Conteo de inventario'!$K$2:$K$2001,'Conteo de inventario'!$A$2:$A$2001,$C$3,'Conteo de inventario'!$Q$2:$Q$2001,$C20))</f>
        <v/>
      </c>
      <c r="F20" s="15">
        <f>IF($C20="","",SUMIFS('Conteo de inventario'!$L$2:$L$2001,'Conteo de inventario'!$A$2:$A$2001,$C$3,'Conteo de inventario'!$Q$2:$Q$2001,$C20))</f>
        <v/>
      </c>
    </row>
    <row r="21">
      <c r="C21" s="14">
        <f>IF(Configuración!$B$12="","",Configuración!$B$12)</f>
        <v/>
      </c>
      <c r="D21" s="18">
        <f>IF($C21="","",SUMIFS('Conteo de inventario'!$H$2:$H$2001,'Conteo de inventario'!$A$2:$A$2001,$C$3,'Conteo de inventario'!$Q$2:$Q$2001,$C21))</f>
        <v/>
      </c>
      <c r="E21" s="15">
        <f>IF($C21="","",SUMIFS('Conteo de inventario'!$K$2:$K$2001,'Conteo de inventario'!$A$2:$A$2001,$C$3,'Conteo de inventario'!$Q$2:$Q$2001,$C21))</f>
        <v/>
      </c>
      <c r="F21" s="15">
        <f>IF($C21="","",SUMIFS('Conteo de inventario'!$L$2:$L$2001,'Conteo de inventario'!$A$2:$A$2001,$C$3,'Conteo de inventario'!$Q$2:$Q$2001,$C21))</f>
        <v/>
      </c>
    </row>
    <row r="22">
      <c r="C22" s="14">
        <f>IF(Configuración!$B$13="","",Configuración!$B$13)</f>
        <v/>
      </c>
      <c r="D22" s="18">
        <f>IF($C22="","",SUMIFS('Conteo de inventario'!$H$2:$H$2001,'Conteo de inventario'!$A$2:$A$2001,$C$3,'Conteo de inventario'!$Q$2:$Q$2001,$C22))</f>
        <v/>
      </c>
      <c r="E22" s="15">
        <f>IF($C22="","",SUMIFS('Conteo de inventario'!$K$2:$K$2001,'Conteo de inventario'!$A$2:$A$2001,$C$3,'Conteo de inventario'!$Q$2:$Q$2001,$C22))</f>
        <v/>
      </c>
      <c r="F22" s="15">
        <f>IF($C22="","",SUMIFS('Conteo de inventario'!$L$2:$L$2001,'Conteo de inventario'!$A$2:$A$2001,$C$3,'Conteo de inventario'!$Q$2:$Q$2001,$C22))</f>
        <v/>
      </c>
    </row>
    <row r="24">
      <c r="B24" s="12" t="inlineStr">
        <is>
          <t>Para reponer (vinos bajo el mínimo en la fecha elegida)</t>
        </is>
      </c>
    </row>
    <row r="25">
      <c r="B25" s="25" t="inlineStr">
        <is>
          <t>N°</t>
        </is>
      </c>
      <c r="C25" s="25" t="inlineStr">
        <is>
          <t>Vino</t>
        </is>
      </c>
      <c r="D25" s="25" t="inlineStr">
        <is>
          <t>Proveedor</t>
        </is>
      </c>
      <c r="E25" s="25" t="inlineStr">
        <is>
          <t>Botellas contadas</t>
        </is>
      </c>
      <c r="F25" s="25" t="inlineStr">
        <is>
          <t>Stock mínimo</t>
        </is>
      </c>
      <c r="G25" s="25" t="inlineStr">
        <is>
          <t>Botellas a pedir</t>
        </is>
      </c>
      <c r="H25" s="25" t="inlineStr">
        <is>
          <t>Cajas a pedir</t>
        </is>
      </c>
      <c r="I25" s="25" t="inlineStr">
        <is>
          <t>Estado</t>
        </is>
      </c>
    </row>
    <row r="26">
      <c r="B26" s="14">
        <f>IF(COUNTIF('Conteo de inventario'!$S$2:$S$2001,1)=0,"",1)</f>
        <v/>
      </c>
      <c r="C26" s="14">
        <f>IF($B26="","",INDEX('Conteo de inventario'!$C$2:$C$2001,MATCH(1,'Conteo de inventario'!$S$2:$S$2001,0)))</f>
        <v/>
      </c>
      <c r="D26" s="14">
        <f>IF($B26="","",IFERROR(INDEX(Vinos!$G$2:$G$301,MATCH(INDEX('Conteo de inventario'!$B$2:$B$2001,MATCH(1,'Conteo de inventario'!$S$2:$S$2001,0)),Vinos!$A$2:$A$301,0)),""))</f>
        <v/>
      </c>
      <c r="E26" s="18">
        <f>IF($B26="","",INDEX('Conteo de inventario'!$M$2:$M$2001,MATCH(1,'Conteo de inventario'!$S$2:$S$2001,0)))</f>
        <v/>
      </c>
      <c r="F26" s="18">
        <f>IF($B26="","",IFERROR(N(INDEX(Vinos!$N$2:$N$301,MATCH(INDEX('Conteo de inventario'!$B$2:$B$2001,MATCH(1,'Conteo de inventario'!$S$2:$S$2001,0)),Vinos!$A$2:$A$301,0))),0))</f>
        <v/>
      </c>
      <c r="G26" s="18">
        <f>IF($B26="","",MAX(0,$F26-$E26))</f>
        <v/>
      </c>
      <c r="H26" s="18">
        <f>IF($B26="","",IFERROR(ROUNDUP($G26/INDEX(Vinos!$H$2:$H$301,MATCH(INDEX('Conteo de inventario'!$B$2:$B$2001,MATCH(1,'Conteo de inventario'!$S$2:$S$2001,0)),Vinos!$A$2:$A$301,0)),0),""))</f>
        <v/>
      </c>
      <c r="I26" s="14">
        <f>IF($B26="","",INDEX('Conteo de inventario'!$N$2:$N$2001,MATCH(1,'Conteo de inventario'!$S$2:$S$2001,0)))</f>
        <v/>
      </c>
    </row>
    <row r="27">
      <c r="B27" s="14">
        <f>IF(COUNTIF('Conteo de inventario'!$S$2:$S$2001,2)=0,"",2)</f>
        <v/>
      </c>
      <c r="C27" s="14">
        <f>IF($B27="","",INDEX('Conteo de inventario'!$C$2:$C$2001,MATCH(2,'Conteo de inventario'!$S$2:$S$2001,0)))</f>
        <v/>
      </c>
      <c r="D27" s="14">
        <f>IF($B27="","",IFERROR(INDEX(Vinos!$G$2:$G$301,MATCH(INDEX('Conteo de inventario'!$B$2:$B$2001,MATCH(2,'Conteo de inventario'!$S$2:$S$2001,0)),Vinos!$A$2:$A$301,0)),""))</f>
        <v/>
      </c>
      <c r="E27" s="18">
        <f>IF($B27="","",INDEX('Conteo de inventario'!$M$2:$M$2001,MATCH(2,'Conteo de inventario'!$S$2:$S$2001,0)))</f>
        <v/>
      </c>
      <c r="F27" s="18">
        <f>IF($B27="","",IFERROR(N(INDEX(Vinos!$N$2:$N$301,MATCH(INDEX('Conteo de inventario'!$B$2:$B$2001,MATCH(2,'Conteo de inventario'!$S$2:$S$2001,0)),Vinos!$A$2:$A$301,0))),0))</f>
        <v/>
      </c>
      <c r="G27" s="18">
        <f>IF($B27="","",MAX(0,$F27-$E27))</f>
        <v/>
      </c>
      <c r="H27" s="18">
        <f>IF($B27="","",IFERROR(ROUNDUP($G27/INDEX(Vinos!$H$2:$H$301,MATCH(INDEX('Conteo de inventario'!$B$2:$B$2001,MATCH(2,'Conteo de inventario'!$S$2:$S$2001,0)),Vinos!$A$2:$A$301,0)),0),""))</f>
        <v/>
      </c>
      <c r="I27" s="14">
        <f>IF($B27="","",INDEX('Conteo de inventario'!$N$2:$N$2001,MATCH(2,'Conteo de inventario'!$S$2:$S$2001,0)))</f>
        <v/>
      </c>
    </row>
    <row r="28">
      <c r="B28" s="14">
        <f>IF(COUNTIF('Conteo de inventario'!$S$2:$S$2001,3)=0,"",3)</f>
        <v/>
      </c>
      <c r="C28" s="14">
        <f>IF($B28="","",INDEX('Conteo de inventario'!$C$2:$C$2001,MATCH(3,'Conteo de inventario'!$S$2:$S$2001,0)))</f>
        <v/>
      </c>
      <c r="D28" s="14">
        <f>IF($B28="","",IFERROR(INDEX(Vinos!$G$2:$G$301,MATCH(INDEX('Conteo de inventario'!$B$2:$B$2001,MATCH(3,'Conteo de inventario'!$S$2:$S$2001,0)),Vinos!$A$2:$A$301,0)),""))</f>
        <v/>
      </c>
      <c r="E28" s="18">
        <f>IF($B28="","",INDEX('Conteo de inventario'!$M$2:$M$2001,MATCH(3,'Conteo de inventario'!$S$2:$S$2001,0)))</f>
        <v/>
      </c>
      <c r="F28" s="18">
        <f>IF($B28="","",IFERROR(N(INDEX(Vinos!$N$2:$N$301,MATCH(INDEX('Conteo de inventario'!$B$2:$B$2001,MATCH(3,'Conteo de inventario'!$S$2:$S$2001,0)),Vinos!$A$2:$A$301,0))),0))</f>
        <v/>
      </c>
      <c r="G28" s="18">
        <f>IF($B28="","",MAX(0,$F28-$E28))</f>
        <v/>
      </c>
      <c r="H28" s="18">
        <f>IF($B28="","",IFERROR(ROUNDUP($G28/INDEX(Vinos!$H$2:$H$301,MATCH(INDEX('Conteo de inventario'!$B$2:$B$2001,MATCH(3,'Conteo de inventario'!$S$2:$S$2001,0)),Vinos!$A$2:$A$301,0)),0),""))</f>
        <v/>
      </c>
      <c r="I28" s="14">
        <f>IF($B28="","",INDEX('Conteo de inventario'!$N$2:$N$2001,MATCH(3,'Conteo de inventario'!$S$2:$S$2001,0)))</f>
        <v/>
      </c>
    </row>
    <row r="29">
      <c r="B29" s="14">
        <f>IF(COUNTIF('Conteo de inventario'!$S$2:$S$2001,4)=0,"",4)</f>
        <v/>
      </c>
      <c r="C29" s="14">
        <f>IF($B29="","",INDEX('Conteo de inventario'!$C$2:$C$2001,MATCH(4,'Conteo de inventario'!$S$2:$S$2001,0)))</f>
        <v/>
      </c>
      <c r="D29" s="14">
        <f>IF($B29="","",IFERROR(INDEX(Vinos!$G$2:$G$301,MATCH(INDEX('Conteo de inventario'!$B$2:$B$2001,MATCH(4,'Conteo de inventario'!$S$2:$S$2001,0)),Vinos!$A$2:$A$301,0)),""))</f>
        <v/>
      </c>
      <c r="E29" s="18">
        <f>IF($B29="","",INDEX('Conteo de inventario'!$M$2:$M$2001,MATCH(4,'Conteo de inventario'!$S$2:$S$2001,0)))</f>
        <v/>
      </c>
      <c r="F29" s="18">
        <f>IF($B29="","",IFERROR(N(INDEX(Vinos!$N$2:$N$301,MATCH(INDEX('Conteo de inventario'!$B$2:$B$2001,MATCH(4,'Conteo de inventario'!$S$2:$S$2001,0)),Vinos!$A$2:$A$301,0))),0))</f>
        <v/>
      </c>
      <c r="G29" s="18">
        <f>IF($B29="","",MAX(0,$F29-$E29))</f>
        <v/>
      </c>
      <c r="H29" s="18">
        <f>IF($B29="","",IFERROR(ROUNDUP($G29/INDEX(Vinos!$H$2:$H$301,MATCH(INDEX('Conteo de inventario'!$B$2:$B$2001,MATCH(4,'Conteo de inventario'!$S$2:$S$2001,0)),Vinos!$A$2:$A$301,0)),0),""))</f>
        <v/>
      </c>
      <c r="I29" s="14">
        <f>IF($B29="","",INDEX('Conteo de inventario'!$N$2:$N$2001,MATCH(4,'Conteo de inventario'!$S$2:$S$2001,0)))</f>
        <v/>
      </c>
    </row>
    <row r="30">
      <c r="B30" s="14">
        <f>IF(COUNTIF('Conteo de inventario'!$S$2:$S$2001,5)=0,"",5)</f>
        <v/>
      </c>
      <c r="C30" s="14">
        <f>IF($B30="","",INDEX('Conteo de inventario'!$C$2:$C$2001,MATCH(5,'Conteo de inventario'!$S$2:$S$2001,0)))</f>
        <v/>
      </c>
      <c r="D30" s="14">
        <f>IF($B30="","",IFERROR(INDEX(Vinos!$G$2:$G$301,MATCH(INDEX('Conteo de inventario'!$B$2:$B$2001,MATCH(5,'Conteo de inventario'!$S$2:$S$2001,0)),Vinos!$A$2:$A$301,0)),""))</f>
        <v/>
      </c>
      <c r="E30" s="18">
        <f>IF($B30="","",INDEX('Conteo de inventario'!$M$2:$M$2001,MATCH(5,'Conteo de inventario'!$S$2:$S$2001,0)))</f>
        <v/>
      </c>
      <c r="F30" s="18">
        <f>IF($B30="","",IFERROR(N(INDEX(Vinos!$N$2:$N$301,MATCH(INDEX('Conteo de inventario'!$B$2:$B$2001,MATCH(5,'Conteo de inventario'!$S$2:$S$2001,0)),Vinos!$A$2:$A$301,0))),0))</f>
        <v/>
      </c>
      <c r="G30" s="18">
        <f>IF($B30="","",MAX(0,$F30-$E30))</f>
        <v/>
      </c>
      <c r="H30" s="18">
        <f>IF($B30="","",IFERROR(ROUNDUP($G30/INDEX(Vinos!$H$2:$H$301,MATCH(INDEX('Conteo de inventario'!$B$2:$B$2001,MATCH(5,'Conteo de inventario'!$S$2:$S$2001,0)),Vinos!$A$2:$A$301,0)),0),""))</f>
        <v/>
      </c>
      <c r="I30" s="14">
        <f>IF($B30="","",INDEX('Conteo de inventario'!$N$2:$N$2001,MATCH(5,'Conteo de inventario'!$S$2:$S$2001,0)))</f>
        <v/>
      </c>
    </row>
    <row r="31">
      <c r="B31" s="14">
        <f>IF(COUNTIF('Conteo de inventario'!$S$2:$S$2001,6)=0,"",6)</f>
        <v/>
      </c>
      <c r="C31" s="14">
        <f>IF($B31="","",INDEX('Conteo de inventario'!$C$2:$C$2001,MATCH(6,'Conteo de inventario'!$S$2:$S$2001,0)))</f>
        <v/>
      </c>
      <c r="D31" s="14">
        <f>IF($B31="","",IFERROR(INDEX(Vinos!$G$2:$G$301,MATCH(INDEX('Conteo de inventario'!$B$2:$B$2001,MATCH(6,'Conteo de inventario'!$S$2:$S$2001,0)),Vinos!$A$2:$A$301,0)),""))</f>
        <v/>
      </c>
      <c r="E31" s="18">
        <f>IF($B31="","",INDEX('Conteo de inventario'!$M$2:$M$2001,MATCH(6,'Conteo de inventario'!$S$2:$S$2001,0)))</f>
        <v/>
      </c>
      <c r="F31" s="18">
        <f>IF($B31="","",IFERROR(N(INDEX(Vinos!$N$2:$N$301,MATCH(INDEX('Conteo de inventario'!$B$2:$B$2001,MATCH(6,'Conteo de inventario'!$S$2:$S$2001,0)),Vinos!$A$2:$A$301,0))),0))</f>
        <v/>
      </c>
      <c r="G31" s="18">
        <f>IF($B31="","",MAX(0,$F31-$E31))</f>
        <v/>
      </c>
      <c r="H31" s="18">
        <f>IF($B31="","",IFERROR(ROUNDUP($G31/INDEX(Vinos!$H$2:$H$301,MATCH(INDEX('Conteo de inventario'!$B$2:$B$2001,MATCH(6,'Conteo de inventario'!$S$2:$S$2001,0)),Vinos!$A$2:$A$301,0)),0),""))</f>
        <v/>
      </c>
      <c r="I31" s="14">
        <f>IF($B31="","",INDEX('Conteo de inventario'!$N$2:$N$2001,MATCH(6,'Conteo de inventario'!$S$2:$S$2001,0)))</f>
        <v/>
      </c>
    </row>
    <row r="32">
      <c r="B32" s="14">
        <f>IF(COUNTIF('Conteo de inventario'!$S$2:$S$2001,7)=0,"",7)</f>
        <v/>
      </c>
      <c r="C32" s="14">
        <f>IF($B32="","",INDEX('Conteo de inventario'!$C$2:$C$2001,MATCH(7,'Conteo de inventario'!$S$2:$S$2001,0)))</f>
        <v/>
      </c>
      <c r="D32" s="14">
        <f>IF($B32="","",IFERROR(INDEX(Vinos!$G$2:$G$301,MATCH(INDEX('Conteo de inventario'!$B$2:$B$2001,MATCH(7,'Conteo de inventario'!$S$2:$S$2001,0)),Vinos!$A$2:$A$301,0)),""))</f>
        <v/>
      </c>
      <c r="E32" s="18">
        <f>IF($B32="","",INDEX('Conteo de inventario'!$M$2:$M$2001,MATCH(7,'Conteo de inventario'!$S$2:$S$2001,0)))</f>
        <v/>
      </c>
      <c r="F32" s="18">
        <f>IF($B32="","",IFERROR(N(INDEX(Vinos!$N$2:$N$301,MATCH(INDEX('Conteo de inventario'!$B$2:$B$2001,MATCH(7,'Conteo de inventario'!$S$2:$S$2001,0)),Vinos!$A$2:$A$301,0))),0))</f>
        <v/>
      </c>
      <c r="G32" s="18">
        <f>IF($B32="","",MAX(0,$F32-$E32))</f>
        <v/>
      </c>
      <c r="H32" s="18">
        <f>IF($B32="","",IFERROR(ROUNDUP($G32/INDEX(Vinos!$H$2:$H$301,MATCH(INDEX('Conteo de inventario'!$B$2:$B$2001,MATCH(7,'Conteo de inventario'!$S$2:$S$2001,0)),Vinos!$A$2:$A$301,0)),0),""))</f>
        <v/>
      </c>
      <c r="I32" s="14">
        <f>IF($B32="","",INDEX('Conteo de inventario'!$N$2:$N$2001,MATCH(7,'Conteo de inventario'!$S$2:$S$2001,0)))</f>
        <v/>
      </c>
    </row>
    <row r="33">
      <c r="B33" s="14">
        <f>IF(COUNTIF('Conteo de inventario'!$S$2:$S$2001,8)=0,"",8)</f>
        <v/>
      </c>
      <c r="C33" s="14">
        <f>IF($B33="","",INDEX('Conteo de inventario'!$C$2:$C$2001,MATCH(8,'Conteo de inventario'!$S$2:$S$2001,0)))</f>
        <v/>
      </c>
      <c r="D33" s="14">
        <f>IF($B33="","",IFERROR(INDEX(Vinos!$G$2:$G$301,MATCH(INDEX('Conteo de inventario'!$B$2:$B$2001,MATCH(8,'Conteo de inventario'!$S$2:$S$2001,0)),Vinos!$A$2:$A$301,0)),""))</f>
        <v/>
      </c>
      <c r="E33" s="18">
        <f>IF($B33="","",INDEX('Conteo de inventario'!$M$2:$M$2001,MATCH(8,'Conteo de inventario'!$S$2:$S$2001,0)))</f>
        <v/>
      </c>
      <c r="F33" s="18">
        <f>IF($B33="","",IFERROR(N(INDEX(Vinos!$N$2:$N$301,MATCH(INDEX('Conteo de inventario'!$B$2:$B$2001,MATCH(8,'Conteo de inventario'!$S$2:$S$2001,0)),Vinos!$A$2:$A$301,0))),0))</f>
        <v/>
      </c>
      <c r="G33" s="18">
        <f>IF($B33="","",MAX(0,$F33-$E33))</f>
        <v/>
      </c>
      <c r="H33" s="18">
        <f>IF($B33="","",IFERROR(ROUNDUP($G33/INDEX(Vinos!$H$2:$H$301,MATCH(INDEX('Conteo de inventario'!$B$2:$B$2001,MATCH(8,'Conteo de inventario'!$S$2:$S$2001,0)),Vinos!$A$2:$A$301,0)),0),""))</f>
        <v/>
      </c>
      <c r="I33" s="14">
        <f>IF($B33="","",INDEX('Conteo de inventario'!$N$2:$N$2001,MATCH(8,'Conteo de inventario'!$S$2:$S$2001,0)))</f>
        <v/>
      </c>
    </row>
    <row r="34">
      <c r="B34" s="14">
        <f>IF(COUNTIF('Conteo de inventario'!$S$2:$S$2001,9)=0,"",9)</f>
        <v/>
      </c>
      <c r="C34" s="14">
        <f>IF($B34="","",INDEX('Conteo de inventario'!$C$2:$C$2001,MATCH(9,'Conteo de inventario'!$S$2:$S$2001,0)))</f>
        <v/>
      </c>
      <c r="D34" s="14">
        <f>IF($B34="","",IFERROR(INDEX(Vinos!$G$2:$G$301,MATCH(INDEX('Conteo de inventario'!$B$2:$B$2001,MATCH(9,'Conteo de inventario'!$S$2:$S$2001,0)),Vinos!$A$2:$A$301,0)),""))</f>
        <v/>
      </c>
      <c r="E34" s="18">
        <f>IF($B34="","",INDEX('Conteo de inventario'!$M$2:$M$2001,MATCH(9,'Conteo de inventario'!$S$2:$S$2001,0)))</f>
        <v/>
      </c>
      <c r="F34" s="18">
        <f>IF($B34="","",IFERROR(N(INDEX(Vinos!$N$2:$N$301,MATCH(INDEX('Conteo de inventario'!$B$2:$B$2001,MATCH(9,'Conteo de inventario'!$S$2:$S$2001,0)),Vinos!$A$2:$A$301,0))),0))</f>
        <v/>
      </c>
      <c r="G34" s="18">
        <f>IF($B34="","",MAX(0,$F34-$E34))</f>
        <v/>
      </c>
      <c r="H34" s="18">
        <f>IF($B34="","",IFERROR(ROUNDUP($G34/INDEX(Vinos!$H$2:$H$301,MATCH(INDEX('Conteo de inventario'!$B$2:$B$2001,MATCH(9,'Conteo de inventario'!$S$2:$S$2001,0)),Vinos!$A$2:$A$301,0)),0),""))</f>
        <v/>
      </c>
      <c r="I34" s="14">
        <f>IF($B34="","",INDEX('Conteo de inventario'!$N$2:$N$2001,MATCH(9,'Conteo de inventario'!$S$2:$S$2001,0)))</f>
        <v/>
      </c>
    </row>
    <row r="35">
      <c r="B35" s="14">
        <f>IF(COUNTIF('Conteo de inventario'!$S$2:$S$2001,10)=0,"",10)</f>
        <v/>
      </c>
      <c r="C35" s="14">
        <f>IF($B35="","",INDEX('Conteo de inventario'!$C$2:$C$2001,MATCH(10,'Conteo de inventario'!$S$2:$S$2001,0)))</f>
        <v/>
      </c>
      <c r="D35" s="14">
        <f>IF($B35="","",IFERROR(INDEX(Vinos!$G$2:$G$301,MATCH(INDEX('Conteo de inventario'!$B$2:$B$2001,MATCH(10,'Conteo de inventario'!$S$2:$S$2001,0)),Vinos!$A$2:$A$301,0)),""))</f>
        <v/>
      </c>
      <c r="E35" s="18">
        <f>IF($B35="","",INDEX('Conteo de inventario'!$M$2:$M$2001,MATCH(10,'Conteo de inventario'!$S$2:$S$2001,0)))</f>
        <v/>
      </c>
      <c r="F35" s="18">
        <f>IF($B35="","",IFERROR(N(INDEX(Vinos!$N$2:$N$301,MATCH(INDEX('Conteo de inventario'!$B$2:$B$2001,MATCH(10,'Conteo de inventario'!$S$2:$S$2001,0)),Vinos!$A$2:$A$301,0))),0))</f>
        <v/>
      </c>
      <c r="G35" s="18">
        <f>IF($B35="","",MAX(0,$F35-$E35))</f>
        <v/>
      </c>
      <c r="H35" s="18">
        <f>IF($B35="","",IFERROR(ROUNDUP($G35/INDEX(Vinos!$H$2:$H$301,MATCH(INDEX('Conteo de inventario'!$B$2:$B$2001,MATCH(10,'Conteo de inventario'!$S$2:$S$2001,0)),Vinos!$A$2:$A$301,0)),0),""))</f>
        <v/>
      </c>
      <c r="I35" s="14">
        <f>IF($B35="","",INDEX('Conteo de inventario'!$N$2:$N$2001,MATCH(10,'Conteo de inventario'!$S$2:$S$2001,0)))</f>
        <v/>
      </c>
    </row>
    <row r="36">
      <c r="B36" s="14">
        <f>IF(COUNTIF('Conteo de inventario'!$S$2:$S$2001,11)=0,"",11)</f>
        <v/>
      </c>
      <c r="C36" s="14">
        <f>IF($B36="","",INDEX('Conteo de inventario'!$C$2:$C$2001,MATCH(11,'Conteo de inventario'!$S$2:$S$2001,0)))</f>
        <v/>
      </c>
      <c r="D36" s="14">
        <f>IF($B36="","",IFERROR(INDEX(Vinos!$G$2:$G$301,MATCH(INDEX('Conteo de inventario'!$B$2:$B$2001,MATCH(11,'Conteo de inventario'!$S$2:$S$2001,0)),Vinos!$A$2:$A$301,0)),""))</f>
        <v/>
      </c>
      <c r="E36" s="18">
        <f>IF($B36="","",INDEX('Conteo de inventario'!$M$2:$M$2001,MATCH(11,'Conteo de inventario'!$S$2:$S$2001,0)))</f>
        <v/>
      </c>
      <c r="F36" s="18">
        <f>IF($B36="","",IFERROR(N(INDEX(Vinos!$N$2:$N$301,MATCH(INDEX('Conteo de inventario'!$B$2:$B$2001,MATCH(11,'Conteo de inventario'!$S$2:$S$2001,0)),Vinos!$A$2:$A$301,0))),0))</f>
        <v/>
      </c>
      <c r="G36" s="18">
        <f>IF($B36="","",MAX(0,$F36-$E36))</f>
        <v/>
      </c>
      <c r="H36" s="18">
        <f>IF($B36="","",IFERROR(ROUNDUP($G36/INDEX(Vinos!$H$2:$H$301,MATCH(INDEX('Conteo de inventario'!$B$2:$B$2001,MATCH(11,'Conteo de inventario'!$S$2:$S$2001,0)),Vinos!$A$2:$A$301,0)),0),""))</f>
        <v/>
      </c>
      <c r="I36" s="14">
        <f>IF($B36="","",INDEX('Conteo de inventario'!$N$2:$N$2001,MATCH(11,'Conteo de inventario'!$S$2:$S$2001,0)))</f>
        <v/>
      </c>
    </row>
    <row r="37">
      <c r="B37" s="14">
        <f>IF(COUNTIF('Conteo de inventario'!$S$2:$S$2001,12)=0,"",12)</f>
        <v/>
      </c>
      <c r="C37" s="14">
        <f>IF($B37="","",INDEX('Conteo de inventario'!$C$2:$C$2001,MATCH(12,'Conteo de inventario'!$S$2:$S$2001,0)))</f>
        <v/>
      </c>
      <c r="D37" s="14">
        <f>IF($B37="","",IFERROR(INDEX(Vinos!$G$2:$G$301,MATCH(INDEX('Conteo de inventario'!$B$2:$B$2001,MATCH(12,'Conteo de inventario'!$S$2:$S$2001,0)),Vinos!$A$2:$A$301,0)),""))</f>
        <v/>
      </c>
      <c r="E37" s="18">
        <f>IF($B37="","",INDEX('Conteo de inventario'!$M$2:$M$2001,MATCH(12,'Conteo de inventario'!$S$2:$S$2001,0)))</f>
        <v/>
      </c>
      <c r="F37" s="18">
        <f>IF($B37="","",IFERROR(N(INDEX(Vinos!$N$2:$N$301,MATCH(INDEX('Conteo de inventario'!$B$2:$B$2001,MATCH(12,'Conteo de inventario'!$S$2:$S$2001,0)),Vinos!$A$2:$A$301,0))),0))</f>
        <v/>
      </c>
      <c r="G37" s="18">
        <f>IF($B37="","",MAX(0,$F37-$E37))</f>
        <v/>
      </c>
      <c r="H37" s="18">
        <f>IF($B37="","",IFERROR(ROUNDUP($G37/INDEX(Vinos!$H$2:$H$301,MATCH(INDEX('Conteo de inventario'!$B$2:$B$2001,MATCH(12,'Conteo de inventario'!$S$2:$S$2001,0)),Vinos!$A$2:$A$301,0)),0),""))</f>
        <v/>
      </c>
      <c r="I37" s="14">
        <f>IF($B37="","",INDEX('Conteo de inventario'!$N$2:$N$2001,MATCH(12,'Conteo de inventario'!$S$2:$S$2001,0)))</f>
        <v/>
      </c>
    </row>
    <row r="38">
      <c r="B38" s="14">
        <f>IF(COUNTIF('Conteo de inventario'!$S$2:$S$2001,13)=0,"",13)</f>
        <v/>
      </c>
      <c r="C38" s="14">
        <f>IF($B38="","",INDEX('Conteo de inventario'!$C$2:$C$2001,MATCH(13,'Conteo de inventario'!$S$2:$S$2001,0)))</f>
        <v/>
      </c>
      <c r="D38" s="14">
        <f>IF($B38="","",IFERROR(INDEX(Vinos!$G$2:$G$301,MATCH(INDEX('Conteo de inventario'!$B$2:$B$2001,MATCH(13,'Conteo de inventario'!$S$2:$S$2001,0)),Vinos!$A$2:$A$301,0)),""))</f>
        <v/>
      </c>
      <c r="E38" s="18">
        <f>IF($B38="","",INDEX('Conteo de inventario'!$M$2:$M$2001,MATCH(13,'Conteo de inventario'!$S$2:$S$2001,0)))</f>
        <v/>
      </c>
      <c r="F38" s="18">
        <f>IF($B38="","",IFERROR(N(INDEX(Vinos!$N$2:$N$301,MATCH(INDEX('Conteo de inventario'!$B$2:$B$2001,MATCH(13,'Conteo de inventario'!$S$2:$S$2001,0)),Vinos!$A$2:$A$301,0))),0))</f>
        <v/>
      </c>
      <c r="G38" s="18">
        <f>IF($B38="","",MAX(0,$F38-$E38))</f>
        <v/>
      </c>
      <c r="H38" s="18">
        <f>IF($B38="","",IFERROR(ROUNDUP($G38/INDEX(Vinos!$H$2:$H$301,MATCH(INDEX('Conteo de inventario'!$B$2:$B$2001,MATCH(13,'Conteo de inventario'!$S$2:$S$2001,0)),Vinos!$A$2:$A$301,0)),0),""))</f>
        <v/>
      </c>
      <c r="I38" s="14">
        <f>IF($B38="","",INDEX('Conteo de inventario'!$N$2:$N$2001,MATCH(13,'Conteo de inventario'!$S$2:$S$2001,0)))</f>
        <v/>
      </c>
    </row>
    <row r="39">
      <c r="B39" s="14">
        <f>IF(COUNTIF('Conteo de inventario'!$S$2:$S$2001,14)=0,"",14)</f>
        <v/>
      </c>
      <c r="C39" s="14">
        <f>IF($B39="","",INDEX('Conteo de inventario'!$C$2:$C$2001,MATCH(14,'Conteo de inventario'!$S$2:$S$2001,0)))</f>
        <v/>
      </c>
      <c r="D39" s="14">
        <f>IF($B39="","",IFERROR(INDEX(Vinos!$G$2:$G$301,MATCH(INDEX('Conteo de inventario'!$B$2:$B$2001,MATCH(14,'Conteo de inventario'!$S$2:$S$2001,0)),Vinos!$A$2:$A$301,0)),""))</f>
        <v/>
      </c>
      <c r="E39" s="18">
        <f>IF($B39="","",INDEX('Conteo de inventario'!$M$2:$M$2001,MATCH(14,'Conteo de inventario'!$S$2:$S$2001,0)))</f>
        <v/>
      </c>
      <c r="F39" s="18">
        <f>IF($B39="","",IFERROR(N(INDEX(Vinos!$N$2:$N$301,MATCH(INDEX('Conteo de inventario'!$B$2:$B$2001,MATCH(14,'Conteo de inventario'!$S$2:$S$2001,0)),Vinos!$A$2:$A$301,0))),0))</f>
        <v/>
      </c>
      <c r="G39" s="18">
        <f>IF($B39="","",MAX(0,$F39-$E39))</f>
        <v/>
      </c>
      <c r="H39" s="18">
        <f>IF($B39="","",IFERROR(ROUNDUP($G39/INDEX(Vinos!$H$2:$H$301,MATCH(INDEX('Conteo de inventario'!$B$2:$B$2001,MATCH(14,'Conteo de inventario'!$S$2:$S$2001,0)),Vinos!$A$2:$A$301,0)),0),""))</f>
        <v/>
      </c>
      <c r="I39" s="14">
        <f>IF($B39="","",INDEX('Conteo de inventario'!$N$2:$N$2001,MATCH(14,'Conteo de inventario'!$S$2:$S$2001,0)))</f>
        <v/>
      </c>
    </row>
    <row r="40">
      <c r="B40" s="14">
        <f>IF(COUNTIF('Conteo de inventario'!$S$2:$S$2001,15)=0,"",15)</f>
        <v/>
      </c>
      <c r="C40" s="14">
        <f>IF($B40="","",INDEX('Conteo de inventario'!$C$2:$C$2001,MATCH(15,'Conteo de inventario'!$S$2:$S$2001,0)))</f>
        <v/>
      </c>
      <c r="D40" s="14">
        <f>IF($B40="","",IFERROR(INDEX(Vinos!$G$2:$G$301,MATCH(INDEX('Conteo de inventario'!$B$2:$B$2001,MATCH(15,'Conteo de inventario'!$S$2:$S$2001,0)),Vinos!$A$2:$A$301,0)),""))</f>
        <v/>
      </c>
      <c r="E40" s="18">
        <f>IF($B40="","",INDEX('Conteo de inventario'!$M$2:$M$2001,MATCH(15,'Conteo de inventario'!$S$2:$S$2001,0)))</f>
        <v/>
      </c>
      <c r="F40" s="18">
        <f>IF($B40="","",IFERROR(N(INDEX(Vinos!$N$2:$N$301,MATCH(INDEX('Conteo de inventario'!$B$2:$B$2001,MATCH(15,'Conteo de inventario'!$S$2:$S$2001,0)),Vinos!$A$2:$A$301,0))),0))</f>
        <v/>
      </c>
      <c r="G40" s="18">
        <f>IF($B40="","",MAX(0,$F40-$E40))</f>
        <v/>
      </c>
      <c r="H40" s="18">
        <f>IF($B40="","",IFERROR(ROUNDUP($G40/INDEX(Vinos!$H$2:$H$301,MATCH(INDEX('Conteo de inventario'!$B$2:$B$2001,MATCH(15,'Conteo de inventario'!$S$2:$S$2001,0)),Vinos!$A$2:$A$301,0)),0),""))</f>
        <v/>
      </c>
      <c r="I40" s="14">
        <f>IF($B40="","",INDEX('Conteo de inventario'!$N$2:$N$2001,MATCH(15,'Conteo de inventario'!$S$2:$S$2001,0)))</f>
        <v/>
      </c>
    </row>
    <row r="41">
      <c r="B41" s="14">
        <f>IF(COUNTIF('Conteo de inventario'!$S$2:$S$2001,16)=0,"",16)</f>
        <v/>
      </c>
      <c r="C41" s="14">
        <f>IF($B41="","",INDEX('Conteo de inventario'!$C$2:$C$2001,MATCH(16,'Conteo de inventario'!$S$2:$S$2001,0)))</f>
        <v/>
      </c>
      <c r="D41" s="14">
        <f>IF($B41="","",IFERROR(INDEX(Vinos!$G$2:$G$301,MATCH(INDEX('Conteo de inventario'!$B$2:$B$2001,MATCH(16,'Conteo de inventario'!$S$2:$S$2001,0)),Vinos!$A$2:$A$301,0)),""))</f>
        <v/>
      </c>
      <c r="E41" s="18">
        <f>IF($B41="","",INDEX('Conteo de inventario'!$M$2:$M$2001,MATCH(16,'Conteo de inventario'!$S$2:$S$2001,0)))</f>
        <v/>
      </c>
      <c r="F41" s="18">
        <f>IF($B41="","",IFERROR(N(INDEX(Vinos!$N$2:$N$301,MATCH(INDEX('Conteo de inventario'!$B$2:$B$2001,MATCH(16,'Conteo de inventario'!$S$2:$S$2001,0)),Vinos!$A$2:$A$301,0))),0))</f>
        <v/>
      </c>
      <c r="G41" s="18">
        <f>IF($B41="","",MAX(0,$F41-$E41))</f>
        <v/>
      </c>
      <c r="H41" s="18">
        <f>IF($B41="","",IFERROR(ROUNDUP($G41/INDEX(Vinos!$H$2:$H$301,MATCH(INDEX('Conteo de inventario'!$B$2:$B$2001,MATCH(16,'Conteo de inventario'!$S$2:$S$2001,0)),Vinos!$A$2:$A$301,0)),0),""))</f>
        <v/>
      </c>
      <c r="I41" s="14">
        <f>IF($B41="","",INDEX('Conteo de inventario'!$N$2:$N$2001,MATCH(16,'Conteo de inventario'!$S$2:$S$2001,0)))</f>
        <v/>
      </c>
    </row>
    <row r="42">
      <c r="B42" s="14">
        <f>IF(COUNTIF('Conteo de inventario'!$S$2:$S$2001,17)=0,"",17)</f>
        <v/>
      </c>
      <c r="C42" s="14">
        <f>IF($B42="","",INDEX('Conteo de inventario'!$C$2:$C$2001,MATCH(17,'Conteo de inventario'!$S$2:$S$2001,0)))</f>
        <v/>
      </c>
      <c r="D42" s="14">
        <f>IF($B42="","",IFERROR(INDEX(Vinos!$G$2:$G$301,MATCH(INDEX('Conteo de inventario'!$B$2:$B$2001,MATCH(17,'Conteo de inventario'!$S$2:$S$2001,0)),Vinos!$A$2:$A$301,0)),""))</f>
        <v/>
      </c>
      <c r="E42" s="18">
        <f>IF($B42="","",INDEX('Conteo de inventario'!$M$2:$M$2001,MATCH(17,'Conteo de inventario'!$S$2:$S$2001,0)))</f>
        <v/>
      </c>
      <c r="F42" s="18">
        <f>IF($B42="","",IFERROR(N(INDEX(Vinos!$N$2:$N$301,MATCH(INDEX('Conteo de inventario'!$B$2:$B$2001,MATCH(17,'Conteo de inventario'!$S$2:$S$2001,0)),Vinos!$A$2:$A$301,0))),0))</f>
        <v/>
      </c>
      <c r="G42" s="18">
        <f>IF($B42="","",MAX(0,$F42-$E42))</f>
        <v/>
      </c>
      <c r="H42" s="18">
        <f>IF($B42="","",IFERROR(ROUNDUP($G42/INDEX(Vinos!$H$2:$H$301,MATCH(INDEX('Conteo de inventario'!$B$2:$B$2001,MATCH(17,'Conteo de inventario'!$S$2:$S$2001,0)),Vinos!$A$2:$A$301,0)),0),""))</f>
        <v/>
      </c>
      <c r="I42" s="14">
        <f>IF($B42="","",INDEX('Conteo de inventario'!$N$2:$N$2001,MATCH(17,'Conteo de inventario'!$S$2:$S$2001,0)))</f>
        <v/>
      </c>
    </row>
    <row r="43">
      <c r="B43" s="14">
        <f>IF(COUNTIF('Conteo de inventario'!$S$2:$S$2001,18)=0,"",18)</f>
        <v/>
      </c>
      <c r="C43" s="14">
        <f>IF($B43="","",INDEX('Conteo de inventario'!$C$2:$C$2001,MATCH(18,'Conteo de inventario'!$S$2:$S$2001,0)))</f>
        <v/>
      </c>
      <c r="D43" s="14">
        <f>IF($B43="","",IFERROR(INDEX(Vinos!$G$2:$G$301,MATCH(INDEX('Conteo de inventario'!$B$2:$B$2001,MATCH(18,'Conteo de inventario'!$S$2:$S$2001,0)),Vinos!$A$2:$A$301,0)),""))</f>
        <v/>
      </c>
      <c r="E43" s="18">
        <f>IF($B43="","",INDEX('Conteo de inventario'!$M$2:$M$2001,MATCH(18,'Conteo de inventario'!$S$2:$S$2001,0)))</f>
        <v/>
      </c>
      <c r="F43" s="18">
        <f>IF($B43="","",IFERROR(N(INDEX(Vinos!$N$2:$N$301,MATCH(INDEX('Conteo de inventario'!$B$2:$B$2001,MATCH(18,'Conteo de inventario'!$S$2:$S$2001,0)),Vinos!$A$2:$A$301,0))),0))</f>
        <v/>
      </c>
      <c r="G43" s="18">
        <f>IF($B43="","",MAX(0,$F43-$E43))</f>
        <v/>
      </c>
      <c r="H43" s="18">
        <f>IF($B43="","",IFERROR(ROUNDUP($G43/INDEX(Vinos!$H$2:$H$301,MATCH(INDEX('Conteo de inventario'!$B$2:$B$2001,MATCH(18,'Conteo de inventario'!$S$2:$S$2001,0)),Vinos!$A$2:$A$301,0)),0),""))</f>
        <v/>
      </c>
      <c r="I43" s="14">
        <f>IF($B43="","",INDEX('Conteo de inventario'!$N$2:$N$2001,MATCH(18,'Conteo de inventario'!$S$2:$S$2001,0)))</f>
        <v/>
      </c>
    </row>
    <row r="44">
      <c r="B44" s="14">
        <f>IF(COUNTIF('Conteo de inventario'!$S$2:$S$2001,19)=0,"",19)</f>
        <v/>
      </c>
      <c r="C44" s="14">
        <f>IF($B44="","",INDEX('Conteo de inventario'!$C$2:$C$2001,MATCH(19,'Conteo de inventario'!$S$2:$S$2001,0)))</f>
        <v/>
      </c>
      <c r="D44" s="14">
        <f>IF($B44="","",IFERROR(INDEX(Vinos!$G$2:$G$301,MATCH(INDEX('Conteo de inventario'!$B$2:$B$2001,MATCH(19,'Conteo de inventario'!$S$2:$S$2001,0)),Vinos!$A$2:$A$301,0)),""))</f>
        <v/>
      </c>
      <c r="E44" s="18">
        <f>IF($B44="","",INDEX('Conteo de inventario'!$M$2:$M$2001,MATCH(19,'Conteo de inventario'!$S$2:$S$2001,0)))</f>
        <v/>
      </c>
      <c r="F44" s="18">
        <f>IF($B44="","",IFERROR(N(INDEX(Vinos!$N$2:$N$301,MATCH(INDEX('Conteo de inventario'!$B$2:$B$2001,MATCH(19,'Conteo de inventario'!$S$2:$S$2001,0)),Vinos!$A$2:$A$301,0))),0))</f>
        <v/>
      </c>
      <c r="G44" s="18">
        <f>IF($B44="","",MAX(0,$F44-$E44))</f>
        <v/>
      </c>
      <c r="H44" s="18">
        <f>IF($B44="","",IFERROR(ROUNDUP($G44/INDEX(Vinos!$H$2:$H$301,MATCH(INDEX('Conteo de inventario'!$B$2:$B$2001,MATCH(19,'Conteo de inventario'!$S$2:$S$2001,0)),Vinos!$A$2:$A$301,0)),0),""))</f>
        <v/>
      </c>
      <c r="I44" s="14">
        <f>IF($B44="","",INDEX('Conteo de inventario'!$N$2:$N$2001,MATCH(19,'Conteo de inventario'!$S$2:$S$2001,0)))</f>
        <v/>
      </c>
    </row>
    <row r="45">
      <c r="B45" s="14">
        <f>IF(COUNTIF('Conteo de inventario'!$S$2:$S$2001,20)=0,"",20)</f>
        <v/>
      </c>
      <c r="C45" s="14">
        <f>IF($B45="","",INDEX('Conteo de inventario'!$C$2:$C$2001,MATCH(20,'Conteo de inventario'!$S$2:$S$2001,0)))</f>
        <v/>
      </c>
      <c r="D45" s="14">
        <f>IF($B45="","",IFERROR(INDEX(Vinos!$G$2:$G$301,MATCH(INDEX('Conteo de inventario'!$B$2:$B$2001,MATCH(20,'Conteo de inventario'!$S$2:$S$2001,0)),Vinos!$A$2:$A$301,0)),""))</f>
        <v/>
      </c>
      <c r="E45" s="18">
        <f>IF($B45="","",INDEX('Conteo de inventario'!$M$2:$M$2001,MATCH(20,'Conteo de inventario'!$S$2:$S$2001,0)))</f>
        <v/>
      </c>
      <c r="F45" s="18">
        <f>IF($B45="","",IFERROR(N(INDEX(Vinos!$N$2:$N$301,MATCH(INDEX('Conteo de inventario'!$B$2:$B$2001,MATCH(20,'Conteo de inventario'!$S$2:$S$2001,0)),Vinos!$A$2:$A$301,0))),0))</f>
        <v/>
      </c>
      <c r="G45" s="18">
        <f>IF($B45="","",MAX(0,$F45-$E45))</f>
        <v/>
      </c>
      <c r="H45" s="18">
        <f>IF($B45="","",IFERROR(ROUNDUP($G45/INDEX(Vinos!$H$2:$H$301,MATCH(INDEX('Conteo de inventario'!$B$2:$B$2001,MATCH(20,'Conteo de inventario'!$S$2:$S$2001,0)),Vinos!$A$2:$A$301,0)),0),""))</f>
        <v/>
      </c>
      <c r="I45" s="14">
        <f>IF($B45="","",INDEX('Conteo de inventario'!$N$2:$N$2001,MATCH(20,'Conteo de inventario'!$S$2:$S$2001,0)))</f>
        <v/>
      </c>
    </row>
    <row r="46">
      <c r="B46" s="14">
        <f>IF(COUNTIF('Conteo de inventario'!$S$2:$S$2001,21)=0,"",21)</f>
        <v/>
      </c>
      <c r="C46" s="14">
        <f>IF($B46="","",INDEX('Conteo de inventario'!$C$2:$C$2001,MATCH(21,'Conteo de inventario'!$S$2:$S$2001,0)))</f>
        <v/>
      </c>
      <c r="D46" s="14">
        <f>IF($B46="","",IFERROR(INDEX(Vinos!$G$2:$G$301,MATCH(INDEX('Conteo de inventario'!$B$2:$B$2001,MATCH(21,'Conteo de inventario'!$S$2:$S$2001,0)),Vinos!$A$2:$A$301,0)),""))</f>
        <v/>
      </c>
      <c r="E46" s="18">
        <f>IF($B46="","",INDEX('Conteo de inventario'!$M$2:$M$2001,MATCH(21,'Conteo de inventario'!$S$2:$S$2001,0)))</f>
        <v/>
      </c>
      <c r="F46" s="18">
        <f>IF($B46="","",IFERROR(N(INDEX(Vinos!$N$2:$N$301,MATCH(INDEX('Conteo de inventario'!$B$2:$B$2001,MATCH(21,'Conteo de inventario'!$S$2:$S$2001,0)),Vinos!$A$2:$A$301,0))),0))</f>
        <v/>
      </c>
      <c r="G46" s="18">
        <f>IF($B46="","",MAX(0,$F46-$E46))</f>
        <v/>
      </c>
      <c r="H46" s="18">
        <f>IF($B46="","",IFERROR(ROUNDUP($G46/INDEX(Vinos!$H$2:$H$301,MATCH(INDEX('Conteo de inventario'!$B$2:$B$2001,MATCH(21,'Conteo de inventario'!$S$2:$S$2001,0)),Vinos!$A$2:$A$301,0)),0),""))</f>
        <v/>
      </c>
      <c r="I46" s="14">
        <f>IF($B46="","",INDEX('Conteo de inventario'!$N$2:$N$2001,MATCH(21,'Conteo de inventario'!$S$2:$S$2001,0)))</f>
        <v/>
      </c>
    </row>
    <row r="47">
      <c r="B47" s="14">
        <f>IF(COUNTIF('Conteo de inventario'!$S$2:$S$2001,22)=0,"",22)</f>
        <v/>
      </c>
      <c r="C47" s="14">
        <f>IF($B47="","",INDEX('Conteo de inventario'!$C$2:$C$2001,MATCH(22,'Conteo de inventario'!$S$2:$S$2001,0)))</f>
        <v/>
      </c>
      <c r="D47" s="14">
        <f>IF($B47="","",IFERROR(INDEX(Vinos!$G$2:$G$301,MATCH(INDEX('Conteo de inventario'!$B$2:$B$2001,MATCH(22,'Conteo de inventario'!$S$2:$S$2001,0)),Vinos!$A$2:$A$301,0)),""))</f>
        <v/>
      </c>
      <c r="E47" s="18">
        <f>IF($B47="","",INDEX('Conteo de inventario'!$M$2:$M$2001,MATCH(22,'Conteo de inventario'!$S$2:$S$2001,0)))</f>
        <v/>
      </c>
      <c r="F47" s="18">
        <f>IF($B47="","",IFERROR(N(INDEX(Vinos!$N$2:$N$301,MATCH(INDEX('Conteo de inventario'!$B$2:$B$2001,MATCH(22,'Conteo de inventario'!$S$2:$S$2001,0)),Vinos!$A$2:$A$301,0))),0))</f>
        <v/>
      </c>
      <c r="G47" s="18">
        <f>IF($B47="","",MAX(0,$F47-$E47))</f>
        <v/>
      </c>
      <c r="H47" s="18">
        <f>IF($B47="","",IFERROR(ROUNDUP($G47/INDEX(Vinos!$H$2:$H$301,MATCH(INDEX('Conteo de inventario'!$B$2:$B$2001,MATCH(22,'Conteo de inventario'!$S$2:$S$2001,0)),Vinos!$A$2:$A$301,0)),0),""))</f>
        <v/>
      </c>
      <c r="I47" s="14">
        <f>IF($B47="","",INDEX('Conteo de inventario'!$N$2:$N$2001,MATCH(22,'Conteo de inventario'!$S$2:$S$2001,0)))</f>
        <v/>
      </c>
    </row>
    <row r="48">
      <c r="B48" s="14">
        <f>IF(COUNTIF('Conteo de inventario'!$S$2:$S$2001,23)=0,"",23)</f>
        <v/>
      </c>
      <c r="C48" s="14">
        <f>IF($B48="","",INDEX('Conteo de inventario'!$C$2:$C$2001,MATCH(23,'Conteo de inventario'!$S$2:$S$2001,0)))</f>
        <v/>
      </c>
      <c r="D48" s="14">
        <f>IF($B48="","",IFERROR(INDEX(Vinos!$G$2:$G$301,MATCH(INDEX('Conteo de inventario'!$B$2:$B$2001,MATCH(23,'Conteo de inventario'!$S$2:$S$2001,0)),Vinos!$A$2:$A$301,0)),""))</f>
        <v/>
      </c>
      <c r="E48" s="18">
        <f>IF($B48="","",INDEX('Conteo de inventario'!$M$2:$M$2001,MATCH(23,'Conteo de inventario'!$S$2:$S$2001,0)))</f>
        <v/>
      </c>
      <c r="F48" s="18">
        <f>IF($B48="","",IFERROR(N(INDEX(Vinos!$N$2:$N$301,MATCH(INDEX('Conteo de inventario'!$B$2:$B$2001,MATCH(23,'Conteo de inventario'!$S$2:$S$2001,0)),Vinos!$A$2:$A$301,0))),0))</f>
        <v/>
      </c>
      <c r="G48" s="18">
        <f>IF($B48="","",MAX(0,$F48-$E48))</f>
        <v/>
      </c>
      <c r="H48" s="18">
        <f>IF($B48="","",IFERROR(ROUNDUP($G48/INDEX(Vinos!$H$2:$H$301,MATCH(INDEX('Conteo de inventario'!$B$2:$B$2001,MATCH(23,'Conteo de inventario'!$S$2:$S$2001,0)),Vinos!$A$2:$A$301,0)),0),""))</f>
        <v/>
      </c>
      <c r="I48" s="14">
        <f>IF($B48="","",INDEX('Conteo de inventario'!$N$2:$N$2001,MATCH(23,'Conteo de inventario'!$S$2:$S$2001,0)))</f>
        <v/>
      </c>
    </row>
    <row r="49">
      <c r="B49" s="14">
        <f>IF(COUNTIF('Conteo de inventario'!$S$2:$S$2001,24)=0,"",24)</f>
        <v/>
      </c>
      <c r="C49" s="14">
        <f>IF($B49="","",INDEX('Conteo de inventario'!$C$2:$C$2001,MATCH(24,'Conteo de inventario'!$S$2:$S$2001,0)))</f>
        <v/>
      </c>
      <c r="D49" s="14">
        <f>IF($B49="","",IFERROR(INDEX(Vinos!$G$2:$G$301,MATCH(INDEX('Conteo de inventario'!$B$2:$B$2001,MATCH(24,'Conteo de inventario'!$S$2:$S$2001,0)),Vinos!$A$2:$A$301,0)),""))</f>
        <v/>
      </c>
      <c r="E49" s="18">
        <f>IF($B49="","",INDEX('Conteo de inventario'!$M$2:$M$2001,MATCH(24,'Conteo de inventario'!$S$2:$S$2001,0)))</f>
        <v/>
      </c>
      <c r="F49" s="18">
        <f>IF($B49="","",IFERROR(N(INDEX(Vinos!$N$2:$N$301,MATCH(INDEX('Conteo de inventario'!$B$2:$B$2001,MATCH(24,'Conteo de inventario'!$S$2:$S$2001,0)),Vinos!$A$2:$A$301,0))),0))</f>
        <v/>
      </c>
      <c r="G49" s="18">
        <f>IF($B49="","",MAX(0,$F49-$E49))</f>
        <v/>
      </c>
      <c r="H49" s="18">
        <f>IF($B49="","",IFERROR(ROUNDUP($G49/INDEX(Vinos!$H$2:$H$301,MATCH(INDEX('Conteo de inventario'!$B$2:$B$2001,MATCH(24,'Conteo de inventario'!$S$2:$S$2001,0)),Vinos!$A$2:$A$301,0)),0),""))</f>
        <v/>
      </c>
      <c r="I49" s="14">
        <f>IF($B49="","",INDEX('Conteo de inventario'!$N$2:$N$2001,MATCH(24,'Conteo de inventario'!$S$2:$S$2001,0)))</f>
        <v/>
      </c>
    </row>
    <row r="50">
      <c r="B50" s="14">
        <f>IF(COUNTIF('Conteo de inventario'!$S$2:$S$2001,25)=0,"",25)</f>
        <v/>
      </c>
      <c r="C50" s="14">
        <f>IF($B50="","",INDEX('Conteo de inventario'!$C$2:$C$2001,MATCH(25,'Conteo de inventario'!$S$2:$S$2001,0)))</f>
        <v/>
      </c>
      <c r="D50" s="14">
        <f>IF($B50="","",IFERROR(INDEX(Vinos!$G$2:$G$301,MATCH(INDEX('Conteo de inventario'!$B$2:$B$2001,MATCH(25,'Conteo de inventario'!$S$2:$S$2001,0)),Vinos!$A$2:$A$301,0)),""))</f>
        <v/>
      </c>
      <c r="E50" s="18">
        <f>IF($B50="","",INDEX('Conteo de inventario'!$M$2:$M$2001,MATCH(25,'Conteo de inventario'!$S$2:$S$2001,0)))</f>
        <v/>
      </c>
      <c r="F50" s="18">
        <f>IF($B50="","",IFERROR(N(INDEX(Vinos!$N$2:$N$301,MATCH(INDEX('Conteo de inventario'!$B$2:$B$2001,MATCH(25,'Conteo de inventario'!$S$2:$S$2001,0)),Vinos!$A$2:$A$301,0))),0))</f>
        <v/>
      </c>
      <c r="G50" s="18">
        <f>IF($B50="","",MAX(0,$F50-$E50))</f>
        <v/>
      </c>
      <c r="H50" s="18">
        <f>IF($B50="","",IFERROR(ROUNDUP($G50/INDEX(Vinos!$H$2:$H$301,MATCH(INDEX('Conteo de inventario'!$B$2:$B$2001,MATCH(25,'Conteo de inventario'!$S$2:$S$2001,0)),Vinos!$A$2:$A$301,0)),0),""))</f>
        <v/>
      </c>
      <c r="I50" s="14">
        <f>IF($B50="","",INDEX('Conteo de inventario'!$N$2:$N$2001,MATCH(25,'Conteo de inventario'!$S$2:$S$2001,0)))</f>
        <v/>
      </c>
    </row>
    <row r="51">
      <c r="B51" s="14">
        <f>IF(COUNTIF('Conteo de inventario'!$S$2:$S$2001,26)=0,"",26)</f>
        <v/>
      </c>
      <c r="C51" s="14">
        <f>IF($B51="","",INDEX('Conteo de inventario'!$C$2:$C$2001,MATCH(26,'Conteo de inventario'!$S$2:$S$2001,0)))</f>
        <v/>
      </c>
      <c r="D51" s="14">
        <f>IF($B51="","",IFERROR(INDEX(Vinos!$G$2:$G$301,MATCH(INDEX('Conteo de inventario'!$B$2:$B$2001,MATCH(26,'Conteo de inventario'!$S$2:$S$2001,0)),Vinos!$A$2:$A$301,0)),""))</f>
        <v/>
      </c>
      <c r="E51" s="18">
        <f>IF($B51="","",INDEX('Conteo de inventario'!$M$2:$M$2001,MATCH(26,'Conteo de inventario'!$S$2:$S$2001,0)))</f>
        <v/>
      </c>
      <c r="F51" s="18">
        <f>IF($B51="","",IFERROR(N(INDEX(Vinos!$N$2:$N$301,MATCH(INDEX('Conteo de inventario'!$B$2:$B$2001,MATCH(26,'Conteo de inventario'!$S$2:$S$2001,0)),Vinos!$A$2:$A$301,0))),0))</f>
        <v/>
      </c>
      <c r="G51" s="18">
        <f>IF($B51="","",MAX(0,$F51-$E51))</f>
        <v/>
      </c>
      <c r="H51" s="18">
        <f>IF($B51="","",IFERROR(ROUNDUP($G51/INDEX(Vinos!$H$2:$H$301,MATCH(INDEX('Conteo de inventario'!$B$2:$B$2001,MATCH(26,'Conteo de inventario'!$S$2:$S$2001,0)),Vinos!$A$2:$A$301,0)),0),""))</f>
        <v/>
      </c>
      <c r="I51" s="14">
        <f>IF($B51="","",INDEX('Conteo de inventario'!$N$2:$N$2001,MATCH(26,'Conteo de inventario'!$S$2:$S$2001,0)))</f>
        <v/>
      </c>
    </row>
    <row r="52">
      <c r="B52" s="14">
        <f>IF(COUNTIF('Conteo de inventario'!$S$2:$S$2001,27)=0,"",27)</f>
        <v/>
      </c>
      <c r="C52" s="14">
        <f>IF($B52="","",INDEX('Conteo de inventario'!$C$2:$C$2001,MATCH(27,'Conteo de inventario'!$S$2:$S$2001,0)))</f>
        <v/>
      </c>
      <c r="D52" s="14">
        <f>IF($B52="","",IFERROR(INDEX(Vinos!$G$2:$G$301,MATCH(INDEX('Conteo de inventario'!$B$2:$B$2001,MATCH(27,'Conteo de inventario'!$S$2:$S$2001,0)),Vinos!$A$2:$A$301,0)),""))</f>
        <v/>
      </c>
      <c r="E52" s="18">
        <f>IF($B52="","",INDEX('Conteo de inventario'!$M$2:$M$2001,MATCH(27,'Conteo de inventario'!$S$2:$S$2001,0)))</f>
        <v/>
      </c>
      <c r="F52" s="18">
        <f>IF($B52="","",IFERROR(N(INDEX(Vinos!$N$2:$N$301,MATCH(INDEX('Conteo de inventario'!$B$2:$B$2001,MATCH(27,'Conteo de inventario'!$S$2:$S$2001,0)),Vinos!$A$2:$A$301,0))),0))</f>
        <v/>
      </c>
      <c r="G52" s="18">
        <f>IF($B52="","",MAX(0,$F52-$E52))</f>
        <v/>
      </c>
      <c r="H52" s="18">
        <f>IF($B52="","",IFERROR(ROUNDUP($G52/INDEX(Vinos!$H$2:$H$301,MATCH(INDEX('Conteo de inventario'!$B$2:$B$2001,MATCH(27,'Conteo de inventario'!$S$2:$S$2001,0)),Vinos!$A$2:$A$301,0)),0),""))</f>
        <v/>
      </c>
      <c r="I52" s="14">
        <f>IF($B52="","",INDEX('Conteo de inventario'!$N$2:$N$2001,MATCH(27,'Conteo de inventario'!$S$2:$S$2001,0)))</f>
        <v/>
      </c>
    </row>
    <row r="53">
      <c r="B53" s="14">
        <f>IF(COUNTIF('Conteo de inventario'!$S$2:$S$2001,28)=0,"",28)</f>
        <v/>
      </c>
      <c r="C53" s="14">
        <f>IF($B53="","",INDEX('Conteo de inventario'!$C$2:$C$2001,MATCH(28,'Conteo de inventario'!$S$2:$S$2001,0)))</f>
        <v/>
      </c>
      <c r="D53" s="14">
        <f>IF($B53="","",IFERROR(INDEX(Vinos!$G$2:$G$301,MATCH(INDEX('Conteo de inventario'!$B$2:$B$2001,MATCH(28,'Conteo de inventario'!$S$2:$S$2001,0)),Vinos!$A$2:$A$301,0)),""))</f>
        <v/>
      </c>
      <c r="E53" s="18">
        <f>IF($B53="","",INDEX('Conteo de inventario'!$M$2:$M$2001,MATCH(28,'Conteo de inventario'!$S$2:$S$2001,0)))</f>
        <v/>
      </c>
      <c r="F53" s="18">
        <f>IF($B53="","",IFERROR(N(INDEX(Vinos!$N$2:$N$301,MATCH(INDEX('Conteo de inventario'!$B$2:$B$2001,MATCH(28,'Conteo de inventario'!$S$2:$S$2001,0)),Vinos!$A$2:$A$301,0))),0))</f>
        <v/>
      </c>
      <c r="G53" s="18">
        <f>IF($B53="","",MAX(0,$F53-$E53))</f>
        <v/>
      </c>
      <c r="H53" s="18">
        <f>IF($B53="","",IFERROR(ROUNDUP($G53/INDEX(Vinos!$H$2:$H$301,MATCH(INDEX('Conteo de inventario'!$B$2:$B$2001,MATCH(28,'Conteo de inventario'!$S$2:$S$2001,0)),Vinos!$A$2:$A$301,0)),0),""))</f>
        <v/>
      </c>
      <c r="I53" s="14">
        <f>IF($B53="","",INDEX('Conteo de inventario'!$N$2:$N$2001,MATCH(28,'Conteo de inventario'!$S$2:$S$2001,0)))</f>
        <v/>
      </c>
    </row>
    <row r="54">
      <c r="B54" s="14">
        <f>IF(COUNTIF('Conteo de inventario'!$S$2:$S$2001,29)=0,"",29)</f>
        <v/>
      </c>
      <c r="C54" s="14">
        <f>IF($B54="","",INDEX('Conteo de inventario'!$C$2:$C$2001,MATCH(29,'Conteo de inventario'!$S$2:$S$2001,0)))</f>
        <v/>
      </c>
      <c r="D54" s="14">
        <f>IF($B54="","",IFERROR(INDEX(Vinos!$G$2:$G$301,MATCH(INDEX('Conteo de inventario'!$B$2:$B$2001,MATCH(29,'Conteo de inventario'!$S$2:$S$2001,0)),Vinos!$A$2:$A$301,0)),""))</f>
        <v/>
      </c>
      <c r="E54" s="18">
        <f>IF($B54="","",INDEX('Conteo de inventario'!$M$2:$M$2001,MATCH(29,'Conteo de inventario'!$S$2:$S$2001,0)))</f>
        <v/>
      </c>
      <c r="F54" s="18">
        <f>IF($B54="","",IFERROR(N(INDEX(Vinos!$N$2:$N$301,MATCH(INDEX('Conteo de inventario'!$B$2:$B$2001,MATCH(29,'Conteo de inventario'!$S$2:$S$2001,0)),Vinos!$A$2:$A$301,0))),0))</f>
        <v/>
      </c>
      <c r="G54" s="18">
        <f>IF($B54="","",MAX(0,$F54-$E54))</f>
        <v/>
      </c>
      <c r="H54" s="18">
        <f>IF($B54="","",IFERROR(ROUNDUP($G54/INDEX(Vinos!$H$2:$H$301,MATCH(INDEX('Conteo de inventario'!$B$2:$B$2001,MATCH(29,'Conteo de inventario'!$S$2:$S$2001,0)),Vinos!$A$2:$A$301,0)),0),""))</f>
        <v/>
      </c>
      <c r="I54" s="14">
        <f>IF($B54="","",INDEX('Conteo de inventario'!$N$2:$N$2001,MATCH(29,'Conteo de inventario'!$S$2:$S$2001,0)))</f>
        <v/>
      </c>
    </row>
    <row r="55">
      <c r="B55" s="14">
        <f>IF(COUNTIF('Conteo de inventario'!$S$2:$S$2001,30)=0,"",30)</f>
        <v/>
      </c>
      <c r="C55" s="14">
        <f>IF($B55="","",INDEX('Conteo de inventario'!$C$2:$C$2001,MATCH(30,'Conteo de inventario'!$S$2:$S$2001,0)))</f>
        <v/>
      </c>
      <c r="D55" s="14">
        <f>IF($B55="","",IFERROR(INDEX(Vinos!$G$2:$G$301,MATCH(INDEX('Conteo de inventario'!$B$2:$B$2001,MATCH(30,'Conteo de inventario'!$S$2:$S$2001,0)),Vinos!$A$2:$A$301,0)),""))</f>
        <v/>
      </c>
      <c r="E55" s="18">
        <f>IF($B55="","",INDEX('Conteo de inventario'!$M$2:$M$2001,MATCH(30,'Conteo de inventario'!$S$2:$S$2001,0)))</f>
        <v/>
      </c>
      <c r="F55" s="18">
        <f>IF($B55="","",IFERROR(N(INDEX(Vinos!$N$2:$N$301,MATCH(INDEX('Conteo de inventario'!$B$2:$B$2001,MATCH(30,'Conteo de inventario'!$S$2:$S$2001,0)),Vinos!$A$2:$A$301,0))),0))</f>
        <v/>
      </c>
      <c r="G55" s="18">
        <f>IF($B55="","",MAX(0,$F55-$E55))</f>
        <v/>
      </c>
      <c r="H55" s="18">
        <f>IF($B55="","",IFERROR(ROUNDUP($G55/INDEX(Vinos!$H$2:$H$301,MATCH(INDEX('Conteo de inventario'!$B$2:$B$2001,MATCH(30,'Conteo de inventario'!$S$2:$S$2001,0)),Vinos!$A$2:$A$301,0)),0),""))</f>
        <v/>
      </c>
      <c r="I55" s="14">
        <f>IF($B55="","",INDEX('Conteo de inventario'!$N$2:$N$2001,MATCH(30,'Conteo de inventario'!$S$2:$S$2001,0)))</f>
        <v/>
      </c>
    </row>
    <row r="56">
      <c r="B56" s="14">
        <f>IF(COUNTIF('Conteo de inventario'!$S$2:$S$2001,31)=0,"",31)</f>
        <v/>
      </c>
      <c r="C56" s="14">
        <f>IF($B56="","",INDEX('Conteo de inventario'!$C$2:$C$2001,MATCH(31,'Conteo de inventario'!$S$2:$S$2001,0)))</f>
        <v/>
      </c>
      <c r="D56" s="14">
        <f>IF($B56="","",IFERROR(INDEX(Vinos!$G$2:$G$301,MATCH(INDEX('Conteo de inventario'!$B$2:$B$2001,MATCH(31,'Conteo de inventario'!$S$2:$S$2001,0)),Vinos!$A$2:$A$301,0)),""))</f>
        <v/>
      </c>
      <c r="E56" s="18">
        <f>IF($B56="","",INDEX('Conteo de inventario'!$M$2:$M$2001,MATCH(31,'Conteo de inventario'!$S$2:$S$2001,0)))</f>
        <v/>
      </c>
      <c r="F56" s="18">
        <f>IF($B56="","",IFERROR(N(INDEX(Vinos!$N$2:$N$301,MATCH(INDEX('Conteo de inventario'!$B$2:$B$2001,MATCH(31,'Conteo de inventario'!$S$2:$S$2001,0)),Vinos!$A$2:$A$301,0))),0))</f>
        <v/>
      </c>
      <c r="G56" s="18">
        <f>IF($B56="","",MAX(0,$F56-$E56))</f>
        <v/>
      </c>
      <c r="H56" s="18">
        <f>IF($B56="","",IFERROR(ROUNDUP($G56/INDEX(Vinos!$H$2:$H$301,MATCH(INDEX('Conteo de inventario'!$B$2:$B$2001,MATCH(31,'Conteo de inventario'!$S$2:$S$2001,0)),Vinos!$A$2:$A$301,0)),0),""))</f>
        <v/>
      </c>
      <c r="I56" s="14">
        <f>IF($B56="","",INDEX('Conteo de inventario'!$N$2:$N$2001,MATCH(31,'Conteo de inventario'!$S$2:$S$2001,0)))</f>
        <v/>
      </c>
    </row>
    <row r="57">
      <c r="B57" s="14">
        <f>IF(COUNTIF('Conteo de inventario'!$S$2:$S$2001,32)=0,"",32)</f>
        <v/>
      </c>
      <c r="C57" s="14">
        <f>IF($B57="","",INDEX('Conteo de inventario'!$C$2:$C$2001,MATCH(32,'Conteo de inventario'!$S$2:$S$2001,0)))</f>
        <v/>
      </c>
      <c r="D57" s="14">
        <f>IF($B57="","",IFERROR(INDEX(Vinos!$G$2:$G$301,MATCH(INDEX('Conteo de inventario'!$B$2:$B$2001,MATCH(32,'Conteo de inventario'!$S$2:$S$2001,0)),Vinos!$A$2:$A$301,0)),""))</f>
        <v/>
      </c>
      <c r="E57" s="18">
        <f>IF($B57="","",INDEX('Conteo de inventario'!$M$2:$M$2001,MATCH(32,'Conteo de inventario'!$S$2:$S$2001,0)))</f>
        <v/>
      </c>
      <c r="F57" s="18">
        <f>IF($B57="","",IFERROR(N(INDEX(Vinos!$N$2:$N$301,MATCH(INDEX('Conteo de inventario'!$B$2:$B$2001,MATCH(32,'Conteo de inventario'!$S$2:$S$2001,0)),Vinos!$A$2:$A$301,0))),0))</f>
        <v/>
      </c>
      <c r="G57" s="18">
        <f>IF($B57="","",MAX(0,$F57-$E57))</f>
        <v/>
      </c>
      <c r="H57" s="18">
        <f>IF($B57="","",IFERROR(ROUNDUP($G57/INDEX(Vinos!$H$2:$H$301,MATCH(INDEX('Conteo de inventario'!$B$2:$B$2001,MATCH(32,'Conteo de inventario'!$S$2:$S$2001,0)),Vinos!$A$2:$A$301,0)),0),""))</f>
        <v/>
      </c>
      <c r="I57" s="14">
        <f>IF($B57="","",INDEX('Conteo de inventario'!$N$2:$N$2001,MATCH(32,'Conteo de inventario'!$S$2:$S$2001,0)))</f>
        <v/>
      </c>
    </row>
    <row r="58">
      <c r="B58" s="14">
        <f>IF(COUNTIF('Conteo de inventario'!$S$2:$S$2001,33)=0,"",33)</f>
        <v/>
      </c>
      <c r="C58" s="14">
        <f>IF($B58="","",INDEX('Conteo de inventario'!$C$2:$C$2001,MATCH(33,'Conteo de inventario'!$S$2:$S$2001,0)))</f>
        <v/>
      </c>
      <c r="D58" s="14">
        <f>IF($B58="","",IFERROR(INDEX(Vinos!$G$2:$G$301,MATCH(INDEX('Conteo de inventario'!$B$2:$B$2001,MATCH(33,'Conteo de inventario'!$S$2:$S$2001,0)),Vinos!$A$2:$A$301,0)),""))</f>
        <v/>
      </c>
      <c r="E58" s="18">
        <f>IF($B58="","",INDEX('Conteo de inventario'!$M$2:$M$2001,MATCH(33,'Conteo de inventario'!$S$2:$S$2001,0)))</f>
        <v/>
      </c>
      <c r="F58" s="18">
        <f>IF($B58="","",IFERROR(N(INDEX(Vinos!$N$2:$N$301,MATCH(INDEX('Conteo de inventario'!$B$2:$B$2001,MATCH(33,'Conteo de inventario'!$S$2:$S$2001,0)),Vinos!$A$2:$A$301,0))),0))</f>
        <v/>
      </c>
      <c r="G58" s="18">
        <f>IF($B58="","",MAX(0,$F58-$E58))</f>
        <v/>
      </c>
      <c r="H58" s="18">
        <f>IF($B58="","",IFERROR(ROUNDUP($G58/INDEX(Vinos!$H$2:$H$301,MATCH(INDEX('Conteo de inventario'!$B$2:$B$2001,MATCH(33,'Conteo de inventario'!$S$2:$S$2001,0)),Vinos!$A$2:$A$301,0)),0),""))</f>
        <v/>
      </c>
      <c r="I58" s="14">
        <f>IF($B58="","",INDEX('Conteo de inventario'!$N$2:$N$2001,MATCH(33,'Conteo de inventario'!$S$2:$S$2001,0)))</f>
        <v/>
      </c>
    </row>
    <row r="59">
      <c r="B59" s="14">
        <f>IF(COUNTIF('Conteo de inventario'!$S$2:$S$2001,34)=0,"",34)</f>
        <v/>
      </c>
      <c r="C59" s="14">
        <f>IF($B59="","",INDEX('Conteo de inventario'!$C$2:$C$2001,MATCH(34,'Conteo de inventario'!$S$2:$S$2001,0)))</f>
        <v/>
      </c>
      <c r="D59" s="14">
        <f>IF($B59="","",IFERROR(INDEX(Vinos!$G$2:$G$301,MATCH(INDEX('Conteo de inventario'!$B$2:$B$2001,MATCH(34,'Conteo de inventario'!$S$2:$S$2001,0)),Vinos!$A$2:$A$301,0)),""))</f>
        <v/>
      </c>
      <c r="E59" s="18">
        <f>IF($B59="","",INDEX('Conteo de inventario'!$M$2:$M$2001,MATCH(34,'Conteo de inventario'!$S$2:$S$2001,0)))</f>
        <v/>
      </c>
      <c r="F59" s="18">
        <f>IF($B59="","",IFERROR(N(INDEX(Vinos!$N$2:$N$301,MATCH(INDEX('Conteo de inventario'!$B$2:$B$2001,MATCH(34,'Conteo de inventario'!$S$2:$S$2001,0)),Vinos!$A$2:$A$301,0))),0))</f>
        <v/>
      </c>
      <c r="G59" s="18">
        <f>IF($B59="","",MAX(0,$F59-$E59))</f>
        <v/>
      </c>
      <c r="H59" s="18">
        <f>IF($B59="","",IFERROR(ROUNDUP($G59/INDEX(Vinos!$H$2:$H$301,MATCH(INDEX('Conteo de inventario'!$B$2:$B$2001,MATCH(34,'Conteo de inventario'!$S$2:$S$2001,0)),Vinos!$A$2:$A$301,0)),0),""))</f>
        <v/>
      </c>
      <c r="I59" s="14">
        <f>IF($B59="","",INDEX('Conteo de inventario'!$N$2:$N$2001,MATCH(34,'Conteo de inventario'!$S$2:$S$2001,0)))</f>
        <v/>
      </c>
    </row>
    <row r="60">
      <c r="B60" s="14">
        <f>IF(COUNTIF('Conteo de inventario'!$S$2:$S$2001,35)=0,"",35)</f>
        <v/>
      </c>
      <c r="C60" s="14">
        <f>IF($B60="","",INDEX('Conteo de inventario'!$C$2:$C$2001,MATCH(35,'Conteo de inventario'!$S$2:$S$2001,0)))</f>
        <v/>
      </c>
      <c r="D60" s="14">
        <f>IF($B60="","",IFERROR(INDEX(Vinos!$G$2:$G$301,MATCH(INDEX('Conteo de inventario'!$B$2:$B$2001,MATCH(35,'Conteo de inventario'!$S$2:$S$2001,0)),Vinos!$A$2:$A$301,0)),""))</f>
        <v/>
      </c>
      <c r="E60" s="18">
        <f>IF($B60="","",INDEX('Conteo de inventario'!$M$2:$M$2001,MATCH(35,'Conteo de inventario'!$S$2:$S$2001,0)))</f>
        <v/>
      </c>
      <c r="F60" s="18">
        <f>IF($B60="","",IFERROR(N(INDEX(Vinos!$N$2:$N$301,MATCH(INDEX('Conteo de inventario'!$B$2:$B$2001,MATCH(35,'Conteo de inventario'!$S$2:$S$2001,0)),Vinos!$A$2:$A$301,0))),0))</f>
        <v/>
      </c>
      <c r="G60" s="18">
        <f>IF($B60="","",MAX(0,$F60-$E60))</f>
        <v/>
      </c>
      <c r="H60" s="18">
        <f>IF($B60="","",IFERROR(ROUNDUP($G60/INDEX(Vinos!$H$2:$H$301,MATCH(INDEX('Conteo de inventario'!$B$2:$B$2001,MATCH(35,'Conteo de inventario'!$S$2:$S$2001,0)),Vinos!$A$2:$A$301,0)),0),""))</f>
        <v/>
      </c>
      <c r="I60" s="14">
        <f>IF($B60="","",INDEX('Conteo de inventario'!$N$2:$N$2001,MATCH(35,'Conteo de inventario'!$S$2:$S$2001,0)))</f>
        <v/>
      </c>
    </row>
    <row r="61">
      <c r="B61" s="14">
        <f>IF(COUNTIF('Conteo de inventario'!$S$2:$S$2001,36)=0,"",36)</f>
        <v/>
      </c>
      <c r="C61" s="14">
        <f>IF($B61="","",INDEX('Conteo de inventario'!$C$2:$C$2001,MATCH(36,'Conteo de inventario'!$S$2:$S$2001,0)))</f>
        <v/>
      </c>
      <c r="D61" s="14">
        <f>IF($B61="","",IFERROR(INDEX(Vinos!$G$2:$G$301,MATCH(INDEX('Conteo de inventario'!$B$2:$B$2001,MATCH(36,'Conteo de inventario'!$S$2:$S$2001,0)),Vinos!$A$2:$A$301,0)),""))</f>
        <v/>
      </c>
      <c r="E61" s="18">
        <f>IF($B61="","",INDEX('Conteo de inventario'!$M$2:$M$2001,MATCH(36,'Conteo de inventario'!$S$2:$S$2001,0)))</f>
        <v/>
      </c>
      <c r="F61" s="18">
        <f>IF($B61="","",IFERROR(N(INDEX(Vinos!$N$2:$N$301,MATCH(INDEX('Conteo de inventario'!$B$2:$B$2001,MATCH(36,'Conteo de inventario'!$S$2:$S$2001,0)),Vinos!$A$2:$A$301,0))),0))</f>
        <v/>
      </c>
      <c r="G61" s="18">
        <f>IF($B61="","",MAX(0,$F61-$E61))</f>
        <v/>
      </c>
      <c r="H61" s="18">
        <f>IF($B61="","",IFERROR(ROUNDUP($G61/INDEX(Vinos!$H$2:$H$301,MATCH(INDEX('Conteo de inventario'!$B$2:$B$2001,MATCH(36,'Conteo de inventario'!$S$2:$S$2001,0)),Vinos!$A$2:$A$301,0)),0),""))</f>
        <v/>
      </c>
      <c r="I61" s="14">
        <f>IF($B61="","",INDEX('Conteo de inventario'!$N$2:$N$2001,MATCH(36,'Conteo de inventario'!$S$2:$S$2001,0)))</f>
        <v/>
      </c>
    </row>
    <row r="62">
      <c r="B62" s="14">
        <f>IF(COUNTIF('Conteo de inventario'!$S$2:$S$2001,37)=0,"",37)</f>
        <v/>
      </c>
      <c r="C62" s="14">
        <f>IF($B62="","",INDEX('Conteo de inventario'!$C$2:$C$2001,MATCH(37,'Conteo de inventario'!$S$2:$S$2001,0)))</f>
        <v/>
      </c>
      <c r="D62" s="14">
        <f>IF($B62="","",IFERROR(INDEX(Vinos!$G$2:$G$301,MATCH(INDEX('Conteo de inventario'!$B$2:$B$2001,MATCH(37,'Conteo de inventario'!$S$2:$S$2001,0)),Vinos!$A$2:$A$301,0)),""))</f>
        <v/>
      </c>
      <c r="E62" s="18">
        <f>IF($B62="","",INDEX('Conteo de inventario'!$M$2:$M$2001,MATCH(37,'Conteo de inventario'!$S$2:$S$2001,0)))</f>
        <v/>
      </c>
      <c r="F62" s="18">
        <f>IF($B62="","",IFERROR(N(INDEX(Vinos!$N$2:$N$301,MATCH(INDEX('Conteo de inventario'!$B$2:$B$2001,MATCH(37,'Conteo de inventario'!$S$2:$S$2001,0)),Vinos!$A$2:$A$301,0))),0))</f>
        <v/>
      </c>
      <c r="G62" s="18">
        <f>IF($B62="","",MAX(0,$F62-$E62))</f>
        <v/>
      </c>
      <c r="H62" s="18">
        <f>IF($B62="","",IFERROR(ROUNDUP($G62/INDEX(Vinos!$H$2:$H$301,MATCH(INDEX('Conteo de inventario'!$B$2:$B$2001,MATCH(37,'Conteo de inventario'!$S$2:$S$2001,0)),Vinos!$A$2:$A$301,0)),0),""))</f>
        <v/>
      </c>
      <c r="I62" s="14">
        <f>IF($B62="","",INDEX('Conteo de inventario'!$N$2:$N$2001,MATCH(37,'Conteo de inventario'!$S$2:$S$2001,0)))</f>
        <v/>
      </c>
    </row>
    <row r="63">
      <c r="B63" s="14">
        <f>IF(COUNTIF('Conteo de inventario'!$S$2:$S$2001,38)=0,"",38)</f>
        <v/>
      </c>
      <c r="C63" s="14">
        <f>IF($B63="","",INDEX('Conteo de inventario'!$C$2:$C$2001,MATCH(38,'Conteo de inventario'!$S$2:$S$2001,0)))</f>
        <v/>
      </c>
      <c r="D63" s="14">
        <f>IF($B63="","",IFERROR(INDEX(Vinos!$G$2:$G$301,MATCH(INDEX('Conteo de inventario'!$B$2:$B$2001,MATCH(38,'Conteo de inventario'!$S$2:$S$2001,0)),Vinos!$A$2:$A$301,0)),""))</f>
        <v/>
      </c>
      <c r="E63" s="18">
        <f>IF($B63="","",INDEX('Conteo de inventario'!$M$2:$M$2001,MATCH(38,'Conteo de inventario'!$S$2:$S$2001,0)))</f>
        <v/>
      </c>
      <c r="F63" s="18">
        <f>IF($B63="","",IFERROR(N(INDEX(Vinos!$N$2:$N$301,MATCH(INDEX('Conteo de inventario'!$B$2:$B$2001,MATCH(38,'Conteo de inventario'!$S$2:$S$2001,0)),Vinos!$A$2:$A$301,0))),0))</f>
        <v/>
      </c>
      <c r="G63" s="18">
        <f>IF($B63="","",MAX(0,$F63-$E63))</f>
        <v/>
      </c>
      <c r="H63" s="18">
        <f>IF($B63="","",IFERROR(ROUNDUP($G63/INDEX(Vinos!$H$2:$H$301,MATCH(INDEX('Conteo de inventario'!$B$2:$B$2001,MATCH(38,'Conteo de inventario'!$S$2:$S$2001,0)),Vinos!$A$2:$A$301,0)),0),""))</f>
        <v/>
      </c>
      <c r="I63" s="14">
        <f>IF($B63="","",INDEX('Conteo de inventario'!$N$2:$N$2001,MATCH(38,'Conteo de inventario'!$S$2:$S$2001,0)))</f>
        <v/>
      </c>
    </row>
    <row r="64">
      <c r="B64" s="14">
        <f>IF(COUNTIF('Conteo de inventario'!$S$2:$S$2001,39)=0,"",39)</f>
        <v/>
      </c>
      <c r="C64" s="14">
        <f>IF($B64="","",INDEX('Conteo de inventario'!$C$2:$C$2001,MATCH(39,'Conteo de inventario'!$S$2:$S$2001,0)))</f>
        <v/>
      </c>
      <c r="D64" s="14">
        <f>IF($B64="","",IFERROR(INDEX(Vinos!$G$2:$G$301,MATCH(INDEX('Conteo de inventario'!$B$2:$B$2001,MATCH(39,'Conteo de inventario'!$S$2:$S$2001,0)),Vinos!$A$2:$A$301,0)),""))</f>
        <v/>
      </c>
      <c r="E64" s="18">
        <f>IF($B64="","",INDEX('Conteo de inventario'!$M$2:$M$2001,MATCH(39,'Conteo de inventario'!$S$2:$S$2001,0)))</f>
        <v/>
      </c>
      <c r="F64" s="18">
        <f>IF($B64="","",IFERROR(N(INDEX(Vinos!$N$2:$N$301,MATCH(INDEX('Conteo de inventario'!$B$2:$B$2001,MATCH(39,'Conteo de inventario'!$S$2:$S$2001,0)),Vinos!$A$2:$A$301,0))),0))</f>
        <v/>
      </c>
      <c r="G64" s="18">
        <f>IF($B64="","",MAX(0,$F64-$E64))</f>
        <v/>
      </c>
      <c r="H64" s="18">
        <f>IF($B64="","",IFERROR(ROUNDUP($G64/INDEX(Vinos!$H$2:$H$301,MATCH(INDEX('Conteo de inventario'!$B$2:$B$2001,MATCH(39,'Conteo de inventario'!$S$2:$S$2001,0)),Vinos!$A$2:$A$301,0)),0),""))</f>
        <v/>
      </c>
      <c r="I64" s="14">
        <f>IF($B64="","",INDEX('Conteo de inventario'!$N$2:$N$2001,MATCH(39,'Conteo de inventario'!$S$2:$S$2001,0)))</f>
        <v/>
      </c>
    </row>
    <row r="65">
      <c r="B65" s="14">
        <f>IF(COUNTIF('Conteo de inventario'!$S$2:$S$2001,40)=0,"",40)</f>
        <v/>
      </c>
      <c r="C65" s="14">
        <f>IF($B65="","",INDEX('Conteo de inventario'!$C$2:$C$2001,MATCH(40,'Conteo de inventario'!$S$2:$S$2001,0)))</f>
        <v/>
      </c>
      <c r="D65" s="14">
        <f>IF($B65="","",IFERROR(INDEX(Vinos!$G$2:$G$301,MATCH(INDEX('Conteo de inventario'!$B$2:$B$2001,MATCH(40,'Conteo de inventario'!$S$2:$S$2001,0)),Vinos!$A$2:$A$301,0)),""))</f>
        <v/>
      </c>
      <c r="E65" s="18">
        <f>IF($B65="","",INDEX('Conteo de inventario'!$M$2:$M$2001,MATCH(40,'Conteo de inventario'!$S$2:$S$2001,0)))</f>
        <v/>
      </c>
      <c r="F65" s="18">
        <f>IF($B65="","",IFERROR(N(INDEX(Vinos!$N$2:$N$301,MATCH(INDEX('Conteo de inventario'!$B$2:$B$2001,MATCH(40,'Conteo de inventario'!$S$2:$S$2001,0)),Vinos!$A$2:$A$301,0))),0))</f>
        <v/>
      </c>
      <c r="G65" s="18">
        <f>IF($B65="","",MAX(0,$F65-$E65))</f>
        <v/>
      </c>
      <c r="H65" s="18">
        <f>IF($B65="","",IFERROR(ROUNDUP($G65/INDEX(Vinos!$H$2:$H$301,MATCH(INDEX('Conteo de inventario'!$B$2:$B$2001,MATCH(40,'Conteo de inventario'!$S$2:$S$2001,0)),Vinos!$A$2:$A$301,0)),0),""))</f>
        <v/>
      </c>
      <c r="I65" s="14">
        <f>IF($B65="","",INDEX('Conteo de inventario'!$N$2:$N$2001,MATCH(40,'Conteo de inventario'!$S$2:$S$2001,0)))</f>
        <v/>
      </c>
    </row>
    <row r="66">
      <c r="B66" s="14">
        <f>IF(COUNTIF('Conteo de inventario'!$S$2:$S$2001,41)=0,"",41)</f>
        <v/>
      </c>
      <c r="C66" s="14">
        <f>IF($B66="","",INDEX('Conteo de inventario'!$C$2:$C$2001,MATCH(41,'Conteo de inventario'!$S$2:$S$2001,0)))</f>
        <v/>
      </c>
      <c r="D66" s="14">
        <f>IF($B66="","",IFERROR(INDEX(Vinos!$G$2:$G$301,MATCH(INDEX('Conteo de inventario'!$B$2:$B$2001,MATCH(41,'Conteo de inventario'!$S$2:$S$2001,0)),Vinos!$A$2:$A$301,0)),""))</f>
        <v/>
      </c>
      <c r="E66" s="18">
        <f>IF($B66="","",INDEX('Conteo de inventario'!$M$2:$M$2001,MATCH(41,'Conteo de inventario'!$S$2:$S$2001,0)))</f>
        <v/>
      </c>
      <c r="F66" s="18">
        <f>IF($B66="","",IFERROR(N(INDEX(Vinos!$N$2:$N$301,MATCH(INDEX('Conteo de inventario'!$B$2:$B$2001,MATCH(41,'Conteo de inventario'!$S$2:$S$2001,0)),Vinos!$A$2:$A$301,0))),0))</f>
        <v/>
      </c>
      <c r="G66" s="18">
        <f>IF($B66="","",MAX(0,$F66-$E66))</f>
        <v/>
      </c>
      <c r="H66" s="18">
        <f>IF($B66="","",IFERROR(ROUNDUP($G66/INDEX(Vinos!$H$2:$H$301,MATCH(INDEX('Conteo de inventario'!$B$2:$B$2001,MATCH(41,'Conteo de inventario'!$S$2:$S$2001,0)),Vinos!$A$2:$A$301,0)),0),""))</f>
        <v/>
      </c>
      <c r="I66" s="14">
        <f>IF($B66="","",INDEX('Conteo de inventario'!$N$2:$N$2001,MATCH(41,'Conteo de inventario'!$S$2:$S$2001,0)))</f>
        <v/>
      </c>
    </row>
    <row r="67">
      <c r="B67" s="14">
        <f>IF(COUNTIF('Conteo de inventario'!$S$2:$S$2001,42)=0,"",42)</f>
        <v/>
      </c>
      <c r="C67" s="14">
        <f>IF($B67="","",INDEX('Conteo de inventario'!$C$2:$C$2001,MATCH(42,'Conteo de inventario'!$S$2:$S$2001,0)))</f>
        <v/>
      </c>
      <c r="D67" s="14">
        <f>IF($B67="","",IFERROR(INDEX(Vinos!$G$2:$G$301,MATCH(INDEX('Conteo de inventario'!$B$2:$B$2001,MATCH(42,'Conteo de inventario'!$S$2:$S$2001,0)),Vinos!$A$2:$A$301,0)),""))</f>
        <v/>
      </c>
      <c r="E67" s="18">
        <f>IF($B67="","",INDEX('Conteo de inventario'!$M$2:$M$2001,MATCH(42,'Conteo de inventario'!$S$2:$S$2001,0)))</f>
        <v/>
      </c>
      <c r="F67" s="18">
        <f>IF($B67="","",IFERROR(N(INDEX(Vinos!$N$2:$N$301,MATCH(INDEX('Conteo de inventario'!$B$2:$B$2001,MATCH(42,'Conteo de inventario'!$S$2:$S$2001,0)),Vinos!$A$2:$A$301,0))),0))</f>
        <v/>
      </c>
      <c r="G67" s="18">
        <f>IF($B67="","",MAX(0,$F67-$E67))</f>
        <v/>
      </c>
      <c r="H67" s="18">
        <f>IF($B67="","",IFERROR(ROUNDUP($G67/INDEX(Vinos!$H$2:$H$301,MATCH(INDEX('Conteo de inventario'!$B$2:$B$2001,MATCH(42,'Conteo de inventario'!$S$2:$S$2001,0)),Vinos!$A$2:$A$301,0)),0),""))</f>
        <v/>
      </c>
      <c r="I67" s="14">
        <f>IF($B67="","",INDEX('Conteo de inventario'!$N$2:$N$2001,MATCH(42,'Conteo de inventario'!$S$2:$S$2001,0)))</f>
        <v/>
      </c>
    </row>
    <row r="68">
      <c r="B68" s="14">
        <f>IF(COUNTIF('Conteo de inventario'!$S$2:$S$2001,43)=0,"",43)</f>
        <v/>
      </c>
      <c r="C68" s="14">
        <f>IF($B68="","",INDEX('Conteo de inventario'!$C$2:$C$2001,MATCH(43,'Conteo de inventario'!$S$2:$S$2001,0)))</f>
        <v/>
      </c>
      <c r="D68" s="14">
        <f>IF($B68="","",IFERROR(INDEX(Vinos!$G$2:$G$301,MATCH(INDEX('Conteo de inventario'!$B$2:$B$2001,MATCH(43,'Conteo de inventario'!$S$2:$S$2001,0)),Vinos!$A$2:$A$301,0)),""))</f>
        <v/>
      </c>
      <c r="E68" s="18">
        <f>IF($B68="","",INDEX('Conteo de inventario'!$M$2:$M$2001,MATCH(43,'Conteo de inventario'!$S$2:$S$2001,0)))</f>
        <v/>
      </c>
      <c r="F68" s="18">
        <f>IF($B68="","",IFERROR(N(INDEX(Vinos!$N$2:$N$301,MATCH(INDEX('Conteo de inventario'!$B$2:$B$2001,MATCH(43,'Conteo de inventario'!$S$2:$S$2001,0)),Vinos!$A$2:$A$301,0))),0))</f>
        <v/>
      </c>
      <c r="G68" s="18">
        <f>IF($B68="","",MAX(0,$F68-$E68))</f>
        <v/>
      </c>
      <c r="H68" s="18">
        <f>IF($B68="","",IFERROR(ROUNDUP($G68/INDEX(Vinos!$H$2:$H$301,MATCH(INDEX('Conteo de inventario'!$B$2:$B$2001,MATCH(43,'Conteo de inventario'!$S$2:$S$2001,0)),Vinos!$A$2:$A$301,0)),0),""))</f>
        <v/>
      </c>
      <c r="I68" s="14">
        <f>IF($B68="","",INDEX('Conteo de inventario'!$N$2:$N$2001,MATCH(43,'Conteo de inventario'!$S$2:$S$2001,0)))</f>
        <v/>
      </c>
    </row>
    <row r="69">
      <c r="B69" s="14">
        <f>IF(COUNTIF('Conteo de inventario'!$S$2:$S$2001,44)=0,"",44)</f>
        <v/>
      </c>
      <c r="C69" s="14">
        <f>IF($B69="","",INDEX('Conteo de inventario'!$C$2:$C$2001,MATCH(44,'Conteo de inventario'!$S$2:$S$2001,0)))</f>
        <v/>
      </c>
      <c r="D69" s="14">
        <f>IF($B69="","",IFERROR(INDEX(Vinos!$G$2:$G$301,MATCH(INDEX('Conteo de inventario'!$B$2:$B$2001,MATCH(44,'Conteo de inventario'!$S$2:$S$2001,0)),Vinos!$A$2:$A$301,0)),""))</f>
        <v/>
      </c>
      <c r="E69" s="18">
        <f>IF($B69="","",INDEX('Conteo de inventario'!$M$2:$M$2001,MATCH(44,'Conteo de inventario'!$S$2:$S$2001,0)))</f>
        <v/>
      </c>
      <c r="F69" s="18">
        <f>IF($B69="","",IFERROR(N(INDEX(Vinos!$N$2:$N$301,MATCH(INDEX('Conteo de inventario'!$B$2:$B$2001,MATCH(44,'Conteo de inventario'!$S$2:$S$2001,0)),Vinos!$A$2:$A$301,0))),0))</f>
        <v/>
      </c>
      <c r="G69" s="18">
        <f>IF($B69="","",MAX(0,$F69-$E69))</f>
        <v/>
      </c>
      <c r="H69" s="18">
        <f>IF($B69="","",IFERROR(ROUNDUP($G69/INDEX(Vinos!$H$2:$H$301,MATCH(INDEX('Conteo de inventario'!$B$2:$B$2001,MATCH(44,'Conteo de inventario'!$S$2:$S$2001,0)),Vinos!$A$2:$A$301,0)),0),""))</f>
        <v/>
      </c>
      <c r="I69" s="14">
        <f>IF($B69="","",INDEX('Conteo de inventario'!$N$2:$N$2001,MATCH(44,'Conteo de inventario'!$S$2:$S$2001,0)))</f>
        <v/>
      </c>
    </row>
    <row r="70">
      <c r="B70" s="14">
        <f>IF(COUNTIF('Conteo de inventario'!$S$2:$S$2001,45)=0,"",45)</f>
        <v/>
      </c>
      <c r="C70" s="14">
        <f>IF($B70="","",INDEX('Conteo de inventario'!$C$2:$C$2001,MATCH(45,'Conteo de inventario'!$S$2:$S$2001,0)))</f>
        <v/>
      </c>
      <c r="D70" s="14">
        <f>IF($B70="","",IFERROR(INDEX(Vinos!$G$2:$G$301,MATCH(INDEX('Conteo de inventario'!$B$2:$B$2001,MATCH(45,'Conteo de inventario'!$S$2:$S$2001,0)),Vinos!$A$2:$A$301,0)),""))</f>
        <v/>
      </c>
      <c r="E70" s="18">
        <f>IF($B70="","",INDEX('Conteo de inventario'!$M$2:$M$2001,MATCH(45,'Conteo de inventario'!$S$2:$S$2001,0)))</f>
        <v/>
      </c>
      <c r="F70" s="18">
        <f>IF($B70="","",IFERROR(N(INDEX(Vinos!$N$2:$N$301,MATCH(INDEX('Conteo de inventario'!$B$2:$B$2001,MATCH(45,'Conteo de inventario'!$S$2:$S$2001,0)),Vinos!$A$2:$A$301,0))),0))</f>
        <v/>
      </c>
      <c r="G70" s="18">
        <f>IF($B70="","",MAX(0,$F70-$E70))</f>
        <v/>
      </c>
      <c r="H70" s="18">
        <f>IF($B70="","",IFERROR(ROUNDUP($G70/INDEX(Vinos!$H$2:$H$301,MATCH(INDEX('Conteo de inventario'!$B$2:$B$2001,MATCH(45,'Conteo de inventario'!$S$2:$S$2001,0)),Vinos!$A$2:$A$301,0)),0),""))</f>
        <v/>
      </c>
      <c r="I70" s="14">
        <f>IF($B70="","",INDEX('Conteo de inventario'!$N$2:$N$2001,MATCH(45,'Conteo de inventario'!$S$2:$S$2001,0)))</f>
        <v/>
      </c>
    </row>
    <row r="71">
      <c r="B71" s="14">
        <f>IF(COUNTIF('Conteo de inventario'!$S$2:$S$2001,46)=0,"",46)</f>
        <v/>
      </c>
      <c r="C71" s="14">
        <f>IF($B71="","",INDEX('Conteo de inventario'!$C$2:$C$2001,MATCH(46,'Conteo de inventario'!$S$2:$S$2001,0)))</f>
        <v/>
      </c>
      <c r="D71" s="14">
        <f>IF($B71="","",IFERROR(INDEX(Vinos!$G$2:$G$301,MATCH(INDEX('Conteo de inventario'!$B$2:$B$2001,MATCH(46,'Conteo de inventario'!$S$2:$S$2001,0)),Vinos!$A$2:$A$301,0)),""))</f>
        <v/>
      </c>
      <c r="E71" s="18">
        <f>IF($B71="","",INDEX('Conteo de inventario'!$M$2:$M$2001,MATCH(46,'Conteo de inventario'!$S$2:$S$2001,0)))</f>
        <v/>
      </c>
      <c r="F71" s="18">
        <f>IF($B71="","",IFERROR(N(INDEX(Vinos!$N$2:$N$301,MATCH(INDEX('Conteo de inventario'!$B$2:$B$2001,MATCH(46,'Conteo de inventario'!$S$2:$S$2001,0)),Vinos!$A$2:$A$301,0))),0))</f>
        <v/>
      </c>
      <c r="G71" s="18">
        <f>IF($B71="","",MAX(0,$F71-$E71))</f>
        <v/>
      </c>
      <c r="H71" s="18">
        <f>IF($B71="","",IFERROR(ROUNDUP($G71/INDEX(Vinos!$H$2:$H$301,MATCH(INDEX('Conteo de inventario'!$B$2:$B$2001,MATCH(46,'Conteo de inventario'!$S$2:$S$2001,0)),Vinos!$A$2:$A$301,0)),0),""))</f>
        <v/>
      </c>
      <c r="I71" s="14">
        <f>IF($B71="","",INDEX('Conteo de inventario'!$N$2:$N$2001,MATCH(46,'Conteo de inventario'!$S$2:$S$2001,0)))</f>
        <v/>
      </c>
    </row>
    <row r="72">
      <c r="B72" s="14">
        <f>IF(COUNTIF('Conteo de inventario'!$S$2:$S$2001,47)=0,"",47)</f>
        <v/>
      </c>
      <c r="C72" s="14">
        <f>IF($B72="","",INDEX('Conteo de inventario'!$C$2:$C$2001,MATCH(47,'Conteo de inventario'!$S$2:$S$2001,0)))</f>
        <v/>
      </c>
      <c r="D72" s="14">
        <f>IF($B72="","",IFERROR(INDEX(Vinos!$G$2:$G$301,MATCH(INDEX('Conteo de inventario'!$B$2:$B$2001,MATCH(47,'Conteo de inventario'!$S$2:$S$2001,0)),Vinos!$A$2:$A$301,0)),""))</f>
        <v/>
      </c>
      <c r="E72" s="18">
        <f>IF($B72="","",INDEX('Conteo de inventario'!$M$2:$M$2001,MATCH(47,'Conteo de inventario'!$S$2:$S$2001,0)))</f>
        <v/>
      </c>
      <c r="F72" s="18">
        <f>IF($B72="","",IFERROR(N(INDEX(Vinos!$N$2:$N$301,MATCH(INDEX('Conteo de inventario'!$B$2:$B$2001,MATCH(47,'Conteo de inventario'!$S$2:$S$2001,0)),Vinos!$A$2:$A$301,0))),0))</f>
        <v/>
      </c>
      <c r="G72" s="18">
        <f>IF($B72="","",MAX(0,$F72-$E72))</f>
        <v/>
      </c>
      <c r="H72" s="18">
        <f>IF($B72="","",IFERROR(ROUNDUP($G72/INDEX(Vinos!$H$2:$H$301,MATCH(INDEX('Conteo de inventario'!$B$2:$B$2001,MATCH(47,'Conteo de inventario'!$S$2:$S$2001,0)),Vinos!$A$2:$A$301,0)),0),""))</f>
        <v/>
      </c>
      <c r="I72" s="14">
        <f>IF($B72="","",INDEX('Conteo de inventario'!$N$2:$N$2001,MATCH(47,'Conteo de inventario'!$S$2:$S$2001,0)))</f>
        <v/>
      </c>
    </row>
    <row r="73">
      <c r="B73" s="14">
        <f>IF(COUNTIF('Conteo de inventario'!$S$2:$S$2001,48)=0,"",48)</f>
        <v/>
      </c>
      <c r="C73" s="14">
        <f>IF($B73="","",INDEX('Conteo de inventario'!$C$2:$C$2001,MATCH(48,'Conteo de inventario'!$S$2:$S$2001,0)))</f>
        <v/>
      </c>
      <c r="D73" s="14">
        <f>IF($B73="","",IFERROR(INDEX(Vinos!$G$2:$G$301,MATCH(INDEX('Conteo de inventario'!$B$2:$B$2001,MATCH(48,'Conteo de inventario'!$S$2:$S$2001,0)),Vinos!$A$2:$A$301,0)),""))</f>
        <v/>
      </c>
      <c r="E73" s="18">
        <f>IF($B73="","",INDEX('Conteo de inventario'!$M$2:$M$2001,MATCH(48,'Conteo de inventario'!$S$2:$S$2001,0)))</f>
        <v/>
      </c>
      <c r="F73" s="18">
        <f>IF($B73="","",IFERROR(N(INDEX(Vinos!$N$2:$N$301,MATCH(INDEX('Conteo de inventario'!$B$2:$B$2001,MATCH(48,'Conteo de inventario'!$S$2:$S$2001,0)),Vinos!$A$2:$A$301,0))),0))</f>
        <v/>
      </c>
      <c r="G73" s="18">
        <f>IF($B73="","",MAX(0,$F73-$E73))</f>
        <v/>
      </c>
      <c r="H73" s="18">
        <f>IF($B73="","",IFERROR(ROUNDUP($G73/INDEX(Vinos!$H$2:$H$301,MATCH(INDEX('Conteo de inventario'!$B$2:$B$2001,MATCH(48,'Conteo de inventario'!$S$2:$S$2001,0)),Vinos!$A$2:$A$301,0)),0),""))</f>
        <v/>
      </c>
      <c r="I73" s="14">
        <f>IF($B73="","",INDEX('Conteo de inventario'!$N$2:$N$2001,MATCH(48,'Conteo de inventario'!$S$2:$S$2001,0)))</f>
        <v/>
      </c>
    </row>
    <row r="74">
      <c r="B74" s="14">
        <f>IF(COUNTIF('Conteo de inventario'!$S$2:$S$2001,49)=0,"",49)</f>
        <v/>
      </c>
      <c r="C74" s="14">
        <f>IF($B74="","",INDEX('Conteo de inventario'!$C$2:$C$2001,MATCH(49,'Conteo de inventario'!$S$2:$S$2001,0)))</f>
        <v/>
      </c>
      <c r="D74" s="14">
        <f>IF($B74="","",IFERROR(INDEX(Vinos!$G$2:$G$301,MATCH(INDEX('Conteo de inventario'!$B$2:$B$2001,MATCH(49,'Conteo de inventario'!$S$2:$S$2001,0)),Vinos!$A$2:$A$301,0)),""))</f>
        <v/>
      </c>
      <c r="E74" s="18">
        <f>IF($B74="","",INDEX('Conteo de inventario'!$M$2:$M$2001,MATCH(49,'Conteo de inventario'!$S$2:$S$2001,0)))</f>
        <v/>
      </c>
      <c r="F74" s="18">
        <f>IF($B74="","",IFERROR(N(INDEX(Vinos!$N$2:$N$301,MATCH(INDEX('Conteo de inventario'!$B$2:$B$2001,MATCH(49,'Conteo de inventario'!$S$2:$S$2001,0)),Vinos!$A$2:$A$301,0))),0))</f>
        <v/>
      </c>
      <c r="G74" s="18">
        <f>IF($B74="","",MAX(0,$F74-$E74))</f>
        <v/>
      </c>
      <c r="H74" s="18">
        <f>IF($B74="","",IFERROR(ROUNDUP($G74/INDEX(Vinos!$H$2:$H$301,MATCH(INDEX('Conteo de inventario'!$B$2:$B$2001,MATCH(49,'Conteo de inventario'!$S$2:$S$2001,0)),Vinos!$A$2:$A$301,0)),0),""))</f>
        <v/>
      </c>
      <c r="I74" s="14">
        <f>IF($B74="","",INDEX('Conteo de inventario'!$N$2:$N$2001,MATCH(49,'Conteo de inventario'!$S$2:$S$2001,0)))</f>
        <v/>
      </c>
    </row>
    <row r="75">
      <c r="B75" s="14">
        <f>IF(COUNTIF('Conteo de inventario'!$S$2:$S$2001,50)=0,"",50)</f>
        <v/>
      </c>
      <c r="C75" s="14">
        <f>IF($B75="","",INDEX('Conteo de inventario'!$C$2:$C$2001,MATCH(50,'Conteo de inventario'!$S$2:$S$2001,0)))</f>
        <v/>
      </c>
      <c r="D75" s="14">
        <f>IF($B75="","",IFERROR(INDEX(Vinos!$G$2:$G$301,MATCH(INDEX('Conteo de inventario'!$B$2:$B$2001,MATCH(50,'Conteo de inventario'!$S$2:$S$2001,0)),Vinos!$A$2:$A$301,0)),""))</f>
        <v/>
      </c>
      <c r="E75" s="18">
        <f>IF($B75="","",INDEX('Conteo de inventario'!$M$2:$M$2001,MATCH(50,'Conteo de inventario'!$S$2:$S$2001,0)))</f>
        <v/>
      </c>
      <c r="F75" s="18">
        <f>IF($B75="","",IFERROR(N(INDEX(Vinos!$N$2:$N$301,MATCH(INDEX('Conteo de inventario'!$B$2:$B$2001,MATCH(50,'Conteo de inventario'!$S$2:$S$2001,0)),Vinos!$A$2:$A$301,0))),0))</f>
        <v/>
      </c>
      <c r="G75" s="18">
        <f>IF($B75="","",MAX(0,$F75-$E75))</f>
        <v/>
      </c>
      <c r="H75" s="18">
        <f>IF($B75="","",IFERROR(ROUNDUP($G75/INDEX(Vinos!$H$2:$H$301,MATCH(INDEX('Conteo de inventario'!$B$2:$B$2001,MATCH(50,'Conteo de inventario'!$S$2:$S$2001,0)),Vinos!$A$2:$A$301,0)),0),""))</f>
        <v/>
      </c>
      <c r="I75" s="14">
        <f>IF($B75="","",INDEX('Conteo de inventario'!$N$2:$N$2001,MATCH(50,'Conteo de inventario'!$S$2:$S$2001,0)))</f>
        <v/>
      </c>
    </row>
    <row r="76">
      <c r="B76" s="14">
        <f>IF(COUNTIF('Conteo de inventario'!$S$2:$S$2001,51)=0,"",51)</f>
        <v/>
      </c>
      <c r="C76" s="14">
        <f>IF($B76="","",INDEX('Conteo de inventario'!$C$2:$C$2001,MATCH(51,'Conteo de inventario'!$S$2:$S$2001,0)))</f>
        <v/>
      </c>
      <c r="D76" s="14">
        <f>IF($B76="","",IFERROR(INDEX(Vinos!$G$2:$G$301,MATCH(INDEX('Conteo de inventario'!$B$2:$B$2001,MATCH(51,'Conteo de inventario'!$S$2:$S$2001,0)),Vinos!$A$2:$A$301,0)),""))</f>
        <v/>
      </c>
      <c r="E76" s="18">
        <f>IF($B76="","",INDEX('Conteo de inventario'!$M$2:$M$2001,MATCH(51,'Conteo de inventario'!$S$2:$S$2001,0)))</f>
        <v/>
      </c>
      <c r="F76" s="18">
        <f>IF($B76="","",IFERROR(N(INDEX(Vinos!$N$2:$N$301,MATCH(INDEX('Conteo de inventario'!$B$2:$B$2001,MATCH(51,'Conteo de inventario'!$S$2:$S$2001,0)),Vinos!$A$2:$A$301,0))),0))</f>
        <v/>
      </c>
      <c r="G76" s="18">
        <f>IF($B76="","",MAX(0,$F76-$E76))</f>
        <v/>
      </c>
      <c r="H76" s="18">
        <f>IF($B76="","",IFERROR(ROUNDUP($G76/INDEX(Vinos!$H$2:$H$301,MATCH(INDEX('Conteo de inventario'!$B$2:$B$2001,MATCH(51,'Conteo de inventario'!$S$2:$S$2001,0)),Vinos!$A$2:$A$301,0)),0),""))</f>
        <v/>
      </c>
      <c r="I76" s="14">
        <f>IF($B76="","",INDEX('Conteo de inventario'!$N$2:$N$2001,MATCH(51,'Conteo de inventario'!$S$2:$S$2001,0)))</f>
        <v/>
      </c>
    </row>
    <row r="77">
      <c r="B77" s="14">
        <f>IF(COUNTIF('Conteo de inventario'!$S$2:$S$2001,52)=0,"",52)</f>
        <v/>
      </c>
      <c r="C77" s="14">
        <f>IF($B77="","",INDEX('Conteo de inventario'!$C$2:$C$2001,MATCH(52,'Conteo de inventario'!$S$2:$S$2001,0)))</f>
        <v/>
      </c>
      <c r="D77" s="14">
        <f>IF($B77="","",IFERROR(INDEX(Vinos!$G$2:$G$301,MATCH(INDEX('Conteo de inventario'!$B$2:$B$2001,MATCH(52,'Conteo de inventario'!$S$2:$S$2001,0)),Vinos!$A$2:$A$301,0)),""))</f>
        <v/>
      </c>
      <c r="E77" s="18">
        <f>IF($B77="","",INDEX('Conteo de inventario'!$M$2:$M$2001,MATCH(52,'Conteo de inventario'!$S$2:$S$2001,0)))</f>
        <v/>
      </c>
      <c r="F77" s="18">
        <f>IF($B77="","",IFERROR(N(INDEX(Vinos!$N$2:$N$301,MATCH(INDEX('Conteo de inventario'!$B$2:$B$2001,MATCH(52,'Conteo de inventario'!$S$2:$S$2001,0)),Vinos!$A$2:$A$301,0))),0))</f>
        <v/>
      </c>
      <c r="G77" s="18">
        <f>IF($B77="","",MAX(0,$F77-$E77))</f>
        <v/>
      </c>
      <c r="H77" s="18">
        <f>IF($B77="","",IFERROR(ROUNDUP($G77/INDEX(Vinos!$H$2:$H$301,MATCH(INDEX('Conteo de inventario'!$B$2:$B$2001,MATCH(52,'Conteo de inventario'!$S$2:$S$2001,0)),Vinos!$A$2:$A$301,0)),0),""))</f>
        <v/>
      </c>
      <c r="I77" s="14">
        <f>IF($B77="","",INDEX('Conteo de inventario'!$N$2:$N$2001,MATCH(52,'Conteo de inventario'!$S$2:$S$2001,0)))</f>
        <v/>
      </c>
    </row>
    <row r="78">
      <c r="B78" s="14">
        <f>IF(COUNTIF('Conteo de inventario'!$S$2:$S$2001,53)=0,"",53)</f>
        <v/>
      </c>
      <c r="C78" s="14">
        <f>IF($B78="","",INDEX('Conteo de inventario'!$C$2:$C$2001,MATCH(53,'Conteo de inventario'!$S$2:$S$2001,0)))</f>
        <v/>
      </c>
      <c r="D78" s="14">
        <f>IF($B78="","",IFERROR(INDEX(Vinos!$G$2:$G$301,MATCH(INDEX('Conteo de inventario'!$B$2:$B$2001,MATCH(53,'Conteo de inventario'!$S$2:$S$2001,0)),Vinos!$A$2:$A$301,0)),""))</f>
        <v/>
      </c>
      <c r="E78" s="18">
        <f>IF($B78="","",INDEX('Conteo de inventario'!$M$2:$M$2001,MATCH(53,'Conteo de inventario'!$S$2:$S$2001,0)))</f>
        <v/>
      </c>
      <c r="F78" s="18">
        <f>IF($B78="","",IFERROR(N(INDEX(Vinos!$N$2:$N$301,MATCH(INDEX('Conteo de inventario'!$B$2:$B$2001,MATCH(53,'Conteo de inventario'!$S$2:$S$2001,0)),Vinos!$A$2:$A$301,0))),0))</f>
        <v/>
      </c>
      <c r="G78" s="18">
        <f>IF($B78="","",MAX(0,$F78-$E78))</f>
        <v/>
      </c>
      <c r="H78" s="18">
        <f>IF($B78="","",IFERROR(ROUNDUP($G78/INDEX(Vinos!$H$2:$H$301,MATCH(INDEX('Conteo de inventario'!$B$2:$B$2001,MATCH(53,'Conteo de inventario'!$S$2:$S$2001,0)),Vinos!$A$2:$A$301,0)),0),""))</f>
        <v/>
      </c>
      <c r="I78" s="14">
        <f>IF($B78="","",INDEX('Conteo de inventario'!$N$2:$N$2001,MATCH(53,'Conteo de inventario'!$S$2:$S$2001,0)))</f>
        <v/>
      </c>
    </row>
    <row r="79">
      <c r="B79" s="14">
        <f>IF(COUNTIF('Conteo de inventario'!$S$2:$S$2001,54)=0,"",54)</f>
        <v/>
      </c>
      <c r="C79" s="14">
        <f>IF($B79="","",INDEX('Conteo de inventario'!$C$2:$C$2001,MATCH(54,'Conteo de inventario'!$S$2:$S$2001,0)))</f>
        <v/>
      </c>
      <c r="D79" s="14">
        <f>IF($B79="","",IFERROR(INDEX(Vinos!$G$2:$G$301,MATCH(INDEX('Conteo de inventario'!$B$2:$B$2001,MATCH(54,'Conteo de inventario'!$S$2:$S$2001,0)),Vinos!$A$2:$A$301,0)),""))</f>
        <v/>
      </c>
      <c r="E79" s="18">
        <f>IF($B79="","",INDEX('Conteo de inventario'!$M$2:$M$2001,MATCH(54,'Conteo de inventario'!$S$2:$S$2001,0)))</f>
        <v/>
      </c>
      <c r="F79" s="18">
        <f>IF($B79="","",IFERROR(N(INDEX(Vinos!$N$2:$N$301,MATCH(INDEX('Conteo de inventario'!$B$2:$B$2001,MATCH(54,'Conteo de inventario'!$S$2:$S$2001,0)),Vinos!$A$2:$A$301,0))),0))</f>
        <v/>
      </c>
      <c r="G79" s="18">
        <f>IF($B79="","",MAX(0,$F79-$E79))</f>
        <v/>
      </c>
      <c r="H79" s="18">
        <f>IF($B79="","",IFERROR(ROUNDUP($G79/INDEX(Vinos!$H$2:$H$301,MATCH(INDEX('Conteo de inventario'!$B$2:$B$2001,MATCH(54,'Conteo de inventario'!$S$2:$S$2001,0)),Vinos!$A$2:$A$301,0)),0),""))</f>
        <v/>
      </c>
      <c r="I79" s="14">
        <f>IF($B79="","",INDEX('Conteo de inventario'!$N$2:$N$2001,MATCH(54,'Conteo de inventario'!$S$2:$S$2001,0)))</f>
        <v/>
      </c>
    </row>
    <row r="80">
      <c r="B80" s="14">
        <f>IF(COUNTIF('Conteo de inventario'!$S$2:$S$2001,55)=0,"",55)</f>
        <v/>
      </c>
      <c r="C80" s="14">
        <f>IF($B80="","",INDEX('Conteo de inventario'!$C$2:$C$2001,MATCH(55,'Conteo de inventario'!$S$2:$S$2001,0)))</f>
        <v/>
      </c>
      <c r="D80" s="14">
        <f>IF($B80="","",IFERROR(INDEX(Vinos!$G$2:$G$301,MATCH(INDEX('Conteo de inventario'!$B$2:$B$2001,MATCH(55,'Conteo de inventario'!$S$2:$S$2001,0)),Vinos!$A$2:$A$301,0)),""))</f>
        <v/>
      </c>
      <c r="E80" s="18">
        <f>IF($B80="","",INDEX('Conteo de inventario'!$M$2:$M$2001,MATCH(55,'Conteo de inventario'!$S$2:$S$2001,0)))</f>
        <v/>
      </c>
      <c r="F80" s="18">
        <f>IF($B80="","",IFERROR(N(INDEX(Vinos!$N$2:$N$301,MATCH(INDEX('Conteo de inventario'!$B$2:$B$2001,MATCH(55,'Conteo de inventario'!$S$2:$S$2001,0)),Vinos!$A$2:$A$301,0))),0))</f>
        <v/>
      </c>
      <c r="G80" s="18">
        <f>IF($B80="","",MAX(0,$F80-$E80))</f>
        <v/>
      </c>
      <c r="H80" s="18">
        <f>IF($B80="","",IFERROR(ROUNDUP($G80/INDEX(Vinos!$H$2:$H$301,MATCH(INDEX('Conteo de inventario'!$B$2:$B$2001,MATCH(55,'Conteo de inventario'!$S$2:$S$2001,0)),Vinos!$A$2:$A$301,0)),0),""))</f>
        <v/>
      </c>
      <c r="I80" s="14">
        <f>IF($B80="","",INDEX('Conteo de inventario'!$N$2:$N$2001,MATCH(55,'Conteo de inventario'!$S$2:$S$2001,0)))</f>
        <v/>
      </c>
    </row>
    <row r="81">
      <c r="B81" s="14">
        <f>IF(COUNTIF('Conteo de inventario'!$S$2:$S$2001,56)=0,"",56)</f>
        <v/>
      </c>
      <c r="C81" s="14">
        <f>IF($B81="","",INDEX('Conteo de inventario'!$C$2:$C$2001,MATCH(56,'Conteo de inventario'!$S$2:$S$2001,0)))</f>
        <v/>
      </c>
      <c r="D81" s="14">
        <f>IF($B81="","",IFERROR(INDEX(Vinos!$G$2:$G$301,MATCH(INDEX('Conteo de inventario'!$B$2:$B$2001,MATCH(56,'Conteo de inventario'!$S$2:$S$2001,0)),Vinos!$A$2:$A$301,0)),""))</f>
        <v/>
      </c>
      <c r="E81" s="18">
        <f>IF($B81="","",INDEX('Conteo de inventario'!$M$2:$M$2001,MATCH(56,'Conteo de inventario'!$S$2:$S$2001,0)))</f>
        <v/>
      </c>
      <c r="F81" s="18">
        <f>IF($B81="","",IFERROR(N(INDEX(Vinos!$N$2:$N$301,MATCH(INDEX('Conteo de inventario'!$B$2:$B$2001,MATCH(56,'Conteo de inventario'!$S$2:$S$2001,0)),Vinos!$A$2:$A$301,0))),0))</f>
        <v/>
      </c>
      <c r="G81" s="18">
        <f>IF($B81="","",MAX(0,$F81-$E81))</f>
        <v/>
      </c>
      <c r="H81" s="18">
        <f>IF($B81="","",IFERROR(ROUNDUP($G81/INDEX(Vinos!$H$2:$H$301,MATCH(INDEX('Conteo de inventario'!$B$2:$B$2001,MATCH(56,'Conteo de inventario'!$S$2:$S$2001,0)),Vinos!$A$2:$A$301,0)),0),""))</f>
        <v/>
      </c>
      <c r="I81" s="14">
        <f>IF($B81="","",INDEX('Conteo de inventario'!$N$2:$N$2001,MATCH(56,'Conteo de inventario'!$S$2:$S$2001,0)))</f>
        <v/>
      </c>
    </row>
    <row r="82">
      <c r="B82" s="14">
        <f>IF(COUNTIF('Conteo de inventario'!$S$2:$S$2001,57)=0,"",57)</f>
        <v/>
      </c>
      <c r="C82" s="14">
        <f>IF($B82="","",INDEX('Conteo de inventario'!$C$2:$C$2001,MATCH(57,'Conteo de inventario'!$S$2:$S$2001,0)))</f>
        <v/>
      </c>
      <c r="D82" s="14">
        <f>IF($B82="","",IFERROR(INDEX(Vinos!$G$2:$G$301,MATCH(INDEX('Conteo de inventario'!$B$2:$B$2001,MATCH(57,'Conteo de inventario'!$S$2:$S$2001,0)),Vinos!$A$2:$A$301,0)),""))</f>
        <v/>
      </c>
      <c r="E82" s="18">
        <f>IF($B82="","",INDEX('Conteo de inventario'!$M$2:$M$2001,MATCH(57,'Conteo de inventario'!$S$2:$S$2001,0)))</f>
        <v/>
      </c>
      <c r="F82" s="18">
        <f>IF($B82="","",IFERROR(N(INDEX(Vinos!$N$2:$N$301,MATCH(INDEX('Conteo de inventario'!$B$2:$B$2001,MATCH(57,'Conteo de inventario'!$S$2:$S$2001,0)),Vinos!$A$2:$A$301,0))),0))</f>
        <v/>
      </c>
      <c r="G82" s="18">
        <f>IF($B82="","",MAX(0,$F82-$E82))</f>
        <v/>
      </c>
      <c r="H82" s="18">
        <f>IF($B82="","",IFERROR(ROUNDUP($G82/INDEX(Vinos!$H$2:$H$301,MATCH(INDEX('Conteo de inventario'!$B$2:$B$2001,MATCH(57,'Conteo de inventario'!$S$2:$S$2001,0)),Vinos!$A$2:$A$301,0)),0),""))</f>
        <v/>
      </c>
      <c r="I82" s="14">
        <f>IF($B82="","",INDEX('Conteo de inventario'!$N$2:$N$2001,MATCH(57,'Conteo de inventario'!$S$2:$S$2001,0)))</f>
        <v/>
      </c>
    </row>
    <row r="83">
      <c r="B83" s="14">
        <f>IF(COUNTIF('Conteo de inventario'!$S$2:$S$2001,58)=0,"",58)</f>
        <v/>
      </c>
      <c r="C83" s="14">
        <f>IF($B83="","",INDEX('Conteo de inventario'!$C$2:$C$2001,MATCH(58,'Conteo de inventario'!$S$2:$S$2001,0)))</f>
        <v/>
      </c>
      <c r="D83" s="14">
        <f>IF($B83="","",IFERROR(INDEX(Vinos!$G$2:$G$301,MATCH(INDEX('Conteo de inventario'!$B$2:$B$2001,MATCH(58,'Conteo de inventario'!$S$2:$S$2001,0)),Vinos!$A$2:$A$301,0)),""))</f>
        <v/>
      </c>
      <c r="E83" s="18">
        <f>IF($B83="","",INDEX('Conteo de inventario'!$M$2:$M$2001,MATCH(58,'Conteo de inventario'!$S$2:$S$2001,0)))</f>
        <v/>
      </c>
      <c r="F83" s="18">
        <f>IF($B83="","",IFERROR(N(INDEX(Vinos!$N$2:$N$301,MATCH(INDEX('Conteo de inventario'!$B$2:$B$2001,MATCH(58,'Conteo de inventario'!$S$2:$S$2001,0)),Vinos!$A$2:$A$301,0))),0))</f>
        <v/>
      </c>
      <c r="G83" s="18">
        <f>IF($B83="","",MAX(0,$F83-$E83))</f>
        <v/>
      </c>
      <c r="H83" s="18">
        <f>IF($B83="","",IFERROR(ROUNDUP($G83/INDEX(Vinos!$H$2:$H$301,MATCH(INDEX('Conteo de inventario'!$B$2:$B$2001,MATCH(58,'Conteo de inventario'!$S$2:$S$2001,0)),Vinos!$A$2:$A$301,0)),0),""))</f>
        <v/>
      </c>
      <c r="I83" s="14">
        <f>IF($B83="","",INDEX('Conteo de inventario'!$N$2:$N$2001,MATCH(58,'Conteo de inventario'!$S$2:$S$2001,0)))</f>
        <v/>
      </c>
    </row>
    <row r="84">
      <c r="B84" s="14">
        <f>IF(COUNTIF('Conteo de inventario'!$S$2:$S$2001,59)=0,"",59)</f>
        <v/>
      </c>
      <c r="C84" s="14">
        <f>IF($B84="","",INDEX('Conteo de inventario'!$C$2:$C$2001,MATCH(59,'Conteo de inventario'!$S$2:$S$2001,0)))</f>
        <v/>
      </c>
      <c r="D84" s="14">
        <f>IF($B84="","",IFERROR(INDEX(Vinos!$G$2:$G$301,MATCH(INDEX('Conteo de inventario'!$B$2:$B$2001,MATCH(59,'Conteo de inventario'!$S$2:$S$2001,0)),Vinos!$A$2:$A$301,0)),""))</f>
        <v/>
      </c>
      <c r="E84" s="18">
        <f>IF($B84="","",INDEX('Conteo de inventario'!$M$2:$M$2001,MATCH(59,'Conteo de inventario'!$S$2:$S$2001,0)))</f>
        <v/>
      </c>
      <c r="F84" s="18">
        <f>IF($B84="","",IFERROR(N(INDEX(Vinos!$N$2:$N$301,MATCH(INDEX('Conteo de inventario'!$B$2:$B$2001,MATCH(59,'Conteo de inventario'!$S$2:$S$2001,0)),Vinos!$A$2:$A$301,0))),0))</f>
        <v/>
      </c>
      <c r="G84" s="18">
        <f>IF($B84="","",MAX(0,$F84-$E84))</f>
        <v/>
      </c>
      <c r="H84" s="18">
        <f>IF($B84="","",IFERROR(ROUNDUP($G84/INDEX(Vinos!$H$2:$H$301,MATCH(INDEX('Conteo de inventario'!$B$2:$B$2001,MATCH(59,'Conteo de inventario'!$S$2:$S$2001,0)),Vinos!$A$2:$A$301,0)),0),""))</f>
        <v/>
      </c>
      <c r="I84" s="14">
        <f>IF($B84="","",INDEX('Conteo de inventario'!$N$2:$N$2001,MATCH(59,'Conteo de inventario'!$S$2:$S$2001,0)))</f>
        <v/>
      </c>
    </row>
    <row r="85">
      <c r="B85" s="14">
        <f>IF(COUNTIF('Conteo de inventario'!$S$2:$S$2001,60)=0,"",60)</f>
        <v/>
      </c>
      <c r="C85" s="14">
        <f>IF($B85="","",INDEX('Conteo de inventario'!$C$2:$C$2001,MATCH(60,'Conteo de inventario'!$S$2:$S$2001,0)))</f>
        <v/>
      </c>
      <c r="D85" s="14">
        <f>IF($B85="","",IFERROR(INDEX(Vinos!$G$2:$G$301,MATCH(INDEX('Conteo de inventario'!$B$2:$B$2001,MATCH(60,'Conteo de inventario'!$S$2:$S$2001,0)),Vinos!$A$2:$A$301,0)),""))</f>
        <v/>
      </c>
      <c r="E85" s="18">
        <f>IF($B85="","",INDEX('Conteo de inventario'!$M$2:$M$2001,MATCH(60,'Conteo de inventario'!$S$2:$S$2001,0)))</f>
        <v/>
      </c>
      <c r="F85" s="18">
        <f>IF($B85="","",IFERROR(N(INDEX(Vinos!$N$2:$N$301,MATCH(INDEX('Conteo de inventario'!$B$2:$B$2001,MATCH(60,'Conteo de inventario'!$S$2:$S$2001,0)),Vinos!$A$2:$A$301,0))),0))</f>
        <v/>
      </c>
      <c r="G85" s="18">
        <f>IF($B85="","",MAX(0,$F85-$E85))</f>
        <v/>
      </c>
      <c r="H85" s="18">
        <f>IF($B85="","",IFERROR(ROUNDUP($G85/INDEX(Vinos!$H$2:$H$301,MATCH(INDEX('Conteo de inventario'!$B$2:$B$2001,MATCH(60,'Conteo de inventario'!$S$2:$S$2001,0)),Vinos!$A$2:$A$301,0)),0),""))</f>
        <v/>
      </c>
      <c r="I85" s="14">
        <f>IF($B85="","",INDEX('Conteo de inventario'!$N$2:$N$2001,MATCH(60,'Conteo de inventario'!$S$2:$S$2001,0)))</f>
        <v/>
      </c>
    </row>
  </sheetData>
  <conditionalFormatting sqref="I26:I85">
    <cfRule type="expression" priority="1" dxfId="2">
      <formula>LEFT($I26,3)="Sin"</formula>
    </cfRule>
    <cfRule type="expression" priority="2" dxfId="1">
      <formula>LEFT($I26,4)="Bajo"</formula>
    </cfRule>
  </conditionalFormatting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2026-10-22T21:55:12Z</dcterms:created>
  <dcterms:modified xmlns:dcterms="http://purl.org/dc/terms/" xmlns:xsi="http://www.w3.org/2001/XMLSchema-instance" xsi:type="dcterms:W3CDTF">2026-10-22T21:55:21Z</dcterms:modified>
</cp:coreProperties>
</file>