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onfiguración" sheetId="2" state="visible" r:id="rId2"/>
    <sheet xmlns:r="http://schemas.openxmlformats.org/officeDocument/2006/relationships" name="Insumos" sheetId="3" state="visible" r:id="rId3"/>
    <sheet xmlns:r="http://schemas.openxmlformats.org/officeDocument/2006/relationships" name="Conteo diario" sheetId="4" state="visible" r:id="rId4"/>
    <sheet xmlns:r="http://schemas.openxmlformats.org/officeDocument/2006/relationships" name="Lista para pedir" sheetId="5" state="visible" r:id="rId5"/>
  </sheets>
  <definedNames>
    <definedName name="_xlnm.Print_Area" localSheetId="4">'Lista para pedir'!$B$1:$H$66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;-#,##0.0;&quot;-&quot;"/>
    <numFmt numFmtId="165" formatCode="yyyy-mm-dd"/>
    <numFmt numFmtId="166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FFFFAF22"/>
      <sz val="12"/>
    </font>
    <font>
      <name val="Arial"/>
      <b val="1"/>
      <color rgb="FFFFFFFF"/>
      <sz val="15"/>
    </font>
    <font>
      <name val="Arial"/>
      <color rgb="FFFFAF22"/>
      <sz val="10"/>
    </font>
    <font>
      <name val="Arial"/>
      <b val="1"/>
      <color rgb="FF222036"/>
      <sz val="10"/>
    </font>
    <font>
      <name val="Arial"/>
      <color rgb="FF333333"/>
      <sz val="10"/>
    </font>
    <font>
      <name val="Arial"/>
      <color rgb="FF999999"/>
      <sz val="9"/>
    </font>
    <font>
      <name val="Arial"/>
      <b val="1"/>
      <color rgb="FF222036"/>
      <sz val="14"/>
    </font>
    <font>
      <name val="Arial"/>
      <b val="1"/>
      <color rgb="FFFFFFFF"/>
      <sz val="10"/>
    </font>
    <font>
      <name val="Arial"/>
      <b val="1"/>
      <color rgb="FF333333"/>
      <sz val="10"/>
    </font>
  </fonts>
  <fills count="6">
    <fill>
      <patternFill/>
    </fill>
    <fill>
      <patternFill patternType="gray125"/>
    </fill>
    <fill>
      <patternFill patternType="solid">
        <fgColor rgb="FF222036"/>
      </patternFill>
    </fill>
    <fill>
      <patternFill patternType="solid">
        <fgColor rgb="FFFFF3D6"/>
      </patternFill>
    </fill>
    <fill>
      <patternFill patternType="solid">
        <fgColor rgb="FFF7F7F7"/>
      </patternFill>
    </fill>
    <fill>
      <patternFill patternType="solid">
        <fgColor rgb="FF3A3858"/>
      </patternFill>
    </fill>
  </fills>
  <borders count="2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0" borderId="0" pivotButton="0" quotePrefix="0" xfId="0"/>
    <xf numFmtId="0" fontId="4" fillId="0" borderId="0" pivotButton="0" quotePrefix="0" xfId="0"/>
    <xf numFmtId="9" fontId="0" fillId="0" borderId="1" pivotButton="0" quotePrefix="0" xfId="0"/>
    <xf numFmtId="0" fontId="6" fillId="0" borderId="0" pivotButton="0" quotePrefix="0" xfId="0"/>
    <xf numFmtId="0" fontId="8" fillId="2" borderId="0" pivotButton="0" quotePrefix="0" xfId="0"/>
    <xf numFmtId="0" fontId="0" fillId="0" borderId="1" pivotButton="0" quotePrefix="0" xfId="0"/>
    <xf numFmtId="0" fontId="8" fillId="2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4" fontId="5" fillId="4" borderId="1" pivotButton="0" quotePrefix="0" xfId="0"/>
    <xf numFmtId="166" fontId="5" fillId="0" borderId="1" pivotButton="0" quotePrefix="0" xfId="0"/>
    <xf numFmtId="0" fontId="5" fillId="4" borderId="1" pivotButton="0" quotePrefix="0" xfId="0"/>
    <xf numFmtId="166" fontId="0" fillId="0" borderId="1" pivotButton="0" quotePrefix="0" xfId="0"/>
    <xf numFmtId="0" fontId="9" fillId="0" borderId="0" pivotButton="0" quotePrefix="0" xfId="0"/>
    <xf numFmtId="0" fontId="8" fillId="2" borderId="1" applyAlignment="1" pivotButton="0" quotePrefix="0" xfId="0">
      <alignment horizontal="center" wrapText="1"/>
    </xf>
  </cellXfs>
  <cellStyles count="1">
    <cellStyle name="Normal" xfId="0" builtinId="0" hidden="0"/>
  </cellStyles>
  <dxfs count="3">
    <dxf>
      <font>
        <b val="1"/>
        <color rgb="FF1D9E75"/>
      </font>
      <fill>
        <patternFill patternType="solid">
          <fgColor rgb="FFD9F2E9"/>
        </patternFill>
      </fill>
    </dxf>
    <dxf>
      <font>
        <b val="1"/>
        <color rgb="FFB57A0B"/>
      </font>
      <fill>
        <patternFill patternType="solid">
          <fgColor rgb="FFFCEFD2"/>
        </patternFill>
      </fill>
    </dxf>
    <dxf>
      <font>
        <b val="1"/>
        <color rgb="FFD85A30"/>
      </font>
      <fill>
        <patternFill patternType="solid">
          <fgColor rgb="FFFADB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a.me/5491128654468" TargetMode="External" Id="rId1"/></Relationships>
</file>

<file path=xl/worksheets/sheet1.xml><?xml version="1.0" encoding="utf-8"?>
<worksheet xmlns="http://schemas.openxmlformats.org/spreadsheetml/2006/main">
  <sheetPr>
    <tabColor rgb="00222036"/>
    <outlinePr summaryBelow="1" summaryRight="1"/>
    <pageSetUpPr/>
  </sheetPr>
  <dimension ref="B2:B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22" customHeight="1">
      <c r="B2" s="1" t="inlineStr">
        <is>
          <t>bcnsoft  ·  CENTRO DE RECURSOS</t>
        </is>
      </c>
    </row>
    <row r="3" ht="30" customHeight="1">
      <c r="B3" s="2" t="inlineStr">
        <is>
          <t>Planilla de stock de cocina y barra</t>
        </is>
      </c>
    </row>
    <row r="4" ht="18" customHeight="1">
      <c r="B4" s="3" t="inlineStr">
        <is>
          <t>Stock mínimo por día de la semana para restaurantes, bares y cafeterías</t>
        </is>
      </c>
    </row>
    <row r="6" ht="34" customHeight="1">
      <c r="B6" s="4" t="inlineStr">
        <is>
          <t>Un martes no se consume lo mismo que un sábado. Si tenés el mismo mínimo todos los días, el fin de semana te quedás sin papas o sin hielo, y el lunes te sobra mercadería que se vence.</t>
        </is>
      </c>
    </row>
    <row r="7" ht="34" customHeight="1">
      <c r="B7" s="5" t="inlineStr">
        <is>
          <t>Cargás cuánto usás de cada insumo un día típico de cada día de la semana y cada cuántos días te llega o producís. La planilla te da el stock mínimo para arrancar cada día y, con el conteo antes del servicio, te dice qué pedir o qué producir.</t>
        </is>
      </c>
    </row>
    <row r="9">
      <c r="B9" s="4" t="inlineStr">
        <is>
          <t>CÓMO USARLA</t>
        </is>
      </c>
    </row>
    <row r="10" ht="30" customHeight="1">
      <c r="B10" s="5" t="inlineStr">
        <is>
          <t>1.  En «Configuración», poné el colchón de seguridad (el ejemplo usa 20%) y revisá los sectores (cocina, barra).</t>
        </is>
      </c>
    </row>
    <row r="11" ht="30" customHeight="1">
      <c r="B11" s="5" t="inlineStr">
        <is>
          <t>2.  En «Insumos», cargá cada insumo con su sector y unidad, cuánto usás un día típico de cada día de la semana y cuántos días tiene que cubrir el stock hasta el próximo pedido o la próxima producción.</t>
        </is>
      </c>
    </row>
    <row r="12" ht="30" customHeight="1">
      <c r="B12" s="5" t="inlineStr">
        <is>
          <t>3.  La planilla calcula el stock mínimo para arrancar cada día de la semana: el consumo de los días que hay que cubrir más el colchón.</t>
        </is>
      </c>
    </row>
    <row r="13" ht="30" customHeight="1">
      <c r="B13" s="5" t="inlineStr">
        <is>
          <t>4.  En «Conteo diario», antes del servicio, anotá la fecha, el insumo y lo que contaste. Te dice el mínimo de ese día, cuánto falta y si hay que pedir o producir.</t>
        </is>
      </c>
    </row>
    <row r="14" ht="30" customHeight="1">
      <c r="B14" s="5" t="inlineStr">
        <is>
          <t>5.  En «Lista para pedir» elegís la fecha y ves solo lo que falta, separado por sector, lista para mandarle al proveedor o al de producción.</t>
        </is>
      </c>
    </row>
    <row r="16">
      <c r="B16" s="4" t="inlineStr">
        <is>
          <t>QUÉ EDITÁS VOS Y QUÉ SE CALCULA SOLO</t>
        </is>
      </c>
    </row>
    <row r="17" ht="20" customHeight="1">
      <c r="B17" s="5" t="inlineStr">
        <is>
          <t>•  Editás: las celdas blancas (colchón, sectores, insumos, consumo por día, días a cubrir y cada conteo).</t>
        </is>
      </c>
    </row>
    <row r="18" ht="20" customHeight="1">
      <c r="B18" s="5" t="inlineStr">
        <is>
          <t>•  No toques: las celdas grises con fórmula (mínimos por día, faltantes, estado y la lista para pedir).</t>
        </is>
      </c>
    </row>
    <row r="19" ht="30" customHeight="1">
      <c r="B19" s="5" t="inlineStr">
        <is>
          <t>•  Cómo sacar el consumo por día: mirá lo que usaste los últimos 4 lunes, 4 martes, etc., y tomá un número típico de cada día. Revisalo cuando cambie la carta o la temporada.</t>
        </is>
      </c>
    </row>
    <row r="20" ht="20" customHeight="1">
      <c r="B20" s="5" t="inlineStr">
        <is>
          <t>•  Los insumos y cantidades de ejemplo están para que veas cómo funciona. Borralos (solo las celdas blancas) y cargá los tuyos.</t>
        </is>
      </c>
    </row>
    <row r="22" ht="20" customHeight="1">
      <c r="B22" s="6" t="inlineStr">
        <is>
          <t>Esto te ordena el stock de cocina y barra hoy.</t>
        </is>
      </c>
    </row>
    <row r="23" ht="30" customHeight="1">
      <c r="B23" s="7" t="inlineStr">
        <is>
          <t>En bcnresto cargás el stock mínimo de cada artículo, el sistema te avisa cuando llega y tenés el listado de lo que quedó bajo mínimo. También maneja stock por fracción.</t>
        </is>
      </c>
    </row>
    <row r="24" ht="20" customHeight="1">
      <c r="B24" s="7" t="inlineStr">
        <is>
          <t>¿Lo querés ver con tu carta? Escribinos por WhatsApp: +54 9 11 2865-4468 — te atiende una persona, no un bot.</t>
        </is>
      </c>
    </row>
    <row r="26">
      <c r="B26" s="8" t="inlineStr">
        <is>
          <t>Centro de Recursos bcnsoft · Recurso gratuito para gastronómicos · bcnsoft.com.ar</t>
        </is>
      </c>
    </row>
  </sheetData>
  <hyperlinks>
    <hyperlink xmlns:r="http://schemas.openxmlformats.org/officeDocument/2006/relationships" ref="B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22036"/>
    <outlinePr summaryBelow="1" summaryRight="1"/>
    <pageSetUpPr/>
  </sheetPr>
  <dimension ref="B1:D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14" customWidth="1" min="3" max="3"/>
    <col width="56" customWidth="1" min="4" max="4"/>
  </cols>
  <sheetData>
    <row r="1">
      <c r="B1" s="9" t="inlineStr">
        <is>
          <t>Configuración</t>
        </is>
      </c>
    </row>
    <row r="3">
      <c r="B3" s="10" t="inlineStr">
        <is>
          <t>Colchón de seguridad</t>
        </is>
      </c>
      <c r="C3" s="11" t="n">
        <v>0.2</v>
      </c>
      <c r="D3" s="12" t="inlineStr">
        <is>
          <t>Valor de ejemplo. Más alto si tu proveedor falla seguido o tu demanda varía mucho.</t>
        </is>
      </c>
    </row>
    <row r="5">
      <c r="B5" s="13" t="inlineStr">
        <is>
          <t>Sectores</t>
        </is>
      </c>
    </row>
    <row r="6">
      <c r="B6" s="14" t="inlineStr">
        <is>
          <t>Cocina</t>
        </is>
      </c>
    </row>
    <row r="7">
      <c r="B7" s="14" t="inlineStr">
        <is>
          <t>Barra</t>
        </is>
      </c>
    </row>
    <row r="8">
      <c r="B8" s="14" t="inlineStr">
        <is>
          <t>Cafetería</t>
        </is>
      </c>
    </row>
    <row r="9">
      <c r="B9" s="14" t="inlineStr">
        <is>
          <t>Depósito</t>
        </is>
      </c>
    </row>
    <row r="10">
      <c r="B10" s="14" t="n"/>
    </row>
    <row r="11">
      <c r="B11" s="14" t="n"/>
    </row>
    <row r="12">
      <c r="B12" s="14" t="n"/>
    </row>
    <row r="13">
      <c r="B13" s="14" t="n"/>
    </row>
    <row r="14">
      <c r="B14" s="14" t="n"/>
    </row>
    <row r="15">
      <c r="B15" s="14" t="n"/>
    </row>
    <row r="17">
      <c r="B17" s="10" t="inlineStr">
        <is>
          <t>Nombre del local (opcional)</t>
        </is>
      </c>
      <c r="C17" s="14" t="inlineStr">
        <is>
          <t>Mi restaurante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22036"/>
    <outlinePr summaryBelow="1" summaryRight="1"/>
    <pageSetUpPr/>
  </sheetPr>
  <dimension ref="A1:T15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4" customWidth="1" min="2" max="2"/>
    <col width="11" customWidth="1" min="3" max="3"/>
    <col width="9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9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26" customWidth="1" min="20" max="20"/>
  </cols>
  <sheetData>
    <row r="1" ht="48" customHeight="1">
      <c r="A1" s="15" t="inlineStr">
        <is>
          <t>Código</t>
        </is>
      </c>
      <c r="B1" s="15" t="inlineStr">
        <is>
          <t>Insumo</t>
        </is>
      </c>
      <c r="C1" s="15" t="inlineStr">
        <is>
          <t>Sector</t>
        </is>
      </c>
      <c r="D1" s="15" t="inlineStr">
        <is>
          <t>Unidad</t>
        </is>
      </c>
      <c r="E1" s="15" t="inlineStr">
        <is>
          <t>Consumo lunes</t>
        </is>
      </c>
      <c r="F1" s="15" t="inlineStr">
        <is>
          <t>Consumo martes</t>
        </is>
      </c>
      <c r="G1" s="15" t="inlineStr">
        <is>
          <t>Consumo miércoles</t>
        </is>
      </c>
      <c r="H1" s="15" t="inlineStr">
        <is>
          <t>Consumo jueves</t>
        </is>
      </c>
      <c r="I1" s="15" t="inlineStr">
        <is>
          <t>Consumo viernes</t>
        </is>
      </c>
      <c r="J1" s="15" t="inlineStr">
        <is>
          <t>Consumo sábado</t>
        </is>
      </c>
      <c r="K1" s="15" t="inlineStr">
        <is>
          <t>Consumo domingo</t>
        </is>
      </c>
      <c r="L1" s="15" t="inlineStr">
        <is>
          <t>Días a cubrir</t>
        </is>
      </c>
      <c r="M1" s="16" t="inlineStr">
        <is>
          <t>Mínimo lunes</t>
        </is>
      </c>
      <c r="N1" s="16" t="inlineStr">
        <is>
          <t>Mínimo martes</t>
        </is>
      </c>
      <c r="O1" s="16" t="inlineStr">
        <is>
          <t>Mínimo miércoles</t>
        </is>
      </c>
      <c r="P1" s="16" t="inlineStr">
        <is>
          <t>Mínimo jueves</t>
        </is>
      </c>
      <c r="Q1" s="16" t="inlineStr">
        <is>
          <t>Mínimo viernes</t>
        </is>
      </c>
      <c r="R1" s="16" t="inlineStr">
        <is>
          <t>Mínimo sábado</t>
        </is>
      </c>
      <c r="S1" s="16" t="inlineStr">
        <is>
          <t>Mínimo domingo</t>
        </is>
      </c>
      <c r="T1" s="15" t="inlineStr">
        <is>
          <t>Proveedor / observaciones</t>
        </is>
      </c>
    </row>
    <row r="2">
      <c r="A2" s="17" t="inlineStr">
        <is>
          <t>C-01</t>
        </is>
      </c>
      <c r="B2" s="17" t="inlineStr">
        <is>
          <t>Papa</t>
        </is>
      </c>
      <c r="C2" s="17" t="inlineStr">
        <is>
          <t>Cocina</t>
        </is>
      </c>
      <c r="D2" s="17" t="inlineStr">
        <is>
          <t>kg</t>
        </is>
      </c>
      <c r="E2" s="18" t="n">
        <v>12</v>
      </c>
      <c r="F2" s="18" t="n">
        <v>12</v>
      </c>
      <c r="G2" s="18" t="n">
        <v>14</v>
      </c>
      <c r="H2" s="18" t="n">
        <v>16</v>
      </c>
      <c r="I2" s="18" t="n">
        <v>24</v>
      </c>
      <c r="J2" s="18" t="n">
        <v>28</v>
      </c>
      <c r="K2" s="18" t="n">
        <v>22</v>
      </c>
      <c r="L2" s="17" t="n">
        <v>2</v>
      </c>
      <c r="M2" s="19">
        <f>IF(OR($B2="",COUNT($E2:$K2)=0),"",SUMPRODUCT((MOD(COLUMN($E2:$K2)-COLUMN($E2)-0,7)&lt;MAX(1,MIN(7,N($L2))))*$E2:$K2)*(1+N(Configuración!$C$3)))</f>
        <v/>
      </c>
      <c r="N2" s="19">
        <f>IF(OR($B2="",COUNT($E2:$K2)=0),"",SUMPRODUCT((MOD(COLUMN($E2:$K2)-COLUMN($E2)-1,7)&lt;MAX(1,MIN(7,N($L2))))*$E2:$K2)*(1+N(Configuración!$C$3)))</f>
        <v/>
      </c>
      <c r="O2" s="19">
        <f>IF(OR($B2="",COUNT($E2:$K2)=0),"",SUMPRODUCT((MOD(COLUMN($E2:$K2)-COLUMN($E2)-2,7)&lt;MAX(1,MIN(7,N($L2))))*$E2:$K2)*(1+N(Configuración!$C$3)))</f>
        <v/>
      </c>
      <c r="P2" s="19">
        <f>IF(OR($B2="",COUNT($E2:$K2)=0),"",SUMPRODUCT((MOD(COLUMN($E2:$K2)-COLUMN($E2)-3,7)&lt;MAX(1,MIN(7,N($L2))))*$E2:$K2)*(1+N(Configuración!$C$3)))</f>
        <v/>
      </c>
      <c r="Q2" s="19">
        <f>IF(OR($B2="",COUNT($E2:$K2)=0),"",SUMPRODUCT((MOD(COLUMN($E2:$K2)-COLUMN($E2)-4,7)&lt;MAX(1,MIN(7,N($L2))))*$E2:$K2)*(1+N(Configuración!$C$3)))</f>
        <v/>
      </c>
      <c r="R2" s="19">
        <f>IF(OR($B2="",COUNT($E2:$K2)=0),"",SUMPRODUCT((MOD(COLUMN($E2:$K2)-COLUMN($E2)-5,7)&lt;MAX(1,MIN(7,N($L2))))*$E2:$K2)*(1+N(Configuración!$C$3)))</f>
        <v/>
      </c>
      <c r="S2" s="19">
        <f>IF(OR($B2="",COUNT($E2:$K2)=0),"",SUMPRODUCT((MOD(COLUMN($E2:$K2)-COLUMN($E2)-6,7)&lt;MAX(1,MIN(7,N($L2))))*$E2:$K2)*(1+N(Configuración!$C$3)))</f>
        <v/>
      </c>
      <c r="T2" s="17" t="n"/>
    </row>
    <row r="3">
      <c r="A3" s="17" t="inlineStr">
        <is>
          <t>C-02</t>
        </is>
      </c>
      <c r="B3" s="17" t="inlineStr">
        <is>
          <t>Carne picada</t>
        </is>
      </c>
      <c r="C3" s="17" t="inlineStr">
        <is>
          <t>Cocina</t>
        </is>
      </c>
      <c r="D3" s="17" t="inlineStr">
        <is>
          <t>kg</t>
        </is>
      </c>
      <c r="E3" s="18" t="n">
        <v>6</v>
      </c>
      <c r="F3" s="18" t="n">
        <v>6</v>
      </c>
      <c r="G3" s="18" t="n">
        <v>7</v>
      </c>
      <c r="H3" s="18" t="n">
        <v>8</v>
      </c>
      <c r="I3" s="18" t="n">
        <v>12</v>
      </c>
      <c r="J3" s="18" t="n">
        <v>14</v>
      </c>
      <c r="K3" s="18" t="n">
        <v>11</v>
      </c>
      <c r="L3" s="17" t="n">
        <v>1</v>
      </c>
      <c r="M3" s="19">
        <f>IF(OR($B3="",COUNT($E3:$K3)=0),"",SUMPRODUCT((MOD(COLUMN($E3:$K3)-COLUMN($E3)-0,7)&lt;MAX(1,MIN(7,N($L3))))*$E3:$K3)*(1+N(Configuración!$C$3)))</f>
        <v/>
      </c>
      <c r="N3" s="19">
        <f>IF(OR($B3="",COUNT($E3:$K3)=0),"",SUMPRODUCT((MOD(COLUMN($E3:$K3)-COLUMN($E3)-1,7)&lt;MAX(1,MIN(7,N($L3))))*$E3:$K3)*(1+N(Configuración!$C$3)))</f>
        <v/>
      </c>
      <c r="O3" s="19">
        <f>IF(OR($B3="",COUNT($E3:$K3)=0),"",SUMPRODUCT((MOD(COLUMN($E3:$K3)-COLUMN($E3)-2,7)&lt;MAX(1,MIN(7,N($L3))))*$E3:$K3)*(1+N(Configuración!$C$3)))</f>
        <v/>
      </c>
      <c r="P3" s="19">
        <f>IF(OR($B3="",COUNT($E3:$K3)=0),"",SUMPRODUCT((MOD(COLUMN($E3:$K3)-COLUMN($E3)-3,7)&lt;MAX(1,MIN(7,N($L3))))*$E3:$K3)*(1+N(Configuración!$C$3)))</f>
        <v/>
      </c>
      <c r="Q3" s="19">
        <f>IF(OR($B3="",COUNT($E3:$K3)=0),"",SUMPRODUCT((MOD(COLUMN($E3:$K3)-COLUMN($E3)-4,7)&lt;MAX(1,MIN(7,N($L3))))*$E3:$K3)*(1+N(Configuración!$C$3)))</f>
        <v/>
      </c>
      <c r="R3" s="19">
        <f>IF(OR($B3="",COUNT($E3:$K3)=0),"",SUMPRODUCT((MOD(COLUMN($E3:$K3)-COLUMN($E3)-5,7)&lt;MAX(1,MIN(7,N($L3))))*$E3:$K3)*(1+N(Configuración!$C$3)))</f>
        <v/>
      </c>
      <c r="S3" s="19">
        <f>IF(OR($B3="",COUNT($E3:$K3)=0),"",SUMPRODUCT((MOD(COLUMN($E3:$K3)-COLUMN($E3)-6,7)&lt;MAX(1,MIN(7,N($L3))))*$E3:$K3)*(1+N(Configuración!$C$3)))</f>
        <v/>
      </c>
      <c r="T3" s="17" t="n"/>
    </row>
    <row r="4">
      <c r="A4" s="17" t="inlineStr">
        <is>
          <t>C-03</t>
        </is>
      </c>
      <c r="B4" s="17" t="inlineStr">
        <is>
          <t>Muzzarella</t>
        </is>
      </c>
      <c r="C4" s="17" t="inlineStr">
        <is>
          <t>Cocina</t>
        </is>
      </c>
      <c r="D4" s="17" t="inlineStr">
        <is>
          <t>kg</t>
        </is>
      </c>
      <c r="E4" s="18" t="n">
        <v>4</v>
      </c>
      <c r="F4" s="18" t="n">
        <v>4</v>
      </c>
      <c r="G4" s="18" t="n">
        <v>5</v>
      </c>
      <c r="H4" s="18" t="n">
        <v>5</v>
      </c>
      <c r="I4" s="18" t="n">
        <v>9</v>
      </c>
      <c r="J4" s="18" t="n">
        <v>11</v>
      </c>
      <c r="K4" s="18" t="n">
        <v>8</v>
      </c>
      <c r="L4" s="17" t="n">
        <v>2</v>
      </c>
      <c r="M4" s="19">
        <f>IF(OR($B4="",COUNT($E4:$K4)=0),"",SUMPRODUCT((MOD(COLUMN($E4:$K4)-COLUMN($E4)-0,7)&lt;MAX(1,MIN(7,N($L4))))*$E4:$K4)*(1+N(Configuración!$C$3)))</f>
        <v/>
      </c>
      <c r="N4" s="19">
        <f>IF(OR($B4="",COUNT($E4:$K4)=0),"",SUMPRODUCT((MOD(COLUMN($E4:$K4)-COLUMN($E4)-1,7)&lt;MAX(1,MIN(7,N($L4))))*$E4:$K4)*(1+N(Configuración!$C$3)))</f>
        <v/>
      </c>
      <c r="O4" s="19">
        <f>IF(OR($B4="",COUNT($E4:$K4)=0),"",SUMPRODUCT((MOD(COLUMN($E4:$K4)-COLUMN($E4)-2,7)&lt;MAX(1,MIN(7,N($L4))))*$E4:$K4)*(1+N(Configuración!$C$3)))</f>
        <v/>
      </c>
      <c r="P4" s="19">
        <f>IF(OR($B4="",COUNT($E4:$K4)=0),"",SUMPRODUCT((MOD(COLUMN($E4:$K4)-COLUMN($E4)-3,7)&lt;MAX(1,MIN(7,N($L4))))*$E4:$K4)*(1+N(Configuración!$C$3)))</f>
        <v/>
      </c>
      <c r="Q4" s="19">
        <f>IF(OR($B4="",COUNT($E4:$K4)=0),"",SUMPRODUCT((MOD(COLUMN($E4:$K4)-COLUMN($E4)-4,7)&lt;MAX(1,MIN(7,N($L4))))*$E4:$K4)*(1+N(Configuración!$C$3)))</f>
        <v/>
      </c>
      <c r="R4" s="19">
        <f>IF(OR($B4="",COUNT($E4:$K4)=0),"",SUMPRODUCT((MOD(COLUMN($E4:$K4)-COLUMN($E4)-5,7)&lt;MAX(1,MIN(7,N($L4))))*$E4:$K4)*(1+N(Configuración!$C$3)))</f>
        <v/>
      </c>
      <c r="S4" s="19">
        <f>IF(OR($B4="",COUNT($E4:$K4)=0),"",SUMPRODUCT((MOD(COLUMN($E4:$K4)-COLUMN($E4)-6,7)&lt;MAX(1,MIN(7,N($L4))))*$E4:$K4)*(1+N(Configuración!$C$3)))</f>
        <v/>
      </c>
      <c r="T4" s="17" t="n"/>
    </row>
    <row r="5">
      <c r="A5" s="17" t="inlineStr">
        <is>
          <t>C-04</t>
        </is>
      </c>
      <c r="B5" s="17" t="inlineStr">
        <is>
          <t>Pan de hamburguesa</t>
        </is>
      </c>
      <c r="C5" s="17" t="inlineStr">
        <is>
          <t>Cocina</t>
        </is>
      </c>
      <c r="D5" s="17" t="inlineStr">
        <is>
          <t>unidad</t>
        </is>
      </c>
      <c r="E5" s="18" t="n">
        <v>40</v>
      </c>
      <c r="F5" s="18" t="n">
        <v>40</v>
      </c>
      <c r="G5" s="18" t="n">
        <v>45</v>
      </c>
      <c r="H5" s="18" t="n">
        <v>55</v>
      </c>
      <c r="I5" s="18" t="n">
        <v>90</v>
      </c>
      <c r="J5" s="18" t="n">
        <v>110</v>
      </c>
      <c r="K5" s="18" t="n">
        <v>80</v>
      </c>
      <c r="L5" s="17" t="n">
        <v>1</v>
      </c>
      <c r="M5" s="19">
        <f>IF(OR($B5="",COUNT($E5:$K5)=0),"",SUMPRODUCT((MOD(COLUMN($E5:$K5)-COLUMN($E5)-0,7)&lt;MAX(1,MIN(7,N($L5))))*$E5:$K5)*(1+N(Configuración!$C$3)))</f>
        <v/>
      </c>
      <c r="N5" s="19">
        <f>IF(OR($B5="",COUNT($E5:$K5)=0),"",SUMPRODUCT((MOD(COLUMN($E5:$K5)-COLUMN($E5)-1,7)&lt;MAX(1,MIN(7,N($L5))))*$E5:$K5)*(1+N(Configuración!$C$3)))</f>
        <v/>
      </c>
      <c r="O5" s="19">
        <f>IF(OR($B5="",COUNT($E5:$K5)=0),"",SUMPRODUCT((MOD(COLUMN($E5:$K5)-COLUMN($E5)-2,7)&lt;MAX(1,MIN(7,N($L5))))*$E5:$K5)*(1+N(Configuración!$C$3)))</f>
        <v/>
      </c>
      <c r="P5" s="19">
        <f>IF(OR($B5="",COUNT($E5:$K5)=0),"",SUMPRODUCT((MOD(COLUMN($E5:$K5)-COLUMN($E5)-3,7)&lt;MAX(1,MIN(7,N($L5))))*$E5:$K5)*(1+N(Configuración!$C$3)))</f>
        <v/>
      </c>
      <c r="Q5" s="19">
        <f>IF(OR($B5="",COUNT($E5:$K5)=0),"",SUMPRODUCT((MOD(COLUMN($E5:$K5)-COLUMN($E5)-4,7)&lt;MAX(1,MIN(7,N($L5))))*$E5:$K5)*(1+N(Configuración!$C$3)))</f>
        <v/>
      </c>
      <c r="R5" s="19">
        <f>IF(OR($B5="",COUNT($E5:$K5)=0),"",SUMPRODUCT((MOD(COLUMN($E5:$K5)-COLUMN($E5)-5,7)&lt;MAX(1,MIN(7,N($L5))))*$E5:$K5)*(1+N(Configuración!$C$3)))</f>
        <v/>
      </c>
      <c r="S5" s="19">
        <f>IF(OR($B5="",COUNT($E5:$K5)=0),"",SUMPRODUCT((MOD(COLUMN($E5:$K5)-COLUMN($E5)-6,7)&lt;MAX(1,MIN(7,N($L5))))*$E5:$K5)*(1+N(Configuración!$C$3)))</f>
        <v/>
      </c>
      <c r="T5" s="17" t="n"/>
    </row>
    <row r="6">
      <c r="A6" s="17" t="inlineStr">
        <is>
          <t>C-05</t>
        </is>
      </c>
      <c r="B6" s="17" t="inlineStr">
        <is>
          <t>Tomate</t>
        </is>
      </c>
      <c r="C6" s="17" t="inlineStr">
        <is>
          <t>Cocina</t>
        </is>
      </c>
      <c r="D6" s="17" t="inlineStr">
        <is>
          <t>kg</t>
        </is>
      </c>
      <c r="E6" s="18" t="n">
        <v>3</v>
      </c>
      <c r="F6" s="18" t="n">
        <v>3</v>
      </c>
      <c r="G6" s="18" t="n">
        <v>3.5</v>
      </c>
      <c r="H6" s="18" t="n">
        <v>4</v>
      </c>
      <c r="I6" s="18" t="n">
        <v>6</v>
      </c>
      <c r="J6" s="18" t="n">
        <v>7</v>
      </c>
      <c r="K6" s="18" t="n">
        <v>5</v>
      </c>
      <c r="L6" s="17" t="n">
        <v>2</v>
      </c>
      <c r="M6" s="19">
        <f>IF(OR($B6="",COUNT($E6:$K6)=0),"",SUMPRODUCT((MOD(COLUMN($E6:$K6)-COLUMN($E6)-0,7)&lt;MAX(1,MIN(7,N($L6))))*$E6:$K6)*(1+N(Configuración!$C$3)))</f>
        <v/>
      </c>
      <c r="N6" s="19">
        <f>IF(OR($B6="",COUNT($E6:$K6)=0),"",SUMPRODUCT((MOD(COLUMN($E6:$K6)-COLUMN($E6)-1,7)&lt;MAX(1,MIN(7,N($L6))))*$E6:$K6)*(1+N(Configuración!$C$3)))</f>
        <v/>
      </c>
      <c r="O6" s="19">
        <f>IF(OR($B6="",COUNT($E6:$K6)=0),"",SUMPRODUCT((MOD(COLUMN($E6:$K6)-COLUMN($E6)-2,7)&lt;MAX(1,MIN(7,N($L6))))*$E6:$K6)*(1+N(Configuración!$C$3)))</f>
        <v/>
      </c>
      <c r="P6" s="19">
        <f>IF(OR($B6="",COUNT($E6:$K6)=0),"",SUMPRODUCT((MOD(COLUMN($E6:$K6)-COLUMN($E6)-3,7)&lt;MAX(1,MIN(7,N($L6))))*$E6:$K6)*(1+N(Configuración!$C$3)))</f>
        <v/>
      </c>
      <c r="Q6" s="19">
        <f>IF(OR($B6="",COUNT($E6:$K6)=0),"",SUMPRODUCT((MOD(COLUMN($E6:$K6)-COLUMN($E6)-4,7)&lt;MAX(1,MIN(7,N($L6))))*$E6:$K6)*(1+N(Configuración!$C$3)))</f>
        <v/>
      </c>
      <c r="R6" s="19">
        <f>IF(OR($B6="",COUNT($E6:$K6)=0),"",SUMPRODUCT((MOD(COLUMN($E6:$K6)-COLUMN($E6)-5,7)&lt;MAX(1,MIN(7,N($L6))))*$E6:$K6)*(1+N(Configuración!$C$3)))</f>
        <v/>
      </c>
      <c r="S6" s="19">
        <f>IF(OR($B6="",COUNT($E6:$K6)=0),"",SUMPRODUCT((MOD(COLUMN($E6:$K6)-COLUMN($E6)-6,7)&lt;MAX(1,MIN(7,N($L6))))*$E6:$K6)*(1+N(Configuración!$C$3)))</f>
        <v/>
      </c>
      <c r="T6" s="17" t="n"/>
    </row>
    <row r="7">
      <c r="A7" s="17" t="inlineStr">
        <is>
          <t>C-06</t>
        </is>
      </c>
      <c r="B7" s="17" t="inlineStr">
        <is>
          <t>Masa de pizza (bollos)</t>
        </is>
      </c>
      <c r="C7" s="17" t="inlineStr">
        <is>
          <t>Cocina</t>
        </is>
      </c>
      <c r="D7" s="17" t="inlineStr">
        <is>
          <t>unidad</t>
        </is>
      </c>
      <c r="E7" s="18" t="n">
        <v>20</v>
      </c>
      <c r="F7" s="18" t="n">
        <v>20</v>
      </c>
      <c r="G7" s="18" t="n">
        <v>24</v>
      </c>
      <c r="H7" s="18" t="n">
        <v>30</v>
      </c>
      <c r="I7" s="18" t="n">
        <v>50</v>
      </c>
      <c r="J7" s="18" t="n">
        <v>60</v>
      </c>
      <c r="K7" s="18" t="n">
        <v>45</v>
      </c>
      <c r="L7" s="17" t="n">
        <v>1</v>
      </c>
      <c r="M7" s="19">
        <f>IF(OR($B7="",COUNT($E7:$K7)=0),"",SUMPRODUCT((MOD(COLUMN($E7:$K7)-COLUMN($E7)-0,7)&lt;MAX(1,MIN(7,N($L7))))*$E7:$K7)*(1+N(Configuración!$C$3)))</f>
        <v/>
      </c>
      <c r="N7" s="19">
        <f>IF(OR($B7="",COUNT($E7:$K7)=0),"",SUMPRODUCT((MOD(COLUMN($E7:$K7)-COLUMN($E7)-1,7)&lt;MAX(1,MIN(7,N($L7))))*$E7:$K7)*(1+N(Configuración!$C$3)))</f>
        <v/>
      </c>
      <c r="O7" s="19">
        <f>IF(OR($B7="",COUNT($E7:$K7)=0),"",SUMPRODUCT((MOD(COLUMN($E7:$K7)-COLUMN($E7)-2,7)&lt;MAX(1,MIN(7,N($L7))))*$E7:$K7)*(1+N(Configuración!$C$3)))</f>
        <v/>
      </c>
      <c r="P7" s="19">
        <f>IF(OR($B7="",COUNT($E7:$K7)=0),"",SUMPRODUCT((MOD(COLUMN($E7:$K7)-COLUMN($E7)-3,7)&lt;MAX(1,MIN(7,N($L7))))*$E7:$K7)*(1+N(Configuración!$C$3)))</f>
        <v/>
      </c>
      <c r="Q7" s="19">
        <f>IF(OR($B7="",COUNT($E7:$K7)=0),"",SUMPRODUCT((MOD(COLUMN($E7:$K7)-COLUMN($E7)-4,7)&lt;MAX(1,MIN(7,N($L7))))*$E7:$K7)*(1+N(Configuración!$C$3)))</f>
        <v/>
      </c>
      <c r="R7" s="19">
        <f>IF(OR($B7="",COUNT($E7:$K7)=0),"",SUMPRODUCT((MOD(COLUMN($E7:$K7)-COLUMN($E7)-5,7)&lt;MAX(1,MIN(7,N($L7))))*$E7:$K7)*(1+N(Configuración!$C$3)))</f>
        <v/>
      </c>
      <c r="S7" s="19">
        <f>IF(OR($B7="",COUNT($E7:$K7)=0),"",SUMPRODUCT((MOD(COLUMN($E7:$K7)-COLUMN($E7)-6,7)&lt;MAX(1,MIN(7,N($L7))))*$E7:$K7)*(1+N(Configuración!$C$3)))</f>
        <v/>
      </c>
      <c r="T7" s="17" t="n"/>
    </row>
    <row r="8">
      <c r="A8" s="17" t="inlineStr">
        <is>
          <t>B-01</t>
        </is>
      </c>
      <c r="B8" s="17" t="inlineStr">
        <is>
          <t>Limón</t>
        </is>
      </c>
      <c r="C8" s="17" t="inlineStr">
        <is>
          <t>Barra</t>
        </is>
      </c>
      <c r="D8" s="17" t="inlineStr">
        <is>
          <t>kg</t>
        </is>
      </c>
      <c r="E8" s="18" t="n">
        <v>1.5</v>
      </c>
      <c r="F8" s="18" t="n">
        <v>1.5</v>
      </c>
      <c r="G8" s="18" t="n">
        <v>1.5</v>
      </c>
      <c r="H8" s="18" t="n">
        <v>2</v>
      </c>
      <c r="I8" s="18" t="n">
        <v>4</v>
      </c>
      <c r="J8" s="18" t="n">
        <v>5</v>
      </c>
      <c r="K8" s="18" t="n">
        <v>3</v>
      </c>
      <c r="L8" s="17" t="n">
        <v>3</v>
      </c>
      <c r="M8" s="19">
        <f>IF(OR($B8="",COUNT($E8:$K8)=0),"",SUMPRODUCT((MOD(COLUMN($E8:$K8)-COLUMN($E8)-0,7)&lt;MAX(1,MIN(7,N($L8))))*$E8:$K8)*(1+N(Configuración!$C$3)))</f>
        <v/>
      </c>
      <c r="N8" s="19">
        <f>IF(OR($B8="",COUNT($E8:$K8)=0),"",SUMPRODUCT((MOD(COLUMN($E8:$K8)-COLUMN($E8)-1,7)&lt;MAX(1,MIN(7,N($L8))))*$E8:$K8)*(1+N(Configuración!$C$3)))</f>
        <v/>
      </c>
      <c r="O8" s="19">
        <f>IF(OR($B8="",COUNT($E8:$K8)=0),"",SUMPRODUCT((MOD(COLUMN($E8:$K8)-COLUMN($E8)-2,7)&lt;MAX(1,MIN(7,N($L8))))*$E8:$K8)*(1+N(Configuración!$C$3)))</f>
        <v/>
      </c>
      <c r="P8" s="19">
        <f>IF(OR($B8="",COUNT($E8:$K8)=0),"",SUMPRODUCT((MOD(COLUMN($E8:$K8)-COLUMN($E8)-3,7)&lt;MAX(1,MIN(7,N($L8))))*$E8:$K8)*(1+N(Configuración!$C$3)))</f>
        <v/>
      </c>
      <c r="Q8" s="19">
        <f>IF(OR($B8="",COUNT($E8:$K8)=0),"",SUMPRODUCT((MOD(COLUMN($E8:$K8)-COLUMN($E8)-4,7)&lt;MAX(1,MIN(7,N($L8))))*$E8:$K8)*(1+N(Configuración!$C$3)))</f>
        <v/>
      </c>
      <c r="R8" s="19">
        <f>IF(OR($B8="",COUNT($E8:$K8)=0),"",SUMPRODUCT((MOD(COLUMN($E8:$K8)-COLUMN($E8)-5,7)&lt;MAX(1,MIN(7,N($L8))))*$E8:$K8)*(1+N(Configuración!$C$3)))</f>
        <v/>
      </c>
      <c r="S8" s="19">
        <f>IF(OR($B8="",COUNT($E8:$K8)=0),"",SUMPRODUCT((MOD(COLUMN($E8:$K8)-COLUMN($E8)-6,7)&lt;MAX(1,MIN(7,N($L8))))*$E8:$K8)*(1+N(Configuración!$C$3)))</f>
        <v/>
      </c>
      <c r="T8" s="17" t="n"/>
    </row>
    <row r="9">
      <c r="A9" s="17" t="inlineStr">
        <is>
          <t>B-02</t>
        </is>
      </c>
      <c r="B9" s="17" t="inlineStr">
        <is>
          <t>Hielo</t>
        </is>
      </c>
      <c r="C9" s="17" t="inlineStr">
        <is>
          <t>Barra</t>
        </is>
      </c>
      <c r="D9" s="17" t="inlineStr">
        <is>
          <t>bolsa</t>
        </is>
      </c>
      <c r="E9" s="18" t="n">
        <v>3</v>
      </c>
      <c r="F9" s="18" t="n">
        <v>3</v>
      </c>
      <c r="G9" s="18" t="n">
        <v>4</v>
      </c>
      <c r="H9" s="18" t="n">
        <v>5</v>
      </c>
      <c r="I9" s="18" t="n">
        <v>10</v>
      </c>
      <c r="J9" s="18" t="n">
        <v>12</v>
      </c>
      <c r="K9" s="18" t="n">
        <v>7</v>
      </c>
      <c r="L9" s="17" t="n">
        <v>1</v>
      </c>
      <c r="M9" s="19">
        <f>IF(OR($B9="",COUNT($E9:$K9)=0),"",SUMPRODUCT((MOD(COLUMN($E9:$K9)-COLUMN($E9)-0,7)&lt;MAX(1,MIN(7,N($L9))))*$E9:$K9)*(1+N(Configuración!$C$3)))</f>
        <v/>
      </c>
      <c r="N9" s="19">
        <f>IF(OR($B9="",COUNT($E9:$K9)=0),"",SUMPRODUCT((MOD(COLUMN($E9:$K9)-COLUMN($E9)-1,7)&lt;MAX(1,MIN(7,N($L9))))*$E9:$K9)*(1+N(Configuración!$C$3)))</f>
        <v/>
      </c>
      <c r="O9" s="19">
        <f>IF(OR($B9="",COUNT($E9:$K9)=0),"",SUMPRODUCT((MOD(COLUMN($E9:$K9)-COLUMN($E9)-2,7)&lt;MAX(1,MIN(7,N($L9))))*$E9:$K9)*(1+N(Configuración!$C$3)))</f>
        <v/>
      </c>
      <c r="P9" s="19">
        <f>IF(OR($B9="",COUNT($E9:$K9)=0),"",SUMPRODUCT((MOD(COLUMN($E9:$K9)-COLUMN($E9)-3,7)&lt;MAX(1,MIN(7,N($L9))))*$E9:$K9)*(1+N(Configuración!$C$3)))</f>
        <v/>
      </c>
      <c r="Q9" s="19">
        <f>IF(OR($B9="",COUNT($E9:$K9)=0),"",SUMPRODUCT((MOD(COLUMN($E9:$K9)-COLUMN($E9)-4,7)&lt;MAX(1,MIN(7,N($L9))))*$E9:$K9)*(1+N(Configuración!$C$3)))</f>
        <v/>
      </c>
      <c r="R9" s="19">
        <f>IF(OR($B9="",COUNT($E9:$K9)=0),"",SUMPRODUCT((MOD(COLUMN($E9:$K9)-COLUMN($E9)-5,7)&lt;MAX(1,MIN(7,N($L9))))*$E9:$K9)*(1+N(Configuración!$C$3)))</f>
        <v/>
      </c>
      <c r="S9" s="19">
        <f>IF(OR($B9="",COUNT($E9:$K9)=0),"",SUMPRODUCT((MOD(COLUMN($E9:$K9)-COLUMN($E9)-6,7)&lt;MAX(1,MIN(7,N($L9))))*$E9:$K9)*(1+N(Configuración!$C$3)))</f>
        <v/>
      </c>
      <c r="T9" s="17" t="n"/>
    </row>
    <row r="10">
      <c r="A10" s="17" t="inlineStr">
        <is>
          <t>B-03</t>
        </is>
      </c>
      <c r="B10" s="17" t="inlineStr">
        <is>
          <t>Fernet</t>
        </is>
      </c>
      <c r="C10" s="17" t="inlineStr">
        <is>
          <t>Barra</t>
        </is>
      </c>
      <c r="D10" s="17" t="inlineStr">
        <is>
          <t>botella</t>
        </is>
      </c>
      <c r="E10" s="18" t="n">
        <v>1</v>
      </c>
      <c r="F10" s="18" t="n">
        <v>1</v>
      </c>
      <c r="G10" s="18" t="n">
        <v>1.5</v>
      </c>
      <c r="H10" s="18" t="n">
        <v>2</v>
      </c>
      <c r="I10" s="18" t="n">
        <v>4</v>
      </c>
      <c r="J10" s="18" t="n">
        <v>5</v>
      </c>
      <c r="K10" s="18" t="n">
        <v>3</v>
      </c>
      <c r="L10" s="17" t="n">
        <v>3</v>
      </c>
      <c r="M10" s="19">
        <f>IF(OR($B10="",COUNT($E10:$K10)=0),"",SUMPRODUCT((MOD(COLUMN($E10:$K10)-COLUMN($E10)-0,7)&lt;MAX(1,MIN(7,N($L10))))*$E10:$K10)*(1+N(Configuración!$C$3)))</f>
        <v/>
      </c>
      <c r="N10" s="19">
        <f>IF(OR($B10="",COUNT($E10:$K10)=0),"",SUMPRODUCT((MOD(COLUMN($E10:$K10)-COLUMN($E10)-1,7)&lt;MAX(1,MIN(7,N($L10))))*$E10:$K10)*(1+N(Configuración!$C$3)))</f>
        <v/>
      </c>
      <c r="O10" s="19">
        <f>IF(OR($B10="",COUNT($E10:$K10)=0),"",SUMPRODUCT((MOD(COLUMN($E10:$K10)-COLUMN($E10)-2,7)&lt;MAX(1,MIN(7,N($L10))))*$E10:$K10)*(1+N(Configuración!$C$3)))</f>
        <v/>
      </c>
      <c r="P10" s="19">
        <f>IF(OR($B10="",COUNT($E10:$K10)=0),"",SUMPRODUCT((MOD(COLUMN($E10:$K10)-COLUMN($E10)-3,7)&lt;MAX(1,MIN(7,N($L10))))*$E10:$K10)*(1+N(Configuración!$C$3)))</f>
        <v/>
      </c>
      <c r="Q10" s="19">
        <f>IF(OR($B10="",COUNT($E10:$K10)=0),"",SUMPRODUCT((MOD(COLUMN($E10:$K10)-COLUMN($E10)-4,7)&lt;MAX(1,MIN(7,N($L10))))*$E10:$K10)*(1+N(Configuración!$C$3)))</f>
        <v/>
      </c>
      <c r="R10" s="19">
        <f>IF(OR($B10="",COUNT($E10:$K10)=0),"",SUMPRODUCT((MOD(COLUMN($E10:$K10)-COLUMN($E10)-5,7)&lt;MAX(1,MIN(7,N($L10))))*$E10:$K10)*(1+N(Configuración!$C$3)))</f>
        <v/>
      </c>
      <c r="S10" s="19">
        <f>IF(OR($B10="",COUNT($E10:$K10)=0),"",SUMPRODUCT((MOD(COLUMN($E10:$K10)-COLUMN($E10)-6,7)&lt;MAX(1,MIN(7,N($L10))))*$E10:$K10)*(1+N(Configuración!$C$3)))</f>
        <v/>
      </c>
      <c r="T10" s="17" t="n"/>
    </row>
    <row r="11">
      <c r="A11" s="17" t="inlineStr">
        <is>
          <t>B-04</t>
        </is>
      </c>
      <c r="B11" s="17" t="inlineStr">
        <is>
          <t>Cerveza tirada</t>
        </is>
      </c>
      <c r="C11" s="17" t="inlineStr">
        <is>
          <t>Barra</t>
        </is>
      </c>
      <c r="D11" s="17" t="inlineStr">
        <is>
          <t>litro</t>
        </is>
      </c>
      <c r="E11" s="18" t="n">
        <v>20</v>
      </c>
      <c r="F11" s="18" t="n">
        <v>20</v>
      </c>
      <c r="G11" s="18" t="n">
        <v>25</v>
      </c>
      <c r="H11" s="18" t="n">
        <v>30</v>
      </c>
      <c r="I11" s="18" t="n">
        <v>60</v>
      </c>
      <c r="J11" s="18" t="n">
        <v>75</v>
      </c>
      <c r="K11" s="18" t="n">
        <v>45</v>
      </c>
      <c r="L11" s="17" t="n">
        <v>2</v>
      </c>
      <c r="M11" s="19">
        <f>IF(OR($B11="",COUNT($E11:$K11)=0),"",SUMPRODUCT((MOD(COLUMN($E11:$K11)-COLUMN($E11)-0,7)&lt;MAX(1,MIN(7,N($L11))))*$E11:$K11)*(1+N(Configuración!$C$3)))</f>
        <v/>
      </c>
      <c r="N11" s="19">
        <f>IF(OR($B11="",COUNT($E11:$K11)=0),"",SUMPRODUCT((MOD(COLUMN($E11:$K11)-COLUMN($E11)-1,7)&lt;MAX(1,MIN(7,N($L11))))*$E11:$K11)*(1+N(Configuración!$C$3)))</f>
        <v/>
      </c>
      <c r="O11" s="19">
        <f>IF(OR($B11="",COUNT($E11:$K11)=0),"",SUMPRODUCT((MOD(COLUMN($E11:$K11)-COLUMN($E11)-2,7)&lt;MAX(1,MIN(7,N($L11))))*$E11:$K11)*(1+N(Configuración!$C$3)))</f>
        <v/>
      </c>
      <c r="P11" s="19">
        <f>IF(OR($B11="",COUNT($E11:$K11)=0),"",SUMPRODUCT((MOD(COLUMN($E11:$K11)-COLUMN($E11)-3,7)&lt;MAX(1,MIN(7,N($L11))))*$E11:$K11)*(1+N(Configuración!$C$3)))</f>
        <v/>
      </c>
      <c r="Q11" s="19">
        <f>IF(OR($B11="",COUNT($E11:$K11)=0),"",SUMPRODUCT((MOD(COLUMN($E11:$K11)-COLUMN($E11)-4,7)&lt;MAX(1,MIN(7,N($L11))))*$E11:$K11)*(1+N(Configuración!$C$3)))</f>
        <v/>
      </c>
      <c r="R11" s="19">
        <f>IF(OR($B11="",COUNT($E11:$K11)=0),"",SUMPRODUCT((MOD(COLUMN($E11:$K11)-COLUMN($E11)-5,7)&lt;MAX(1,MIN(7,N($L11))))*$E11:$K11)*(1+N(Configuración!$C$3)))</f>
        <v/>
      </c>
      <c r="S11" s="19">
        <f>IF(OR($B11="",COUNT($E11:$K11)=0),"",SUMPRODUCT((MOD(COLUMN($E11:$K11)-COLUMN($E11)-6,7)&lt;MAX(1,MIN(7,N($L11))))*$E11:$K11)*(1+N(Configuración!$C$3)))</f>
        <v/>
      </c>
      <c r="T11" s="17" t="n"/>
    </row>
    <row r="12">
      <c r="A12" s="17" t="n"/>
      <c r="B12" s="17" t="n"/>
      <c r="C12" s="17" t="n"/>
      <c r="D12" s="17" t="n"/>
      <c r="E12" s="18" t="n"/>
      <c r="F12" s="18" t="n"/>
      <c r="G12" s="18" t="n"/>
      <c r="H12" s="18" t="n"/>
      <c r="I12" s="18" t="n"/>
      <c r="J12" s="18" t="n"/>
      <c r="K12" s="18" t="n"/>
      <c r="L12" s="17" t="n"/>
      <c r="M12" s="19">
        <f>IF(OR($B12="",COUNT($E12:$K12)=0),"",SUMPRODUCT((MOD(COLUMN($E12:$K12)-COLUMN($E12)-0,7)&lt;MAX(1,MIN(7,N($L12))))*$E12:$K12)*(1+N(Configuración!$C$3)))</f>
        <v/>
      </c>
      <c r="N12" s="19">
        <f>IF(OR($B12="",COUNT($E12:$K12)=0),"",SUMPRODUCT((MOD(COLUMN($E12:$K12)-COLUMN($E12)-1,7)&lt;MAX(1,MIN(7,N($L12))))*$E12:$K12)*(1+N(Configuración!$C$3)))</f>
        <v/>
      </c>
      <c r="O12" s="19">
        <f>IF(OR($B12="",COUNT($E12:$K12)=0),"",SUMPRODUCT((MOD(COLUMN($E12:$K12)-COLUMN($E12)-2,7)&lt;MAX(1,MIN(7,N($L12))))*$E12:$K12)*(1+N(Configuración!$C$3)))</f>
        <v/>
      </c>
      <c r="P12" s="19">
        <f>IF(OR($B12="",COUNT($E12:$K12)=0),"",SUMPRODUCT((MOD(COLUMN($E12:$K12)-COLUMN($E12)-3,7)&lt;MAX(1,MIN(7,N($L12))))*$E12:$K12)*(1+N(Configuración!$C$3)))</f>
        <v/>
      </c>
      <c r="Q12" s="19">
        <f>IF(OR($B12="",COUNT($E12:$K12)=0),"",SUMPRODUCT((MOD(COLUMN($E12:$K12)-COLUMN($E12)-4,7)&lt;MAX(1,MIN(7,N($L12))))*$E12:$K12)*(1+N(Configuración!$C$3)))</f>
        <v/>
      </c>
      <c r="R12" s="19">
        <f>IF(OR($B12="",COUNT($E12:$K12)=0),"",SUMPRODUCT((MOD(COLUMN($E12:$K12)-COLUMN($E12)-5,7)&lt;MAX(1,MIN(7,N($L12))))*$E12:$K12)*(1+N(Configuración!$C$3)))</f>
        <v/>
      </c>
      <c r="S12" s="19">
        <f>IF(OR($B12="",COUNT($E12:$K12)=0),"",SUMPRODUCT((MOD(COLUMN($E12:$K12)-COLUMN($E12)-6,7)&lt;MAX(1,MIN(7,N($L12))))*$E12:$K12)*(1+N(Configuración!$C$3)))</f>
        <v/>
      </c>
      <c r="T12" s="17" t="n"/>
    </row>
    <row r="13">
      <c r="A13" s="17" t="n"/>
      <c r="B13" s="17" t="n"/>
      <c r="C13" s="17" t="n"/>
      <c r="D13" s="17" t="n"/>
      <c r="E13" s="18" t="n"/>
      <c r="F13" s="18" t="n"/>
      <c r="G13" s="18" t="n"/>
      <c r="H13" s="18" t="n"/>
      <c r="I13" s="18" t="n"/>
      <c r="J13" s="18" t="n"/>
      <c r="K13" s="18" t="n"/>
      <c r="L13" s="17" t="n"/>
      <c r="M13" s="19">
        <f>IF(OR($B13="",COUNT($E13:$K13)=0),"",SUMPRODUCT((MOD(COLUMN($E13:$K13)-COLUMN($E13)-0,7)&lt;MAX(1,MIN(7,N($L13))))*$E13:$K13)*(1+N(Configuración!$C$3)))</f>
        <v/>
      </c>
      <c r="N13" s="19">
        <f>IF(OR($B13="",COUNT($E13:$K13)=0),"",SUMPRODUCT((MOD(COLUMN($E13:$K13)-COLUMN($E13)-1,7)&lt;MAX(1,MIN(7,N($L13))))*$E13:$K13)*(1+N(Configuración!$C$3)))</f>
        <v/>
      </c>
      <c r="O13" s="19">
        <f>IF(OR($B13="",COUNT($E13:$K13)=0),"",SUMPRODUCT((MOD(COLUMN($E13:$K13)-COLUMN($E13)-2,7)&lt;MAX(1,MIN(7,N($L13))))*$E13:$K13)*(1+N(Configuración!$C$3)))</f>
        <v/>
      </c>
      <c r="P13" s="19">
        <f>IF(OR($B13="",COUNT($E13:$K13)=0),"",SUMPRODUCT((MOD(COLUMN($E13:$K13)-COLUMN($E13)-3,7)&lt;MAX(1,MIN(7,N($L13))))*$E13:$K13)*(1+N(Configuración!$C$3)))</f>
        <v/>
      </c>
      <c r="Q13" s="19">
        <f>IF(OR($B13="",COUNT($E13:$K13)=0),"",SUMPRODUCT((MOD(COLUMN($E13:$K13)-COLUMN($E13)-4,7)&lt;MAX(1,MIN(7,N($L13))))*$E13:$K13)*(1+N(Configuración!$C$3)))</f>
        <v/>
      </c>
      <c r="R13" s="19">
        <f>IF(OR($B13="",COUNT($E13:$K13)=0),"",SUMPRODUCT((MOD(COLUMN($E13:$K13)-COLUMN($E13)-5,7)&lt;MAX(1,MIN(7,N($L13))))*$E13:$K13)*(1+N(Configuración!$C$3)))</f>
        <v/>
      </c>
      <c r="S13" s="19">
        <f>IF(OR($B13="",COUNT($E13:$K13)=0),"",SUMPRODUCT((MOD(COLUMN($E13:$K13)-COLUMN($E13)-6,7)&lt;MAX(1,MIN(7,N($L13))))*$E13:$K13)*(1+N(Configuración!$C$3)))</f>
        <v/>
      </c>
      <c r="T13" s="17" t="n"/>
    </row>
    <row r="14">
      <c r="A14" s="17" t="n"/>
      <c r="B14" s="17" t="n"/>
      <c r="C14" s="17" t="n"/>
      <c r="D14" s="17" t="n"/>
      <c r="E14" s="18" t="n"/>
      <c r="F14" s="18" t="n"/>
      <c r="G14" s="18" t="n"/>
      <c r="H14" s="18" t="n"/>
      <c r="I14" s="18" t="n"/>
      <c r="J14" s="18" t="n"/>
      <c r="K14" s="18" t="n"/>
      <c r="L14" s="17" t="n"/>
      <c r="M14" s="19">
        <f>IF(OR($B14="",COUNT($E14:$K14)=0),"",SUMPRODUCT((MOD(COLUMN($E14:$K14)-COLUMN($E14)-0,7)&lt;MAX(1,MIN(7,N($L14))))*$E14:$K14)*(1+N(Configuración!$C$3)))</f>
        <v/>
      </c>
      <c r="N14" s="19">
        <f>IF(OR($B14="",COUNT($E14:$K14)=0),"",SUMPRODUCT((MOD(COLUMN($E14:$K14)-COLUMN($E14)-1,7)&lt;MAX(1,MIN(7,N($L14))))*$E14:$K14)*(1+N(Configuración!$C$3)))</f>
        <v/>
      </c>
      <c r="O14" s="19">
        <f>IF(OR($B14="",COUNT($E14:$K14)=0),"",SUMPRODUCT((MOD(COLUMN($E14:$K14)-COLUMN($E14)-2,7)&lt;MAX(1,MIN(7,N($L14))))*$E14:$K14)*(1+N(Configuración!$C$3)))</f>
        <v/>
      </c>
      <c r="P14" s="19">
        <f>IF(OR($B14="",COUNT($E14:$K14)=0),"",SUMPRODUCT((MOD(COLUMN($E14:$K14)-COLUMN($E14)-3,7)&lt;MAX(1,MIN(7,N($L14))))*$E14:$K14)*(1+N(Configuración!$C$3)))</f>
        <v/>
      </c>
      <c r="Q14" s="19">
        <f>IF(OR($B14="",COUNT($E14:$K14)=0),"",SUMPRODUCT((MOD(COLUMN($E14:$K14)-COLUMN($E14)-4,7)&lt;MAX(1,MIN(7,N($L14))))*$E14:$K14)*(1+N(Configuración!$C$3)))</f>
        <v/>
      </c>
      <c r="R14" s="19">
        <f>IF(OR($B14="",COUNT($E14:$K14)=0),"",SUMPRODUCT((MOD(COLUMN($E14:$K14)-COLUMN($E14)-5,7)&lt;MAX(1,MIN(7,N($L14))))*$E14:$K14)*(1+N(Configuración!$C$3)))</f>
        <v/>
      </c>
      <c r="S14" s="19">
        <f>IF(OR($B14="",COUNT($E14:$K14)=0),"",SUMPRODUCT((MOD(COLUMN($E14:$K14)-COLUMN($E14)-6,7)&lt;MAX(1,MIN(7,N($L14))))*$E14:$K14)*(1+N(Configuración!$C$3)))</f>
        <v/>
      </c>
      <c r="T14" s="17" t="n"/>
    </row>
    <row r="15">
      <c r="A15" s="17" t="n"/>
      <c r="B15" s="17" t="n"/>
      <c r="C15" s="17" t="n"/>
      <c r="D15" s="17" t="n"/>
      <c r="E15" s="18" t="n"/>
      <c r="F15" s="18" t="n"/>
      <c r="G15" s="18" t="n"/>
      <c r="H15" s="18" t="n"/>
      <c r="I15" s="18" t="n"/>
      <c r="J15" s="18" t="n"/>
      <c r="K15" s="18" t="n"/>
      <c r="L15" s="17" t="n"/>
      <c r="M15" s="19">
        <f>IF(OR($B15="",COUNT($E15:$K15)=0),"",SUMPRODUCT((MOD(COLUMN($E15:$K15)-COLUMN($E15)-0,7)&lt;MAX(1,MIN(7,N($L15))))*$E15:$K15)*(1+N(Configuración!$C$3)))</f>
        <v/>
      </c>
      <c r="N15" s="19">
        <f>IF(OR($B15="",COUNT($E15:$K15)=0),"",SUMPRODUCT((MOD(COLUMN($E15:$K15)-COLUMN($E15)-1,7)&lt;MAX(1,MIN(7,N($L15))))*$E15:$K15)*(1+N(Configuración!$C$3)))</f>
        <v/>
      </c>
      <c r="O15" s="19">
        <f>IF(OR($B15="",COUNT($E15:$K15)=0),"",SUMPRODUCT((MOD(COLUMN($E15:$K15)-COLUMN($E15)-2,7)&lt;MAX(1,MIN(7,N($L15))))*$E15:$K15)*(1+N(Configuración!$C$3)))</f>
        <v/>
      </c>
      <c r="P15" s="19">
        <f>IF(OR($B15="",COUNT($E15:$K15)=0),"",SUMPRODUCT((MOD(COLUMN($E15:$K15)-COLUMN($E15)-3,7)&lt;MAX(1,MIN(7,N($L15))))*$E15:$K15)*(1+N(Configuración!$C$3)))</f>
        <v/>
      </c>
      <c r="Q15" s="19">
        <f>IF(OR($B15="",COUNT($E15:$K15)=0),"",SUMPRODUCT((MOD(COLUMN($E15:$K15)-COLUMN($E15)-4,7)&lt;MAX(1,MIN(7,N($L15))))*$E15:$K15)*(1+N(Configuración!$C$3)))</f>
        <v/>
      </c>
      <c r="R15" s="19">
        <f>IF(OR($B15="",COUNT($E15:$K15)=0),"",SUMPRODUCT((MOD(COLUMN($E15:$K15)-COLUMN($E15)-5,7)&lt;MAX(1,MIN(7,N($L15))))*$E15:$K15)*(1+N(Configuración!$C$3)))</f>
        <v/>
      </c>
      <c r="S15" s="19">
        <f>IF(OR($B15="",COUNT($E15:$K15)=0),"",SUMPRODUCT((MOD(COLUMN($E15:$K15)-COLUMN($E15)-6,7)&lt;MAX(1,MIN(7,N($L15))))*$E15:$K15)*(1+N(Configuración!$C$3)))</f>
        <v/>
      </c>
      <c r="T15" s="17" t="n"/>
    </row>
    <row r="16">
      <c r="A16" s="17" t="n"/>
      <c r="B16" s="17" t="n"/>
      <c r="C16" s="17" t="n"/>
      <c r="D16" s="17" t="n"/>
      <c r="E16" s="18" t="n"/>
      <c r="F16" s="18" t="n"/>
      <c r="G16" s="18" t="n"/>
      <c r="H16" s="18" t="n"/>
      <c r="I16" s="18" t="n"/>
      <c r="J16" s="18" t="n"/>
      <c r="K16" s="18" t="n"/>
      <c r="L16" s="17" t="n"/>
      <c r="M16" s="19">
        <f>IF(OR($B16="",COUNT($E16:$K16)=0),"",SUMPRODUCT((MOD(COLUMN($E16:$K16)-COLUMN($E16)-0,7)&lt;MAX(1,MIN(7,N($L16))))*$E16:$K16)*(1+N(Configuración!$C$3)))</f>
        <v/>
      </c>
      <c r="N16" s="19">
        <f>IF(OR($B16="",COUNT($E16:$K16)=0),"",SUMPRODUCT((MOD(COLUMN($E16:$K16)-COLUMN($E16)-1,7)&lt;MAX(1,MIN(7,N($L16))))*$E16:$K16)*(1+N(Configuración!$C$3)))</f>
        <v/>
      </c>
      <c r="O16" s="19">
        <f>IF(OR($B16="",COUNT($E16:$K16)=0),"",SUMPRODUCT((MOD(COLUMN($E16:$K16)-COLUMN($E16)-2,7)&lt;MAX(1,MIN(7,N($L16))))*$E16:$K16)*(1+N(Configuración!$C$3)))</f>
        <v/>
      </c>
      <c r="P16" s="19">
        <f>IF(OR($B16="",COUNT($E16:$K16)=0),"",SUMPRODUCT((MOD(COLUMN($E16:$K16)-COLUMN($E16)-3,7)&lt;MAX(1,MIN(7,N($L16))))*$E16:$K16)*(1+N(Configuración!$C$3)))</f>
        <v/>
      </c>
      <c r="Q16" s="19">
        <f>IF(OR($B16="",COUNT($E16:$K16)=0),"",SUMPRODUCT((MOD(COLUMN($E16:$K16)-COLUMN($E16)-4,7)&lt;MAX(1,MIN(7,N($L16))))*$E16:$K16)*(1+N(Configuración!$C$3)))</f>
        <v/>
      </c>
      <c r="R16" s="19">
        <f>IF(OR($B16="",COUNT($E16:$K16)=0),"",SUMPRODUCT((MOD(COLUMN($E16:$K16)-COLUMN($E16)-5,7)&lt;MAX(1,MIN(7,N($L16))))*$E16:$K16)*(1+N(Configuración!$C$3)))</f>
        <v/>
      </c>
      <c r="S16" s="19">
        <f>IF(OR($B16="",COUNT($E16:$K16)=0),"",SUMPRODUCT((MOD(COLUMN($E16:$K16)-COLUMN($E16)-6,7)&lt;MAX(1,MIN(7,N($L16))))*$E16:$K16)*(1+N(Configuración!$C$3)))</f>
        <v/>
      </c>
      <c r="T16" s="17" t="n"/>
    </row>
    <row r="17">
      <c r="A17" s="17" t="n"/>
      <c r="B17" s="17" t="n"/>
      <c r="C17" s="17" t="n"/>
      <c r="D17" s="17" t="n"/>
      <c r="E17" s="18" t="n"/>
      <c r="F17" s="18" t="n"/>
      <c r="G17" s="18" t="n"/>
      <c r="H17" s="18" t="n"/>
      <c r="I17" s="18" t="n"/>
      <c r="J17" s="18" t="n"/>
      <c r="K17" s="18" t="n"/>
      <c r="L17" s="17" t="n"/>
      <c r="M17" s="19">
        <f>IF(OR($B17="",COUNT($E17:$K17)=0),"",SUMPRODUCT((MOD(COLUMN($E17:$K17)-COLUMN($E17)-0,7)&lt;MAX(1,MIN(7,N($L17))))*$E17:$K17)*(1+N(Configuración!$C$3)))</f>
        <v/>
      </c>
      <c r="N17" s="19">
        <f>IF(OR($B17="",COUNT($E17:$K17)=0),"",SUMPRODUCT((MOD(COLUMN($E17:$K17)-COLUMN($E17)-1,7)&lt;MAX(1,MIN(7,N($L17))))*$E17:$K17)*(1+N(Configuración!$C$3)))</f>
        <v/>
      </c>
      <c r="O17" s="19">
        <f>IF(OR($B17="",COUNT($E17:$K17)=0),"",SUMPRODUCT((MOD(COLUMN($E17:$K17)-COLUMN($E17)-2,7)&lt;MAX(1,MIN(7,N($L17))))*$E17:$K17)*(1+N(Configuración!$C$3)))</f>
        <v/>
      </c>
      <c r="P17" s="19">
        <f>IF(OR($B17="",COUNT($E17:$K17)=0),"",SUMPRODUCT((MOD(COLUMN($E17:$K17)-COLUMN($E17)-3,7)&lt;MAX(1,MIN(7,N($L17))))*$E17:$K17)*(1+N(Configuración!$C$3)))</f>
        <v/>
      </c>
      <c r="Q17" s="19">
        <f>IF(OR($B17="",COUNT($E17:$K17)=0),"",SUMPRODUCT((MOD(COLUMN($E17:$K17)-COLUMN($E17)-4,7)&lt;MAX(1,MIN(7,N($L17))))*$E17:$K17)*(1+N(Configuración!$C$3)))</f>
        <v/>
      </c>
      <c r="R17" s="19">
        <f>IF(OR($B17="",COUNT($E17:$K17)=0),"",SUMPRODUCT((MOD(COLUMN($E17:$K17)-COLUMN($E17)-5,7)&lt;MAX(1,MIN(7,N($L17))))*$E17:$K17)*(1+N(Configuración!$C$3)))</f>
        <v/>
      </c>
      <c r="S17" s="19">
        <f>IF(OR($B17="",COUNT($E17:$K17)=0),"",SUMPRODUCT((MOD(COLUMN($E17:$K17)-COLUMN($E17)-6,7)&lt;MAX(1,MIN(7,N($L17))))*$E17:$K17)*(1+N(Configuración!$C$3)))</f>
        <v/>
      </c>
      <c r="T17" s="17" t="n"/>
    </row>
    <row r="18">
      <c r="A18" s="17" t="n"/>
      <c r="B18" s="17" t="n"/>
      <c r="C18" s="17" t="n"/>
      <c r="D18" s="17" t="n"/>
      <c r="E18" s="18" t="n"/>
      <c r="F18" s="18" t="n"/>
      <c r="G18" s="18" t="n"/>
      <c r="H18" s="18" t="n"/>
      <c r="I18" s="18" t="n"/>
      <c r="J18" s="18" t="n"/>
      <c r="K18" s="18" t="n"/>
      <c r="L18" s="17" t="n"/>
      <c r="M18" s="19">
        <f>IF(OR($B18="",COUNT($E18:$K18)=0),"",SUMPRODUCT((MOD(COLUMN($E18:$K18)-COLUMN($E18)-0,7)&lt;MAX(1,MIN(7,N($L18))))*$E18:$K18)*(1+N(Configuración!$C$3)))</f>
        <v/>
      </c>
      <c r="N18" s="19">
        <f>IF(OR($B18="",COUNT($E18:$K18)=0),"",SUMPRODUCT((MOD(COLUMN($E18:$K18)-COLUMN($E18)-1,7)&lt;MAX(1,MIN(7,N($L18))))*$E18:$K18)*(1+N(Configuración!$C$3)))</f>
        <v/>
      </c>
      <c r="O18" s="19">
        <f>IF(OR($B18="",COUNT($E18:$K18)=0),"",SUMPRODUCT((MOD(COLUMN($E18:$K18)-COLUMN($E18)-2,7)&lt;MAX(1,MIN(7,N($L18))))*$E18:$K18)*(1+N(Configuración!$C$3)))</f>
        <v/>
      </c>
      <c r="P18" s="19">
        <f>IF(OR($B18="",COUNT($E18:$K18)=0),"",SUMPRODUCT((MOD(COLUMN($E18:$K18)-COLUMN($E18)-3,7)&lt;MAX(1,MIN(7,N($L18))))*$E18:$K18)*(1+N(Configuración!$C$3)))</f>
        <v/>
      </c>
      <c r="Q18" s="19">
        <f>IF(OR($B18="",COUNT($E18:$K18)=0),"",SUMPRODUCT((MOD(COLUMN($E18:$K18)-COLUMN($E18)-4,7)&lt;MAX(1,MIN(7,N($L18))))*$E18:$K18)*(1+N(Configuración!$C$3)))</f>
        <v/>
      </c>
      <c r="R18" s="19">
        <f>IF(OR($B18="",COUNT($E18:$K18)=0),"",SUMPRODUCT((MOD(COLUMN($E18:$K18)-COLUMN($E18)-5,7)&lt;MAX(1,MIN(7,N($L18))))*$E18:$K18)*(1+N(Configuración!$C$3)))</f>
        <v/>
      </c>
      <c r="S18" s="19">
        <f>IF(OR($B18="",COUNT($E18:$K18)=0),"",SUMPRODUCT((MOD(COLUMN($E18:$K18)-COLUMN($E18)-6,7)&lt;MAX(1,MIN(7,N($L18))))*$E18:$K18)*(1+N(Configuración!$C$3)))</f>
        <v/>
      </c>
      <c r="T18" s="17" t="n"/>
    </row>
    <row r="19">
      <c r="A19" s="17" t="n"/>
      <c r="B19" s="17" t="n"/>
      <c r="C19" s="17" t="n"/>
      <c r="D19" s="17" t="n"/>
      <c r="E19" s="18" t="n"/>
      <c r="F19" s="18" t="n"/>
      <c r="G19" s="18" t="n"/>
      <c r="H19" s="18" t="n"/>
      <c r="I19" s="18" t="n"/>
      <c r="J19" s="18" t="n"/>
      <c r="K19" s="18" t="n"/>
      <c r="L19" s="17" t="n"/>
      <c r="M19" s="19">
        <f>IF(OR($B19="",COUNT($E19:$K19)=0),"",SUMPRODUCT((MOD(COLUMN($E19:$K19)-COLUMN($E19)-0,7)&lt;MAX(1,MIN(7,N($L19))))*$E19:$K19)*(1+N(Configuración!$C$3)))</f>
        <v/>
      </c>
      <c r="N19" s="19">
        <f>IF(OR($B19="",COUNT($E19:$K19)=0),"",SUMPRODUCT((MOD(COLUMN($E19:$K19)-COLUMN($E19)-1,7)&lt;MAX(1,MIN(7,N($L19))))*$E19:$K19)*(1+N(Configuración!$C$3)))</f>
        <v/>
      </c>
      <c r="O19" s="19">
        <f>IF(OR($B19="",COUNT($E19:$K19)=0),"",SUMPRODUCT((MOD(COLUMN($E19:$K19)-COLUMN($E19)-2,7)&lt;MAX(1,MIN(7,N($L19))))*$E19:$K19)*(1+N(Configuración!$C$3)))</f>
        <v/>
      </c>
      <c r="P19" s="19">
        <f>IF(OR($B19="",COUNT($E19:$K19)=0),"",SUMPRODUCT((MOD(COLUMN($E19:$K19)-COLUMN($E19)-3,7)&lt;MAX(1,MIN(7,N($L19))))*$E19:$K19)*(1+N(Configuración!$C$3)))</f>
        <v/>
      </c>
      <c r="Q19" s="19">
        <f>IF(OR($B19="",COUNT($E19:$K19)=0),"",SUMPRODUCT((MOD(COLUMN($E19:$K19)-COLUMN($E19)-4,7)&lt;MAX(1,MIN(7,N($L19))))*$E19:$K19)*(1+N(Configuración!$C$3)))</f>
        <v/>
      </c>
      <c r="R19" s="19">
        <f>IF(OR($B19="",COUNT($E19:$K19)=0),"",SUMPRODUCT((MOD(COLUMN($E19:$K19)-COLUMN($E19)-5,7)&lt;MAX(1,MIN(7,N($L19))))*$E19:$K19)*(1+N(Configuración!$C$3)))</f>
        <v/>
      </c>
      <c r="S19" s="19">
        <f>IF(OR($B19="",COUNT($E19:$K19)=0),"",SUMPRODUCT((MOD(COLUMN($E19:$K19)-COLUMN($E19)-6,7)&lt;MAX(1,MIN(7,N($L19))))*$E19:$K19)*(1+N(Configuración!$C$3)))</f>
        <v/>
      </c>
      <c r="T19" s="17" t="n"/>
    </row>
    <row r="20">
      <c r="A20" s="17" t="n"/>
      <c r="B20" s="17" t="n"/>
      <c r="C20" s="17" t="n"/>
      <c r="D20" s="17" t="n"/>
      <c r="E20" s="18" t="n"/>
      <c r="F20" s="18" t="n"/>
      <c r="G20" s="18" t="n"/>
      <c r="H20" s="18" t="n"/>
      <c r="I20" s="18" t="n"/>
      <c r="J20" s="18" t="n"/>
      <c r="K20" s="18" t="n"/>
      <c r="L20" s="17" t="n"/>
      <c r="M20" s="19">
        <f>IF(OR($B20="",COUNT($E20:$K20)=0),"",SUMPRODUCT((MOD(COLUMN($E20:$K20)-COLUMN($E20)-0,7)&lt;MAX(1,MIN(7,N($L20))))*$E20:$K20)*(1+N(Configuración!$C$3)))</f>
        <v/>
      </c>
      <c r="N20" s="19">
        <f>IF(OR($B20="",COUNT($E20:$K20)=0),"",SUMPRODUCT((MOD(COLUMN($E20:$K20)-COLUMN($E20)-1,7)&lt;MAX(1,MIN(7,N($L20))))*$E20:$K20)*(1+N(Configuración!$C$3)))</f>
        <v/>
      </c>
      <c r="O20" s="19">
        <f>IF(OR($B20="",COUNT($E20:$K20)=0),"",SUMPRODUCT((MOD(COLUMN($E20:$K20)-COLUMN($E20)-2,7)&lt;MAX(1,MIN(7,N($L20))))*$E20:$K20)*(1+N(Configuración!$C$3)))</f>
        <v/>
      </c>
      <c r="P20" s="19">
        <f>IF(OR($B20="",COUNT($E20:$K20)=0),"",SUMPRODUCT((MOD(COLUMN($E20:$K20)-COLUMN($E20)-3,7)&lt;MAX(1,MIN(7,N($L20))))*$E20:$K20)*(1+N(Configuración!$C$3)))</f>
        <v/>
      </c>
      <c r="Q20" s="19">
        <f>IF(OR($B20="",COUNT($E20:$K20)=0),"",SUMPRODUCT((MOD(COLUMN($E20:$K20)-COLUMN($E20)-4,7)&lt;MAX(1,MIN(7,N($L20))))*$E20:$K20)*(1+N(Configuración!$C$3)))</f>
        <v/>
      </c>
      <c r="R20" s="19">
        <f>IF(OR($B20="",COUNT($E20:$K20)=0),"",SUMPRODUCT((MOD(COLUMN($E20:$K20)-COLUMN($E20)-5,7)&lt;MAX(1,MIN(7,N($L20))))*$E20:$K20)*(1+N(Configuración!$C$3)))</f>
        <v/>
      </c>
      <c r="S20" s="19">
        <f>IF(OR($B20="",COUNT($E20:$K20)=0),"",SUMPRODUCT((MOD(COLUMN($E20:$K20)-COLUMN($E20)-6,7)&lt;MAX(1,MIN(7,N($L20))))*$E20:$K20)*(1+N(Configuración!$C$3)))</f>
        <v/>
      </c>
      <c r="T20" s="17" t="n"/>
    </row>
    <row r="21">
      <c r="A21" s="17" t="n"/>
      <c r="B21" s="17" t="n"/>
      <c r="C21" s="17" t="n"/>
      <c r="D21" s="17" t="n"/>
      <c r="E21" s="18" t="n"/>
      <c r="F21" s="18" t="n"/>
      <c r="G21" s="18" t="n"/>
      <c r="H21" s="18" t="n"/>
      <c r="I21" s="18" t="n"/>
      <c r="J21" s="18" t="n"/>
      <c r="K21" s="18" t="n"/>
      <c r="L21" s="17" t="n"/>
      <c r="M21" s="19">
        <f>IF(OR($B21="",COUNT($E21:$K21)=0),"",SUMPRODUCT((MOD(COLUMN($E21:$K21)-COLUMN($E21)-0,7)&lt;MAX(1,MIN(7,N($L21))))*$E21:$K21)*(1+N(Configuración!$C$3)))</f>
        <v/>
      </c>
      <c r="N21" s="19">
        <f>IF(OR($B21="",COUNT($E21:$K21)=0),"",SUMPRODUCT((MOD(COLUMN($E21:$K21)-COLUMN($E21)-1,7)&lt;MAX(1,MIN(7,N($L21))))*$E21:$K21)*(1+N(Configuración!$C$3)))</f>
        <v/>
      </c>
      <c r="O21" s="19">
        <f>IF(OR($B21="",COUNT($E21:$K21)=0),"",SUMPRODUCT((MOD(COLUMN($E21:$K21)-COLUMN($E21)-2,7)&lt;MAX(1,MIN(7,N($L21))))*$E21:$K21)*(1+N(Configuración!$C$3)))</f>
        <v/>
      </c>
      <c r="P21" s="19">
        <f>IF(OR($B21="",COUNT($E21:$K21)=0),"",SUMPRODUCT((MOD(COLUMN($E21:$K21)-COLUMN($E21)-3,7)&lt;MAX(1,MIN(7,N($L21))))*$E21:$K21)*(1+N(Configuración!$C$3)))</f>
        <v/>
      </c>
      <c r="Q21" s="19">
        <f>IF(OR($B21="",COUNT($E21:$K21)=0),"",SUMPRODUCT((MOD(COLUMN($E21:$K21)-COLUMN($E21)-4,7)&lt;MAX(1,MIN(7,N($L21))))*$E21:$K21)*(1+N(Configuración!$C$3)))</f>
        <v/>
      </c>
      <c r="R21" s="19">
        <f>IF(OR($B21="",COUNT($E21:$K21)=0),"",SUMPRODUCT((MOD(COLUMN($E21:$K21)-COLUMN($E21)-5,7)&lt;MAX(1,MIN(7,N($L21))))*$E21:$K21)*(1+N(Configuración!$C$3)))</f>
        <v/>
      </c>
      <c r="S21" s="19">
        <f>IF(OR($B21="",COUNT($E21:$K21)=0),"",SUMPRODUCT((MOD(COLUMN($E21:$K21)-COLUMN($E21)-6,7)&lt;MAX(1,MIN(7,N($L21))))*$E21:$K21)*(1+N(Configuración!$C$3)))</f>
        <v/>
      </c>
      <c r="T21" s="17" t="n"/>
    </row>
    <row r="22">
      <c r="A22" s="17" t="n"/>
      <c r="B22" s="17" t="n"/>
      <c r="C22" s="17" t="n"/>
      <c r="D22" s="17" t="n"/>
      <c r="E22" s="18" t="n"/>
      <c r="F22" s="18" t="n"/>
      <c r="G22" s="18" t="n"/>
      <c r="H22" s="18" t="n"/>
      <c r="I22" s="18" t="n"/>
      <c r="J22" s="18" t="n"/>
      <c r="K22" s="18" t="n"/>
      <c r="L22" s="17" t="n"/>
      <c r="M22" s="19">
        <f>IF(OR($B22="",COUNT($E22:$K22)=0),"",SUMPRODUCT((MOD(COLUMN($E22:$K22)-COLUMN($E22)-0,7)&lt;MAX(1,MIN(7,N($L22))))*$E22:$K22)*(1+N(Configuración!$C$3)))</f>
        <v/>
      </c>
      <c r="N22" s="19">
        <f>IF(OR($B22="",COUNT($E22:$K22)=0),"",SUMPRODUCT((MOD(COLUMN($E22:$K22)-COLUMN($E22)-1,7)&lt;MAX(1,MIN(7,N($L22))))*$E22:$K22)*(1+N(Configuración!$C$3)))</f>
        <v/>
      </c>
      <c r="O22" s="19">
        <f>IF(OR($B22="",COUNT($E22:$K22)=0),"",SUMPRODUCT((MOD(COLUMN($E22:$K22)-COLUMN($E22)-2,7)&lt;MAX(1,MIN(7,N($L22))))*$E22:$K22)*(1+N(Configuración!$C$3)))</f>
        <v/>
      </c>
      <c r="P22" s="19">
        <f>IF(OR($B22="",COUNT($E22:$K22)=0),"",SUMPRODUCT((MOD(COLUMN($E22:$K22)-COLUMN($E22)-3,7)&lt;MAX(1,MIN(7,N($L22))))*$E22:$K22)*(1+N(Configuración!$C$3)))</f>
        <v/>
      </c>
      <c r="Q22" s="19">
        <f>IF(OR($B22="",COUNT($E22:$K22)=0),"",SUMPRODUCT((MOD(COLUMN($E22:$K22)-COLUMN($E22)-4,7)&lt;MAX(1,MIN(7,N($L22))))*$E22:$K22)*(1+N(Configuración!$C$3)))</f>
        <v/>
      </c>
      <c r="R22" s="19">
        <f>IF(OR($B22="",COUNT($E22:$K22)=0),"",SUMPRODUCT((MOD(COLUMN($E22:$K22)-COLUMN($E22)-5,7)&lt;MAX(1,MIN(7,N($L22))))*$E22:$K22)*(1+N(Configuración!$C$3)))</f>
        <v/>
      </c>
      <c r="S22" s="19">
        <f>IF(OR($B22="",COUNT($E22:$K22)=0),"",SUMPRODUCT((MOD(COLUMN($E22:$K22)-COLUMN($E22)-6,7)&lt;MAX(1,MIN(7,N($L22))))*$E22:$K22)*(1+N(Configuración!$C$3)))</f>
        <v/>
      </c>
      <c r="T22" s="17" t="n"/>
    </row>
    <row r="23">
      <c r="A23" s="17" t="n"/>
      <c r="B23" s="17" t="n"/>
      <c r="C23" s="17" t="n"/>
      <c r="D23" s="17" t="n"/>
      <c r="E23" s="18" t="n"/>
      <c r="F23" s="18" t="n"/>
      <c r="G23" s="18" t="n"/>
      <c r="H23" s="18" t="n"/>
      <c r="I23" s="18" t="n"/>
      <c r="J23" s="18" t="n"/>
      <c r="K23" s="18" t="n"/>
      <c r="L23" s="17" t="n"/>
      <c r="M23" s="19">
        <f>IF(OR($B23="",COUNT($E23:$K23)=0),"",SUMPRODUCT((MOD(COLUMN($E23:$K23)-COLUMN($E23)-0,7)&lt;MAX(1,MIN(7,N($L23))))*$E23:$K23)*(1+N(Configuración!$C$3)))</f>
        <v/>
      </c>
      <c r="N23" s="19">
        <f>IF(OR($B23="",COUNT($E23:$K23)=0),"",SUMPRODUCT((MOD(COLUMN($E23:$K23)-COLUMN($E23)-1,7)&lt;MAX(1,MIN(7,N($L23))))*$E23:$K23)*(1+N(Configuración!$C$3)))</f>
        <v/>
      </c>
      <c r="O23" s="19">
        <f>IF(OR($B23="",COUNT($E23:$K23)=0),"",SUMPRODUCT((MOD(COLUMN($E23:$K23)-COLUMN($E23)-2,7)&lt;MAX(1,MIN(7,N($L23))))*$E23:$K23)*(1+N(Configuración!$C$3)))</f>
        <v/>
      </c>
      <c r="P23" s="19">
        <f>IF(OR($B23="",COUNT($E23:$K23)=0),"",SUMPRODUCT((MOD(COLUMN($E23:$K23)-COLUMN($E23)-3,7)&lt;MAX(1,MIN(7,N($L23))))*$E23:$K23)*(1+N(Configuración!$C$3)))</f>
        <v/>
      </c>
      <c r="Q23" s="19">
        <f>IF(OR($B23="",COUNT($E23:$K23)=0),"",SUMPRODUCT((MOD(COLUMN($E23:$K23)-COLUMN($E23)-4,7)&lt;MAX(1,MIN(7,N($L23))))*$E23:$K23)*(1+N(Configuración!$C$3)))</f>
        <v/>
      </c>
      <c r="R23" s="19">
        <f>IF(OR($B23="",COUNT($E23:$K23)=0),"",SUMPRODUCT((MOD(COLUMN($E23:$K23)-COLUMN($E23)-5,7)&lt;MAX(1,MIN(7,N($L23))))*$E23:$K23)*(1+N(Configuración!$C$3)))</f>
        <v/>
      </c>
      <c r="S23" s="19">
        <f>IF(OR($B23="",COUNT($E23:$K23)=0),"",SUMPRODUCT((MOD(COLUMN($E23:$K23)-COLUMN($E23)-6,7)&lt;MAX(1,MIN(7,N($L23))))*$E23:$K23)*(1+N(Configuración!$C$3)))</f>
        <v/>
      </c>
      <c r="T23" s="17" t="n"/>
    </row>
    <row r="24">
      <c r="A24" s="17" t="n"/>
      <c r="B24" s="17" t="n"/>
      <c r="C24" s="17" t="n"/>
      <c r="D24" s="17" t="n"/>
      <c r="E24" s="18" t="n"/>
      <c r="F24" s="18" t="n"/>
      <c r="G24" s="18" t="n"/>
      <c r="H24" s="18" t="n"/>
      <c r="I24" s="18" t="n"/>
      <c r="J24" s="18" t="n"/>
      <c r="K24" s="18" t="n"/>
      <c r="L24" s="17" t="n"/>
      <c r="M24" s="19">
        <f>IF(OR($B24="",COUNT($E24:$K24)=0),"",SUMPRODUCT((MOD(COLUMN($E24:$K24)-COLUMN($E24)-0,7)&lt;MAX(1,MIN(7,N($L24))))*$E24:$K24)*(1+N(Configuración!$C$3)))</f>
        <v/>
      </c>
      <c r="N24" s="19">
        <f>IF(OR($B24="",COUNT($E24:$K24)=0),"",SUMPRODUCT((MOD(COLUMN($E24:$K24)-COLUMN($E24)-1,7)&lt;MAX(1,MIN(7,N($L24))))*$E24:$K24)*(1+N(Configuración!$C$3)))</f>
        <v/>
      </c>
      <c r="O24" s="19">
        <f>IF(OR($B24="",COUNT($E24:$K24)=0),"",SUMPRODUCT((MOD(COLUMN($E24:$K24)-COLUMN($E24)-2,7)&lt;MAX(1,MIN(7,N($L24))))*$E24:$K24)*(1+N(Configuración!$C$3)))</f>
        <v/>
      </c>
      <c r="P24" s="19">
        <f>IF(OR($B24="",COUNT($E24:$K24)=0),"",SUMPRODUCT((MOD(COLUMN($E24:$K24)-COLUMN($E24)-3,7)&lt;MAX(1,MIN(7,N($L24))))*$E24:$K24)*(1+N(Configuración!$C$3)))</f>
        <v/>
      </c>
      <c r="Q24" s="19">
        <f>IF(OR($B24="",COUNT($E24:$K24)=0),"",SUMPRODUCT((MOD(COLUMN($E24:$K24)-COLUMN($E24)-4,7)&lt;MAX(1,MIN(7,N($L24))))*$E24:$K24)*(1+N(Configuración!$C$3)))</f>
        <v/>
      </c>
      <c r="R24" s="19">
        <f>IF(OR($B24="",COUNT($E24:$K24)=0),"",SUMPRODUCT((MOD(COLUMN($E24:$K24)-COLUMN($E24)-5,7)&lt;MAX(1,MIN(7,N($L24))))*$E24:$K24)*(1+N(Configuración!$C$3)))</f>
        <v/>
      </c>
      <c r="S24" s="19">
        <f>IF(OR($B24="",COUNT($E24:$K24)=0),"",SUMPRODUCT((MOD(COLUMN($E24:$K24)-COLUMN($E24)-6,7)&lt;MAX(1,MIN(7,N($L24))))*$E24:$K24)*(1+N(Configuración!$C$3)))</f>
        <v/>
      </c>
      <c r="T24" s="17" t="n"/>
    </row>
    <row r="25">
      <c r="A25" s="17" t="n"/>
      <c r="B25" s="17" t="n"/>
      <c r="C25" s="17" t="n"/>
      <c r="D25" s="17" t="n"/>
      <c r="E25" s="18" t="n"/>
      <c r="F25" s="18" t="n"/>
      <c r="G25" s="18" t="n"/>
      <c r="H25" s="18" t="n"/>
      <c r="I25" s="18" t="n"/>
      <c r="J25" s="18" t="n"/>
      <c r="K25" s="18" t="n"/>
      <c r="L25" s="17" t="n"/>
      <c r="M25" s="19">
        <f>IF(OR($B25="",COUNT($E25:$K25)=0),"",SUMPRODUCT((MOD(COLUMN($E25:$K25)-COLUMN($E25)-0,7)&lt;MAX(1,MIN(7,N($L25))))*$E25:$K25)*(1+N(Configuración!$C$3)))</f>
        <v/>
      </c>
      <c r="N25" s="19">
        <f>IF(OR($B25="",COUNT($E25:$K25)=0),"",SUMPRODUCT((MOD(COLUMN($E25:$K25)-COLUMN($E25)-1,7)&lt;MAX(1,MIN(7,N($L25))))*$E25:$K25)*(1+N(Configuración!$C$3)))</f>
        <v/>
      </c>
      <c r="O25" s="19">
        <f>IF(OR($B25="",COUNT($E25:$K25)=0),"",SUMPRODUCT((MOD(COLUMN($E25:$K25)-COLUMN($E25)-2,7)&lt;MAX(1,MIN(7,N($L25))))*$E25:$K25)*(1+N(Configuración!$C$3)))</f>
        <v/>
      </c>
      <c r="P25" s="19">
        <f>IF(OR($B25="",COUNT($E25:$K25)=0),"",SUMPRODUCT((MOD(COLUMN($E25:$K25)-COLUMN($E25)-3,7)&lt;MAX(1,MIN(7,N($L25))))*$E25:$K25)*(1+N(Configuración!$C$3)))</f>
        <v/>
      </c>
      <c r="Q25" s="19">
        <f>IF(OR($B25="",COUNT($E25:$K25)=0),"",SUMPRODUCT((MOD(COLUMN($E25:$K25)-COLUMN($E25)-4,7)&lt;MAX(1,MIN(7,N($L25))))*$E25:$K25)*(1+N(Configuración!$C$3)))</f>
        <v/>
      </c>
      <c r="R25" s="19">
        <f>IF(OR($B25="",COUNT($E25:$K25)=0),"",SUMPRODUCT((MOD(COLUMN($E25:$K25)-COLUMN($E25)-5,7)&lt;MAX(1,MIN(7,N($L25))))*$E25:$K25)*(1+N(Configuración!$C$3)))</f>
        <v/>
      </c>
      <c r="S25" s="19">
        <f>IF(OR($B25="",COUNT($E25:$K25)=0),"",SUMPRODUCT((MOD(COLUMN($E25:$K25)-COLUMN($E25)-6,7)&lt;MAX(1,MIN(7,N($L25))))*$E25:$K25)*(1+N(Configuración!$C$3)))</f>
        <v/>
      </c>
      <c r="T25" s="17" t="n"/>
    </row>
    <row r="26">
      <c r="A26" s="17" t="n"/>
      <c r="B26" s="17" t="n"/>
      <c r="C26" s="17" t="n"/>
      <c r="D26" s="17" t="n"/>
      <c r="E26" s="18" t="n"/>
      <c r="F26" s="18" t="n"/>
      <c r="G26" s="18" t="n"/>
      <c r="H26" s="18" t="n"/>
      <c r="I26" s="18" t="n"/>
      <c r="J26" s="18" t="n"/>
      <c r="K26" s="18" t="n"/>
      <c r="L26" s="17" t="n"/>
      <c r="M26" s="19">
        <f>IF(OR($B26="",COUNT($E26:$K26)=0),"",SUMPRODUCT((MOD(COLUMN($E26:$K26)-COLUMN($E26)-0,7)&lt;MAX(1,MIN(7,N($L26))))*$E26:$K26)*(1+N(Configuración!$C$3)))</f>
        <v/>
      </c>
      <c r="N26" s="19">
        <f>IF(OR($B26="",COUNT($E26:$K26)=0),"",SUMPRODUCT((MOD(COLUMN($E26:$K26)-COLUMN($E26)-1,7)&lt;MAX(1,MIN(7,N($L26))))*$E26:$K26)*(1+N(Configuración!$C$3)))</f>
        <v/>
      </c>
      <c r="O26" s="19">
        <f>IF(OR($B26="",COUNT($E26:$K26)=0),"",SUMPRODUCT((MOD(COLUMN($E26:$K26)-COLUMN($E26)-2,7)&lt;MAX(1,MIN(7,N($L26))))*$E26:$K26)*(1+N(Configuración!$C$3)))</f>
        <v/>
      </c>
      <c r="P26" s="19">
        <f>IF(OR($B26="",COUNT($E26:$K26)=0),"",SUMPRODUCT((MOD(COLUMN($E26:$K26)-COLUMN($E26)-3,7)&lt;MAX(1,MIN(7,N($L26))))*$E26:$K26)*(1+N(Configuración!$C$3)))</f>
        <v/>
      </c>
      <c r="Q26" s="19">
        <f>IF(OR($B26="",COUNT($E26:$K26)=0),"",SUMPRODUCT((MOD(COLUMN($E26:$K26)-COLUMN($E26)-4,7)&lt;MAX(1,MIN(7,N($L26))))*$E26:$K26)*(1+N(Configuración!$C$3)))</f>
        <v/>
      </c>
      <c r="R26" s="19">
        <f>IF(OR($B26="",COUNT($E26:$K26)=0),"",SUMPRODUCT((MOD(COLUMN($E26:$K26)-COLUMN($E26)-5,7)&lt;MAX(1,MIN(7,N($L26))))*$E26:$K26)*(1+N(Configuración!$C$3)))</f>
        <v/>
      </c>
      <c r="S26" s="19">
        <f>IF(OR($B26="",COUNT($E26:$K26)=0),"",SUMPRODUCT((MOD(COLUMN($E26:$K26)-COLUMN($E26)-6,7)&lt;MAX(1,MIN(7,N($L26))))*$E26:$K26)*(1+N(Configuración!$C$3)))</f>
        <v/>
      </c>
      <c r="T26" s="17" t="n"/>
    </row>
    <row r="27">
      <c r="A27" s="17" t="n"/>
      <c r="B27" s="17" t="n"/>
      <c r="C27" s="17" t="n"/>
      <c r="D27" s="17" t="n"/>
      <c r="E27" s="18" t="n"/>
      <c r="F27" s="18" t="n"/>
      <c r="G27" s="18" t="n"/>
      <c r="H27" s="18" t="n"/>
      <c r="I27" s="18" t="n"/>
      <c r="J27" s="18" t="n"/>
      <c r="K27" s="18" t="n"/>
      <c r="L27" s="17" t="n"/>
      <c r="M27" s="19">
        <f>IF(OR($B27="",COUNT($E27:$K27)=0),"",SUMPRODUCT((MOD(COLUMN($E27:$K27)-COLUMN($E27)-0,7)&lt;MAX(1,MIN(7,N($L27))))*$E27:$K27)*(1+N(Configuración!$C$3)))</f>
        <v/>
      </c>
      <c r="N27" s="19">
        <f>IF(OR($B27="",COUNT($E27:$K27)=0),"",SUMPRODUCT((MOD(COLUMN($E27:$K27)-COLUMN($E27)-1,7)&lt;MAX(1,MIN(7,N($L27))))*$E27:$K27)*(1+N(Configuración!$C$3)))</f>
        <v/>
      </c>
      <c r="O27" s="19">
        <f>IF(OR($B27="",COUNT($E27:$K27)=0),"",SUMPRODUCT((MOD(COLUMN($E27:$K27)-COLUMN($E27)-2,7)&lt;MAX(1,MIN(7,N($L27))))*$E27:$K27)*(1+N(Configuración!$C$3)))</f>
        <v/>
      </c>
      <c r="P27" s="19">
        <f>IF(OR($B27="",COUNT($E27:$K27)=0),"",SUMPRODUCT((MOD(COLUMN($E27:$K27)-COLUMN($E27)-3,7)&lt;MAX(1,MIN(7,N($L27))))*$E27:$K27)*(1+N(Configuración!$C$3)))</f>
        <v/>
      </c>
      <c r="Q27" s="19">
        <f>IF(OR($B27="",COUNT($E27:$K27)=0),"",SUMPRODUCT((MOD(COLUMN($E27:$K27)-COLUMN($E27)-4,7)&lt;MAX(1,MIN(7,N($L27))))*$E27:$K27)*(1+N(Configuración!$C$3)))</f>
        <v/>
      </c>
      <c r="R27" s="19">
        <f>IF(OR($B27="",COUNT($E27:$K27)=0),"",SUMPRODUCT((MOD(COLUMN($E27:$K27)-COLUMN($E27)-5,7)&lt;MAX(1,MIN(7,N($L27))))*$E27:$K27)*(1+N(Configuración!$C$3)))</f>
        <v/>
      </c>
      <c r="S27" s="19">
        <f>IF(OR($B27="",COUNT($E27:$K27)=0),"",SUMPRODUCT((MOD(COLUMN($E27:$K27)-COLUMN($E27)-6,7)&lt;MAX(1,MIN(7,N($L27))))*$E27:$K27)*(1+N(Configuración!$C$3)))</f>
        <v/>
      </c>
      <c r="T27" s="17" t="n"/>
    </row>
    <row r="28">
      <c r="A28" s="17" t="n"/>
      <c r="B28" s="17" t="n"/>
      <c r="C28" s="17" t="n"/>
      <c r="D28" s="17" t="n"/>
      <c r="E28" s="18" t="n"/>
      <c r="F28" s="18" t="n"/>
      <c r="G28" s="18" t="n"/>
      <c r="H28" s="18" t="n"/>
      <c r="I28" s="18" t="n"/>
      <c r="J28" s="18" t="n"/>
      <c r="K28" s="18" t="n"/>
      <c r="L28" s="17" t="n"/>
      <c r="M28" s="19">
        <f>IF(OR($B28="",COUNT($E28:$K28)=0),"",SUMPRODUCT((MOD(COLUMN($E28:$K28)-COLUMN($E28)-0,7)&lt;MAX(1,MIN(7,N($L28))))*$E28:$K28)*(1+N(Configuración!$C$3)))</f>
        <v/>
      </c>
      <c r="N28" s="19">
        <f>IF(OR($B28="",COUNT($E28:$K28)=0),"",SUMPRODUCT((MOD(COLUMN($E28:$K28)-COLUMN($E28)-1,7)&lt;MAX(1,MIN(7,N($L28))))*$E28:$K28)*(1+N(Configuración!$C$3)))</f>
        <v/>
      </c>
      <c r="O28" s="19">
        <f>IF(OR($B28="",COUNT($E28:$K28)=0),"",SUMPRODUCT((MOD(COLUMN($E28:$K28)-COLUMN($E28)-2,7)&lt;MAX(1,MIN(7,N($L28))))*$E28:$K28)*(1+N(Configuración!$C$3)))</f>
        <v/>
      </c>
      <c r="P28" s="19">
        <f>IF(OR($B28="",COUNT($E28:$K28)=0),"",SUMPRODUCT((MOD(COLUMN($E28:$K28)-COLUMN($E28)-3,7)&lt;MAX(1,MIN(7,N($L28))))*$E28:$K28)*(1+N(Configuración!$C$3)))</f>
        <v/>
      </c>
      <c r="Q28" s="19">
        <f>IF(OR($B28="",COUNT($E28:$K28)=0),"",SUMPRODUCT((MOD(COLUMN($E28:$K28)-COLUMN($E28)-4,7)&lt;MAX(1,MIN(7,N($L28))))*$E28:$K28)*(1+N(Configuración!$C$3)))</f>
        <v/>
      </c>
      <c r="R28" s="19">
        <f>IF(OR($B28="",COUNT($E28:$K28)=0),"",SUMPRODUCT((MOD(COLUMN($E28:$K28)-COLUMN($E28)-5,7)&lt;MAX(1,MIN(7,N($L28))))*$E28:$K28)*(1+N(Configuración!$C$3)))</f>
        <v/>
      </c>
      <c r="S28" s="19">
        <f>IF(OR($B28="",COUNT($E28:$K28)=0),"",SUMPRODUCT((MOD(COLUMN($E28:$K28)-COLUMN($E28)-6,7)&lt;MAX(1,MIN(7,N($L28))))*$E28:$K28)*(1+N(Configuración!$C$3)))</f>
        <v/>
      </c>
      <c r="T28" s="17" t="n"/>
    </row>
    <row r="29">
      <c r="A29" s="17" t="n"/>
      <c r="B29" s="17" t="n"/>
      <c r="C29" s="17" t="n"/>
      <c r="D29" s="17" t="n"/>
      <c r="E29" s="18" t="n"/>
      <c r="F29" s="18" t="n"/>
      <c r="G29" s="18" t="n"/>
      <c r="H29" s="18" t="n"/>
      <c r="I29" s="18" t="n"/>
      <c r="J29" s="18" t="n"/>
      <c r="K29" s="18" t="n"/>
      <c r="L29" s="17" t="n"/>
      <c r="M29" s="19">
        <f>IF(OR($B29="",COUNT($E29:$K29)=0),"",SUMPRODUCT((MOD(COLUMN($E29:$K29)-COLUMN($E29)-0,7)&lt;MAX(1,MIN(7,N($L29))))*$E29:$K29)*(1+N(Configuración!$C$3)))</f>
        <v/>
      </c>
      <c r="N29" s="19">
        <f>IF(OR($B29="",COUNT($E29:$K29)=0),"",SUMPRODUCT((MOD(COLUMN($E29:$K29)-COLUMN($E29)-1,7)&lt;MAX(1,MIN(7,N($L29))))*$E29:$K29)*(1+N(Configuración!$C$3)))</f>
        <v/>
      </c>
      <c r="O29" s="19">
        <f>IF(OR($B29="",COUNT($E29:$K29)=0),"",SUMPRODUCT((MOD(COLUMN($E29:$K29)-COLUMN($E29)-2,7)&lt;MAX(1,MIN(7,N($L29))))*$E29:$K29)*(1+N(Configuración!$C$3)))</f>
        <v/>
      </c>
      <c r="P29" s="19">
        <f>IF(OR($B29="",COUNT($E29:$K29)=0),"",SUMPRODUCT((MOD(COLUMN($E29:$K29)-COLUMN($E29)-3,7)&lt;MAX(1,MIN(7,N($L29))))*$E29:$K29)*(1+N(Configuración!$C$3)))</f>
        <v/>
      </c>
      <c r="Q29" s="19">
        <f>IF(OR($B29="",COUNT($E29:$K29)=0),"",SUMPRODUCT((MOD(COLUMN($E29:$K29)-COLUMN($E29)-4,7)&lt;MAX(1,MIN(7,N($L29))))*$E29:$K29)*(1+N(Configuración!$C$3)))</f>
        <v/>
      </c>
      <c r="R29" s="19">
        <f>IF(OR($B29="",COUNT($E29:$K29)=0),"",SUMPRODUCT((MOD(COLUMN($E29:$K29)-COLUMN($E29)-5,7)&lt;MAX(1,MIN(7,N($L29))))*$E29:$K29)*(1+N(Configuración!$C$3)))</f>
        <v/>
      </c>
      <c r="S29" s="19">
        <f>IF(OR($B29="",COUNT($E29:$K29)=0),"",SUMPRODUCT((MOD(COLUMN($E29:$K29)-COLUMN($E29)-6,7)&lt;MAX(1,MIN(7,N($L29))))*$E29:$K29)*(1+N(Configuración!$C$3)))</f>
        <v/>
      </c>
      <c r="T29" s="17" t="n"/>
    </row>
    <row r="30">
      <c r="A30" s="17" t="n"/>
      <c r="B30" s="17" t="n"/>
      <c r="C30" s="17" t="n"/>
      <c r="D30" s="17" t="n"/>
      <c r="E30" s="18" t="n"/>
      <c r="F30" s="18" t="n"/>
      <c r="G30" s="18" t="n"/>
      <c r="H30" s="18" t="n"/>
      <c r="I30" s="18" t="n"/>
      <c r="J30" s="18" t="n"/>
      <c r="K30" s="18" t="n"/>
      <c r="L30" s="17" t="n"/>
      <c r="M30" s="19">
        <f>IF(OR($B30="",COUNT($E30:$K30)=0),"",SUMPRODUCT((MOD(COLUMN($E30:$K30)-COLUMN($E30)-0,7)&lt;MAX(1,MIN(7,N($L30))))*$E30:$K30)*(1+N(Configuración!$C$3)))</f>
        <v/>
      </c>
      <c r="N30" s="19">
        <f>IF(OR($B30="",COUNT($E30:$K30)=0),"",SUMPRODUCT((MOD(COLUMN($E30:$K30)-COLUMN($E30)-1,7)&lt;MAX(1,MIN(7,N($L30))))*$E30:$K30)*(1+N(Configuración!$C$3)))</f>
        <v/>
      </c>
      <c r="O30" s="19">
        <f>IF(OR($B30="",COUNT($E30:$K30)=0),"",SUMPRODUCT((MOD(COLUMN($E30:$K30)-COLUMN($E30)-2,7)&lt;MAX(1,MIN(7,N($L30))))*$E30:$K30)*(1+N(Configuración!$C$3)))</f>
        <v/>
      </c>
      <c r="P30" s="19">
        <f>IF(OR($B30="",COUNT($E30:$K30)=0),"",SUMPRODUCT((MOD(COLUMN($E30:$K30)-COLUMN($E30)-3,7)&lt;MAX(1,MIN(7,N($L30))))*$E30:$K30)*(1+N(Configuración!$C$3)))</f>
        <v/>
      </c>
      <c r="Q30" s="19">
        <f>IF(OR($B30="",COUNT($E30:$K30)=0),"",SUMPRODUCT((MOD(COLUMN($E30:$K30)-COLUMN($E30)-4,7)&lt;MAX(1,MIN(7,N($L30))))*$E30:$K30)*(1+N(Configuración!$C$3)))</f>
        <v/>
      </c>
      <c r="R30" s="19">
        <f>IF(OR($B30="",COUNT($E30:$K30)=0),"",SUMPRODUCT((MOD(COLUMN($E30:$K30)-COLUMN($E30)-5,7)&lt;MAX(1,MIN(7,N($L30))))*$E30:$K30)*(1+N(Configuración!$C$3)))</f>
        <v/>
      </c>
      <c r="S30" s="19">
        <f>IF(OR($B30="",COUNT($E30:$K30)=0),"",SUMPRODUCT((MOD(COLUMN($E30:$K30)-COLUMN($E30)-6,7)&lt;MAX(1,MIN(7,N($L30))))*$E30:$K30)*(1+N(Configuración!$C$3)))</f>
        <v/>
      </c>
      <c r="T30" s="17" t="n"/>
    </row>
    <row r="31">
      <c r="A31" s="17" t="n"/>
      <c r="B31" s="17" t="n"/>
      <c r="C31" s="17" t="n"/>
      <c r="D31" s="17" t="n"/>
      <c r="E31" s="18" t="n"/>
      <c r="F31" s="18" t="n"/>
      <c r="G31" s="18" t="n"/>
      <c r="H31" s="18" t="n"/>
      <c r="I31" s="18" t="n"/>
      <c r="J31" s="18" t="n"/>
      <c r="K31" s="18" t="n"/>
      <c r="L31" s="17" t="n"/>
      <c r="M31" s="19">
        <f>IF(OR($B31="",COUNT($E31:$K31)=0),"",SUMPRODUCT((MOD(COLUMN($E31:$K31)-COLUMN($E31)-0,7)&lt;MAX(1,MIN(7,N($L31))))*$E31:$K31)*(1+N(Configuración!$C$3)))</f>
        <v/>
      </c>
      <c r="N31" s="19">
        <f>IF(OR($B31="",COUNT($E31:$K31)=0),"",SUMPRODUCT((MOD(COLUMN($E31:$K31)-COLUMN($E31)-1,7)&lt;MAX(1,MIN(7,N($L31))))*$E31:$K31)*(1+N(Configuración!$C$3)))</f>
        <v/>
      </c>
      <c r="O31" s="19">
        <f>IF(OR($B31="",COUNT($E31:$K31)=0),"",SUMPRODUCT((MOD(COLUMN($E31:$K31)-COLUMN($E31)-2,7)&lt;MAX(1,MIN(7,N($L31))))*$E31:$K31)*(1+N(Configuración!$C$3)))</f>
        <v/>
      </c>
      <c r="P31" s="19">
        <f>IF(OR($B31="",COUNT($E31:$K31)=0),"",SUMPRODUCT((MOD(COLUMN($E31:$K31)-COLUMN($E31)-3,7)&lt;MAX(1,MIN(7,N($L31))))*$E31:$K31)*(1+N(Configuración!$C$3)))</f>
        <v/>
      </c>
      <c r="Q31" s="19">
        <f>IF(OR($B31="",COUNT($E31:$K31)=0),"",SUMPRODUCT((MOD(COLUMN($E31:$K31)-COLUMN($E31)-4,7)&lt;MAX(1,MIN(7,N($L31))))*$E31:$K31)*(1+N(Configuración!$C$3)))</f>
        <v/>
      </c>
      <c r="R31" s="19">
        <f>IF(OR($B31="",COUNT($E31:$K31)=0),"",SUMPRODUCT((MOD(COLUMN($E31:$K31)-COLUMN($E31)-5,7)&lt;MAX(1,MIN(7,N($L31))))*$E31:$K31)*(1+N(Configuración!$C$3)))</f>
        <v/>
      </c>
      <c r="S31" s="19">
        <f>IF(OR($B31="",COUNT($E31:$K31)=0),"",SUMPRODUCT((MOD(COLUMN($E31:$K31)-COLUMN($E31)-6,7)&lt;MAX(1,MIN(7,N($L31))))*$E31:$K31)*(1+N(Configuración!$C$3)))</f>
        <v/>
      </c>
      <c r="T31" s="17" t="n"/>
    </row>
    <row r="32">
      <c r="A32" s="17" t="n"/>
      <c r="B32" s="17" t="n"/>
      <c r="C32" s="17" t="n"/>
      <c r="D32" s="17" t="n"/>
      <c r="E32" s="18" t="n"/>
      <c r="F32" s="18" t="n"/>
      <c r="G32" s="18" t="n"/>
      <c r="H32" s="18" t="n"/>
      <c r="I32" s="18" t="n"/>
      <c r="J32" s="18" t="n"/>
      <c r="K32" s="18" t="n"/>
      <c r="L32" s="17" t="n"/>
      <c r="M32" s="19">
        <f>IF(OR($B32="",COUNT($E32:$K32)=0),"",SUMPRODUCT((MOD(COLUMN($E32:$K32)-COLUMN($E32)-0,7)&lt;MAX(1,MIN(7,N($L32))))*$E32:$K32)*(1+N(Configuración!$C$3)))</f>
        <v/>
      </c>
      <c r="N32" s="19">
        <f>IF(OR($B32="",COUNT($E32:$K32)=0),"",SUMPRODUCT((MOD(COLUMN($E32:$K32)-COLUMN($E32)-1,7)&lt;MAX(1,MIN(7,N($L32))))*$E32:$K32)*(1+N(Configuración!$C$3)))</f>
        <v/>
      </c>
      <c r="O32" s="19">
        <f>IF(OR($B32="",COUNT($E32:$K32)=0),"",SUMPRODUCT((MOD(COLUMN($E32:$K32)-COLUMN($E32)-2,7)&lt;MAX(1,MIN(7,N($L32))))*$E32:$K32)*(1+N(Configuración!$C$3)))</f>
        <v/>
      </c>
      <c r="P32" s="19">
        <f>IF(OR($B32="",COUNT($E32:$K32)=0),"",SUMPRODUCT((MOD(COLUMN($E32:$K32)-COLUMN($E32)-3,7)&lt;MAX(1,MIN(7,N($L32))))*$E32:$K32)*(1+N(Configuración!$C$3)))</f>
        <v/>
      </c>
      <c r="Q32" s="19">
        <f>IF(OR($B32="",COUNT($E32:$K32)=0),"",SUMPRODUCT((MOD(COLUMN($E32:$K32)-COLUMN($E32)-4,7)&lt;MAX(1,MIN(7,N($L32))))*$E32:$K32)*(1+N(Configuración!$C$3)))</f>
        <v/>
      </c>
      <c r="R32" s="19">
        <f>IF(OR($B32="",COUNT($E32:$K32)=0),"",SUMPRODUCT((MOD(COLUMN($E32:$K32)-COLUMN($E32)-5,7)&lt;MAX(1,MIN(7,N($L32))))*$E32:$K32)*(1+N(Configuración!$C$3)))</f>
        <v/>
      </c>
      <c r="S32" s="19">
        <f>IF(OR($B32="",COUNT($E32:$K32)=0),"",SUMPRODUCT((MOD(COLUMN($E32:$K32)-COLUMN($E32)-6,7)&lt;MAX(1,MIN(7,N($L32))))*$E32:$K32)*(1+N(Configuración!$C$3)))</f>
        <v/>
      </c>
      <c r="T32" s="17" t="n"/>
    </row>
    <row r="33">
      <c r="A33" s="17" t="n"/>
      <c r="B33" s="17" t="n"/>
      <c r="C33" s="17" t="n"/>
      <c r="D33" s="17" t="n"/>
      <c r="E33" s="18" t="n"/>
      <c r="F33" s="18" t="n"/>
      <c r="G33" s="18" t="n"/>
      <c r="H33" s="18" t="n"/>
      <c r="I33" s="18" t="n"/>
      <c r="J33" s="18" t="n"/>
      <c r="K33" s="18" t="n"/>
      <c r="L33" s="17" t="n"/>
      <c r="M33" s="19">
        <f>IF(OR($B33="",COUNT($E33:$K33)=0),"",SUMPRODUCT((MOD(COLUMN($E33:$K33)-COLUMN($E33)-0,7)&lt;MAX(1,MIN(7,N($L33))))*$E33:$K33)*(1+N(Configuración!$C$3)))</f>
        <v/>
      </c>
      <c r="N33" s="19">
        <f>IF(OR($B33="",COUNT($E33:$K33)=0),"",SUMPRODUCT((MOD(COLUMN($E33:$K33)-COLUMN($E33)-1,7)&lt;MAX(1,MIN(7,N($L33))))*$E33:$K33)*(1+N(Configuración!$C$3)))</f>
        <v/>
      </c>
      <c r="O33" s="19">
        <f>IF(OR($B33="",COUNT($E33:$K33)=0),"",SUMPRODUCT((MOD(COLUMN($E33:$K33)-COLUMN($E33)-2,7)&lt;MAX(1,MIN(7,N($L33))))*$E33:$K33)*(1+N(Configuración!$C$3)))</f>
        <v/>
      </c>
      <c r="P33" s="19">
        <f>IF(OR($B33="",COUNT($E33:$K33)=0),"",SUMPRODUCT((MOD(COLUMN($E33:$K33)-COLUMN($E33)-3,7)&lt;MAX(1,MIN(7,N($L33))))*$E33:$K33)*(1+N(Configuración!$C$3)))</f>
        <v/>
      </c>
      <c r="Q33" s="19">
        <f>IF(OR($B33="",COUNT($E33:$K33)=0),"",SUMPRODUCT((MOD(COLUMN($E33:$K33)-COLUMN($E33)-4,7)&lt;MAX(1,MIN(7,N($L33))))*$E33:$K33)*(1+N(Configuración!$C$3)))</f>
        <v/>
      </c>
      <c r="R33" s="19">
        <f>IF(OR($B33="",COUNT($E33:$K33)=0),"",SUMPRODUCT((MOD(COLUMN($E33:$K33)-COLUMN($E33)-5,7)&lt;MAX(1,MIN(7,N($L33))))*$E33:$K33)*(1+N(Configuración!$C$3)))</f>
        <v/>
      </c>
      <c r="S33" s="19">
        <f>IF(OR($B33="",COUNT($E33:$K33)=0),"",SUMPRODUCT((MOD(COLUMN($E33:$K33)-COLUMN($E33)-6,7)&lt;MAX(1,MIN(7,N($L33))))*$E33:$K33)*(1+N(Configuración!$C$3)))</f>
        <v/>
      </c>
      <c r="T33" s="17" t="n"/>
    </row>
    <row r="34">
      <c r="A34" s="17" t="n"/>
      <c r="B34" s="17" t="n"/>
      <c r="C34" s="17" t="n"/>
      <c r="D34" s="17" t="n"/>
      <c r="E34" s="18" t="n"/>
      <c r="F34" s="18" t="n"/>
      <c r="G34" s="18" t="n"/>
      <c r="H34" s="18" t="n"/>
      <c r="I34" s="18" t="n"/>
      <c r="J34" s="18" t="n"/>
      <c r="K34" s="18" t="n"/>
      <c r="L34" s="17" t="n"/>
      <c r="M34" s="19">
        <f>IF(OR($B34="",COUNT($E34:$K34)=0),"",SUMPRODUCT((MOD(COLUMN($E34:$K34)-COLUMN($E34)-0,7)&lt;MAX(1,MIN(7,N($L34))))*$E34:$K34)*(1+N(Configuración!$C$3)))</f>
        <v/>
      </c>
      <c r="N34" s="19">
        <f>IF(OR($B34="",COUNT($E34:$K34)=0),"",SUMPRODUCT((MOD(COLUMN($E34:$K34)-COLUMN($E34)-1,7)&lt;MAX(1,MIN(7,N($L34))))*$E34:$K34)*(1+N(Configuración!$C$3)))</f>
        <v/>
      </c>
      <c r="O34" s="19">
        <f>IF(OR($B34="",COUNT($E34:$K34)=0),"",SUMPRODUCT((MOD(COLUMN($E34:$K34)-COLUMN($E34)-2,7)&lt;MAX(1,MIN(7,N($L34))))*$E34:$K34)*(1+N(Configuración!$C$3)))</f>
        <v/>
      </c>
      <c r="P34" s="19">
        <f>IF(OR($B34="",COUNT($E34:$K34)=0),"",SUMPRODUCT((MOD(COLUMN($E34:$K34)-COLUMN($E34)-3,7)&lt;MAX(1,MIN(7,N($L34))))*$E34:$K34)*(1+N(Configuración!$C$3)))</f>
        <v/>
      </c>
      <c r="Q34" s="19">
        <f>IF(OR($B34="",COUNT($E34:$K34)=0),"",SUMPRODUCT((MOD(COLUMN($E34:$K34)-COLUMN($E34)-4,7)&lt;MAX(1,MIN(7,N($L34))))*$E34:$K34)*(1+N(Configuración!$C$3)))</f>
        <v/>
      </c>
      <c r="R34" s="19">
        <f>IF(OR($B34="",COUNT($E34:$K34)=0),"",SUMPRODUCT((MOD(COLUMN($E34:$K34)-COLUMN($E34)-5,7)&lt;MAX(1,MIN(7,N($L34))))*$E34:$K34)*(1+N(Configuración!$C$3)))</f>
        <v/>
      </c>
      <c r="S34" s="19">
        <f>IF(OR($B34="",COUNT($E34:$K34)=0),"",SUMPRODUCT((MOD(COLUMN($E34:$K34)-COLUMN($E34)-6,7)&lt;MAX(1,MIN(7,N($L34))))*$E34:$K34)*(1+N(Configuración!$C$3)))</f>
        <v/>
      </c>
      <c r="T34" s="17" t="n"/>
    </row>
    <row r="35">
      <c r="A35" s="17" t="n"/>
      <c r="B35" s="17" t="n"/>
      <c r="C35" s="17" t="n"/>
      <c r="D35" s="17" t="n"/>
      <c r="E35" s="18" t="n"/>
      <c r="F35" s="18" t="n"/>
      <c r="G35" s="18" t="n"/>
      <c r="H35" s="18" t="n"/>
      <c r="I35" s="18" t="n"/>
      <c r="J35" s="18" t="n"/>
      <c r="K35" s="18" t="n"/>
      <c r="L35" s="17" t="n"/>
      <c r="M35" s="19">
        <f>IF(OR($B35="",COUNT($E35:$K35)=0),"",SUMPRODUCT((MOD(COLUMN($E35:$K35)-COLUMN($E35)-0,7)&lt;MAX(1,MIN(7,N($L35))))*$E35:$K35)*(1+N(Configuración!$C$3)))</f>
        <v/>
      </c>
      <c r="N35" s="19">
        <f>IF(OR($B35="",COUNT($E35:$K35)=0),"",SUMPRODUCT((MOD(COLUMN($E35:$K35)-COLUMN($E35)-1,7)&lt;MAX(1,MIN(7,N($L35))))*$E35:$K35)*(1+N(Configuración!$C$3)))</f>
        <v/>
      </c>
      <c r="O35" s="19">
        <f>IF(OR($B35="",COUNT($E35:$K35)=0),"",SUMPRODUCT((MOD(COLUMN($E35:$K35)-COLUMN($E35)-2,7)&lt;MAX(1,MIN(7,N($L35))))*$E35:$K35)*(1+N(Configuración!$C$3)))</f>
        <v/>
      </c>
      <c r="P35" s="19">
        <f>IF(OR($B35="",COUNT($E35:$K35)=0),"",SUMPRODUCT((MOD(COLUMN($E35:$K35)-COLUMN($E35)-3,7)&lt;MAX(1,MIN(7,N($L35))))*$E35:$K35)*(1+N(Configuración!$C$3)))</f>
        <v/>
      </c>
      <c r="Q35" s="19">
        <f>IF(OR($B35="",COUNT($E35:$K35)=0),"",SUMPRODUCT((MOD(COLUMN($E35:$K35)-COLUMN($E35)-4,7)&lt;MAX(1,MIN(7,N($L35))))*$E35:$K35)*(1+N(Configuración!$C$3)))</f>
        <v/>
      </c>
      <c r="R35" s="19">
        <f>IF(OR($B35="",COUNT($E35:$K35)=0),"",SUMPRODUCT((MOD(COLUMN($E35:$K35)-COLUMN($E35)-5,7)&lt;MAX(1,MIN(7,N($L35))))*$E35:$K35)*(1+N(Configuración!$C$3)))</f>
        <v/>
      </c>
      <c r="S35" s="19">
        <f>IF(OR($B35="",COUNT($E35:$K35)=0),"",SUMPRODUCT((MOD(COLUMN($E35:$K35)-COLUMN($E35)-6,7)&lt;MAX(1,MIN(7,N($L35))))*$E35:$K35)*(1+N(Configuración!$C$3)))</f>
        <v/>
      </c>
      <c r="T35" s="17" t="n"/>
    </row>
    <row r="36">
      <c r="A36" s="17" t="n"/>
      <c r="B36" s="17" t="n"/>
      <c r="C36" s="17" t="n"/>
      <c r="D36" s="17" t="n"/>
      <c r="E36" s="18" t="n"/>
      <c r="F36" s="18" t="n"/>
      <c r="G36" s="18" t="n"/>
      <c r="H36" s="18" t="n"/>
      <c r="I36" s="18" t="n"/>
      <c r="J36" s="18" t="n"/>
      <c r="K36" s="18" t="n"/>
      <c r="L36" s="17" t="n"/>
      <c r="M36" s="19">
        <f>IF(OR($B36="",COUNT($E36:$K36)=0),"",SUMPRODUCT((MOD(COLUMN($E36:$K36)-COLUMN($E36)-0,7)&lt;MAX(1,MIN(7,N($L36))))*$E36:$K36)*(1+N(Configuración!$C$3)))</f>
        <v/>
      </c>
      <c r="N36" s="19">
        <f>IF(OR($B36="",COUNT($E36:$K36)=0),"",SUMPRODUCT((MOD(COLUMN($E36:$K36)-COLUMN($E36)-1,7)&lt;MAX(1,MIN(7,N($L36))))*$E36:$K36)*(1+N(Configuración!$C$3)))</f>
        <v/>
      </c>
      <c r="O36" s="19">
        <f>IF(OR($B36="",COUNT($E36:$K36)=0),"",SUMPRODUCT((MOD(COLUMN($E36:$K36)-COLUMN($E36)-2,7)&lt;MAX(1,MIN(7,N($L36))))*$E36:$K36)*(1+N(Configuración!$C$3)))</f>
        <v/>
      </c>
      <c r="P36" s="19">
        <f>IF(OR($B36="",COUNT($E36:$K36)=0),"",SUMPRODUCT((MOD(COLUMN($E36:$K36)-COLUMN($E36)-3,7)&lt;MAX(1,MIN(7,N($L36))))*$E36:$K36)*(1+N(Configuración!$C$3)))</f>
        <v/>
      </c>
      <c r="Q36" s="19">
        <f>IF(OR($B36="",COUNT($E36:$K36)=0),"",SUMPRODUCT((MOD(COLUMN($E36:$K36)-COLUMN($E36)-4,7)&lt;MAX(1,MIN(7,N($L36))))*$E36:$K36)*(1+N(Configuración!$C$3)))</f>
        <v/>
      </c>
      <c r="R36" s="19">
        <f>IF(OR($B36="",COUNT($E36:$K36)=0),"",SUMPRODUCT((MOD(COLUMN($E36:$K36)-COLUMN($E36)-5,7)&lt;MAX(1,MIN(7,N($L36))))*$E36:$K36)*(1+N(Configuración!$C$3)))</f>
        <v/>
      </c>
      <c r="S36" s="19">
        <f>IF(OR($B36="",COUNT($E36:$K36)=0),"",SUMPRODUCT((MOD(COLUMN($E36:$K36)-COLUMN($E36)-6,7)&lt;MAX(1,MIN(7,N($L36))))*$E36:$K36)*(1+N(Configuración!$C$3)))</f>
        <v/>
      </c>
      <c r="T36" s="17" t="n"/>
    </row>
    <row r="37">
      <c r="A37" s="17" t="n"/>
      <c r="B37" s="17" t="n"/>
      <c r="C37" s="17" t="n"/>
      <c r="D37" s="17" t="n"/>
      <c r="E37" s="18" t="n"/>
      <c r="F37" s="18" t="n"/>
      <c r="G37" s="18" t="n"/>
      <c r="H37" s="18" t="n"/>
      <c r="I37" s="18" t="n"/>
      <c r="J37" s="18" t="n"/>
      <c r="K37" s="18" t="n"/>
      <c r="L37" s="17" t="n"/>
      <c r="M37" s="19">
        <f>IF(OR($B37="",COUNT($E37:$K37)=0),"",SUMPRODUCT((MOD(COLUMN($E37:$K37)-COLUMN($E37)-0,7)&lt;MAX(1,MIN(7,N($L37))))*$E37:$K37)*(1+N(Configuración!$C$3)))</f>
        <v/>
      </c>
      <c r="N37" s="19">
        <f>IF(OR($B37="",COUNT($E37:$K37)=0),"",SUMPRODUCT((MOD(COLUMN($E37:$K37)-COLUMN($E37)-1,7)&lt;MAX(1,MIN(7,N($L37))))*$E37:$K37)*(1+N(Configuración!$C$3)))</f>
        <v/>
      </c>
      <c r="O37" s="19">
        <f>IF(OR($B37="",COUNT($E37:$K37)=0),"",SUMPRODUCT((MOD(COLUMN($E37:$K37)-COLUMN($E37)-2,7)&lt;MAX(1,MIN(7,N($L37))))*$E37:$K37)*(1+N(Configuración!$C$3)))</f>
        <v/>
      </c>
      <c r="P37" s="19">
        <f>IF(OR($B37="",COUNT($E37:$K37)=0),"",SUMPRODUCT((MOD(COLUMN($E37:$K37)-COLUMN($E37)-3,7)&lt;MAX(1,MIN(7,N($L37))))*$E37:$K37)*(1+N(Configuración!$C$3)))</f>
        <v/>
      </c>
      <c r="Q37" s="19">
        <f>IF(OR($B37="",COUNT($E37:$K37)=0),"",SUMPRODUCT((MOD(COLUMN($E37:$K37)-COLUMN($E37)-4,7)&lt;MAX(1,MIN(7,N($L37))))*$E37:$K37)*(1+N(Configuración!$C$3)))</f>
        <v/>
      </c>
      <c r="R37" s="19">
        <f>IF(OR($B37="",COUNT($E37:$K37)=0),"",SUMPRODUCT((MOD(COLUMN($E37:$K37)-COLUMN($E37)-5,7)&lt;MAX(1,MIN(7,N($L37))))*$E37:$K37)*(1+N(Configuración!$C$3)))</f>
        <v/>
      </c>
      <c r="S37" s="19">
        <f>IF(OR($B37="",COUNT($E37:$K37)=0),"",SUMPRODUCT((MOD(COLUMN($E37:$K37)-COLUMN($E37)-6,7)&lt;MAX(1,MIN(7,N($L37))))*$E37:$K37)*(1+N(Configuración!$C$3)))</f>
        <v/>
      </c>
      <c r="T37" s="17" t="n"/>
    </row>
    <row r="38">
      <c r="A38" s="17" t="n"/>
      <c r="B38" s="17" t="n"/>
      <c r="C38" s="17" t="n"/>
      <c r="D38" s="17" t="n"/>
      <c r="E38" s="18" t="n"/>
      <c r="F38" s="18" t="n"/>
      <c r="G38" s="18" t="n"/>
      <c r="H38" s="18" t="n"/>
      <c r="I38" s="18" t="n"/>
      <c r="J38" s="18" t="n"/>
      <c r="K38" s="18" t="n"/>
      <c r="L38" s="17" t="n"/>
      <c r="M38" s="19">
        <f>IF(OR($B38="",COUNT($E38:$K38)=0),"",SUMPRODUCT((MOD(COLUMN($E38:$K38)-COLUMN($E38)-0,7)&lt;MAX(1,MIN(7,N($L38))))*$E38:$K38)*(1+N(Configuración!$C$3)))</f>
        <v/>
      </c>
      <c r="N38" s="19">
        <f>IF(OR($B38="",COUNT($E38:$K38)=0),"",SUMPRODUCT((MOD(COLUMN($E38:$K38)-COLUMN($E38)-1,7)&lt;MAX(1,MIN(7,N($L38))))*$E38:$K38)*(1+N(Configuración!$C$3)))</f>
        <v/>
      </c>
      <c r="O38" s="19">
        <f>IF(OR($B38="",COUNT($E38:$K38)=0),"",SUMPRODUCT((MOD(COLUMN($E38:$K38)-COLUMN($E38)-2,7)&lt;MAX(1,MIN(7,N($L38))))*$E38:$K38)*(1+N(Configuración!$C$3)))</f>
        <v/>
      </c>
      <c r="P38" s="19">
        <f>IF(OR($B38="",COUNT($E38:$K38)=0),"",SUMPRODUCT((MOD(COLUMN($E38:$K38)-COLUMN($E38)-3,7)&lt;MAX(1,MIN(7,N($L38))))*$E38:$K38)*(1+N(Configuración!$C$3)))</f>
        <v/>
      </c>
      <c r="Q38" s="19">
        <f>IF(OR($B38="",COUNT($E38:$K38)=0),"",SUMPRODUCT((MOD(COLUMN($E38:$K38)-COLUMN($E38)-4,7)&lt;MAX(1,MIN(7,N($L38))))*$E38:$K38)*(1+N(Configuración!$C$3)))</f>
        <v/>
      </c>
      <c r="R38" s="19">
        <f>IF(OR($B38="",COUNT($E38:$K38)=0),"",SUMPRODUCT((MOD(COLUMN($E38:$K38)-COLUMN($E38)-5,7)&lt;MAX(1,MIN(7,N($L38))))*$E38:$K38)*(1+N(Configuración!$C$3)))</f>
        <v/>
      </c>
      <c r="S38" s="19">
        <f>IF(OR($B38="",COUNT($E38:$K38)=0),"",SUMPRODUCT((MOD(COLUMN($E38:$K38)-COLUMN($E38)-6,7)&lt;MAX(1,MIN(7,N($L38))))*$E38:$K38)*(1+N(Configuración!$C$3)))</f>
        <v/>
      </c>
      <c r="T38" s="17" t="n"/>
    </row>
    <row r="39">
      <c r="A39" s="17" t="n"/>
      <c r="B39" s="17" t="n"/>
      <c r="C39" s="17" t="n"/>
      <c r="D39" s="17" t="n"/>
      <c r="E39" s="18" t="n"/>
      <c r="F39" s="18" t="n"/>
      <c r="G39" s="18" t="n"/>
      <c r="H39" s="18" t="n"/>
      <c r="I39" s="18" t="n"/>
      <c r="J39" s="18" t="n"/>
      <c r="K39" s="18" t="n"/>
      <c r="L39" s="17" t="n"/>
      <c r="M39" s="19">
        <f>IF(OR($B39="",COUNT($E39:$K39)=0),"",SUMPRODUCT((MOD(COLUMN($E39:$K39)-COLUMN($E39)-0,7)&lt;MAX(1,MIN(7,N($L39))))*$E39:$K39)*(1+N(Configuración!$C$3)))</f>
        <v/>
      </c>
      <c r="N39" s="19">
        <f>IF(OR($B39="",COUNT($E39:$K39)=0),"",SUMPRODUCT((MOD(COLUMN($E39:$K39)-COLUMN($E39)-1,7)&lt;MAX(1,MIN(7,N($L39))))*$E39:$K39)*(1+N(Configuración!$C$3)))</f>
        <v/>
      </c>
      <c r="O39" s="19">
        <f>IF(OR($B39="",COUNT($E39:$K39)=0),"",SUMPRODUCT((MOD(COLUMN($E39:$K39)-COLUMN($E39)-2,7)&lt;MAX(1,MIN(7,N($L39))))*$E39:$K39)*(1+N(Configuración!$C$3)))</f>
        <v/>
      </c>
      <c r="P39" s="19">
        <f>IF(OR($B39="",COUNT($E39:$K39)=0),"",SUMPRODUCT((MOD(COLUMN($E39:$K39)-COLUMN($E39)-3,7)&lt;MAX(1,MIN(7,N($L39))))*$E39:$K39)*(1+N(Configuración!$C$3)))</f>
        <v/>
      </c>
      <c r="Q39" s="19">
        <f>IF(OR($B39="",COUNT($E39:$K39)=0),"",SUMPRODUCT((MOD(COLUMN($E39:$K39)-COLUMN($E39)-4,7)&lt;MAX(1,MIN(7,N($L39))))*$E39:$K39)*(1+N(Configuración!$C$3)))</f>
        <v/>
      </c>
      <c r="R39" s="19">
        <f>IF(OR($B39="",COUNT($E39:$K39)=0),"",SUMPRODUCT((MOD(COLUMN($E39:$K39)-COLUMN($E39)-5,7)&lt;MAX(1,MIN(7,N($L39))))*$E39:$K39)*(1+N(Configuración!$C$3)))</f>
        <v/>
      </c>
      <c r="S39" s="19">
        <f>IF(OR($B39="",COUNT($E39:$K39)=0),"",SUMPRODUCT((MOD(COLUMN($E39:$K39)-COLUMN($E39)-6,7)&lt;MAX(1,MIN(7,N($L39))))*$E39:$K39)*(1+N(Configuración!$C$3)))</f>
        <v/>
      </c>
      <c r="T39" s="17" t="n"/>
    </row>
    <row r="40">
      <c r="A40" s="17" t="n"/>
      <c r="B40" s="17" t="n"/>
      <c r="C40" s="17" t="n"/>
      <c r="D40" s="17" t="n"/>
      <c r="E40" s="18" t="n"/>
      <c r="F40" s="18" t="n"/>
      <c r="G40" s="18" t="n"/>
      <c r="H40" s="18" t="n"/>
      <c r="I40" s="18" t="n"/>
      <c r="J40" s="18" t="n"/>
      <c r="K40" s="18" t="n"/>
      <c r="L40" s="17" t="n"/>
      <c r="M40" s="19">
        <f>IF(OR($B40="",COUNT($E40:$K40)=0),"",SUMPRODUCT((MOD(COLUMN($E40:$K40)-COLUMN($E40)-0,7)&lt;MAX(1,MIN(7,N($L40))))*$E40:$K40)*(1+N(Configuración!$C$3)))</f>
        <v/>
      </c>
      <c r="N40" s="19">
        <f>IF(OR($B40="",COUNT($E40:$K40)=0),"",SUMPRODUCT((MOD(COLUMN($E40:$K40)-COLUMN($E40)-1,7)&lt;MAX(1,MIN(7,N($L40))))*$E40:$K40)*(1+N(Configuración!$C$3)))</f>
        <v/>
      </c>
      <c r="O40" s="19">
        <f>IF(OR($B40="",COUNT($E40:$K40)=0),"",SUMPRODUCT((MOD(COLUMN($E40:$K40)-COLUMN($E40)-2,7)&lt;MAX(1,MIN(7,N($L40))))*$E40:$K40)*(1+N(Configuración!$C$3)))</f>
        <v/>
      </c>
      <c r="P40" s="19">
        <f>IF(OR($B40="",COUNT($E40:$K40)=0),"",SUMPRODUCT((MOD(COLUMN($E40:$K40)-COLUMN($E40)-3,7)&lt;MAX(1,MIN(7,N($L40))))*$E40:$K40)*(1+N(Configuración!$C$3)))</f>
        <v/>
      </c>
      <c r="Q40" s="19">
        <f>IF(OR($B40="",COUNT($E40:$K40)=0),"",SUMPRODUCT((MOD(COLUMN($E40:$K40)-COLUMN($E40)-4,7)&lt;MAX(1,MIN(7,N($L40))))*$E40:$K40)*(1+N(Configuración!$C$3)))</f>
        <v/>
      </c>
      <c r="R40" s="19">
        <f>IF(OR($B40="",COUNT($E40:$K40)=0),"",SUMPRODUCT((MOD(COLUMN($E40:$K40)-COLUMN($E40)-5,7)&lt;MAX(1,MIN(7,N($L40))))*$E40:$K40)*(1+N(Configuración!$C$3)))</f>
        <v/>
      </c>
      <c r="S40" s="19">
        <f>IF(OR($B40="",COUNT($E40:$K40)=0),"",SUMPRODUCT((MOD(COLUMN($E40:$K40)-COLUMN($E40)-6,7)&lt;MAX(1,MIN(7,N($L40))))*$E40:$K40)*(1+N(Configuración!$C$3)))</f>
        <v/>
      </c>
      <c r="T40" s="17" t="n"/>
    </row>
    <row r="41">
      <c r="A41" s="17" t="n"/>
      <c r="B41" s="17" t="n"/>
      <c r="C41" s="17" t="n"/>
      <c r="D41" s="17" t="n"/>
      <c r="E41" s="18" t="n"/>
      <c r="F41" s="18" t="n"/>
      <c r="G41" s="18" t="n"/>
      <c r="H41" s="18" t="n"/>
      <c r="I41" s="18" t="n"/>
      <c r="J41" s="18" t="n"/>
      <c r="K41" s="18" t="n"/>
      <c r="L41" s="17" t="n"/>
      <c r="M41" s="19">
        <f>IF(OR($B41="",COUNT($E41:$K41)=0),"",SUMPRODUCT((MOD(COLUMN($E41:$K41)-COLUMN($E41)-0,7)&lt;MAX(1,MIN(7,N($L41))))*$E41:$K41)*(1+N(Configuración!$C$3)))</f>
        <v/>
      </c>
      <c r="N41" s="19">
        <f>IF(OR($B41="",COUNT($E41:$K41)=0),"",SUMPRODUCT((MOD(COLUMN($E41:$K41)-COLUMN($E41)-1,7)&lt;MAX(1,MIN(7,N($L41))))*$E41:$K41)*(1+N(Configuración!$C$3)))</f>
        <v/>
      </c>
      <c r="O41" s="19">
        <f>IF(OR($B41="",COUNT($E41:$K41)=0),"",SUMPRODUCT((MOD(COLUMN($E41:$K41)-COLUMN($E41)-2,7)&lt;MAX(1,MIN(7,N($L41))))*$E41:$K41)*(1+N(Configuración!$C$3)))</f>
        <v/>
      </c>
      <c r="P41" s="19">
        <f>IF(OR($B41="",COUNT($E41:$K41)=0),"",SUMPRODUCT((MOD(COLUMN($E41:$K41)-COLUMN($E41)-3,7)&lt;MAX(1,MIN(7,N($L41))))*$E41:$K41)*(1+N(Configuración!$C$3)))</f>
        <v/>
      </c>
      <c r="Q41" s="19">
        <f>IF(OR($B41="",COUNT($E41:$K41)=0),"",SUMPRODUCT((MOD(COLUMN($E41:$K41)-COLUMN($E41)-4,7)&lt;MAX(1,MIN(7,N($L41))))*$E41:$K41)*(1+N(Configuración!$C$3)))</f>
        <v/>
      </c>
      <c r="R41" s="19">
        <f>IF(OR($B41="",COUNT($E41:$K41)=0),"",SUMPRODUCT((MOD(COLUMN($E41:$K41)-COLUMN($E41)-5,7)&lt;MAX(1,MIN(7,N($L41))))*$E41:$K41)*(1+N(Configuración!$C$3)))</f>
        <v/>
      </c>
      <c r="S41" s="19">
        <f>IF(OR($B41="",COUNT($E41:$K41)=0),"",SUMPRODUCT((MOD(COLUMN($E41:$K41)-COLUMN($E41)-6,7)&lt;MAX(1,MIN(7,N($L41))))*$E41:$K41)*(1+N(Configuración!$C$3)))</f>
        <v/>
      </c>
      <c r="T41" s="17" t="n"/>
    </row>
    <row r="42">
      <c r="A42" s="17" t="n"/>
      <c r="B42" s="17" t="n"/>
      <c r="C42" s="17" t="n"/>
      <c r="D42" s="17" t="n"/>
      <c r="E42" s="18" t="n"/>
      <c r="F42" s="18" t="n"/>
      <c r="G42" s="18" t="n"/>
      <c r="H42" s="18" t="n"/>
      <c r="I42" s="18" t="n"/>
      <c r="J42" s="18" t="n"/>
      <c r="K42" s="18" t="n"/>
      <c r="L42" s="17" t="n"/>
      <c r="M42" s="19">
        <f>IF(OR($B42="",COUNT($E42:$K42)=0),"",SUMPRODUCT((MOD(COLUMN($E42:$K42)-COLUMN($E42)-0,7)&lt;MAX(1,MIN(7,N($L42))))*$E42:$K42)*(1+N(Configuración!$C$3)))</f>
        <v/>
      </c>
      <c r="N42" s="19">
        <f>IF(OR($B42="",COUNT($E42:$K42)=0),"",SUMPRODUCT((MOD(COLUMN($E42:$K42)-COLUMN($E42)-1,7)&lt;MAX(1,MIN(7,N($L42))))*$E42:$K42)*(1+N(Configuración!$C$3)))</f>
        <v/>
      </c>
      <c r="O42" s="19">
        <f>IF(OR($B42="",COUNT($E42:$K42)=0),"",SUMPRODUCT((MOD(COLUMN($E42:$K42)-COLUMN($E42)-2,7)&lt;MAX(1,MIN(7,N($L42))))*$E42:$K42)*(1+N(Configuración!$C$3)))</f>
        <v/>
      </c>
      <c r="P42" s="19">
        <f>IF(OR($B42="",COUNT($E42:$K42)=0),"",SUMPRODUCT((MOD(COLUMN($E42:$K42)-COLUMN($E42)-3,7)&lt;MAX(1,MIN(7,N($L42))))*$E42:$K42)*(1+N(Configuración!$C$3)))</f>
        <v/>
      </c>
      <c r="Q42" s="19">
        <f>IF(OR($B42="",COUNT($E42:$K42)=0),"",SUMPRODUCT((MOD(COLUMN($E42:$K42)-COLUMN($E42)-4,7)&lt;MAX(1,MIN(7,N($L42))))*$E42:$K42)*(1+N(Configuración!$C$3)))</f>
        <v/>
      </c>
      <c r="R42" s="19">
        <f>IF(OR($B42="",COUNT($E42:$K42)=0),"",SUMPRODUCT((MOD(COLUMN($E42:$K42)-COLUMN($E42)-5,7)&lt;MAX(1,MIN(7,N($L42))))*$E42:$K42)*(1+N(Configuración!$C$3)))</f>
        <v/>
      </c>
      <c r="S42" s="19">
        <f>IF(OR($B42="",COUNT($E42:$K42)=0),"",SUMPRODUCT((MOD(COLUMN($E42:$K42)-COLUMN($E42)-6,7)&lt;MAX(1,MIN(7,N($L42))))*$E42:$K42)*(1+N(Configuración!$C$3)))</f>
        <v/>
      </c>
      <c r="T42" s="17" t="n"/>
    </row>
    <row r="43">
      <c r="A43" s="17" t="n"/>
      <c r="B43" s="17" t="n"/>
      <c r="C43" s="17" t="n"/>
      <c r="D43" s="17" t="n"/>
      <c r="E43" s="18" t="n"/>
      <c r="F43" s="18" t="n"/>
      <c r="G43" s="18" t="n"/>
      <c r="H43" s="18" t="n"/>
      <c r="I43" s="18" t="n"/>
      <c r="J43" s="18" t="n"/>
      <c r="K43" s="18" t="n"/>
      <c r="L43" s="17" t="n"/>
      <c r="M43" s="19">
        <f>IF(OR($B43="",COUNT($E43:$K43)=0),"",SUMPRODUCT((MOD(COLUMN($E43:$K43)-COLUMN($E43)-0,7)&lt;MAX(1,MIN(7,N($L43))))*$E43:$K43)*(1+N(Configuración!$C$3)))</f>
        <v/>
      </c>
      <c r="N43" s="19">
        <f>IF(OR($B43="",COUNT($E43:$K43)=0),"",SUMPRODUCT((MOD(COLUMN($E43:$K43)-COLUMN($E43)-1,7)&lt;MAX(1,MIN(7,N($L43))))*$E43:$K43)*(1+N(Configuración!$C$3)))</f>
        <v/>
      </c>
      <c r="O43" s="19">
        <f>IF(OR($B43="",COUNT($E43:$K43)=0),"",SUMPRODUCT((MOD(COLUMN($E43:$K43)-COLUMN($E43)-2,7)&lt;MAX(1,MIN(7,N($L43))))*$E43:$K43)*(1+N(Configuración!$C$3)))</f>
        <v/>
      </c>
      <c r="P43" s="19">
        <f>IF(OR($B43="",COUNT($E43:$K43)=0),"",SUMPRODUCT((MOD(COLUMN($E43:$K43)-COLUMN($E43)-3,7)&lt;MAX(1,MIN(7,N($L43))))*$E43:$K43)*(1+N(Configuración!$C$3)))</f>
        <v/>
      </c>
      <c r="Q43" s="19">
        <f>IF(OR($B43="",COUNT($E43:$K43)=0),"",SUMPRODUCT((MOD(COLUMN($E43:$K43)-COLUMN($E43)-4,7)&lt;MAX(1,MIN(7,N($L43))))*$E43:$K43)*(1+N(Configuración!$C$3)))</f>
        <v/>
      </c>
      <c r="R43" s="19">
        <f>IF(OR($B43="",COUNT($E43:$K43)=0),"",SUMPRODUCT((MOD(COLUMN($E43:$K43)-COLUMN($E43)-5,7)&lt;MAX(1,MIN(7,N($L43))))*$E43:$K43)*(1+N(Configuración!$C$3)))</f>
        <v/>
      </c>
      <c r="S43" s="19">
        <f>IF(OR($B43="",COUNT($E43:$K43)=0),"",SUMPRODUCT((MOD(COLUMN($E43:$K43)-COLUMN($E43)-6,7)&lt;MAX(1,MIN(7,N($L43))))*$E43:$K43)*(1+N(Configuración!$C$3)))</f>
        <v/>
      </c>
      <c r="T43" s="17" t="n"/>
    </row>
    <row r="44">
      <c r="A44" s="17" t="n"/>
      <c r="B44" s="17" t="n"/>
      <c r="C44" s="17" t="n"/>
      <c r="D44" s="17" t="n"/>
      <c r="E44" s="18" t="n"/>
      <c r="F44" s="18" t="n"/>
      <c r="G44" s="18" t="n"/>
      <c r="H44" s="18" t="n"/>
      <c r="I44" s="18" t="n"/>
      <c r="J44" s="18" t="n"/>
      <c r="K44" s="18" t="n"/>
      <c r="L44" s="17" t="n"/>
      <c r="M44" s="19">
        <f>IF(OR($B44="",COUNT($E44:$K44)=0),"",SUMPRODUCT((MOD(COLUMN($E44:$K44)-COLUMN($E44)-0,7)&lt;MAX(1,MIN(7,N($L44))))*$E44:$K44)*(1+N(Configuración!$C$3)))</f>
        <v/>
      </c>
      <c r="N44" s="19">
        <f>IF(OR($B44="",COUNT($E44:$K44)=0),"",SUMPRODUCT((MOD(COLUMN($E44:$K44)-COLUMN($E44)-1,7)&lt;MAX(1,MIN(7,N($L44))))*$E44:$K44)*(1+N(Configuración!$C$3)))</f>
        <v/>
      </c>
      <c r="O44" s="19">
        <f>IF(OR($B44="",COUNT($E44:$K44)=0),"",SUMPRODUCT((MOD(COLUMN($E44:$K44)-COLUMN($E44)-2,7)&lt;MAX(1,MIN(7,N($L44))))*$E44:$K44)*(1+N(Configuración!$C$3)))</f>
        <v/>
      </c>
      <c r="P44" s="19">
        <f>IF(OR($B44="",COUNT($E44:$K44)=0),"",SUMPRODUCT((MOD(COLUMN($E44:$K44)-COLUMN($E44)-3,7)&lt;MAX(1,MIN(7,N($L44))))*$E44:$K44)*(1+N(Configuración!$C$3)))</f>
        <v/>
      </c>
      <c r="Q44" s="19">
        <f>IF(OR($B44="",COUNT($E44:$K44)=0),"",SUMPRODUCT((MOD(COLUMN($E44:$K44)-COLUMN($E44)-4,7)&lt;MAX(1,MIN(7,N($L44))))*$E44:$K44)*(1+N(Configuración!$C$3)))</f>
        <v/>
      </c>
      <c r="R44" s="19">
        <f>IF(OR($B44="",COUNT($E44:$K44)=0),"",SUMPRODUCT((MOD(COLUMN($E44:$K44)-COLUMN($E44)-5,7)&lt;MAX(1,MIN(7,N($L44))))*$E44:$K44)*(1+N(Configuración!$C$3)))</f>
        <v/>
      </c>
      <c r="S44" s="19">
        <f>IF(OR($B44="",COUNT($E44:$K44)=0),"",SUMPRODUCT((MOD(COLUMN($E44:$K44)-COLUMN($E44)-6,7)&lt;MAX(1,MIN(7,N($L44))))*$E44:$K44)*(1+N(Configuración!$C$3)))</f>
        <v/>
      </c>
      <c r="T44" s="17" t="n"/>
    </row>
    <row r="45">
      <c r="A45" s="17" t="n"/>
      <c r="B45" s="17" t="n"/>
      <c r="C45" s="17" t="n"/>
      <c r="D45" s="17" t="n"/>
      <c r="E45" s="18" t="n"/>
      <c r="F45" s="18" t="n"/>
      <c r="G45" s="18" t="n"/>
      <c r="H45" s="18" t="n"/>
      <c r="I45" s="18" t="n"/>
      <c r="J45" s="18" t="n"/>
      <c r="K45" s="18" t="n"/>
      <c r="L45" s="17" t="n"/>
      <c r="M45" s="19">
        <f>IF(OR($B45="",COUNT($E45:$K45)=0),"",SUMPRODUCT((MOD(COLUMN($E45:$K45)-COLUMN($E45)-0,7)&lt;MAX(1,MIN(7,N($L45))))*$E45:$K45)*(1+N(Configuración!$C$3)))</f>
        <v/>
      </c>
      <c r="N45" s="19">
        <f>IF(OR($B45="",COUNT($E45:$K45)=0),"",SUMPRODUCT((MOD(COLUMN($E45:$K45)-COLUMN($E45)-1,7)&lt;MAX(1,MIN(7,N($L45))))*$E45:$K45)*(1+N(Configuración!$C$3)))</f>
        <v/>
      </c>
      <c r="O45" s="19">
        <f>IF(OR($B45="",COUNT($E45:$K45)=0),"",SUMPRODUCT((MOD(COLUMN($E45:$K45)-COLUMN($E45)-2,7)&lt;MAX(1,MIN(7,N($L45))))*$E45:$K45)*(1+N(Configuración!$C$3)))</f>
        <v/>
      </c>
      <c r="P45" s="19">
        <f>IF(OR($B45="",COUNT($E45:$K45)=0),"",SUMPRODUCT((MOD(COLUMN($E45:$K45)-COLUMN($E45)-3,7)&lt;MAX(1,MIN(7,N($L45))))*$E45:$K45)*(1+N(Configuración!$C$3)))</f>
        <v/>
      </c>
      <c r="Q45" s="19">
        <f>IF(OR($B45="",COUNT($E45:$K45)=0),"",SUMPRODUCT((MOD(COLUMN($E45:$K45)-COLUMN($E45)-4,7)&lt;MAX(1,MIN(7,N($L45))))*$E45:$K45)*(1+N(Configuración!$C$3)))</f>
        <v/>
      </c>
      <c r="R45" s="19">
        <f>IF(OR($B45="",COUNT($E45:$K45)=0),"",SUMPRODUCT((MOD(COLUMN($E45:$K45)-COLUMN($E45)-5,7)&lt;MAX(1,MIN(7,N($L45))))*$E45:$K45)*(1+N(Configuración!$C$3)))</f>
        <v/>
      </c>
      <c r="S45" s="19">
        <f>IF(OR($B45="",COUNT($E45:$K45)=0),"",SUMPRODUCT((MOD(COLUMN($E45:$K45)-COLUMN($E45)-6,7)&lt;MAX(1,MIN(7,N($L45))))*$E45:$K45)*(1+N(Configuración!$C$3)))</f>
        <v/>
      </c>
      <c r="T45" s="17" t="n"/>
    </row>
    <row r="46">
      <c r="A46" s="17" t="n"/>
      <c r="B46" s="17" t="n"/>
      <c r="C46" s="17" t="n"/>
      <c r="D46" s="17" t="n"/>
      <c r="E46" s="18" t="n"/>
      <c r="F46" s="18" t="n"/>
      <c r="G46" s="18" t="n"/>
      <c r="H46" s="18" t="n"/>
      <c r="I46" s="18" t="n"/>
      <c r="J46" s="18" t="n"/>
      <c r="K46" s="18" t="n"/>
      <c r="L46" s="17" t="n"/>
      <c r="M46" s="19">
        <f>IF(OR($B46="",COUNT($E46:$K46)=0),"",SUMPRODUCT((MOD(COLUMN($E46:$K46)-COLUMN($E46)-0,7)&lt;MAX(1,MIN(7,N($L46))))*$E46:$K46)*(1+N(Configuración!$C$3)))</f>
        <v/>
      </c>
      <c r="N46" s="19">
        <f>IF(OR($B46="",COUNT($E46:$K46)=0),"",SUMPRODUCT((MOD(COLUMN($E46:$K46)-COLUMN($E46)-1,7)&lt;MAX(1,MIN(7,N($L46))))*$E46:$K46)*(1+N(Configuración!$C$3)))</f>
        <v/>
      </c>
      <c r="O46" s="19">
        <f>IF(OR($B46="",COUNT($E46:$K46)=0),"",SUMPRODUCT((MOD(COLUMN($E46:$K46)-COLUMN($E46)-2,7)&lt;MAX(1,MIN(7,N($L46))))*$E46:$K46)*(1+N(Configuración!$C$3)))</f>
        <v/>
      </c>
      <c r="P46" s="19">
        <f>IF(OR($B46="",COUNT($E46:$K46)=0),"",SUMPRODUCT((MOD(COLUMN($E46:$K46)-COLUMN($E46)-3,7)&lt;MAX(1,MIN(7,N($L46))))*$E46:$K46)*(1+N(Configuración!$C$3)))</f>
        <v/>
      </c>
      <c r="Q46" s="19">
        <f>IF(OR($B46="",COUNT($E46:$K46)=0),"",SUMPRODUCT((MOD(COLUMN($E46:$K46)-COLUMN($E46)-4,7)&lt;MAX(1,MIN(7,N($L46))))*$E46:$K46)*(1+N(Configuración!$C$3)))</f>
        <v/>
      </c>
      <c r="R46" s="19">
        <f>IF(OR($B46="",COUNT($E46:$K46)=0),"",SUMPRODUCT((MOD(COLUMN($E46:$K46)-COLUMN($E46)-5,7)&lt;MAX(1,MIN(7,N($L46))))*$E46:$K46)*(1+N(Configuración!$C$3)))</f>
        <v/>
      </c>
      <c r="S46" s="19">
        <f>IF(OR($B46="",COUNT($E46:$K46)=0),"",SUMPRODUCT((MOD(COLUMN($E46:$K46)-COLUMN($E46)-6,7)&lt;MAX(1,MIN(7,N($L46))))*$E46:$K46)*(1+N(Configuración!$C$3)))</f>
        <v/>
      </c>
      <c r="T46" s="17" t="n"/>
    </row>
    <row r="47">
      <c r="A47" s="17" t="n"/>
      <c r="B47" s="17" t="n"/>
      <c r="C47" s="17" t="n"/>
      <c r="D47" s="17" t="n"/>
      <c r="E47" s="18" t="n"/>
      <c r="F47" s="18" t="n"/>
      <c r="G47" s="18" t="n"/>
      <c r="H47" s="18" t="n"/>
      <c r="I47" s="18" t="n"/>
      <c r="J47" s="18" t="n"/>
      <c r="K47" s="18" t="n"/>
      <c r="L47" s="17" t="n"/>
      <c r="M47" s="19">
        <f>IF(OR($B47="",COUNT($E47:$K47)=0),"",SUMPRODUCT((MOD(COLUMN($E47:$K47)-COLUMN($E47)-0,7)&lt;MAX(1,MIN(7,N($L47))))*$E47:$K47)*(1+N(Configuración!$C$3)))</f>
        <v/>
      </c>
      <c r="N47" s="19">
        <f>IF(OR($B47="",COUNT($E47:$K47)=0),"",SUMPRODUCT((MOD(COLUMN($E47:$K47)-COLUMN($E47)-1,7)&lt;MAX(1,MIN(7,N($L47))))*$E47:$K47)*(1+N(Configuración!$C$3)))</f>
        <v/>
      </c>
      <c r="O47" s="19">
        <f>IF(OR($B47="",COUNT($E47:$K47)=0),"",SUMPRODUCT((MOD(COLUMN($E47:$K47)-COLUMN($E47)-2,7)&lt;MAX(1,MIN(7,N($L47))))*$E47:$K47)*(1+N(Configuración!$C$3)))</f>
        <v/>
      </c>
      <c r="P47" s="19">
        <f>IF(OR($B47="",COUNT($E47:$K47)=0),"",SUMPRODUCT((MOD(COLUMN($E47:$K47)-COLUMN($E47)-3,7)&lt;MAX(1,MIN(7,N($L47))))*$E47:$K47)*(1+N(Configuración!$C$3)))</f>
        <v/>
      </c>
      <c r="Q47" s="19">
        <f>IF(OR($B47="",COUNT($E47:$K47)=0),"",SUMPRODUCT((MOD(COLUMN($E47:$K47)-COLUMN($E47)-4,7)&lt;MAX(1,MIN(7,N($L47))))*$E47:$K47)*(1+N(Configuración!$C$3)))</f>
        <v/>
      </c>
      <c r="R47" s="19">
        <f>IF(OR($B47="",COUNT($E47:$K47)=0),"",SUMPRODUCT((MOD(COLUMN($E47:$K47)-COLUMN($E47)-5,7)&lt;MAX(1,MIN(7,N($L47))))*$E47:$K47)*(1+N(Configuración!$C$3)))</f>
        <v/>
      </c>
      <c r="S47" s="19">
        <f>IF(OR($B47="",COUNT($E47:$K47)=0),"",SUMPRODUCT((MOD(COLUMN($E47:$K47)-COLUMN($E47)-6,7)&lt;MAX(1,MIN(7,N($L47))))*$E47:$K47)*(1+N(Configuración!$C$3)))</f>
        <v/>
      </c>
      <c r="T47" s="17" t="n"/>
    </row>
    <row r="48">
      <c r="A48" s="17" t="n"/>
      <c r="B48" s="17" t="n"/>
      <c r="C48" s="17" t="n"/>
      <c r="D48" s="17" t="n"/>
      <c r="E48" s="18" t="n"/>
      <c r="F48" s="18" t="n"/>
      <c r="G48" s="18" t="n"/>
      <c r="H48" s="18" t="n"/>
      <c r="I48" s="18" t="n"/>
      <c r="J48" s="18" t="n"/>
      <c r="K48" s="18" t="n"/>
      <c r="L48" s="17" t="n"/>
      <c r="M48" s="19">
        <f>IF(OR($B48="",COUNT($E48:$K48)=0),"",SUMPRODUCT((MOD(COLUMN($E48:$K48)-COLUMN($E48)-0,7)&lt;MAX(1,MIN(7,N($L48))))*$E48:$K48)*(1+N(Configuración!$C$3)))</f>
        <v/>
      </c>
      <c r="N48" s="19">
        <f>IF(OR($B48="",COUNT($E48:$K48)=0),"",SUMPRODUCT((MOD(COLUMN($E48:$K48)-COLUMN($E48)-1,7)&lt;MAX(1,MIN(7,N($L48))))*$E48:$K48)*(1+N(Configuración!$C$3)))</f>
        <v/>
      </c>
      <c r="O48" s="19">
        <f>IF(OR($B48="",COUNT($E48:$K48)=0),"",SUMPRODUCT((MOD(COLUMN($E48:$K48)-COLUMN($E48)-2,7)&lt;MAX(1,MIN(7,N($L48))))*$E48:$K48)*(1+N(Configuración!$C$3)))</f>
        <v/>
      </c>
      <c r="P48" s="19">
        <f>IF(OR($B48="",COUNT($E48:$K48)=0),"",SUMPRODUCT((MOD(COLUMN($E48:$K48)-COLUMN($E48)-3,7)&lt;MAX(1,MIN(7,N($L48))))*$E48:$K48)*(1+N(Configuración!$C$3)))</f>
        <v/>
      </c>
      <c r="Q48" s="19">
        <f>IF(OR($B48="",COUNT($E48:$K48)=0),"",SUMPRODUCT((MOD(COLUMN($E48:$K48)-COLUMN($E48)-4,7)&lt;MAX(1,MIN(7,N($L48))))*$E48:$K48)*(1+N(Configuración!$C$3)))</f>
        <v/>
      </c>
      <c r="R48" s="19">
        <f>IF(OR($B48="",COUNT($E48:$K48)=0),"",SUMPRODUCT((MOD(COLUMN($E48:$K48)-COLUMN($E48)-5,7)&lt;MAX(1,MIN(7,N($L48))))*$E48:$K48)*(1+N(Configuración!$C$3)))</f>
        <v/>
      </c>
      <c r="S48" s="19">
        <f>IF(OR($B48="",COUNT($E48:$K48)=0),"",SUMPRODUCT((MOD(COLUMN($E48:$K48)-COLUMN($E48)-6,7)&lt;MAX(1,MIN(7,N($L48))))*$E48:$K48)*(1+N(Configuración!$C$3)))</f>
        <v/>
      </c>
      <c r="T48" s="17" t="n"/>
    </row>
    <row r="49">
      <c r="A49" s="17" t="n"/>
      <c r="B49" s="17" t="n"/>
      <c r="C49" s="17" t="n"/>
      <c r="D49" s="17" t="n"/>
      <c r="E49" s="18" t="n"/>
      <c r="F49" s="18" t="n"/>
      <c r="G49" s="18" t="n"/>
      <c r="H49" s="18" t="n"/>
      <c r="I49" s="18" t="n"/>
      <c r="J49" s="18" t="n"/>
      <c r="K49" s="18" t="n"/>
      <c r="L49" s="17" t="n"/>
      <c r="M49" s="19">
        <f>IF(OR($B49="",COUNT($E49:$K49)=0),"",SUMPRODUCT((MOD(COLUMN($E49:$K49)-COLUMN($E49)-0,7)&lt;MAX(1,MIN(7,N($L49))))*$E49:$K49)*(1+N(Configuración!$C$3)))</f>
        <v/>
      </c>
      <c r="N49" s="19">
        <f>IF(OR($B49="",COUNT($E49:$K49)=0),"",SUMPRODUCT((MOD(COLUMN($E49:$K49)-COLUMN($E49)-1,7)&lt;MAX(1,MIN(7,N($L49))))*$E49:$K49)*(1+N(Configuración!$C$3)))</f>
        <v/>
      </c>
      <c r="O49" s="19">
        <f>IF(OR($B49="",COUNT($E49:$K49)=0),"",SUMPRODUCT((MOD(COLUMN($E49:$K49)-COLUMN($E49)-2,7)&lt;MAX(1,MIN(7,N($L49))))*$E49:$K49)*(1+N(Configuración!$C$3)))</f>
        <v/>
      </c>
      <c r="P49" s="19">
        <f>IF(OR($B49="",COUNT($E49:$K49)=0),"",SUMPRODUCT((MOD(COLUMN($E49:$K49)-COLUMN($E49)-3,7)&lt;MAX(1,MIN(7,N($L49))))*$E49:$K49)*(1+N(Configuración!$C$3)))</f>
        <v/>
      </c>
      <c r="Q49" s="19">
        <f>IF(OR($B49="",COUNT($E49:$K49)=0),"",SUMPRODUCT((MOD(COLUMN($E49:$K49)-COLUMN($E49)-4,7)&lt;MAX(1,MIN(7,N($L49))))*$E49:$K49)*(1+N(Configuración!$C$3)))</f>
        <v/>
      </c>
      <c r="R49" s="19">
        <f>IF(OR($B49="",COUNT($E49:$K49)=0),"",SUMPRODUCT((MOD(COLUMN($E49:$K49)-COLUMN($E49)-5,7)&lt;MAX(1,MIN(7,N($L49))))*$E49:$K49)*(1+N(Configuración!$C$3)))</f>
        <v/>
      </c>
      <c r="S49" s="19">
        <f>IF(OR($B49="",COUNT($E49:$K49)=0),"",SUMPRODUCT((MOD(COLUMN($E49:$K49)-COLUMN($E49)-6,7)&lt;MAX(1,MIN(7,N($L49))))*$E49:$K49)*(1+N(Configuración!$C$3)))</f>
        <v/>
      </c>
      <c r="T49" s="17" t="n"/>
    </row>
    <row r="50">
      <c r="A50" s="17" t="n"/>
      <c r="B50" s="17" t="n"/>
      <c r="C50" s="17" t="n"/>
      <c r="D50" s="17" t="n"/>
      <c r="E50" s="18" t="n"/>
      <c r="F50" s="18" t="n"/>
      <c r="G50" s="18" t="n"/>
      <c r="H50" s="18" t="n"/>
      <c r="I50" s="18" t="n"/>
      <c r="J50" s="18" t="n"/>
      <c r="K50" s="18" t="n"/>
      <c r="L50" s="17" t="n"/>
      <c r="M50" s="19">
        <f>IF(OR($B50="",COUNT($E50:$K50)=0),"",SUMPRODUCT((MOD(COLUMN($E50:$K50)-COLUMN($E50)-0,7)&lt;MAX(1,MIN(7,N($L50))))*$E50:$K50)*(1+N(Configuración!$C$3)))</f>
        <v/>
      </c>
      <c r="N50" s="19">
        <f>IF(OR($B50="",COUNT($E50:$K50)=0),"",SUMPRODUCT((MOD(COLUMN($E50:$K50)-COLUMN($E50)-1,7)&lt;MAX(1,MIN(7,N($L50))))*$E50:$K50)*(1+N(Configuración!$C$3)))</f>
        <v/>
      </c>
      <c r="O50" s="19">
        <f>IF(OR($B50="",COUNT($E50:$K50)=0),"",SUMPRODUCT((MOD(COLUMN($E50:$K50)-COLUMN($E50)-2,7)&lt;MAX(1,MIN(7,N($L50))))*$E50:$K50)*(1+N(Configuración!$C$3)))</f>
        <v/>
      </c>
      <c r="P50" s="19">
        <f>IF(OR($B50="",COUNT($E50:$K50)=0),"",SUMPRODUCT((MOD(COLUMN($E50:$K50)-COLUMN($E50)-3,7)&lt;MAX(1,MIN(7,N($L50))))*$E50:$K50)*(1+N(Configuración!$C$3)))</f>
        <v/>
      </c>
      <c r="Q50" s="19">
        <f>IF(OR($B50="",COUNT($E50:$K50)=0),"",SUMPRODUCT((MOD(COLUMN($E50:$K50)-COLUMN($E50)-4,7)&lt;MAX(1,MIN(7,N($L50))))*$E50:$K50)*(1+N(Configuración!$C$3)))</f>
        <v/>
      </c>
      <c r="R50" s="19">
        <f>IF(OR($B50="",COUNT($E50:$K50)=0),"",SUMPRODUCT((MOD(COLUMN($E50:$K50)-COLUMN($E50)-5,7)&lt;MAX(1,MIN(7,N($L50))))*$E50:$K50)*(1+N(Configuración!$C$3)))</f>
        <v/>
      </c>
      <c r="S50" s="19">
        <f>IF(OR($B50="",COUNT($E50:$K50)=0),"",SUMPRODUCT((MOD(COLUMN($E50:$K50)-COLUMN($E50)-6,7)&lt;MAX(1,MIN(7,N($L50))))*$E50:$K50)*(1+N(Configuración!$C$3)))</f>
        <v/>
      </c>
      <c r="T50" s="17" t="n"/>
    </row>
    <row r="51">
      <c r="A51" s="17" t="n"/>
      <c r="B51" s="17" t="n"/>
      <c r="C51" s="17" t="n"/>
      <c r="D51" s="17" t="n"/>
      <c r="E51" s="18" t="n"/>
      <c r="F51" s="18" t="n"/>
      <c r="G51" s="18" t="n"/>
      <c r="H51" s="18" t="n"/>
      <c r="I51" s="18" t="n"/>
      <c r="J51" s="18" t="n"/>
      <c r="K51" s="18" t="n"/>
      <c r="L51" s="17" t="n"/>
      <c r="M51" s="19">
        <f>IF(OR($B51="",COUNT($E51:$K51)=0),"",SUMPRODUCT((MOD(COLUMN($E51:$K51)-COLUMN($E51)-0,7)&lt;MAX(1,MIN(7,N($L51))))*$E51:$K51)*(1+N(Configuración!$C$3)))</f>
        <v/>
      </c>
      <c r="N51" s="19">
        <f>IF(OR($B51="",COUNT($E51:$K51)=0),"",SUMPRODUCT((MOD(COLUMN($E51:$K51)-COLUMN($E51)-1,7)&lt;MAX(1,MIN(7,N($L51))))*$E51:$K51)*(1+N(Configuración!$C$3)))</f>
        <v/>
      </c>
      <c r="O51" s="19">
        <f>IF(OR($B51="",COUNT($E51:$K51)=0),"",SUMPRODUCT((MOD(COLUMN($E51:$K51)-COLUMN($E51)-2,7)&lt;MAX(1,MIN(7,N($L51))))*$E51:$K51)*(1+N(Configuración!$C$3)))</f>
        <v/>
      </c>
      <c r="P51" s="19">
        <f>IF(OR($B51="",COUNT($E51:$K51)=0),"",SUMPRODUCT((MOD(COLUMN($E51:$K51)-COLUMN($E51)-3,7)&lt;MAX(1,MIN(7,N($L51))))*$E51:$K51)*(1+N(Configuración!$C$3)))</f>
        <v/>
      </c>
      <c r="Q51" s="19">
        <f>IF(OR($B51="",COUNT($E51:$K51)=0),"",SUMPRODUCT((MOD(COLUMN($E51:$K51)-COLUMN($E51)-4,7)&lt;MAX(1,MIN(7,N($L51))))*$E51:$K51)*(1+N(Configuración!$C$3)))</f>
        <v/>
      </c>
      <c r="R51" s="19">
        <f>IF(OR($B51="",COUNT($E51:$K51)=0),"",SUMPRODUCT((MOD(COLUMN($E51:$K51)-COLUMN($E51)-5,7)&lt;MAX(1,MIN(7,N($L51))))*$E51:$K51)*(1+N(Configuración!$C$3)))</f>
        <v/>
      </c>
      <c r="S51" s="19">
        <f>IF(OR($B51="",COUNT($E51:$K51)=0),"",SUMPRODUCT((MOD(COLUMN($E51:$K51)-COLUMN($E51)-6,7)&lt;MAX(1,MIN(7,N($L51))))*$E51:$K51)*(1+N(Configuración!$C$3)))</f>
        <v/>
      </c>
      <c r="T51" s="17" t="n"/>
    </row>
    <row r="52">
      <c r="A52" s="17" t="n"/>
      <c r="B52" s="17" t="n"/>
      <c r="C52" s="17" t="n"/>
      <c r="D52" s="17" t="n"/>
      <c r="E52" s="18" t="n"/>
      <c r="F52" s="18" t="n"/>
      <c r="G52" s="18" t="n"/>
      <c r="H52" s="18" t="n"/>
      <c r="I52" s="18" t="n"/>
      <c r="J52" s="18" t="n"/>
      <c r="K52" s="18" t="n"/>
      <c r="L52" s="17" t="n"/>
      <c r="M52" s="19">
        <f>IF(OR($B52="",COUNT($E52:$K52)=0),"",SUMPRODUCT((MOD(COLUMN($E52:$K52)-COLUMN($E52)-0,7)&lt;MAX(1,MIN(7,N($L52))))*$E52:$K52)*(1+N(Configuración!$C$3)))</f>
        <v/>
      </c>
      <c r="N52" s="19">
        <f>IF(OR($B52="",COUNT($E52:$K52)=0),"",SUMPRODUCT((MOD(COLUMN($E52:$K52)-COLUMN($E52)-1,7)&lt;MAX(1,MIN(7,N($L52))))*$E52:$K52)*(1+N(Configuración!$C$3)))</f>
        <v/>
      </c>
      <c r="O52" s="19">
        <f>IF(OR($B52="",COUNT($E52:$K52)=0),"",SUMPRODUCT((MOD(COLUMN($E52:$K52)-COLUMN($E52)-2,7)&lt;MAX(1,MIN(7,N($L52))))*$E52:$K52)*(1+N(Configuración!$C$3)))</f>
        <v/>
      </c>
      <c r="P52" s="19">
        <f>IF(OR($B52="",COUNT($E52:$K52)=0),"",SUMPRODUCT((MOD(COLUMN($E52:$K52)-COLUMN($E52)-3,7)&lt;MAX(1,MIN(7,N($L52))))*$E52:$K52)*(1+N(Configuración!$C$3)))</f>
        <v/>
      </c>
      <c r="Q52" s="19">
        <f>IF(OR($B52="",COUNT($E52:$K52)=0),"",SUMPRODUCT((MOD(COLUMN($E52:$K52)-COLUMN($E52)-4,7)&lt;MAX(1,MIN(7,N($L52))))*$E52:$K52)*(1+N(Configuración!$C$3)))</f>
        <v/>
      </c>
      <c r="R52" s="19">
        <f>IF(OR($B52="",COUNT($E52:$K52)=0),"",SUMPRODUCT((MOD(COLUMN($E52:$K52)-COLUMN($E52)-5,7)&lt;MAX(1,MIN(7,N($L52))))*$E52:$K52)*(1+N(Configuración!$C$3)))</f>
        <v/>
      </c>
      <c r="S52" s="19">
        <f>IF(OR($B52="",COUNT($E52:$K52)=0),"",SUMPRODUCT((MOD(COLUMN($E52:$K52)-COLUMN($E52)-6,7)&lt;MAX(1,MIN(7,N($L52))))*$E52:$K52)*(1+N(Configuración!$C$3)))</f>
        <v/>
      </c>
      <c r="T52" s="17" t="n"/>
    </row>
    <row r="53">
      <c r="A53" s="17" t="n"/>
      <c r="B53" s="17" t="n"/>
      <c r="C53" s="17" t="n"/>
      <c r="D53" s="17" t="n"/>
      <c r="E53" s="18" t="n"/>
      <c r="F53" s="18" t="n"/>
      <c r="G53" s="18" t="n"/>
      <c r="H53" s="18" t="n"/>
      <c r="I53" s="18" t="n"/>
      <c r="J53" s="18" t="n"/>
      <c r="K53" s="18" t="n"/>
      <c r="L53" s="17" t="n"/>
      <c r="M53" s="19">
        <f>IF(OR($B53="",COUNT($E53:$K53)=0),"",SUMPRODUCT((MOD(COLUMN($E53:$K53)-COLUMN($E53)-0,7)&lt;MAX(1,MIN(7,N($L53))))*$E53:$K53)*(1+N(Configuración!$C$3)))</f>
        <v/>
      </c>
      <c r="N53" s="19">
        <f>IF(OR($B53="",COUNT($E53:$K53)=0),"",SUMPRODUCT((MOD(COLUMN($E53:$K53)-COLUMN($E53)-1,7)&lt;MAX(1,MIN(7,N($L53))))*$E53:$K53)*(1+N(Configuración!$C$3)))</f>
        <v/>
      </c>
      <c r="O53" s="19">
        <f>IF(OR($B53="",COUNT($E53:$K53)=0),"",SUMPRODUCT((MOD(COLUMN($E53:$K53)-COLUMN($E53)-2,7)&lt;MAX(1,MIN(7,N($L53))))*$E53:$K53)*(1+N(Configuración!$C$3)))</f>
        <v/>
      </c>
      <c r="P53" s="19">
        <f>IF(OR($B53="",COUNT($E53:$K53)=0),"",SUMPRODUCT((MOD(COLUMN($E53:$K53)-COLUMN($E53)-3,7)&lt;MAX(1,MIN(7,N($L53))))*$E53:$K53)*(1+N(Configuración!$C$3)))</f>
        <v/>
      </c>
      <c r="Q53" s="19">
        <f>IF(OR($B53="",COUNT($E53:$K53)=0),"",SUMPRODUCT((MOD(COLUMN($E53:$K53)-COLUMN($E53)-4,7)&lt;MAX(1,MIN(7,N($L53))))*$E53:$K53)*(1+N(Configuración!$C$3)))</f>
        <v/>
      </c>
      <c r="R53" s="19">
        <f>IF(OR($B53="",COUNT($E53:$K53)=0),"",SUMPRODUCT((MOD(COLUMN($E53:$K53)-COLUMN($E53)-5,7)&lt;MAX(1,MIN(7,N($L53))))*$E53:$K53)*(1+N(Configuración!$C$3)))</f>
        <v/>
      </c>
      <c r="S53" s="19">
        <f>IF(OR($B53="",COUNT($E53:$K53)=0),"",SUMPRODUCT((MOD(COLUMN($E53:$K53)-COLUMN($E53)-6,7)&lt;MAX(1,MIN(7,N($L53))))*$E53:$K53)*(1+N(Configuración!$C$3)))</f>
        <v/>
      </c>
      <c r="T53" s="17" t="n"/>
    </row>
    <row r="54">
      <c r="A54" s="17" t="n"/>
      <c r="B54" s="17" t="n"/>
      <c r="C54" s="17" t="n"/>
      <c r="D54" s="17" t="n"/>
      <c r="E54" s="18" t="n"/>
      <c r="F54" s="18" t="n"/>
      <c r="G54" s="18" t="n"/>
      <c r="H54" s="18" t="n"/>
      <c r="I54" s="18" t="n"/>
      <c r="J54" s="18" t="n"/>
      <c r="K54" s="18" t="n"/>
      <c r="L54" s="17" t="n"/>
      <c r="M54" s="19">
        <f>IF(OR($B54="",COUNT($E54:$K54)=0),"",SUMPRODUCT((MOD(COLUMN($E54:$K54)-COLUMN($E54)-0,7)&lt;MAX(1,MIN(7,N($L54))))*$E54:$K54)*(1+N(Configuración!$C$3)))</f>
        <v/>
      </c>
      <c r="N54" s="19">
        <f>IF(OR($B54="",COUNT($E54:$K54)=0),"",SUMPRODUCT((MOD(COLUMN($E54:$K54)-COLUMN($E54)-1,7)&lt;MAX(1,MIN(7,N($L54))))*$E54:$K54)*(1+N(Configuración!$C$3)))</f>
        <v/>
      </c>
      <c r="O54" s="19">
        <f>IF(OR($B54="",COUNT($E54:$K54)=0),"",SUMPRODUCT((MOD(COLUMN($E54:$K54)-COLUMN($E54)-2,7)&lt;MAX(1,MIN(7,N($L54))))*$E54:$K54)*(1+N(Configuración!$C$3)))</f>
        <v/>
      </c>
      <c r="P54" s="19">
        <f>IF(OR($B54="",COUNT($E54:$K54)=0),"",SUMPRODUCT((MOD(COLUMN($E54:$K54)-COLUMN($E54)-3,7)&lt;MAX(1,MIN(7,N($L54))))*$E54:$K54)*(1+N(Configuración!$C$3)))</f>
        <v/>
      </c>
      <c r="Q54" s="19">
        <f>IF(OR($B54="",COUNT($E54:$K54)=0),"",SUMPRODUCT((MOD(COLUMN($E54:$K54)-COLUMN($E54)-4,7)&lt;MAX(1,MIN(7,N($L54))))*$E54:$K54)*(1+N(Configuración!$C$3)))</f>
        <v/>
      </c>
      <c r="R54" s="19">
        <f>IF(OR($B54="",COUNT($E54:$K54)=0),"",SUMPRODUCT((MOD(COLUMN($E54:$K54)-COLUMN($E54)-5,7)&lt;MAX(1,MIN(7,N($L54))))*$E54:$K54)*(1+N(Configuración!$C$3)))</f>
        <v/>
      </c>
      <c r="S54" s="19">
        <f>IF(OR($B54="",COUNT($E54:$K54)=0),"",SUMPRODUCT((MOD(COLUMN($E54:$K54)-COLUMN($E54)-6,7)&lt;MAX(1,MIN(7,N($L54))))*$E54:$K54)*(1+N(Configuración!$C$3)))</f>
        <v/>
      </c>
      <c r="T54" s="17" t="n"/>
    </row>
    <row r="55">
      <c r="A55" s="17" t="n"/>
      <c r="B55" s="17" t="n"/>
      <c r="C55" s="17" t="n"/>
      <c r="D55" s="17" t="n"/>
      <c r="E55" s="18" t="n"/>
      <c r="F55" s="18" t="n"/>
      <c r="G55" s="18" t="n"/>
      <c r="H55" s="18" t="n"/>
      <c r="I55" s="18" t="n"/>
      <c r="J55" s="18" t="n"/>
      <c r="K55" s="18" t="n"/>
      <c r="L55" s="17" t="n"/>
      <c r="M55" s="19">
        <f>IF(OR($B55="",COUNT($E55:$K55)=0),"",SUMPRODUCT((MOD(COLUMN($E55:$K55)-COLUMN($E55)-0,7)&lt;MAX(1,MIN(7,N($L55))))*$E55:$K55)*(1+N(Configuración!$C$3)))</f>
        <v/>
      </c>
      <c r="N55" s="19">
        <f>IF(OR($B55="",COUNT($E55:$K55)=0),"",SUMPRODUCT((MOD(COLUMN($E55:$K55)-COLUMN($E55)-1,7)&lt;MAX(1,MIN(7,N($L55))))*$E55:$K55)*(1+N(Configuración!$C$3)))</f>
        <v/>
      </c>
      <c r="O55" s="19">
        <f>IF(OR($B55="",COUNT($E55:$K55)=0),"",SUMPRODUCT((MOD(COLUMN($E55:$K55)-COLUMN($E55)-2,7)&lt;MAX(1,MIN(7,N($L55))))*$E55:$K55)*(1+N(Configuración!$C$3)))</f>
        <v/>
      </c>
      <c r="P55" s="19">
        <f>IF(OR($B55="",COUNT($E55:$K55)=0),"",SUMPRODUCT((MOD(COLUMN($E55:$K55)-COLUMN($E55)-3,7)&lt;MAX(1,MIN(7,N($L55))))*$E55:$K55)*(1+N(Configuración!$C$3)))</f>
        <v/>
      </c>
      <c r="Q55" s="19">
        <f>IF(OR($B55="",COUNT($E55:$K55)=0),"",SUMPRODUCT((MOD(COLUMN($E55:$K55)-COLUMN($E55)-4,7)&lt;MAX(1,MIN(7,N($L55))))*$E55:$K55)*(1+N(Configuración!$C$3)))</f>
        <v/>
      </c>
      <c r="R55" s="19">
        <f>IF(OR($B55="",COUNT($E55:$K55)=0),"",SUMPRODUCT((MOD(COLUMN($E55:$K55)-COLUMN($E55)-5,7)&lt;MAX(1,MIN(7,N($L55))))*$E55:$K55)*(1+N(Configuración!$C$3)))</f>
        <v/>
      </c>
      <c r="S55" s="19">
        <f>IF(OR($B55="",COUNT($E55:$K55)=0),"",SUMPRODUCT((MOD(COLUMN($E55:$K55)-COLUMN($E55)-6,7)&lt;MAX(1,MIN(7,N($L55))))*$E55:$K55)*(1+N(Configuración!$C$3)))</f>
        <v/>
      </c>
      <c r="T55" s="17" t="n"/>
    </row>
    <row r="56">
      <c r="A56" s="17" t="n"/>
      <c r="B56" s="17" t="n"/>
      <c r="C56" s="17" t="n"/>
      <c r="D56" s="17" t="n"/>
      <c r="E56" s="18" t="n"/>
      <c r="F56" s="18" t="n"/>
      <c r="G56" s="18" t="n"/>
      <c r="H56" s="18" t="n"/>
      <c r="I56" s="18" t="n"/>
      <c r="J56" s="18" t="n"/>
      <c r="K56" s="18" t="n"/>
      <c r="L56" s="17" t="n"/>
      <c r="M56" s="19">
        <f>IF(OR($B56="",COUNT($E56:$K56)=0),"",SUMPRODUCT((MOD(COLUMN($E56:$K56)-COLUMN($E56)-0,7)&lt;MAX(1,MIN(7,N($L56))))*$E56:$K56)*(1+N(Configuración!$C$3)))</f>
        <v/>
      </c>
      <c r="N56" s="19">
        <f>IF(OR($B56="",COUNT($E56:$K56)=0),"",SUMPRODUCT((MOD(COLUMN($E56:$K56)-COLUMN($E56)-1,7)&lt;MAX(1,MIN(7,N($L56))))*$E56:$K56)*(1+N(Configuración!$C$3)))</f>
        <v/>
      </c>
      <c r="O56" s="19">
        <f>IF(OR($B56="",COUNT($E56:$K56)=0),"",SUMPRODUCT((MOD(COLUMN($E56:$K56)-COLUMN($E56)-2,7)&lt;MAX(1,MIN(7,N($L56))))*$E56:$K56)*(1+N(Configuración!$C$3)))</f>
        <v/>
      </c>
      <c r="P56" s="19">
        <f>IF(OR($B56="",COUNT($E56:$K56)=0),"",SUMPRODUCT((MOD(COLUMN($E56:$K56)-COLUMN($E56)-3,7)&lt;MAX(1,MIN(7,N($L56))))*$E56:$K56)*(1+N(Configuración!$C$3)))</f>
        <v/>
      </c>
      <c r="Q56" s="19">
        <f>IF(OR($B56="",COUNT($E56:$K56)=0),"",SUMPRODUCT((MOD(COLUMN($E56:$K56)-COLUMN($E56)-4,7)&lt;MAX(1,MIN(7,N($L56))))*$E56:$K56)*(1+N(Configuración!$C$3)))</f>
        <v/>
      </c>
      <c r="R56" s="19">
        <f>IF(OR($B56="",COUNT($E56:$K56)=0),"",SUMPRODUCT((MOD(COLUMN($E56:$K56)-COLUMN($E56)-5,7)&lt;MAX(1,MIN(7,N($L56))))*$E56:$K56)*(1+N(Configuración!$C$3)))</f>
        <v/>
      </c>
      <c r="S56" s="19">
        <f>IF(OR($B56="",COUNT($E56:$K56)=0),"",SUMPRODUCT((MOD(COLUMN($E56:$K56)-COLUMN($E56)-6,7)&lt;MAX(1,MIN(7,N($L56))))*$E56:$K56)*(1+N(Configuración!$C$3)))</f>
        <v/>
      </c>
      <c r="T56" s="17" t="n"/>
    </row>
    <row r="57">
      <c r="A57" s="17" t="n"/>
      <c r="B57" s="17" t="n"/>
      <c r="C57" s="17" t="n"/>
      <c r="D57" s="17" t="n"/>
      <c r="E57" s="18" t="n"/>
      <c r="F57" s="18" t="n"/>
      <c r="G57" s="18" t="n"/>
      <c r="H57" s="18" t="n"/>
      <c r="I57" s="18" t="n"/>
      <c r="J57" s="18" t="n"/>
      <c r="K57" s="18" t="n"/>
      <c r="L57" s="17" t="n"/>
      <c r="M57" s="19">
        <f>IF(OR($B57="",COUNT($E57:$K57)=0),"",SUMPRODUCT((MOD(COLUMN($E57:$K57)-COLUMN($E57)-0,7)&lt;MAX(1,MIN(7,N($L57))))*$E57:$K57)*(1+N(Configuración!$C$3)))</f>
        <v/>
      </c>
      <c r="N57" s="19">
        <f>IF(OR($B57="",COUNT($E57:$K57)=0),"",SUMPRODUCT((MOD(COLUMN($E57:$K57)-COLUMN($E57)-1,7)&lt;MAX(1,MIN(7,N($L57))))*$E57:$K57)*(1+N(Configuración!$C$3)))</f>
        <v/>
      </c>
      <c r="O57" s="19">
        <f>IF(OR($B57="",COUNT($E57:$K57)=0),"",SUMPRODUCT((MOD(COLUMN($E57:$K57)-COLUMN($E57)-2,7)&lt;MAX(1,MIN(7,N($L57))))*$E57:$K57)*(1+N(Configuración!$C$3)))</f>
        <v/>
      </c>
      <c r="P57" s="19">
        <f>IF(OR($B57="",COUNT($E57:$K57)=0),"",SUMPRODUCT((MOD(COLUMN($E57:$K57)-COLUMN($E57)-3,7)&lt;MAX(1,MIN(7,N($L57))))*$E57:$K57)*(1+N(Configuración!$C$3)))</f>
        <v/>
      </c>
      <c r="Q57" s="19">
        <f>IF(OR($B57="",COUNT($E57:$K57)=0),"",SUMPRODUCT((MOD(COLUMN($E57:$K57)-COLUMN($E57)-4,7)&lt;MAX(1,MIN(7,N($L57))))*$E57:$K57)*(1+N(Configuración!$C$3)))</f>
        <v/>
      </c>
      <c r="R57" s="19">
        <f>IF(OR($B57="",COUNT($E57:$K57)=0),"",SUMPRODUCT((MOD(COLUMN($E57:$K57)-COLUMN($E57)-5,7)&lt;MAX(1,MIN(7,N($L57))))*$E57:$K57)*(1+N(Configuración!$C$3)))</f>
        <v/>
      </c>
      <c r="S57" s="19">
        <f>IF(OR($B57="",COUNT($E57:$K57)=0),"",SUMPRODUCT((MOD(COLUMN($E57:$K57)-COLUMN($E57)-6,7)&lt;MAX(1,MIN(7,N($L57))))*$E57:$K57)*(1+N(Configuración!$C$3)))</f>
        <v/>
      </c>
      <c r="T57" s="17" t="n"/>
    </row>
    <row r="58">
      <c r="A58" s="17" t="n"/>
      <c r="B58" s="17" t="n"/>
      <c r="C58" s="17" t="n"/>
      <c r="D58" s="17" t="n"/>
      <c r="E58" s="18" t="n"/>
      <c r="F58" s="18" t="n"/>
      <c r="G58" s="18" t="n"/>
      <c r="H58" s="18" t="n"/>
      <c r="I58" s="18" t="n"/>
      <c r="J58" s="18" t="n"/>
      <c r="K58" s="18" t="n"/>
      <c r="L58" s="17" t="n"/>
      <c r="M58" s="19">
        <f>IF(OR($B58="",COUNT($E58:$K58)=0),"",SUMPRODUCT((MOD(COLUMN($E58:$K58)-COLUMN($E58)-0,7)&lt;MAX(1,MIN(7,N($L58))))*$E58:$K58)*(1+N(Configuración!$C$3)))</f>
        <v/>
      </c>
      <c r="N58" s="19">
        <f>IF(OR($B58="",COUNT($E58:$K58)=0),"",SUMPRODUCT((MOD(COLUMN($E58:$K58)-COLUMN($E58)-1,7)&lt;MAX(1,MIN(7,N($L58))))*$E58:$K58)*(1+N(Configuración!$C$3)))</f>
        <v/>
      </c>
      <c r="O58" s="19">
        <f>IF(OR($B58="",COUNT($E58:$K58)=0),"",SUMPRODUCT((MOD(COLUMN($E58:$K58)-COLUMN($E58)-2,7)&lt;MAX(1,MIN(7,N($L58))))*$E58:$K58)*(1+N(Configuración!$C$3)))</f>
        <v/>
      </c>
      <c r="P58" s="19">
        <f>IF(OR($B58="",COUNT($E58:$K58)=0),"",SUMPRODUCT((MOD(COLUMN($E58:$K58)-COLUMN($E58)-3,7)&lt;MAX(1,MIN(7,N($L58))))*$E58:$K58)*(1+N(Configuración!$C$3)))</f>
        <v/>
      </c>
      <c r="Q58" s="19">
        <f>IF(OR($B58="",COUNT($E58:$K58)=0),"",SUMPRODUCT((MOD(COLUMN($E58:$K58)-COLUMN($E58)-4,7)&lt;MAX(1,MIN(7,N($L58))))*$E58:$K58)*(1+N(Configuración!$C$3)))</f>
        <v/>
      </c>
      <c r="R58" s="19">
        <f>IF(OR($B58="",COUNT($E58:$K58)=0),"",SUMPRODUCT((MOD(COLUMN($E58:$K58)-COLUMN($E58)-5,7)&lt;MAX(1,MIN(7,N($L58))))*$E58:$K58)*(1+N(Configuración!$C$3)))</f>
        <v/>
      </c>
      <c r="S58" s="19">
        <f>IF(OR($B58="",COUNT($E58:$K58)=0),"",SUMPRODUCT((MOD(COLUMN($E58:$K58)-COLUMN($E58)-6,7)&lt;MAX(1,MIN(7,N($L58))))*$E58:$K58)*(1+N(Configuración!$C$3)))</f>
        <v/>
      </c>
      <c r="T58" s="17" t="n"/>
    </row>
    <row r="59">
      <c r="A59" s="17" t="n"/>
      <c r="B59" s="17" t="n"/>
      <c r="C59" s="17" t="n"/>
      <c r="D59" s="17" t="n"/>
      <c r="E59" s="18" t="n"/>
      <c r="F59" s="18" t="n"/>
      <c r="G59" s="18" t="n"/>
      <c r="H59" s="18" t="n"/>
      <c r="I59" s="18" t="n"/>
      <c r="J59" s="18" t="n"/>
      <c r="K59" s="18" t="n"/>
      <c r="L59" s="17" t="n"/>
      <c r="M59" s="19">
        <f>IF(OR($B59="",COUNT($E59:$K59)=0),"",SUMPRODUCT((MOD(COLUMN($E59:$K59)-COLUMN($E59)-0,7)&lt;MAX(1,MIN(7,N($L59))))*$E59:$K59)*(1+N(Configuración!$C$3)))</f>
        <v/>
      </c>
      <c r="N59" s="19">
        <f>IF(OR($B59="",COUNT($E59:$K59)=0),"",SUMPRODUCT((MOD(COLUMN($E59:$K59)-COLUMN($E59)-1,7)&lt;MAX(1,MIN(7,N($L59))))*$E59:$K59)*(1+N(Configuración!$C$3)))</f>
        <v/>
      </c>
      <c r="O59" s="19">
        <f>IF(OR($B59="",COUNT($E59:$K59)=0),"",SUMPRODUCT((MOD(COLUMN($E59:$K59)-COLUMN($E59)-2,7)&lt;MAX(1,MIN(7,N($L59))))*$E59:$K59)*(1+N(Configuración!$C$3)))</f>
        <v/>
      </c>
      <c r="P59" s="19">
        <f>IF(OR($B59="",COUNT($E59:$K59)=0),"",SUMPRODUCT((MOD(COLUMN($E59:$K59)-COLUMN($E59)-3,7)&lt;MAX(1,MIN(7,N($L59))))*$E59:$K59)*(1+N(Configuración!$C$3)))</f>
        <v/>
      </c>
      <c r="Q59" s="19">
        <f>IF(OR($B59="",COUNT($E59:$K59)=0),"",SUMPRODUCT((MOD(COLUMN($E59:$K59)-COLUMN($E59)-4,7)&lt;MAX(1,MIN(7,N($L59))))*$E59:$K59)*(1+N(Configuración!$C$3)))</f>
        <v/>
      </c>
      <c r="R59" s="19">
        <f>IF(OR($B59="",COUNT($E59:$K59)=0),"",SUMPRODUCT((MOD(COLUMN($E59:$K59)-COLUMN($E59)-5,7)&lt;MAX(1,MIN(7,N($L59))))*$E59:$K59)*(1+N(Configuración!$C$3)))</f>
        <v/>
      </c>
      <c r="S59" s="19">
        <f>IF(OR($B59="",COUNT($E59:$K59)=0),"",SUMPRODUCT((MOD(COLUMN($E59:$K59)-COLUMN($E59)-6,7)&lt;MAX(1,MIN(7,N($L59))))*$E59:$K59)*(1+N(Configuración!$C$3)))</f>
        <v/>
      </c>
      <c r="T59" s="17" t="n"/>
    </row>
    <row r="60">
      <c r="A60" s="17" t="n"/>
      <c r="B60" s="17" t="n"/>
      <c r="C60" s="17" t="n"/>
      <c r="D60" s="17" t="n"/>
      <c r="E60" s="18" t="n"/>
      <c r="F60" s="18" t="n"/>
      <c r="G60" s="18" t="n"/>
      <c r="H60" s="18" t="n"/>
      <c r="I60" s="18" t="n"/>
      <c r="J60" s="18" t="n"/>
      <c r="K60" s="18" t="n"/>
      <c r="L60" s="17" t="n"/>
      <c r="M60" s="19">
        <f>IF(OR($B60="",COUNT($E60:$K60)=0),"",SUMPRODUCT((MOD(COLUMN($E60:$K60)-COLUMN($E60)-0,7)&lt;MAX(1,MIN(7,N($L60))))*$E60:$K60)*(1+N(Configuración!$C$3)))</f>
        <v/>
      </c>
      <c r="N60" s="19">
        <f>IF(OR($B60="",COUNT($E60:$K60)=0),"",SUMPRODUCT((MOD(COLUMN($E60:$K60)-COLUMN($E60)-1,7)&lt;MAX(1,MIN(7,N($L60))))*$E60:$K60)*(1+N(Configuración!$C$3)))</f>
        <v/>
      </c>
      <c r="O60" s="19">
        <f>IF(OR($B60="",COUNT($E60:$K60)=0),"",SUMPRODUCT((MOD(COLUMN($E60:$K60)-COLUMN($E60)-2,7)&lt;MAX(1,MIN(7,N($L60))))*$E60:$K60)*(1+N(Configuración!$C$3)))</f>
        <v/>
      </c>
      <c r="P60" s="19">
        <f>IF(OR($B60="",COUNT($E60:$K60)=0),"",SUMPRODUCT((MOD(COLUMN($E60:$K60)-COLUMN($E60)-3,7)&lt;MAX(1,MIN(7,N($L60))))*$E60:$K60)*(1+N(Configuración!$C$3)))</f>
        <v/>
      </c>
      <c r="Q60" s="19">
        <f>IF(OR($B60="",COUNT($E60:$K60)=0),"",SUMPRODUCT((MOD(COLUMN($E60:$K60)-COLUMN($E60)-4,7)&lt;MAX(1,MIN(7,N($L60))))*$E60:$K60)*(1+N(Configuración!$C$3)))</f>
        <v/>
      </c>
      <c r="R60" s="19">
        <f>IF(OR($B60="",COUNT($E60:$K60)=0),"",SUMPRODUCT((MOD(COLUMN($E60:$K60)-COLUMN($E60)-5,7)&lt;MAX(1,MIN(7,N($L60))))*$E60:$K60)*(1+N(Configuración!$C$3)))</f>
        <v/>
      </c>
      <c r="S60" s="19">
        <f>IF(OR($B60="",COUNT($E60:$K60)=0),"",SUMPRODUCT((MOD(COLUMN($E60:$K60)-COLUMN($E60)-6,7)&lt;MAX(1,MIN(7,N($L60))))*$E60:$K60)*(1+N(Configuración!$C$3)))</f>
        <v/>
      </c>
      <c r="T60" s="17" t="n"/>
    </row>
    <row r="61">
      <c r="A61" s="17" t="n"/>
      <c r="B61" s="17" t="n"/>
      <c r="C61" s="17" t="n"/>
      <c r="D61" s="17" t="n"/>
      <c r="E61" s="18" t="n"/>
      <c r="F61" s="18" t="n"/>
      <c r="G61" s="18" t="n"/>
      <c r="H61" s="18" t="n"/>
      <c r="I61" s="18" t="n"/>
      <c r="J61" s="18" t="n"/>
      <c r="K61" s="18" t="n"/>
      <c r="L61" s="17" t="n"/>
      <c r="M61" s="19">
        <f>IF(OR($B61="",COUNT($E61:$K61)=0),"",SUMPRODUCT((MOD(COLUMN($E61:$K61)-COLUMN($E61)-0,7)&lt;MAX(1,MIN(7,N($L61))))*$E61:$K61)*(1+N(Configuración!$C$3)))</f>
        <v/>
      </c>
      <c r="N61" s="19">
        <f>IF(OR($B61="",COUNT($E61:$K61)=0),"",SUMPRODUCT((MOD(COLUMN($E61:$K61)-COLUMN($E61)-1,7)&lt;MAX(1,MIN(7,N($L61))))*$E61:$K61)*(1+N(Configuración!$C$3)))</f>
        <v/>
      </c>
      <c r="O61" s="19">
        <f>IF(OR($B61="",COUNT($E61:$K61)=0),"",SUMPRODUCT((MOD(COLUMN($E61:$K61)-COLUMN($E61)-2,7)&lt;MAX(1,MIN(7,N($L61))))*$E61:$K61)*(1+N(Configuración!$C$3)))</f>
        <v/>
      </c>
      <c r="P61" s="19">
        <f>IF(OR($B61="",COUNT($E61:$K61)=0),"",SUMPRODUCT((MOD(COLUMN($E61:$K61)-COLUMN($E61)-3,7)&lt;MAX(1,MIN(7,N($L61))))*$E61:$K61)*(1+N(Configuración!$C$3)))</f>
        <v/>
      </c>
      <c r="Q61" s="19">
        <f>IF(OR($B61="",COUNT($E61:$K61)=0),"",SUMPRODUCT((MOD(COLUMN($E61:$K61)-COLUMN($E61)-4,7)&lt;MAX(1,MIN(7,N($L61))))*$E61:$K61)*(1+N(Configuración!$C$3)))</f>
        <v/>
      </c>
      <c r="R61" s="19">
        <f>IF(OR($B61="",COUNT($E61:$K61)=0),"",SUMPRODUCT((MOD(COLUMN($E61:$K61)-COLUMN($E61)-5,7)&lt;MAX(1,MIN(7,N($L61))))*$E61:$K61)*(1+N(Configuración!$C$3)))</f>
        <v/>
      </c>
      <c r="S61" s="19">
        <f>IF(OR($B61="",COUNT($E61:$K61)=0),"",SUMPRODUCT((MOD(COLUMN($E61:$K61)-COLUMN($E61)-6,7)&lt;MAX(1,MIN(7,N($L61))))*$E61:$K61)*(1+N(Configuración!$C$3)))</f>
        <v/>
      </c>
      <c r="T61" s="17" t="n"/>
    </row>
    <row r="62">
      <c r="A62" s="17" t="n"/>
      <c r="B62" s="17" t="n"/>
      <c r="C62" s="17" t="n"/>
      <c r="D62" s="17" t="n"/>
      <c r="E62" s="18" t="n"/>
      <c r="F62" s="18" t="n"/>
      <c r="G62" s="18" t="n"/>
      <c r="H62" s="18" t="n"/>
      <c r="I62" s="18" t="n"/>
      <c r="J62" s="18" t="n"/>
      <c r="K62" s="18" t="n"/>
      <c r="L62" s="17" t="n"/>
      <c r="M62" s="19">
        <f>IF(OR($B62="",COUNT($E62:$K62)=0),"",SUMPRODUCT((MOD(COLUMN($E62:$K62)-COLUMN($E62)-0,7)&lt;MAX(1,MIN(7,N($L62))))*$E62:$K62)*(1+N(Configuración!$C$3)))</f>
        <v/>
      </c>
      <c r="N62" s="19">
        <f>IF(OR($B62="",COUNT($E62:$K62)=0),"",SUMPRODUCT((MOD(COLUMN($E62:$K62)-COLUMN($E62)-1,7)&lt;MAX(1,MIN(7,N($L62))))*$E62:$K62)*(1+N(Configuración!$C$3)))</f>
        <v/>
      </c>
      <c r="O62" s="19">
        <f>IF(OR($B62="",COUNT($E62:$K62)=0),"",SUMPRODUCT((MOD(COLUMN($E62:$K62)-COLUMN($E62)-2,7)&lt;MAX(1,MIN(7,N($L62))))*$E62:$K62)*(1+N(Configuración!$C$3)))</f>
        <v/>
      </c>
      <c r="P62" s="19">
        <f>IF(OR($B62="",COUNT($E62:$K62)=0),"",SUMPRODUCT((MOD(COLUMN($E62:$K62)-COLUMN($E62)-3,7)&lt;MAX(1,MIN(7,N($L62))))*$E62:$K62)*(1+N(Configuración!$C$3)))</f>
        <v/>
      </c>
      <c r="Q62" s="19">
        <f>IF(OR($B62="",COUNT($E62:$K62)=0),"",SUMPRODUCT((MOD(COLUMN($E62:$K62)-COLUMN($E62)-4,7)&lt;MAX(1,MIN(7,N($L62))))*$E62:$K62)*(1+N(Configuración!$C$3)))</f>
        <v/>
      </c>
      <c r="R62" s="19">
        <f>IF(OR($B62="",COUNT($E62:$K62)=0),"",SUMPRODUCT((MOD(COLUMN($E62:$K62)-COLUMN($E62)-5,7)&lt;MAX(1,MIN(7,N($L62))))*$E62:$K62)*(1+N(Configuración!$C$3)))</f>
        <v/>
      </c>
      <c r="S62" s="19">
        <f>IF(OR($B62="",COUNT($E62:$K62)=0),"",SUMPRODUCT((MOD(COLUMN($E62:$K62)-COLUMN($E62)-6,7)&lt;MAX(1,MIN(7,N($L62))))*$E62:$K62)*(1+N(Configuración!$C$3)))</f>
        <v/>
      </c>
      <c r="T62" s="17" t="n"/>
    </row>
    <row r="63">
      <c r="A63" s="17" t="n"/>
      <c r="B63" s="17" t="n"/>
      <c r="C63" s="17" t="n"/>
      <c r="D63" s="17" t="n"/>
      <c r="E63" s="18" t="n"/>
      <c r="F63" s="18" t="n"/>
      <c r="G63" s="18" t="n"/>
      <c r="H63" s="18" t="n"/>
      <c r="I63" s="18" t="n"/>
      <c r="J63" s="18" t="n"/>
      <c r="K63" s="18" t="n"/>
      <c r="L63" s="17" t="n"/>
      <c r="M63" s="19">
        <f>IF(OR($B63="",COUNT($E63:$K63)=0),"",SUMPRODUCT((MOD(COLUMN($E63:$K63)-COLUMN($E63)-0,7)&lt;MAX(1,MIN(7,N($L63))))*$E63:$K63)*(1+N(Configuración!$C$3)))</f>
        <v/>
      </c>
      <c r="N63" s="19">
        <f>IF(OR($B63="",COUNT($E63:$K63)=0),"",SUMPRODUCT((MOD(COLUMN($E63:$K63)-COLUMN($E63)-1,7)&lt;MAX(1,MIN(7,N($L63))))*$E63:$K63)*(1+N(Configuración!$C$3)))</f>
        <v/>
      </c>
      <c r="O63" s="19">
        <f>IF(OR($B63="",COUNT($E63:$K63)=0),"",SUMPRODUCT((MOD(COLUMN($E63:$K63)-COLUMN($E63)-2,7)&lt;MAX(1,MIN(7,N($L63))))*$E63:$K63)*(1+N(Configuración!$C$3)))</f>
        <v/>
      </c>
      <c r="P63" s="19">
        <f>IF(OR($B63="",COUNT($E63:$K63)=0),"",SUMPRODUCT((MOD(COLUMN($E63:$K63)-COLUMN($E63)-3,7)&lt;MAX(1,MIN(7,N($L63))))*$E63:$K63)*(1+N(Configuración!$C$3)))</f>
        <v/>
      </c>
      <c r="Q63" s="19">
        <f>IF(OR($B63="",COUNT($E63:$K63)=0),"",SUMPRODUCT((MOD(COLUMN($E63:$K63)-COLUMN($E63)-4,7)&lt;MAX(1,MIN(7,N($L63))))*$E63:$K63)*(1+N(Configuración!$C$3)))</f>
        <v/>
      </c>
      <c r="R63" s="19">
        <f>IF(OR($B63="",COUNT($E63:$K63)=0),"",SUMPRODUCT((MOD(COLUMN($E63:$K63)-COLUMN($E63)-5,7)&lt;MAX(1,MIN(7,N($L63))))*$E63:$K63)*(1+N(Configuración!$C$3)))</f>
        <v/>
      </c>
      <c r="S63" s="19">
        <f>IF(OR($B63="",COUNT($E63:$K63)=0),"",SUMPRODUCT((MOD(COLUMN($E63:$K63)-COLUMN($E63)-6,7)&lt;MAX(1,MIN(7,N($L63))))*$E63:$K63)*(1+N(Configuración!$C$3)))</f>
        <v/>
      </c>
      <c r="T63" s="17" t="n"/>
    </row>
    <row r="64">
      <c r="A64" s="17" t="n"/>
      <c r="B64" s="17" t="n"/>
      <c r="C64" s="17" t="n"/>
      <c r="D64" s="17" t="n"/>
      <c r="E64" s="18" t="n"/>
      <c r="F64" s="18" t="n"/>
      <c r="G64" s="18" t="n"/>
      <c r="H64" s="18" t="n"/>
      <c r="I64" s="18" t="n"/>
      <c r="J64" s="18" t="n"/>
      <c r="K64" s="18" t="n"/>
      <c r="L64" s="17" t="n"/>
      <c r="M64" s="19">
        <f>IF(OR($B64="",COUNT($E64:$K64)=0),"",SUMPRODUCT((MOD(COLUMN($E64:$K64)-COLUMN($E64)-0,7)&lt;MAX(1,MIN(7,N($L64))))*$E64:$K64)*(1+N(Configuración!$C$3)))</f>
        <v/>
      </c>
      <c r="N64" s="19">
        <f>IF(OR($B64="",COUNT($E64:$K64)=0),"",SUMPRODUCT((MOD(COLUMN($E64:$K64)-COLUMN($E64)-1,7)&lt;MAX(1,MIN(7,N($L64))))*$E64:$K64)*(1+N(Configuración!$C$3)))</f>
        <v/>
      </c>
      <c r="O64" s="19">
        <f>IF(OR($B64="",COUNT($E64:$K64)=0),"",SUMPRODUCT((MOD(COLUMN($E64:$K64)-COLUMN($E64)-2,7)&lt;MAX(1,MIN(7,N($L64))))*$E64:$K64)*(1+N(Configuración!$C$3)))</f>
        <v/>
      </c>
      <c r="P64" s="19">
        <f>IF(OR($B64="",COUNT($E64:$K64)=0),"",SUMPRODUCT((MOD(COLUMN($E64:$K64)-COLUMN($E64)-3,7)&lt;MAX(1,MIN(7,N($L64))))*$E64:$K64)*(1+N(Configuración!$C$3)))</f>
        <v/>
      </c>
      <c r="Q64" s="19">
        <f>IF(OR($B64="",COUNT($E64:$K64)=0),"",SUMPRODUCT((MOD(COLUMN($E64:$K64)-COLUMN($E64)-4,7)&lt;MAX(1,MIN(7,N($L64))))*$E64:$K64)*(1+N(Configuración!$C$3)))</f>
        <v/>
      </c>
      <c r="R64" s="19">
        <f>IF(OR($B64="",COUNT($E64:$K64)=0),"",SUMPRODUCT((MOD(COLUMN($E64:$K64)-COLUMN($E64)-5,7)&lt;MAX(1,MIN(7,N($L64))))*$E64:$K64)*(1+N(Configuración!$C$3)))</f>
        <v/>
      </c>
      <c r="S64" s="19">
        <f>IF(OR($B64="",COUNT($E64:$K64)=0),"",SUMPRODUCT((MOD(COLUMN($E64:$K64)-COLUMN($E64)-6,7)&lt;MAX(1,MIN(7,N($L64))))*$E64:$K64)*(1+N(Configuración!$C$3)))</f>
        <v/>
      </c>
      <c r="T64" s="17" t="n"/>
    </row>
    <row r="65">
      <c r="A65" s="17" t="n"/>
      <c r="B65" s="17" t="n"/>
      <c r="C65" s="17" t="n"/>
      <c r="D65" s="17" t="n"/>
      <c r="E65" s="18" t="n"/>
      <c r="F65" s="18" t="n"/>
      <c r="G65" s="18" t="n"/>
      <c r="H65" s="18" t="n"/>
      <c r="I65" s="18" t="n"/>
      <c r="J65" s="18" t="n"/>
      <c r="K65" s="18" t="n"/>
      <c r="L65" s="17" t="n"/>
      <c r="M65" s="19">
        <f>IF(OR($B65="",COUNT($E65:$K65)=0),"",SUMPRODUCT((MOD(COLUMN($E65:$K65)-COLUMN($E65)-0,7)&lt;MAX(1,MIN(7,N($L65))))*$E65:$K65)*(1+N(Configuración!$C$3)))</f>
        <v/>
      </c>
      <c r="N65" s="19">
        <f>IF(OR($B65="",COUNT($E65:$K65)=0),"",SUMPRODUCT((MOD(COLUMN($E65:$K65)-COLUMN($E65)-1,7)&lt;MAX(1,MIN(7,N($L65))))*$E65:$K65)*(1+N(Configuración!$C$3)))</f>
        <v/>
      </c>
      <c r="O65" s="19">
        <f>IF(OR($B65="",COUNT($E65:$K65)=0),"",SUMPRODUCT((MOD(COLUMN($E65:$K65)-COLUMN($E65)-2,7)&lt;MAX(1,MIN(7,N($L65))))*$E65:$K65)*(1+N(Configuración!$C$3)))</f>
        <v/>
      </c>
      <c r="P65" s="19">
        <f>IF(OR($B65="",COUNT($E65:$K65)=0),"",SUMPRODUCT((MOD(COLUMN($E65:$K65)-COLUMN($E65)-3,7)&lt;MAX(1,MIN(7,N($L65))))*$E65:$K65)*(1+N(Configuración!$C$3)))</f>
        <v/>
      </c>
      <c r="Q65" s="19">
        <f>IF(OR($B65="",COUNT($E65:$K65)=0),"",SUMPRODUCT((MOD(COLUMN($E65:$K65)-COLUMN($E65)-4,7)&lt;MAX(1,MIN(7,N($L65))))*$E65:$K65)*(1+N(Configuración!$C$3)))</f>
        <v/>
      </c>
      <c r="R65" s="19">
        <f>IF(OR($B65="",COUNT($E65:$K65)=0),"",SUMPRODUCT((MOD(COLUMN($E65:$K65)-COLUMN($E65)-5,7)&lt;MAX(1,MIN(7,N($L65))))*$E65:$K65)*(1+N(Configuración!$C$3)))</f>
        <v/>
      </c>
      <c r="S65" s="19">
        <f>IF(OR($B65="",COUNT($E65:$K65)=0),"",SUMPRODUCT((MOD(COLUMN($E65:$K65)-COLUMN($E65)-6,7)&lt;MAX(1,MIN(7,N($L65))))*$E65:$K65)*(1+N(Configuración!$C$3)))</f>
        <v/>
      </c>
      <c r="T65" s="17" t="n"/>
    </row>
    <row r="66">
      <c r="A66" s="17" t="n"/>
      <c r="B66" s="17" t="n"/>
      <c r="C66" s="17" t="n"/>
      <c r="D66" s="17" t="n"/>
      <c r="E66" s="18" t="n"/>
      <c r="F66" s="18" t="n"/>
      <c r="G66" s="18" t="n"/>
      <c r="H66" s="18" t="n"/>
      <c r="I66" s="18" t="n"/>
      <c r="J66" s="18" t="n"/>
      <c r="K66" s="18" t="n"/>
      <c r="L66" s="17" t="n"/>
      <c r="M66" s="19">
        <f>IF(OR($B66="",COUNT($E66:$K66)=0),"",SUMPRODUCT((MOD(COLUMN($E66:$K66)-COLUMN($E66)-0,7)&lt;MAX(1,MIN(7,N($L66))))*$E66:$K66)*(1+N(Configuración!$C$3)))</f>
        <v/>
      </c>
      <c r="N66" s="19">
        <f>IF(OR($B66="",COUNT($E66:$K66)=0),"",SUMPRODUCT((MOD(COLUMN($E66:$K66)-COLUMN($E66)-1,7)&lt;MAX(1,MIN(7,N($L66))))*$E66:$K66)*(1+N(Configuración!$C$3)))</f>
        <v/>
      </c>
      <c r="O66" s="19">
        <f>IF(OR($B66="",COUNT($E66:$K66)=0),"",SUMPRODUCT((MOD(COLUMN($E66:$K66)-COLUMN($E66)-2,7)&lt;MAX(1,MIN(7,N($L66))))*$E66:$K66)*(1+N(Configuración!$C$3)))</f>
        <v/>
      </c>
      <c r="P66" s="19">
        <f>IF(OR($B66="",COUNT($E66:$K66)=0),"",SUMPRODUCT((MOD(COLUMN($E66:$K66)-COLUMN($E66)-3,7)&lt;MAX(1,MIN(7,N($L66))))*$E66:$K66)*(1+N(Configuración!$C$3)))</f>
        <v/>
      </c>
      <c r="Q66" s="19">
        <f>IF(OR($B66="",COUNT($E66:$K66)=0),"",SUMPRODUCT((MOD(COLUMN($E66:$K66)-COLUMN($E66)-4,7)&lt;MAX(1,MIN(7,N($L66))))*$E66:$K66)*(1+N(Configuración!$C$3)))</f>
        <v/>
      </c>
      <c r="R66" s="19">
        <f>IF(OR($B66="",COUNT($E66:$K66)=0),"",SUMPRODUCT((MOD(COLUMN($E66:$K66)-COLUMN($E66)-5,7)&lt;MAX(1,MIN(7,N($L66))))*$E66:$K66)*(1+N(Configuración!$C$3)))</f>
        <v/>
      </c>
      <c r="S66" s="19">
        <f>IF(OR($B66="",COUNT($E66:$K66)=0),"",SUMPRODUCT((MOD(COLUMN($E66:$K66)-COLUMN($E66)-6,7)&lt;MAX(1,MIN(7,N($L66))))*$E66:$K66)*(1+N(Configuración!$C$3)))</f>
        <v/>
      </c>
      <c r="T66" s="17" t="n"/>
    </row>
    <row r="67">
      <c r="A67" s="17" t="n"/>
      <c r="B67" s="17" t="n"/>
      <c r="C67" s="17" t="n"/>
      <c r="D67" s="17" t="n"/>
      <c r="E67" s="18" t="n"/>
      <c r="F67" s="18" t="n"/>
      <c r="G67" s="18" t="n"/>
      <c r="H67" s="18" t="n"/>
      <c r="I67" s="18" t="n"/>
      <c r="J67" s="18" t="n"/>
      <c r="K67" s="18" t="n"/>
      <c r="L67" s="17" t="n"/>
      <c r="M67" s="19">
        <f>IF(OR($B67="",COUNT($E67:$K67)=0),"",SUMPRODUCT((MOD(COLUMN($E67:$K67)-COLUMN($E67)-0,7)&lt;MAX(1,MIN(7,N($L67))))*$E67:$K67)*(1+N(Configuración!$C$3)))</f>
        <v/>
      </c>
      <c r="N67" s="19">
        <f>IF(OR($B67="",COUNT($E67:$K67)=0),"",SUMPRODUCT((MOD(COLUMN($E67:$K67)-COLUMN($E67)-1,7)&lt;MAX(1,MIN(7,N($L67))))*$E67:$K67)*(1+N(Configuración!$C$3)))</f>
        <v/>
      </c>
      <c r="O67" s="19">
        <f>IF(OR($B67="",COUNT($E67:$K67)=0),"",SUMPRODUCT((MOD(COLUMN($E67:$K67)-COLUMN($E67)-2,7)&lt;MAX(1,MIN(7,N($L67))))*$E67:$K67)*(1+N(Configuración!$C$3)))</f>
        <v/>
      </c>
      <c r="P67" s="19">
        <f>IF(OR($B67="",COUNT($E67:$K67)=0),"",SUMPRODUCT((MOD(COLUMN($E67:$K67)-COLUMN($E67)-3,7)&lt;MAX(1,MIN(7,N($L67))))*$E67:$K67)*(1+N(Configuración!$C$3)))</f>
        <v/>
      </c>
      <c r="Q67" s="19">
        <f>IF(OR($B67="",COUNT($E67:$K67)=0),"",SUMPRODUCT((MOD(COLUMN($E67:$K67)-COLUMN($E67)-4,7)&lt;MAX(1,MIN(7,N($L67))))*$E67:$K67)*(1+N(Configuración!$C$3)))</f>
        <v/>
      </c>
      <c r="R67" s="19">
        <f>IF(OR($B67="",COUNT($E67:$K67)=0),"",SUMPRODUCT((MOD(COLUMN($E67:$K67)-COLUMN($E67)-5,7)&lt;MAX(1,MIN(7,N($L67))))*$E67:$K67)*(1+N(Configuración!$C$3)))</f>
        <v/>
      </c>
      <c r="S67" s="19">
        <f>IF(OR($B67="",COUNT($E67:$K67)=0),"",SUMPRODUCT((MOD(COLUMN($E67:$K67)-COLUMN($E67)-6,7)&lt;MAX(1,MIN(7,N($L67))))*$E67:$K67)*(1+N(Configuración!$C$3)))</f>
        <v/>
      </c>
      <c r="T67" s="17" t="n"/>
    </row>
    <row r="68">
      <c r="A68" s="17" t="n"/>
      <c r="B68" s="17" t="n"/>
      <c r="C68" s="17" t="n"/>
      <c r="D68" s="17" t="n"/>
      <c r="E68" s="18" t="n"/>
      <c r="F68" s="18" t="n"/>
      <c r="G68" s="18" t="n"/>
      <c r="H68" s="18" t="n"/>
      <c r="I68" s="18" t="n"/>
      <c r="J68" s="18" t="n"/>
      <c r="K68" s="18" t="n"/>
      <c r="L68" s="17" t="n"/>
      <c r="M68" s="19">
        <f>IF(OR($B68="",COUNT($E68:$K68)=0),"",SUMPRODUCT((MOD(COLUMN($E68:$K68)-COLUMN($E68)-0,7)&lt;MAX(1,MIN(7,N($L68))))*$E68:$K68)*(1+N(Configuración!$C$3)))</f>
        <v/>
      </c>
      <c r="N68" s="19">
        <f>IF(OR($B68="",COUNT($E68:$K68)=0),"",SUMPRODUCT((MOD(COLUMN($E68:$K68)-COLUMN($E68)-1,7)&lt;MAX(1,MIN(7,N($L68))))*$E68:$K68)*(1+N(Configuración!$C$3)))</f>
        <v/>
      </c>
      <c r="O68" s="19">
        <f>IF(OR($B68="",COUNT($E68:$K68)=0),"",SUMPRODUCT((MOD(COLUMN($E68:$K68)-COLUMN($E68)-2,7)&lt;MAX(1,MIN(7,N($L68))))*$E68:$K68)*(1+N(Configuración!$C$3)))</f>
        <v/>
      </c>
      <c r="P68" s="19">
        <f>IF(OR($B68="",COUNT($E68:$K68)=0),"",SUMPRODUCT((MOD(COLUMN($E68:$K68)-COLUMN($E68)-3,7)&lt;MAX(1,MIN(7,N($L68))))*$E68:$K68)*(1+N(Configuración!$C$3)))</f>
        <v/>
      </c>
      <c r="Q68" s="19">
        <f>IF(OR($B68="",COUNT($E68:$K68)=0),"",SUMPRODUCT((MOD(COLUMN($E68:$K68)-COLUMN($E68)-4,7)&lt;MAX(1,MIN(7,N($L68))))*$E68:$K68)*(1+N(Configuración!$C$3)))</f>
        <v/>
      </c>
      <c r="R68" s="19">
        <f>IF(OR($B68="",COUNT($E68:$K68)=0),"",SUMPRODUCT((MOD(COLUMN($E68:$K68)-COLUMN($E68)-5,7)&lt;MAX(1,MIN(7,N($L68))))*$E68:$K68)*(1+N(Configuración!$C$3)))</f>
        <v/>
      </c>
      <c r="S68" s="19">
        <f>IF(OR($B68="",COUNT($E68:$K68)=0),"",SUMPRODUCT((MOD(COLUMN($E68:$K68)-COLUMN($E68)-6,7)&lt;MAX(1,MIN(7,N($L68))))*$E68:$K68)*(1+N(Configuración!$C$3)))</f>
        <v/>
      </c>
      <c r="T68" s="17" t="n"/>
    </row>
    <row r="69">
      <c r="A69" s="17" t="n"/>
      <c r="B69" s="17" t="n"/>
      <c r="C69" s="17" t="n"/>
      <c r="D69" s="17" t="n"/>
      <c r="E69" s="18" t="n"/>
      <c r="F69" s="18" t="n"/>
      <c r="G69" s="18" t="n"/>
      <c r="H69" s="18" t="n"/>
      <c r="I69" s="18" t="n"/>
      <c r="J69" s="18" t="n"/>
      <c r="K69" s="18" t="n"/>
      <c r="L69" s="17" t="n"/>
      <c r="M69" s="19">
        <f>IF(OR($B69="",COUNT($E69:$K69)=0),"",SUMPRODUCT((MOD(COLUMN($E69:$K69)-COLUMN($E69)-0,7)&lt;MAX(1,MIN(7,N($L69))))*$E69:$K69)*(1+N(Configuración!$C$3)))</f>
        <v/>
      </c>
      <c r="N69" s="19">
        <f>IF(OR($B69="",COUNT($E69:$K69)=0),"",SUMPRODUCT((MOD(COLUMN($E69:$K69)-COLUMN($E69)-1,7)&lt;MAX(1,MIN(7,N($L69))))*$E69:$K69)*(1+N(Configuración!$C$3)))</f>
        <v/>
      </c>
      <c r="O69" s="19">
        <f>IF(OR($B69="",COUNT($E69:$K69)=0),"",SUMPRODUCT((MOD(COLUMN($E69:$K69)-COLUMN($E69)-2,7)&lt;MAX(1,MIN(7,N($L69))))*$E69:$K69)*(1+N(Configuración!$C$3)))</f>
        <v/>
      </c>
      <c r="P69" s="19">
        <f>IF(OR($B69="",COUNT($E69:$K69)=0),"",SUMPRODUCT((MOD(COLUMN($E69:$K69)-COLUMN($E69)-3,7)&lt;MAX(1,MIN(7,N($L69))))*$E69:$K69)*(1+N(Configuración!$C$3)))</f>
        <v/>
      </c>
      <c r="Q69" s="19">
        <f>IF(OR($B69="",COUNT($E69:$K69)=0),"",SUMPRODUCT((MOD(COLUMN($E69:$K69)-COLUMN($E69)-4,7)&lt;MAX(1,MIN(7,N($L69))))*$E69:$K69)*(1+N(Configuración!$C$3)))</f>
        <v/>
      </c>
      <c r="R69" s="19">
        <f>IF(OR($B69="",COUNT($E69:$K69)=0),"",SUMPRODUCT((MOD(COLUMN($E69:$K69)-COLUMN($E69)-5,7)&lt;MAX(1,MIN(7,N($L69))))*$E69:$K69)*(1+N(Configuración!$C$3)))</f>
        <v/>
      </c>
      <c r="S69" s="19">
        <f>IF(OR($B69="",COUNT($E69:$K69)=0),"",SUMPRODUCT((MOD(COLUMN($E69:$K69)-COLUMN($E69)-6,7)&lt;MAX(1,MIN(7,N($L69))))*$E69:$K69)*(1+N(Configuración!$C$3)))</f>
        <v/>
      </c>
      <c r="T69" s="17" t="n"/>
    </row>
    <row r="70">
      <c r="A70" s="17" t="n"/>
      <c r="B70" s="17" t="n"/>
      <c r="C70" s="17" t="n"/>
      <c r="D70" s="17" t="n"/>
      <c r="E70" s="18" t="n"/>
      <c r="F70" s="18" t="n"/>
      <c r="G70" s="18" t="n"/>
      <c r="H70" s="18" t="n"/>
      <c r="I70" s="18" t="n"/>
      <c r="J70" s="18" t="n"/>
      <c r="K70" s="18" t="n"/>
      <c r="L70" s="17" t="n"/>
      <c r="M70" s="19">
        <f>IF(OR($B70="",COUNT($E70:$K70)=0),"",SUMPRODUCT((MOD(COLUMN($E70:$K70)-COLUMN($E70)-0,7)&lt;MAX(1,MIN(7,N($L70))))*$E70:$K70)*(1+N(Configuración!$C$3)))</f>
        <v/>
      </c>
      <c r="N70" s="19">
        <f>IF(OR($B70="",COUNT($E70:$K70)=0),"",SUMPRODUCT((MOD(COLUMN($E70:$K70)-COLUMN($E70)-1,7)&lt;MAX(1,MIN(7,N($L70))))*$E70:$K70)*(1+N(Configuración!$C$3)))</f>
        <v/>
      </c>
      <c r="O70" s="19">
        <f>IF(OR($B70="",COUNT($E70:$K70)=0),"",SUMPRODUCT((MOD(COLUMN($E70:$K70)-COLUMN($E70)-2,7)&lt;MAX(1,MIN(7,N($L70))))*$E70:$K70)*(1+N(Configuración!$C$3)))</f>
        <v/>
      </c>
      <c r="P70" s="19">
        <f>IF(OR($B70="",COUNT($E70:$K70)=0),"",SUMPRODUCT((MOD(COLUMN($E70:$K70)-COLUMN($E70)-3,7)&lt;MAX(1,MIN(7,N($L70))))*$E70:$K70)*(1+N(Configuración!$C$3)))</f>
        <v/>
      </c>
      <c r="Q70" s="19">
        <f>IF(OR($B70="",COUNT($E70:$K70)=0),"",SUMPRODUCT((MOD(COLUMN($E70:$K70)-COLUMN($E70)-4,7)&lt;MAX(1,MIN(7,N($L70))))*$E70:$K70)*(1+N(Configuración!$C$3)))</f>
        <v/>
      </c>
      <c r="R70" s="19">
        <f>IF(OR($B70="",COUNT($E70:$K70)=0),"",SUMPRODUCT((MOD(COLUMN($E70:$K70)-COLUMN($E70)-5,7)&lt;MAX(1,MIN(7,N($L70))))*$E70:$K70)*(1+N(Configuración!$C$3)))</f>
        <v/>
      </c>
      <c r="S70" s="19">
        <f>IF(OR($B70="",COUNT($E70:$K70)=0),"",SUMPRODUCT((MOD(COLUMN($E70:$K70)-COLUMN($E70)-6,7)&lt;MAX(1,MIN(7,N($L70))))*$E70:$K70)*(1+N(Configuración!$C$3)))</f>
        <v/>
      </c>
      <c r="T70" s="17" t="n"/>
    </row>
    <row r="71">
      <c r="A71" s="17" t="n"/>
      <c r="B71" s="17" t="n"/>
      <c r="C71" s="17" t="n"/>
      <c r="D71" s="17" t="n"/>
      <c r="E71" s="18" t="n"/>
      <c r="F71" s="18" t="n"/>
      <c r="G71" s="18" t="n"/>
      <c r="H71" s="18" t="n"/>
      <c r="I71" s="18" t="n"/>
      <c r="J71" s="18" t="n"/>
      <c r="K71" s="18" t="n"/>
      <c r="L71" s="17" t="n"/>
      <c r="M71" s="19">
        <f>IF(OR($B71="",COUNT($E71:$K71)=0),"",SUMPRODUCT((MOD(COLUMN($E71:$K71)-COLUMN($E71)-0,7)&lt;MAX(1,MIN(7,N($L71))))*$E71:$K71)*(1+N(Configuración!$C$3)))</f>
        <v/>
      </c>
      <c r="N71" s="19">
        <f>IF(OR($B71="",COUNT($E71:$K71)=0),"",SUMPRODUCT((MOD(COLUMN($E71:$K71)-COLUMN($E71)-1,7)&lt;MAX(1,MIN(7,N($L71))))*$E71:$K71)*(1+N(Configuración!$C$3)))</f>
        <v/>
      </c>
      <c r="O71" s="19">
        <f>IF(OR($B71="",COUNT($E71:$K71)=0),"",SUMPRODUCT((MOD(COLUMN($E71:$K71)-COLUMN($E71)-2,7)&lt;MAX(1,MIN(7,N($L71))))*$E71:$K71)*(1+N(Configuración!$C$3)))</f>
        <v/>
      </c>
      <c r="P71" s="19">
        <f>IF(OR($B71="",COUNT($E71:$K71)=0),"",SUMPRODUCT((MOD(COLUMN($E71:$K71)-COLUMN($E71)-3,7)&lt;MAX(1,MIN(7,N($L71))))*$E71:$K71)*(1+N(Configuración!$C$3)))</f>
        <v/>
      </c>
      <c r="Q71" s="19">
        <f>IF(OR($B71="",COUNT($E71:$K71)=0),"",SUMPRODUCT((MOD(COLUMN($E71:$K71)-COLUMN($E71)-4,7)&lt;MAX(1,MIN(7,N($L71))))*$E71:$K71)*(1+N(Configuración!$C$3)))</f>
        <v/>
      </c>
      <c r="R71" s="19">
        <f>IF(OR($B71="",COUNT($E71:$K71)=0),"",SUMPRODUCT((MOD(COLUMN($E71:$K71)-COLUMN($E71)-5,7)&lt;MAX(1,MIN(7,N($L71))))*$E71:$K71)*(1+N(Configuración!$C$3)))</f>
        <v/>
      </c>
      <c r="S71" s="19">
        <f>IF(OR($B71="",COUNT($E71:$K71)=0),"",SUMPRODUCT((MOD(COLUMN($E71:$K71)-COLUMN($E71)-6,7)&lt;MAX(1,MIN(7,N($L71))))*$E71:$K71)*(1+N(Configuración!$C$3)))</f>
        <v/>
      </c>
      <c r="T71" s="17" t="n"/>
    </row>
    <row r="72">
      <c r="A72" s="17" t="n"/>
      <c r="B72" s="17" t="n"/>
      <c r="C72" s="17" t="n"/>
      <c r="D72" s="17" t="n"/>
      <c r="E72" s="18" t="n"/>
      <c r="F72" s="18" t="n"/>
      <c r="G72" s="18" t="n"/>
      <c r="H72" s="18" t="n"/>
      <c r="I72" s="18" t="n"/>
      <c r="J72" s="18" t="n"/>
      <c r="K72" s="18" t="n"/>
      <c r="L72" s="17" t="n"/>
      <c r="M72" s="19">
        <f>IF(OR($B72="",COUNT($E72:$K72)=0),"",SUMPRODUCT((MOD(COLUMN($E72:$K72)-COLUMN($E72)-0,7)&lt;MAX(1,MIN(7,N($L72))))*$E72:$K72)*(1+N(Configuración!$C$3)))</f>
        <v/>
      </c>
      <c r="N72" s="19">
        <f>IF(OR($B72="",COUNT($E72:$K72)=0),"",SUMPRODUCT((MOD(COLUMN($E72:$K72)-COLUMN($E72)-1,7)&lt;MAX(1,MIN(7,N($L72))))*$E72:$K72)*(1+N(Configuración!$C$3)))</f>
        <v/>
      </c>
      <c r="O72" s="19">
        <f>IF(OR($B72="",COUNT($E72:$K72)=0),"",SUMPRODUCT((MOD(COLUMN($E72:$K72)-COLUMN($E72)-2,7)&lt;MAX(1,MIN(7,N($L72))))*$E72:$K72)*(1+N(Configuración!$C$3)))</f>
        <v/>
      </c>
      <c r="P72" s="19">
        <f>IF(OR($B72="",COUNT($E72:$K72)=0),"",SUMPRODUCT((MOD(COLUMN($E72:$K72)-COLUMN($E72)-3,7)&lt;MAX(1,MIN(7,N($L72))))*$E72:$K72)*(1+N(Configuración!$C$3)))</f>
        <v/>
      </c>
      <c r="Q72" s="19">
        <f>IF(OR($B72="",COUNT($E72:$K72)=0),"",SUMPRODUCT((MOD(COLUMN($E72:$K72)-COLUMN($E72)-4,7)&lt;MAX(1,MIN(7,N($L72))))*$E72:$K72)*(1+N(Configuración!$C$3)))</f>
        <v/>
      </c>
      <c r="R72" s="19">
        <f>IF(OR($B72="",COUNT($E72:$K72)=0),"",SUMPRODUCT((MOD(COLUMN($E72:$K72)-COLUMN($E72)-5,7)&lt;MAX(1,MIN(7,N($L72))))*$E72:$K72)*(1+N(Configuración!$C$3)))</f>
        <v/>
      </c>
      <c r="S72" s="19">
        <f>IF(OR($B72="",COUNT($E72:$K72)=0),"",SUMPRODUCT((MOD(COLUMN($E72:$K72)-COLUMN($E72)-6,7)&lt;MAX(1,MIN(7,N($L72))))*$E72:$K72)*(1+N(Configuración!$C$3)))</f>
        <v/>
      </c>
      <c r="T72" s="17" t="n"/>
    </row>
    <row r="73">
      <c r="A73" s="17" t="n"/>
      <c r="B73" s="17" t="n"/>
      <c r="C73" s="17" t="n"/>
      <c r="D73" s="17" t="n"/>
      <c r="E73" s="18" t="n"/>
      <c r="F73" s="18" t="n"/>
      <c r="G73" s="18" t="n"/>
      <c r="H73" s="18" t="n"/>
      <c r="I73" s="18" t="n"/>
      <c r="J73" s="18" t="n"/>
      <c r="K73" s="18" t="n"/>
      <c r="L73" s="17" t="n"/>
      <c r="M73" s="19">
        <f>IF(OR($B73="",COUNT($E73:$K73)=0),"",SUMPRODUCT((MOD(COLUMN($E73:$K73)-COLUMN($E73)-0,7)&lt;MAX(1,MIN(7,N($L73))))*$E73:$K73)*(1+N(Configuración!$C$3)))</f>
        <v/>
      </c>
      <c r="N73" s="19">
        <f>IF(OR($B73="",COUNT($E73:$K73)=0),"",SUMPRODUCT((MOD(COLUMN($E73:$K73)-COLUMN($E73)-1,7)&lt;MAX(1,MIN(7,N($L73))))*$E73:$K73)*(1+N(Configuración!$C$3)))</f>
        <v/>
      </c>
      <c r="O73" s="19">
        <f>IF(OR($B73="",COUNT($E73:$K73)=0),"",SUMPRODUCT((MOD(COLUMN($E73:$K73)-COLUMN($E73)-2,7)&lt;MAX(1,MIN(7,N($L73))))*$E73:$K73)*(1+N(Configuración!$C$3)))</f>
        <v/>
      </c>
      <c r="P73" s="19">
        <f>IF(OR($B73="",COUNT($E73:$K73)=0),"",SUMPRODUCT((MOD(COLUMN($E73:$K73)-COLUMN($E73)-3,7)&lt;MAX(1,MIN(7,N($L73))))*$E73:$K73)*(1+N(Configuración!$C$3)))</f>
        <v/>
      </c>
      <c r="Q73" s="19">
        <f>IF(OR($B73="",COUNT($E73:$K73)=0),"",SUMPRODUCT((MOD(COLUMN($E73:$K73)-COLUMN($E73)-4,7)&lt;MAX(1,MIN(7,N($L73))))*$E73:$K73)*(1+N(Configuración!$C$3)))</f>
        <v/>
      </c>
      <c r="R73" s="19">
        <f>IF(OR($B73="",COUNT($E73:$K73)=0),"",SUMPRODUCT((MOD(COLUMN($E73:$K73)-COLUMN($E73)-5,7)&lt;MAX(1,MIN(7,N($L73))))*$E73:$K73)*(1+N(Configuración!$C$3)))</f>
        <v/>
      </c>
      <c r="S73" s="19">
        <f>IF(OR($B73="",COUNT($E73:$K73)=0),"",SUMPRODUCT((MOD(COLUMN($E73:$K73)-COLUMN($E73)-6,7)&lt;MAX(1,MIN(7,N($L73))))*$E73:$K73)*(1+N(Configuración!$C$3)))</f>
        <v/>
      </c>
      <c r="T73" s="17" t="n"/>
    </row>
    <row r="74">
      <c r="A74" s="17" t="n"/>
      <c r="B74" s="17" t="n"/>
      <c r="C74" s="17" t="n"/>
      <c r="D74" s="17" t="n"/>
      <c r="E74" s="18" t="n"/>
      <c r="F74" s="18" t="n"/>
      <c r="G74" s="18" t="n"/>
      <c r="H74" s="18" t="n"/>
      <c r="I74" s="18" t="n"/>
      <c r="J74" s="18" t="n"/>
      <c r="K74" s="18" t="n"/>
      <c r="L74" s="17" t="n"/>
      <c r="M74" s="19">
        <f>IF(OR($B74="",COUNT($E74:$K74)=0),"",SUMPRODUCT((MOD(COLUMN($E74:$K74)-COLUMN($E74)-0,7)&lt;MAX(1,MIN(7,N($L74))))*$E74:$K74)*(1+N(Configuración!$C$3)))</f>
        <v/>
      </c>
      <c r="N74" s="19">
        <f>IF(OR($B74="",COUNT($E74:$K74)=0),"",SUMPRODUCT((MOD(COLUMN($E74:$K74)-COLUMN($E74)-1,7)&lt;MAX(1,MIN(7,N($L74))))*$E74:$K74)*(1+N(Configuración!$C$3)))</f>
        <v/>
      </c>
      <c r="O74" s="19">
        <f>IF(OR($B74="",COUNT($E74:$K74)=0),"",SUMPRODUCT((MOD(COLUMN($E74:$K74)-COLUMN($E74)-2,7)&lt;MAX(1,MIN(7,N($L74))))*$E74:$K74)*(1+N(Configuración!$C$3)))</f>
        <v/>
      </c>
      <c r="P74" s="19">
        <f>IF(OR($B74="",COUNT($E74:$K74)=0),"",SUMPRODUCT((MOD(COLUMN($E74:$K74)-COLUMN($E74)-3,7)&lt;MAX(1,MIN(7,N($L74))))*$E74:$K74)*(1+N(Configuración!$C$3)))</f>
        <v/>
      </c>
      <c r="Q74" s="19">
        <f>IF(OR($B74="",COUNT($E74:$K74)=0),"",SUMPRODUCT((MOD(COLUMN($E74:$K74)-COLUMN($E74)-4,7)&lt;MAX(1,MIN(7,N($L74))))*$E74:$K74)*(1+N(Configuración!$C$3)))</f>
        <v/>
      </c>
      <c r="R74" s="19">
        <f>IF(OR($B74="",COUNT($E74:$K74)=0),"",SUMPRODUCT((MOD(COLUMN($E74:$K74)-COLUMN($E74)-5,7)&lt;MAX(1,MIN(7,N($L74))))*$E74:$K74)*(1+N(Configuración!$C$3)))</f>
        <v/>
      </c>
      <c r="S74" s="19">
        <f>IF(OR($B74="",COUNT($E74:$K74)=0),"",SUMPRODUCT((MOD(COLUMN($E74:$K74)-COLUMN($E74)-6,7)&lt;MAX(1,MIN(7,N($L74))))*$E74:$K74)*(1+N(Configuración!$C$3)))</f>
        <v/>
      </c>
      <c r="T74" s="17" t="n"/>
    </row>
    <row r="75">
      <c r="A75" s="17" t="n"/>
      <c r="B75" s="17" t="n"/>
      <c r="C75" s="17" t="n"/>
      <c r="D75" s="17" t="n"/>
      <c r="E75" s="18" t="n"/>
      <c r="F75" s="18" t="n"/>
      <c r="G75" s="18" t="n"/>
      <c r="H75" s="18" t="n"/>
      <c r="I75" s="18" t="n"/>
      <c r="J75" s="18" t="n"/>
      <c r="K75" s="18" t="n"/>
      <c r="L75" s="17" t="n"/>
      <c r="M75" s="19">
        <f>IF(OR($B75="",COUNT($E75:$K75)=0),"",SUMPRODUCT((MOD(COLUMN($E75:$K75)-COLUMN($E75)-0,7)&lt;MAX(1,MIN(7,N($L75))))*$E75:$K75)*(1+N(Configuración!$C$3)))</f>
        <v/>
      </c>
      <c r="N75" s="19">
        <f>IF(OR($B75="",COUNT($E75:$K75)=0),"",SUMPRODUCT((MOD(COLUMN($E75:$K75)-COLUMN($E75)-1,7)&lt;MAX(1,MIN(7,N($L75))))*$E75:$K75)*(1+N(Configuración!$C$3)))</f>
        <v/>
      </c>
      <c r="O75" s="19">
        <f>IF(OR($B75="",COUNT($E75:$K75)=0),"",SUMPRODUCT((MOD(COLUMN($E75:$K75)-COLUMN($E75)-2,7)&lt;MAX(1,MIN(7,N($L75))))*$E75:$K75)*(1+N(Configuración!$C$3)))</f>
        <v/>
      </c>
      <c r="P75" s="19">
        <f>IF(OR($B75="",COUNT($E75:$K75)=0),"",SUMPRODUCT((MOD(COLUMN($E75:$K75)-COLUMN($E75)-3,7)&lt;MAX(1,MIN(7,N($L75))))*$E75:$K75)*(1+N(Configuración!$C$3)))</f>
        <v/>
      </c>
      <c r="Q75" s="19">
        <f>IF(OR($B75="",COUNT($E75:$K75)=0),"",SUMPRODUCT((MOD(COLUMN($E75:$K75)-COLUMN($E75)-4,7)&lt;MAX(1,MIN(7,N($L75))))*$E75:$K75)*(1+N(Configuración!$C$3)))</f>
        <v/>
      </c>
      <c r="R75" s="19">
        <f>IF(OR($B75="",COUNT($E75:$K75)=0),"",SUMPRODUCT((MOD(COLUMN($E75:$K75)-COLUMN($E75)-5,7)&lt;MAX(1,MIN(7,N($L75))))*$E75:$K75)*(1+N(Configuración!$C$3)))</f>
        <v/>
      </c>
      <c r="S75" s="19">
        <f>IF(OR($B75="",COUNT($E75:$K75)=0),"",SUMPRODUCT((MOD(COLUMN($E75:$K75)-COLUMN($E75)-6,7)&lt;MAX(1,MIN(7,N($L75))))*$E75:$K75)*(1+N(Configuración!$C$3)))</f>
        <v/>
      </c>
      <c r="T75" s="17" t="n"/>
    </row>
    <row r="76">
      <c r="A76" s="17" t="n"/>
      <c r="B76" s="17" t="n"/>
      <c r="C76" s="17" t="n"/>
      <c r="D76" s="17" t="n"/>
      <c r="E76" s="18" t="n"/>
      <c r="F76" s="18" t="n"/>
      <c r="G76" s="18" t="n"/>
      <c r="H76" s="18" t="n"/>
      <c r="I76" s="18" t="n"/>
      <c r="J76" s="18" t="n"/>
      <c r="K76" s="18" t="n"/>
      <c r="L76" s="17" t="n"/>
      <c r="M76" s="19">
        <f>IF(OR($B76="",COUNT($E76:$K76)=0),"",SUMPRODUCT((MOD(COLUMN($E76:$K76)-COLUMN($E76)-0,7)&lt;MAX(1,MIN(7,N($L76))))*$E76:$K76)*(1+N(Configuración!$C$3)))</f>
        <v/>
      </c>
      <c r="N76" s="19">
        <f>IF(OR($B76="",COUNT($E76:$K76)=0),"",SUMPRODUCT((MOD(COLUMN($E76:$K76)-COLUMN($E76)-1,7)&lt;MAX(1,MIN(7,N($L76))))*$E76:$K76)*(1+N(Configuración!$C$3)))</f>
        <v/>
      </c>
      <c r="O76" s="19">
        <f>IF(OR($B76="",COUNT($E76:$K76)=0),"",SUMPRODUCT((MOD(COLUMN($E76:$K76)-COLUMN($E76)-2,7)&lt;MAX(1,MIN(7,N($L76))))*$E76:$K76)*(1+N(Configuración!$C$3)))</f>
        <v/>
      </c>
      <c r="P76" s="19">
        <f>IF(OR($B76="",COUNT($E76:$K76)=0),"",SUMPRODUCT((MOD(COLUMN($E76:$K76)-COLUMN($E76)-3,7)&lt;MAX(1,MIN(7,N($L76))))*$E76:$K76)*(1+N(Configuración!$C$3)))</f>
        <v/>
      </c>
      <c r="Q76" s="19">
        <f>IF(OR($B76="",COUNT($E76:$K76)=0),"",SUMPRODUCT((MOD(COLUMN($E76:$K76)-COLUMN($E76)-4,7)&lt;MAX(1,MIN(7,N($L76))))*$E76:$K76)*(1+N(Configuración!$C$3)))</f>
        <v/>
      </c>
      <c r="R76" s="19">
        <f>IF(OR($B76="",COUNT($E76:$K76)=0),"",SUMPRODUCT((MOD(COLUMN($E76:$K76)-COLUMN($E76)-5,7)&lt;MAX(1,MIN(7,N($L76))))*$E76:$K76)*(1+N(Configuración!$C$3)))</f>
        <v/>
      </c>
      <c r="S76" s="19">
        <f>IF(OR($B76="",COUNT($E76:$K76)=0),"",SUMPRODUCT((MOD(COLUMN($E76:$K76)-COLUMN($E76)-6,7)&lt;MAX(1,MIN(7,N($L76))))*$E76:$K76)*(1+N(Configuración!$C$3)))</f>
        <v/>
      </c>
      <c r="T76" s="17" t="n"/>
    </row>
    <row r="77">
      <c r="A77" s="17" t="n"/>
      <c r="B77" s="17" t="n"/>
      <c r="C77" s="17" t="n"/>
      <c r="D77" s="17" t="n"/>
      <c r="E77" s="18" t="n"/>
      <c r="F77" s="18" t="n"/>
      <c r="G77" s="18" t="n"/>
      <c r="H77" s="18" t="n"/>
      <c r="I77" s="18" t="n"/>
      <c r="J77" s="18" t="n"/>
      <c r="K77" s="18" t="n"/>
      <c r="L77" s="17" t="n"/>
      <c r="M77" s="19">
        <f>IF(OR($B77="",COUNT($E77:$K77)=0),"",SUMPRODUCT((MOD(COLUMN($E77:$K77)-COLUMN($E77)-0,7)&lt;MAX(1,MIN(7,N($L77))))*$E77:$K77)*(1+N(Configuración!$C$3)))</f>
        <v/>
      </c>
      <c r="N77" s="19">
        <f>IF(OR($B77="",COUNT($E77:$K77)=0),"",SUMPRODUCT((MOD(COLUMN($E77:$K77)-COLUMN($E77)-1,7)&lt;MAX(1,MIN(7,N($L77))))*$E77:$K77)*(1+N(Configuración!$C$3)))</f>
        <v/>
      </c>
      <c r="O77" s="19">
        <f>IF(OR($B77="",COUNT($E77:$K77)=0),"",SUMPRODUCT((MOD(COLUMN($E77:$K77)-COLUMN($E77)-2,7)&lt;MAX(1,MIN(7,N($L77))))*$E77:$K77)*(1+N(Configuración!$C$3)))</f>
        <v/>
      </c>
      <c r="P77" s="19">
        <f>IF(OR($B77="",COUNT($E77:$K77)=0),"",SUMPRODUCT((MOD(COLUMN($E77:$K77)-COLUMN($E77)-3,7)&lt;MAX(1,MIN(7,N($L77))))*$E77:$K77)*(1+N(Configuración!$C$3)))</f>
        <v/>
      </c>
      <c r="Q77" s="19">
        <f>IF(OR($B77="",COUNT($E77:$K77)=0),"",SUMPRODUCT((MOD(COLUMN($E77:$K77)-COLUMN($E77)-4,7)&lt;MAX(1,MIN(7,N($L77))))*$E77:$K77)*(1+N(Configuración!$C$3)))</f>
        <v/>
      </c>
      <c r="R77" s="19">
        <f>IF(OR($B77="",COUNT($E77:$K77)=0),"",SUMPRODUCT((MOD(COLUMN($E77:$K77)-COLUMN($E77)-5,7)&lt;MAX(1,MIN(7,N($L77))))*$E77:$K77)*(1+N(Configuración!$C$3)))</f>
        <v/>
      </c>
      <c r="S77" s="19">
        <f>IF(OR($B77="",COUNT($E77:$K77)=0),"",SUMPRODUCT((MOD(COLUMN($E77:$K77)-COLUMN($E77)-6,7)&lt;MAX(1,MIN(7,N($L77))))*$E77:$K77)*(1+N(Configuración!$C$3)))</f>
        <v/>
      </c>
      <c r="T77" s="17" t="n"/>
    </row>
    <row r="78">
      <c r="A78" s="17" t="n"/>
      <c r="B78" s="17" t="n"/>
      <c r="C78" s="17" t="n"/>
      <c r="D78" s="17" t="n"/>
      <c r="E78" s="18" t="n"/>
      <c r="F78" s="18" t="n"/>
      <c r="G78" s="18" t="n"/>
      <c r="H78" s="18" t="n"/>
      <c r="I78" s="18" t="n"/>
      <c r="J78" s="18" t="n"/>
      <c r="K78" s="18" t="n"/>
      <c r="L78" s="17" t="n"/>
      <c r="M78" s="19">
        <f>IF(OR($B78="",COUNT($E78:$K78)=0),"",SUMPRODUCT((MOD(COLUMN($E78:$K78)-COLUMN($E78)-0,7)&lt;MAX(1,MIN(7,N($L78))))*$E78:$K78)*(1+N(Configuración!$C$3)))</f>
        <v/>
      </c>
      <c r="N78" s="19">
        <f>IF(OR($B78="",COUNT($E78:$K78)=0),"",SUMPRODUCT((MOD(COLUMN($E78:$K78)-COLUMN($E78)-1,7)&lt;MAX(1,MIN(7,N($L78))))*$E78:$K78)*(1+N(Configuración!$C$3)))</f>
        <v/>
      </c>
      <c r="O78" s="19">
        <f>IF(OR($B78="",COUNT($E78:$K78)=0),"",SUMPRODUCT((MOD(COLUMN($E78:$K78)-COLUMN($E78)-2,7)&lt;MAX(1,MIN(7,N($L78))))*$E78:$K78)*(1+N(Configuración!$C$3)))</f>
        <v/>
      </c>
      <c r="P78" s="19">
        <f>IF(OR($B78="",COUNT($E78:$K78)=0),"",SUMPRODUCT((MOD(COLUMN($E78:$K78)-COLUMN($E78)-3,7)&lt;MAX(1,MIN(7,N($L78))))*$E78:$K78)*(1+N(Configuración!$C$3)))</f>
        <v/>
      </c>
      <c r="Q78" s="19">
        <f>IF(OR($B78="",COUNT($E78:$K78)=0),"",SUMPRODUCT((MOD(COLUMN($E78:$K78)-COLUMN($E78)-4,7)&lt;MAX(1,MIN(7,N($L78))))*$E78:$K78)*(1+N(Configuración!$C$3)))</f>
        <v/>
      </c>
      <c r="R78" s="19">
        <f>IF(OR($B78="",COUNT($E78:$K78)=0),"",SUMPRODUCT((MOD(COLUMN($E78:$K78)-COLUMN($E78)-5,7)&lt;MAX(1,MIN(7,N($L78))))*$E78:$K78)*(1+N(Configuración!$C$3)))</f>
        <v/>
      </c>
      <c r="S78" s="19">
        <f>IF(OR($B78="",COUNT($E78:$K78)=0),"",SUMPRODUCT((MOD(COLUMN($E78:$K78)-COLUMN($E78)-6,7)&lt;MAX(1,MIN(7,N($L78))))*$E78:$K78)*(1+N(Configuración!$C$3)))</f>
        <v/>
      </c>
      <c r="T78" s="17" t="n"/>
    </row>
    <row r="79">
      <c r="A79" s="17" t="n"/>
      <c r="B79" s="17" t="n"/>
      <c r="C79" s="17" t="n"/>
      <c r="D79" s="17" t="n"/>
      <c r="E79" s="18" t="n"/>
      <c r="F79" s="18" t="n"/>
      <c r="G79" s="18" t="n"/>
      <c r="H79" s="18" t="n"/>
      <c r="I79" s="18" t="n"/>
      <c r="J79" s="18" t="n"/>
      <c r="K79" s="18" t="n"/>
      <c r="L79" s="17" t="n"/>
      <c r="M79" s="19">
        <f>IF(OR($B79="",COUNT($E79:$K79)=0),"",SUMPRODUCT((MOD(COLUMN($E79:$K79)-COLUMN($E79)-0,7)&lt;MAX(1,MIN(7,N($L79))))*$E79:$K79)*(1+N(Configuración!$C$3)))</f>
        <v/>
      </c>
      <c r="N79" s="19">
        <f>IF(OR($B79="",COUNT($E79:$K79)=0),"",SUMPRODUCT((MOD(COLUMN($E79:$K79)-COLUMN($E79)-1,7)&lt;MAX(1,MIN(7,N($L79))))*$E79:$K79)*(1+N(Configuración!$C$3)))</f>
        <v/>
      </c>
      <c r="O79" s="19">
        <f>IF(OR($B79="",COUNT($E79:$K79)=0),"",SUMPRODUCT((MOD(COLUMN($E79:$K79)-COLUMN($E79)-2,7)&lt;MAX(1,MIN(7,N($L79))))*$E79:$K79)*(1+N(Configuración!$C$3)))</f>
        <v/>
      </c>
      <c r="P79" s="19">
        <f>IF(OR($B79="",COUNT($E79:$K79)=0),"",SUMPRODUCT((MOD(COLUMN($E79:$K79)-COLUMN($E79)-3,7)&lt;MAX(1,MIN(7,N($L79))))*$E79:$K79)*(1+N(Configuración!$C$3)))</f>
        <v/>
      </c>
      <c r="Q79" s="19">
        <f>IF(OR($B79="",COUNT($E79:$K79)=0),"",SUMPRODUCT((MOD(COLUMN($E79:$K79)-COLUMN($E79)-4,7)&lt;MAX(1,MIN(7,N($L79))))*$E79:$K79)*(1+N(Configuración!$C$3)))</f>
        <v/>
      </c>
      <c r="R79" s="19">
        <f>IF(OR($B79="",COUNT($E79:$K79)=0),"",SUMPRODUCT((MOD(COLUMN($E79:$K79)-COLUMN($E79)-5,7)&lt;MAX(1,MIN(7,N($L79))))*$E79:$K79)*(1+N(Configuración!$C$3)))</f>
        <v/>
      </c>
      <c r="S79" s="19">
        <f>IF(OR($B79="",COUNT($E79:$K79)=0),"",SUMPRODUCT((MOD(COLUMN($E79:$K79)-COLUMN($E79)-6,7)&lt;MAX(1,MIN(7,N($L79))))*$E79:$K79)*(1+N(Configuración!$C$3)))</f>
        <v/>
      </c>
      <c r="T79" s="17" t="n"/>
    </row>
    <row r="80">
      <c r="A80" s="17" t="n"/>
      <c r="B80" s="17" t="n"/>
      <c r="C80" s="17" t="n"/>
      <c r="D80" s="17" t="n"/>
      <c r="E80" s="18" t="n"/>
      <c r="F80" s="18" t="n"/>
      <c r="G80" s="18" t="n"/>
      <c r="H80" s="18" t="n"/>
      <c r="I80" s="18" t="n"/>
      <c r="J80" s="18" t="n"/>
      <c r="K80" s="18" t="n"/>
      <c r="L80" s="17" t="n"/>
      <c r="M80" s="19">
        <f>IF(OR($B80="",COUNT($E80:$K80)=0),"",SUMPRODUCT((MOD(COLUMN($E80:$K80)-COLUMN($E80)-0,7)&lt;MAX(1,MIN(7,N($L80))))*$E80:$K80)*(1+N(Configuración!$C$3)))</f>
        <v/>
      </c>
      <c r="N80" s="19">
        <f>IF(OR($B80="",COUNT($E80:$K80)=0),"",SUMPRODUCT((MOD(COLUMN($E80:$K80)-COLUMN($E80)-1,7)&lt;MAX(1,MIN(7,N($L80))))*$E80:$K80)*(1+N(Configuración!$C$3)))</f>
        <v/>
      </c>
      <c r="O80" s="19">
        <f>IF(OR($B80="",COUNT($E80:$K80)=0),"",SUMPRODUCT((MOD(COLUMN($E80:$K80)-COLUMN($E80)-2,7)&lt;MAX(1,MIN(7,N($L80))))*$E80:$K80)*(1+N(Configuración!$C$3)))</f>
        <v/>
      </c>
      <c r="P80" s="19">
        <f>IF(OR($B80="",COUNT($E80:$K80)=0),"",SUMPRODUCT((MOD(COLUMN($E80:$K80)-COLUMN($E80)-3,7)&lt;MAX(1,MIN(7,N($L80))))*$E80:$K80)*(1+N(Configuración!$C$3)))</f>
        <v/>
      </c>
      <c r="Q80" s="19">
        <f>IF(OR($B80="",COUNT($E80:$K80)=0),"",SUMPRODUCT((MOD(COLUMN($E80:$K80)-COLUMN($E80)-4,7)&lt;MAX(1,MIN(7,N($L80))))*$E80:$K80)*(1+N(Configuración!$C$3)))</f>
        <v/>
      </c>
      <c r="R80" s="19">
        <f>IF(OR($B80="",COUNT($E80:$K80)=0),"",SUMPRODUCT((MOD(COLUMN($E80:$K80)-COLUMN($E80)-5,7)&lt;MAX(1,MIN(7,N($L80))))*$E80:$K80)*(1+N(Configuración!$C$3)))</f>
        <v/>
      </c>
      <c r="S80" s="19">
        <f>IF(OR($B80="",COUNT($E80:$K80)=0),"",SUMPRODUCT((MOD(COLUMN($E80:$K80)-COLUMN($E80)-6,7)&lt;MAX(1,MIN(7,N($L80))))*$E80:$K80)*(1+N(Configuración!$C$3)))</f>
        <v/>
      </c>
      <c r="T80" s="17" t="n"/>
    </row>
    <row r="81">
      <c r="A81" s="17" t="n"/>
      <c r="B81" s="17" t="n"/>
      <c r="C81" s="17" t="n"/>
      <c r="D81" s="17" t="n"/>
      <c r="E81" s="18" t="n"/>
      <c r="F81" s="18" t="n"/>
      <c r="G81" s="18" t="n"/>
      <c r="H81" s="18" t="n"/>
      <c r="I81" s="18" t="n"/>
      <c r="J81" s="18" t="n"/>
      <c r="K81" s="18" t="n"/>
      <c r="L81" s="17" t="n"/>
      <c r="M81" s="19">
        <f>IF(OR($B81="",COUNT($E81:$K81)=0),"",SUMPRODUCT((MOD(COLUMN($E81:$K81)-COLUMN($E81)-0,7)&lt;MAX(1,MIN(7,N($L81))))*$E81:$K81)*(1+N(Configuración!$C$3)))</f>
        <v/>
      </c>
      <c r="N81" s="19">
        <f>IF(OR($B81="",COUNT($E81:$K81)=0),"",SUMPRODUCT((MOD(COLUMN($E81:$K81)-COLUMN($E81)-1,7)&lt;MAX(1,MIN(7,N($L81))))*$E81:$K81)*(1+N(Configuración!$C$3)))</f>
        <v/>
      </c>
      <c r="O81" s="19">
        <f>IF(OR($B81="",COUNT($E81:$K81)=0),"",SUMPRODUCT((MOD(COLUMN($E81:$K81)-COLUMN($E81)-2,7)&lt;MAX(1,MIN(7,N($L81))))*$E81:$K81)*(1+N(Configuración!$C$3)))</f>
        <v/>
      </c>
      <c r="P81" s="19">
        <f>IF(OR($B81="",COUNT($E81:$K81)=0),"",SUMPRODUCT((MOD(COLUMN($E81:$K81)-COLUMN($E81)-3,7)&lt;MAX(1,MIN(7,N($L81))))*$E81:$K81)*(1+N(Configuración!$C$3)))</f>
        <v/>
      </c>
      <c r="Q81" s="19">
        <f>IF(OR($B81="",COUNT($E81:$K81)=0),"",SUMPRODUCT((MOD(COLUMN($E81:$K81)-COLUMN($E81)-4,7)&lt;MAX(1,MIN(7,N($L81))))*$E81:$K81)*(1+N(Configuración!$C$3)))</f>
        <v/>
      </c>
      <c r="R81" s="19">
        <f>IF(OR($B81="",COUNT($E81:$K81)=0),"",SUMPRODUCT((MOD(COLUMN($E81:$K81)-COLUMN($E81)-5,7)&lt;MAX(1,MIN(7,N($L81))))*$E81:$K81)*(1+N(Configuración!$C$3)))</f>
        <v/>
      </c>
      <c r="S81" s="19">
        <f>IF(OR($B81="",COUNT($E81:$K81)=0),"",SUMPRODUCT((MOD(COLUMN($E81:$K81)-COLUMN($E81)-6,7)&lt;MAX(1,MIN(7,N($L81))))*$E81:$K81)*(1+N(Configuración!$C$3)))</f>
        <v/>
      </c>
      <c r="T81" s="17" t="n"/>
    </row>
    <row r="82">
      <c r="A82" s="17" t="n"/>
      <c r="B82" s="17" t="n"/>
      <c r="C82" s="17" t="n"/>
      <c r="D82" s="17" t="n"/>
      <c r="E82" s="18" t="n"/>
      <c r="F82" s="18" t="n"/>
      <c r="G82" s="18" t="n"/>
      <c r="H82" s="18" t="n"/>
      <c r="I82" s="18" t="n"/>
      <c r="J82" s="18" t="n"/>
      <c r="K82" s="18" t="n"/>
      <c r="L82" s="17" t="n"/>
      <c r="M82" s="19">
        <f>IF(OR($B82="",COUNT($E82:$K82)=0),"",SUMPRODUCT((MOD(COLUMN($E82:$K82)-COLUMN($E82)-0,7)&lt;MAX(1,MIN(7,N($L82))))*$E82:$K82)*(1+N(Configuración!$C$3)))</f>
        <v/>
      </c>
      <c r="N82" s="19">
        <f>IF(OR($B82="",COUNT($E82:$K82)=0),"",SUMPRODUCT((MOD(COLUMN($E82:$K82)-COLUMN($E82)-1,7)&lt;MAX(1,MIN(7,N($L82))))*$E82:$K82)*(1+N(Configuración!$C$3)))</f>
        <v/>
      </c>
      <c r="O82" s="19">
        <f>IF(OR($B82="",COUNT($E82:$K82)=0),"",SUMPRODUCT((MOD(COLUMN($E82:$K82)-COLUMN($E82)-2,7)&lt;MAX(1,MIN(7,N($L82))))*$E82:$K82)*(1+N(Configuración!$C$3)))</f>
        <v/>
      </c>
      <c r="P82" s="19">
        <f>IF(OR($B82="",COUNT($E82:$K82)=0),"",SUMPRODUCT((MOD(COLUMN($E82:$K82)-COLUMN($E82)-3,7)&lt;MAX(1,MIN(7,N($L82))))*$E82:$K82)*(1+N(Configuración!$C$3)))</f>
        <v/>
      </c>
      <c r="Q82" s="19">
        <f>IF(OR($B82="",COUNT($E82:$K82)=0),"",SUMPRODUCT((MOD(COLUMN($E82:$K82)-COLUMN($E82)-4,7)&lt;MAX(1,MIN(7,N($L82))))*$E82:$K82)*(1+N(Configuración!$C$3)))</f>
        <v/>
      </c>
      <c r="R82" s="19">
        <f>IF(OR($B82="",COUNT($E82:$K82)=0),"",SUMPRODUCT((MOD(COLUMN($E82:$K82)-COLUMN($E82)-5,7)&lt;MAX(1,MIN(7,N($L82))))*$E82:$K82)*(1+N(Configuración!$C$3)))</f>
        <v/>
      </c>
      <c r="S82" s="19">
        <f>IF(OR($B82="",COUNT($E82:$K82)=0),"",SUMPRODUCT((MOD(COLUMN($E82:$K82)-COLUMN($E82)-6,7)&lt;MAX(1,MIN(7,N($L82))))*$E82:$K82)*(1+N(Configuración!$C$3)))</f>
        <v/>
      </c>
      <c r="T82" s="17" t="n"/>
    </row>
    <row r="83">
      <c r="A83" s="17" t="n"/>
      <c r="B83" s="17" t="n"/>
      <c r="C83" s="17" t="n"/>
      <c r="D83" s="17" t="n"/>
      <c r="E83" s="18" t="n"/>
      <c r="F83" s="18" t="n"/>
      <c r="G83" s="18" t="n"/>
      <c r="H83" s="18" t="n"/>
      <c r="I83" s="18" t="n"/>
      <c r="J83" s="18" t="n"/>
      <c r="K83" s="18" t="n"/>
      <c r="L83" s="17" t="n"/>
      <c r="M83" s="19">
        <f>IF(OR($B83="",COUNT($E83:$K83)=0),"",SUMPRODUCT((MOD(COLUMN($E83:$K83)-COLUMN($E83)-0,7)&lt;MAX(1,MIN(7,N($L83))))*$E83:$K83)*(1+N(Configuración!$C$3)))</f>
        <v/>
      </c>
      <c r="N83" s="19">
        <f>IF(OR($B83="",COUNT($E83:$K83)=0),"",SUMPRODUCT((MOD(COLUMN($E83:$K83)-COLUMN($E83)-1,7)&lt;MAX(1,MIN(7,N($L83))))*$E83:$K83)*(1+N(Configuración!$C$3)))</f>
        <v/>
      </c>
      <c r="O83" s="19">
        <f>IF(OR($B83="",COUNT($E83:$K83)=0),"",SUMPRODUCT((MOD(COLUMN($E83:$K83)-COLUMN($E83)-2,7)&lt;MAX(1,MIN(7,N($L83))))*$E83:$K83)*(1+N(Configuración!$C$3)))</f>
        <v/>
      </c>
      <c r="P83" s="19">
        <f>IF(OR($B83="",COUNT($E83:$K83)=0),"",SUMPRODUCT((MOD(COLUMN($E83:$K83)-COLUMN($E83)-3,7)&lt;MAX(1,MIN(7,N($L83))))*$E83:$K83)*(1+N(Configuración!$C$3)))</f>
        <v/>
      </c>
      <c r="Q83" s="19">
        <f>IF(OR($B83="",COUNT($E83:$K83)=0),"",SUMPRODUCT((MOD(COLUMN($E83:$K83)-COLUMN($E83)-4,7)&lt;MAX(1,MIN(7,N($L83))))*$E83:$K83)*(1+N(Configuración!$C$3)))</f>
        <v/>
      </c>
      <c r="R83" s="19">
        <f>IF(OR($B83="",COUNT($E83:$K83)=0),"",SUMPRODUCT((MOD(COLUMN($E83:$K83)-COLUMN($E83)-5,7)&lt;MAX(1,MIN(7,N($L83))))*$E83:$K83)*(1+N(Configuración!$C$3)))</f>
        <v/>
      </c>
      <c r="S83" s="19">
        <f>IF(OR($B83="",COUNT($E83:$K83)=0),"",SUMPRODUCT((MOD(COLUMN($E83:$K83)-COLUMN($E83)-6,7)&lt;MAX(1,MIN(7,N($L83))))*$E83:$K83)*(1+N(Configuración!$C$3)))</f>
        <v/>
      </c>
      <c r="T83" s="17" t="n"/>
    </row>
    <row r="84">
      <c r="A84" s="17" t="n"/>
      <c r="B84" s="17" t="n"/>
      <c r="C84" s="17" t="n"/>
      <c r="D84" s="17" t="n"/>
      <c r="E84" s="18" t="n"/>
      <c r="F84" s="18" t="n"/>
      <c r="G84" s="18" t="n"/>
      <c r="H84" s="18" t="n"/>
      <c r="I84" s="18" t="n"/>
      <c r="J84" s="18" t="n"/>
      <c r="K84" s="18" t="n"/>
      <c r="L84" s="17" t="n"/>
      <c r="M84" s="19">
        <f>IF(OR($B84="",COUNT($E84:$K84)=0),"",SUMPRODUCT((MOD(COLUMN($E84:$K84)-COLUMN($E84)-0,7)&lt;MAX(1,MIN(7,N($L84))))*$E84:$K84)*(1+N(Configuración!$C$3)))</f>
        <v/>
      </c>
      <c r="N84" s="19">
        <f>IF(OR($B84="",COUNT($E84:$K84)=0),"",SUMPRODUCT((MOD(COLUMN($E84:$K84)-COLUMN($E84)-1,7)&lt;MAX(1,MIN(7,N($L84))))*$E84:$K84)*(1+N(Configuración!$C$3)))</f>
        <v/>
      </c>
      <c r="O84" s="19">
        <f>IF(OR($B84="",COUNT($E84:$K84)=0),"",SUMPRODUCT((MOD(COLUMN($E84:$K84)-COLUMN($E84)-2,7)&lt;MAX(1,MIN(7,N($L84))))*$E84:$K84)*(1+N(Configuración!$C$3)))</f>
        <v/>
      </c>
      <c r="P84" s="19">
        <f>IF(OR($B84="",COUNT($E84:$K84)=0),"",SUMPRODUCT((MOD(COLUMN($E84:$K84)-COLUMN($E84)-3,7)&lt;MAX(1,MIN(7,N($L84))))*$E84:$K84)*(1+N(Configuración!$C$3)))</f>
        <v/>
      </c>
      <c r="Q84" s="19">
        <f>IF(OR($B84="",COUNT($E84:$K84)=0),"",SUMPRODUCT((MOD(COLUMN($E84:$K84)-COLUMN($E84)-4,7)&lt;MAX(1,MIN(7,N($L84))))*$E84:$K84)*(1+N(Configuración!$C$3)))</f>
        <v/>
      </c>
      <c r="R84" s="19">
        <f>IF(OR($B84="",COUNT($E84:$K84)=0),"",SUMPRODUCT((MOD(COLUMN($E84:$K84)-COLUMN($E84)-5,7)&lt;MAX(1,MIN(7,N($L84))))*$E84:$K84)*(1+N(Configuración!$C$3)))</f>
        <v/>
      </c>
      <c r="S84" s="19">
        <f>IF(OR($B84="",COUNT($E84:$K84)=0),"",SUMPRODUCT((MOD(COLUMN($E84:$K84)-COLUMN($E84)-6,7)&lt;MAX(1,MIN(7,N($L84))))*$E84:$K84)*(1+N(Configuración!$C$3)))</f>
        <v/>
      </c>
      <c r="T84" s="17" t="n"/>
    </row>
    <row r="85">
      <c r="A85" s="17" t="n"/>
      <c r="B85" s="17" t="n"/>
      <c r="C85" s="17" t="n"/>
      <c r="D85" s="17" t="n"/>
      <c r="E85" s="18" t="n"/>
      <c r="F85" s="18" t="n"/>
      <c r="G85" s="18" t="n"/>
      <c r="H85" s="18" t="n"/>
      <c r="I85" s="18" t="n"/>
      <c r="J85" s="18" t="n"/>
      <c r="K85" s="18" t="n"/>
      <c r="L85" s="17" t="n"/>
      <c r="M85" s="19">
        <f>IF(OR($B85="",COUNT($E85:$K85)=0),"",SUMPRODUCT((MOD(COLUMN($E85:$K85)-COLUMN($E85)-0,7)&lt;MAX(1,MIN(7,N($L85))))*$E85:$K85)*(1+N(Configuración!$C$3)))</f>
        <v/>
      </c>
      <c r="N85" s="19">
        <f>IF(OR($B85="",COUNT($E85:$K85)=0),"",SUMPRODUCT((MOD(COLUMN($E85:$K85)-COLUMN($E85)-1,7)&lt;MAX(1,MIN(7,N($L85))))*$E85:$K85)*(1+N(Configuración!$C$3)))</f>
        <v/>
      </c>
      <c r="O85" s="19">
        <f>IF(OR($B85="",COUNT($E85:$K85)=0),"",SUMPRODUCT((MOD(COLUMN($E85:$K85)-COLUMN($E85)-2,7)&lt;MAX(1,MIN(7,N($L85))))*$E85:$K85)*(1+N(Configuración!$C$3)))</f>
        <v/>
      </c>
      <c r="P85" s="19">
        <f>IF(OR($B85="",COUNT($E85:$K85)=0),"",SUMPRODUCT((MOD(COLUMN($E85:$K85)-COLUMN($E85)-3,7)&lt;MAX(1,MIN(7,N($L85))))*$E85:$K85)*(1+N(Configuración!$C$3)))</f>
        <v/>
      </c>
      <c r="Q85" s="19">
        <f>IF(OR($B85="",COUNT($E85:$K85)=0),"",SUMPRODUCT((MOD(COLUMN($E85:$K85)-COLUMN($E85)-4,7)&lt;MAX(1,MIN(7,N($L85))))*$E85:$K85)*(1+N(Configuración!$C$3)))</f>
        <v/>
      </c>
      <c r="R85" s="19">
        <f>IF(OR($B85="",COUNT($E85:$K85)=0),"",SUMPRODUCT((MOD(COLUMN($E85:$K85)-COLUMN($E85)-5,7)&lt;MAX(1,MIN(7,N($L85))))*$E85:$K85)*(1+N(Configuración!$C$3)))</f>
        <v/>
      </c>
      <c r="S85" s="19">
        <f>IF(OR($B85="",COUNT($E85:$K85)=0),"",SUMPRODUCT((MOD(COLUMN($E85:$K85)-COLUMN($E85)-6,7)&lt;MAX(1,MIN(7,N($L85))))*$E85:$K85)*(1+N(Configuración!$C$3)))</f>
        <v/>
      </c>
      <c r="T85" s="17" t="n"/>
    </row>
    <row r="86">
      <c r="A86" s="17" t="n"/>
      <c r="B86" s="17" t="n"/>
      <c r="C86" s="17" t="n"/>
      <c r="D86" s="17" t="n"/>
      <c r="E86" s="18" t="n"/>
      <c r="F86" s="18" t="n"/>
      <c r="G86" s="18" t="n"/>
      <c r="H86" s="18" t="n"/>
      <c r="I86" s="18" t="n"/>
      <c r="J86" s="18" t="n"/>
      <c r="K86" s="18" t="n"/>
      <c r="L86" s="17" t="n"/>
      <c r="M86" s="19">
        <f>IF(OR($B86="",COUNT($E86:$K86)=0),"",SUMPRODUCT((MOD(COLUMN($E86:$K86)-COLUMN($E86)-0,7)&lt;MAX(1,MIN(7,N($L86))))*$E86:$K86)*(1+N(Configuración!$C$3)))</f>
        <v/>
      </c>
      <c r="N86" s="19">
        <f>IF(OR($B86="",COUNT($E86:$K86)=0),"",SUMPRODUCT((MOD(COLUMN($E86:$K86)-COLUMN($E86)-1,7)&lt;MAX(1,MIN(7,N($L86))))*$E86:$K86)*(1+N(Configuración!$C$3)))</f>
        <v/>
      </c>
      <c r="O86" s="19">
        <f>IF(OR($B86="",COUNT($E86:$K86)=0),"",SUMPRODUCT((MOD(COLUMN($E86:$K86)-COLUMN($E86)-2,7)&lt;MAX(1,MIN(7,N($L86))))*$E86:$K86)*(1+N(Configuración!$C$3)))</f>
        <v/>
      </c>
      <c r="P86" s="19">
        <f>IF(OR($B86="",COUNT($E86:$K86)=0),"",SUMPRODUCT((MOD(COLUMN($E86:$K86)-COLUMN($E86)-3,7)&lt;MAX(1,MIN(7,N($L86))))*$E86:$K86)*(1+N(Configuración!$C$3)))</f>
        <v/>
      </c>
      <c r="Q86" s="19">
        <f>IF(OR($B86="",COUNT($E86:$K86)=0),"",SUMPRODUCT((MOD(COLUMN($E86:$K86)-COLUMN($E86)-4,7)&lt;MAX(1,MIN(7,N($L86))))*$E86:$K86)*(1+N(Configuración!$C$3)))</f>
        <v/>
      </c>
      <c r="R86" s="19">
        <f>IF(OR($B86="",COUNT($E86:$K86)=0),"",SUMPRODUCT((MOD(COLUMN($E86:$K86)-COLUMN($E86)-5,7)&lt;MAX(1,MIN(7,N($L86))))*$E86:$K86)*(1+N(Configuración!$C$3)))</f>
        <v/>
      </c>
      <c r="S86" s="19">
        <f>IF(OR($B86="",COUNT($E86:$K86)=0),"",SUMPRODUCT((MOD(COLUMN($E86:$K86)-COLUMN($E86)-6,7)&lt;MAX(1,MIN(7,N($L86))))*$E86:$K86)*(1+N(Configuración!$C$3)))</f>
        <v/>
      </c>
      <c r="T86" s="17" t="n"/>
    </row>
    <row r="87">
      <c r="A87" s="17" t="n"/>
      <c r="B87" s="17" t="n"/>
      <c r="C87" s="17" t="n"/>
      <c r="D87" s="17" t="n"/>
      <c r="E87" s="18" t="n"/>
      <c r="F87" s="18" t="n"/>
      <c r="G87" s="18" t="n"/>
      <c r="H87" s="18" t="n"/>
      <c r="I87" s="18" t="n"/>
      <c r="J87" s="18" t="n"/>
      <c r="K87" s="18" t="n"/>
      <c r="L87" s="17" t="n"/>
      <c r="M87" s="19">
        <f>IF(OR($B87="",COUNT($E87:$K87)=0),"",SUMPRODUCT((MOD(COLUMN($E87:$K87)-COLUMN($E87)-0,7)&lt;MAX(1,MIN(7,N($L87))))*$E87:$K87)*(1+N(Configuración!$C$3)))</f>
        <v/>
      </c>
      <c r="N87" s="19">
        <f>IF(OR($B87="",COUNT($E87:$K87)=0),"",SUMPRODUCT((MOD(COLUMN($E87:$K87)-COLUMN($E87)-1,7)&lt;MAX(1,MIN(7,N($L87))))*$E87:$K87)*(1+N(Configuración!$C$3)))</f>
        <v/>
      </c>
      <c r="O87" s="19">
        <f>IF(OR($B87="",COUNT($E87:$K87)=0),"",SUMPRODUCT((MOD(COLUMN($E87:$K87)-COLUMN($E87)-2,7)&lt;MAX(1,MIN(7,N($L87))))*$E87:$K87)*(1+N(Configuración!$C$3)))</f>
        <v/>
      </c>
      <c r="P87" s="19">
        <f>IF(OR($B87="",COUNT($E87:$K87)=0),"",SUMPRODUCT((MOD(COLUMN($E87:$K87)-COLUMN($E87)-3,7)&lt;MAX(1,MIN(7,N($L87))))*$E87:$K87)*(1+N(Configuración!$C$3)))</f>
        <v/>
      </c>
      <c r="Q87" s="19">
        <f>IF(OR($B87="",COUNT($E87:$K87)=0),"",SUMPRODUCT((MOD(COLUMN($E87:$K87)-COLUMN($E87)-4,7)&lt;MAX(1,MIN(7,N($L87))))*$E87:$K87)*(1+N(Configuración!$C$3)))</f>
        <v/>
      </c>
      <c r="R87" s="19">
        <f>IF(OR($B87="",COUNT($E87:$K87)=0),"",SUMPRODUCT((MOD(COLUMN($E87:$K87)-COLUMN($E87)-5,7)&lt;MAX(1,MIN(7,N($L87))))*$E87:$K87)*(1+N(Configuración!$C$3)))</f>
        <v/>
      </c>
      <c r="S87" s="19">
        <f>IF(OR($B87="",COUNT($E87:$K87)=0),"",SUMPRODUCT((MOD(COLUMN($E87:$K87)-COLUMN($E87)-6,7)&lt;MAX(1,MIN(7,N($L87))))*$E87:$K87)*(1+N(Configuración!$C$3)))</f>
        <v/>
      </c>
      <c r="T87" s="17" t="n"/>
    </row>
    <row r="88">
      <c r="A88" s="17" t="n"/>
      <c r="B88" s="17" t="n"/>
      <c r="C88" s="17" t="n"/>
      <c r="D88" s="17" t="n"/>
      <c r="E88" s="18" t="n"/>
      <c r="F88" s="18" t="n"/>
      <c r="G88" s="18" t="n"/>
      <c r="H88" s="18" t="n"/>
      <c r="I88" s="18" t="n"/>
      <c r="J88" s="18" t="n"/>
      <c r="K88" s="18" t="n"/>
      <c r="L88" s="17" t="n"/>
      <c r="M88" s="19">
        <f>IF(OR($B88="",COUNT($E88:$K88)=0),"",SUMPRODUCT((MOD(COLUMN($E88:$K88)-COLUMN($E88)-0,7)&lt;MAX(1,MIN(7,N($L88))))*$E88:$K88)*(1+N(Configuración!$C$3)))</f>
        <v/>
      </c>
      <c r="N88" s="19">
        <f>IF(OR($B88="",COUNT($E88:$K88)=0),"",SUMPRODUCT((MOD(COLUMN($E88:$K88)-COLUMN($E88)-1,7)&lt;MAX(1,MIN(7,N($L88))))*$E88:$K88)*(1+N(Configuración!$C$3)))</f>
        <v/>
      </c>
      <c r="O88" s="19">
        <f>IF(OR($B88="",COUNT($E88:$K88)=0),"",SUMPRODUCT((MOD(COLUMN($E88:$K88)-COLUMN($E88)-2,7)&lt;MAX(1,MIN(7,N($L88))))*$E88:$K88)*(1+N(Configuración!$C$3)))</f>
        <v/>
      </c>
      <c r="P88" s="19">
        <f>IF(OR($B88="",COUNT($E88:$K88)=0),"",SUMPRODUCT((MOD(COLUMN($E88:$K88)-COLUMN($E88)-3,7)&lt;MAX(1,MIN(7,N($L88))))*$E88:$K88)*(1+N(Configuración!$C$3)))</f>
        <v/>
      </c>
      <c r="Q88" s="19">
        <f>IF(OR($B88="",COUNT($E88:$K88)=0),"",SUMPRODUCT((MOD(COLUMN($E88:$K88)-COLUMN($E88)-4,7)&lt;MAX(1,MIN(7,N($L88))))*$E88:$K88)*(1+N(Configuración!$C$3)))</f>
        <v/>
      </c>
      <c r="R88" s="19">
        <f>IF(OR($B88="",COUNT($E88:$K88)=0),"",SUMPRODUCT((MOD(COLUMN($E88:$K88)-COLUMN($E88)-5,7)&lt;MAX(1,MIN(7,N($L88))))*$E88:$K88)*(1+N(Configuración!$C$3)))</f>
        <v/>
      </c>
      <c r="S88" s="19">
        <f>IF(OR($B88="",COUNT($E88:$K88)=0),"",SUMPRODUCT((MOD(COLUMN($E88:$K88)-COLUMN($E88)-6,7)&lt;MAX(1,MIN(7,N($L88))))*$E88:$K88)*(1+N(Configuración!$C$3)))</f>
        <v/>
      </c>
      <c r="T88" s="17" t="n"/>
    </row>
    <row r="89">
      <c r="A89" s="17" t="n"/>
      <c r="B89" s="17" t="n"/>
      <c r="C89" s="17" t="n"/>
      <c r="D89" s="17" t="n"/>
      <c r="E89" s="18" t="n"/>
      <c r="F89" s="18" t="n"/>
      <c r="G89" s="18" t="n"/>
      <c r="H89" s="18" t="n"/>
      <c r="I89" s="18" t="n"/>
      <c r="J89" s="18" t="n"/>
      <c r="K89" s="18" t="n"/>
      <c r="L89" s="17" t="n"/>
      <c r="M89" s="19">
        <f>IF(OR($B89="",COUNT($E89:$K89)=0),"",SUMPRODUCT((MOD(COLUMN($E89:$K89)-COLUMN($E89)-0,7)&lt;MAX(1,MIN(7,N($L89))))*$E89:$K89)*(1+N(Configuración!$C$3)))</f>
        <v/>
      </c>
      <c r="N89" s="19">
        <f>IF(OR($B89="",COUNT($E89:$K89)=0),"",SUMPRODUCT((MOD(COLUMN($E89:$K89)-COLUMN($E89)-1,7)&lt;MAX(1,MIN(7,N($L89))))*$E89:$K89)*(1+N(Configuración!$C$3)))</f>
        <v/>
      </c>
      <c r="O89" s="19">
        <f>IF(OR($B89="",COUNT($E89:$K89)=0),"",SUMPRODUCT((MOD(COLUMN($E89:$K89)-COLUMN($E89)-2,7)&lt;MAX(1,MIN(7,N($L89))))*$E89:$K89)*(1+N(Configuración!$C$3)))</f>
        <v/>
      </c>
      <c r="P89" s="19">
        <f>IF(OR($B89="",COUNT($E89:$K89)=0),"",SUMPRODUCT((MOD(COLUMN($E89:$K89)-COLUMN($E89)-3,7)&lt;MAX(1,MIN(7,N($L89))))*$E89:$K89)*(1+N(Configuración!$C$3)))</f>
        <v/>
      </c>
      <c r="Q89" s="19">
        <f>IF(OR($B89="",COUNT($E89:$K89)=0),"",SUMPRODUCT((MOD(COLUMN($E89:$K89)-COLUMN($E89)-4,7)&lt;MAX(1,MIN(7,N($L89))))*$E89:$K89)*(1+N(Configuración!$C$3)))</f>
        <v/>
      </c>
      <c r="R89" s="19">
        <f>IF(OR($B89="",COUNT($E89:$K89)=0),"",SUMPRODUCT((MOD(COLUMN($E89:$K89)-COLUMN($E89)-5,7)&lt;MAX(1,MIN(7,N($L89))))*$E89:$K89)*(1+N(Configuración!$C$3)))</f>
        <v/>
      </c>
      <c r="S89" s="19">
        <f>IF(OR($B89="",COUNT($E89:$K89)=0),"",SUMPRODUCT((MOD(COLUMN($E89:$K89)-COLUMN($E89)-6,7)&lt;MAX(1,MIN(7,N($L89))))*$E89:$K89)*(1+N(Configuración!$C$3)))</f>
        <v/>
      </c>
      <c r="T89" s="17" t="n"/>
    </row>
    <row r="90">
      <c r="A90" s="17" t="n"/>
      <c r="B90" s="17" t="n"/>
      <c r="C90" s="17" t="n"/>
      <c r="D90" s="17" t="n"/>
      <c r="E90" s="18" t="n"/>
      <c r="F90" s="18" t="n"/>
      <c r="G90" s="18" t="n"/>
      <c r="H90" s="18" t="n"/>
      <c r="I90" s="18" t="n"/>
      <c r="J90" s="18" t="n"/>
      <c r="K90" s="18" t="n"/>
      <c r="L90" s="17" t="n"/>
      <c r="M90" s="19">
        <f>IF(OR($B90="",COUNT($E90:$K90)=0),"",SUMPRODUCT((MOD(COLUMN($E90:$K90)-COLUMN($E90)-0,7)&lt;MAX(1,MIN(7,N($L90))))*$E90:$K90)*(1+N(Configuración!$C$3)))</f>
        <v/>
      </c>
      <c r="N90" s="19">
        <f>IF(OR($B90="",COUNT($E90:$K90)=0),"",SUMPRODUCT((MOD(COLUMN($E90:$K90)-COLUMN($E90)-1,7)&lt;MAX(1,MIN(7,N($L90))))*$E90:$K90)*(1+N(Configuración!$C$3)))</f>
        <v/>
      </c>
      <c r="O90" s="19">
        <f>IF(OR($B90="",COUNT($E90:$K90)=0),"",SUMPRODUCT((MOD(COLUMN($E90:$K90)-COLUMN($E90)-2,7)&lt;MAX(1,MIN(7,N($L90))))*$E90:$K90)*(1+N(Configuración!$C$3)))</f>
        <v/>
      </c>
      <c r="P90" s="19">
        <f>IF(OR($B90="",COUNT($E90:$K90)=0),"",SUMPRODUCT((MOD(COLUMN($E90:$K90)-COLUMN($E90)-3,7)&lt;MAX(1,MIN(7,N($L90))))*$E90:$K90)*(1+N(Configuración!$C$3)))</f>
        <v/>
      </c>
      <c r="Q90" s="19">
        <f>IF(OR($B90="",COUNT($E90:$K90)=0),"",SUMPRODUCT((MOD(COLUMN($E90:$K90)-COLUMN($E90)-4,7)&lt;MAX(1,MIN(7,N($L90))))*$E90:$K90)*(1+N(Configuración!$C$3)))</f>
        <v/>
      </c>
      <c r="R90" s="19">
        <f>IF(OR($B90="",COUNT($E90:$K90)=0),"",SUMPRODUCT((MOD(COLUMN($E90:$K90)-COLUMN($E90)-5,7)&lt;MAX(1,MIN(7,N($L90))))*$E90:$K90)*(1+N(Configuración!$C$3)))</f>
        <v/>
      </c>
      <c r="S90" s="19">
        <f>IF(OR($B90="",COUNT($E90:$K90)=0),"",SUMPRODUCT((MOD(COLUMN($E90:$K90)-COLUMN($E90)-6,7)&lt;MAX(1,MIN(7,N($L90))))*$E90:$K90)*(1+N(Configuración!$C$3)))</f>
        <v/>
      </c>
      <c r="T90" s="17" t="n"/>
    </row>
    <row r="91">
      <c r="A91" s="17" t="n"/>
      <c r="B91" s="17" t="n"/>
      <c r="C91" s="17" t="n"/>
      <c r="D91" s="17" t="n"/>
      <c r="E91" s="18" t="n"/>
      <c r="F91" s="18" t="n"/>
      <c r="G91" s="18" t="n"/>
      <c r="H91" s="18" t="n"/>
      <c r="I91" s="18" t="n"/>
      <c r="J91" s="18" t="n"/>
      <c r="K91" s="18" t="n"/>
      <c r="L91" s="17" t="n"/>
      <c r="M91" s="19">
        <f>IF(OR($B91="",COUNT($E91:$K91)=0),"",SUMPRODUCT((MOD(COLUMN($E91:$K91)-COLUMN($E91)-0,7)&lt;MAX(1,MIN(7,N($L91))))*$E91:$K91)*(1+N(Configuración!$C$3)))</f>
        <v/>
      </c>
      <c r="N91" s="19">
        <f>IF(OR($B91="",COUNT($E91:$K91)=0),"",SUMPRODUCT((MOD(COLUMN($E91:$K91)-COLUMN($E91)-1,7)&lt;MAX(1,MIN(7,N($L91))))*$E91:$K91)*(1+N(Configuración!$C$3)))</f>
        <v/>
      </c>
      <c r="O91" s="19">
        <f>IF(OR($B91="",COUNT($E91:$K91)=0),"",SUMPRODUCT((MOD(COLUMN($E91:$K91)-COLUMN($E91)-2,7)&lt;MAX(1,MIN(7,N($L91))))*$E91:$K91)*(1+N(Configuración!$C$3)))</f>
        <v/>
      </c>
      <c r="P91" s="19">
        <f>IF(OR($B91="",COUNT($E91:$K91)=0),"",SUMPRODUCT((MOD(COLUMN($E91:$K91)-COLUMN($E91)-3,7)&lt;MAX(1,MIN(7,N($L91))))*$E91:$K91)*(1+N(Configuración!$C$3)))</f>
        <v/>
      </c>
      <c r="Q91" s="19">
        <f>IF(OR($B91="",COUNT($E91:$K91)=0),"",SUMPRODUCT((MOD(COLUMN($E91:$K91)-COLUMN($E91)-4,7)&lt;MAX(1,MIN(7,N($L91))))*$E91:$K91)*(1+N(Configuración!$C$3)))</f>
        <v/>
      </c>
      <c r="R91" s="19">
        <f>IF(OR($B91="",COUNT($E91:$K91)=0),"",SUMPRODUCT((MOD(COLUMN($E91:$K91)-COLUMN($E91)-5,7)&lt;MAX(1,MIN(7,N($L91))))*$E91:$K91)*(1+N(Configuración!$C$3)))</f>
        <v/>
      </c>
      <c r="S91" s="19">
        <f>IF(OR($B91="",COUNT($E91:$K91)=0),"",SUMPRODUCT((MOD(COLUMN($E91:$K91)-COLUMN($E91)-6,7)&lt;MAX(1,MIN(7,N($L91))))*$E91:$K91)*(1+N(Configuración!$C$3)))</f>
        <v/>
      </c>
      <c r="T91" s="17" t="n"/>
    </row>
    <row r="92">
      <c r="A92" s="17" t="n"/>
      <c r="B92" s="17" t="n"/>
      <c r="C92" s="17" t="n"/>
      <c r="D92" s="17" t="n"/>
      <c r="E92" s="18" t="n"/>
      <c r="F92" s="18" t="n"/>
      <c r="G92" s="18" t="n"/>
      <c r="H92" s="18" t="n"/>
      <c r="I92" s="18" t="n"/>
      <c r="J92" s="18" t="n"/>
      <c r="K92" s="18" t="n"/>
      <c r="L92" s="17" t="n"/>
      <c r="M92" s="19">
        <f>IF(OR($B92="",COUNT($E92:$K92)=0),"",SUMPRODUCT((MOD(COLUMN($E92:$K92)-COLUMN($E92)-0,7)&lt;MAX(1,MIN(7,N($L92))))*$E92:$K92)*(1+N(Configuración!$C$3)))</f>
        <v/>
      </c>
      <c r="N92" s="19">
        <f>IF(OR($B92="",COUNT($E92:$K92)=0),"",SUMPRODUCT((MOD(COLUMN($E92:$K92)-COLUMN($E92)-1,7)&lt;MAX(1,MIN(7,N($L92))))*$E92:$K92)*(1+N(Configuración!$C$3)))</f>
        <v/>
      </c>
      <c r="O92" s="19">
        <f>IF(OR($B92="",COUNT($E92:$K92)=0),"",SUMPRODUCT((MOD(COLUMN($E92:$K92)-COLUMN($E92)-2,7)&lt;MAX(1,MIN(7,N($L92))))*$E92:$K92)*(1+N(Configuración!$C$3)))</f>
        <v/>
      </c>
      <c r="P92" s="19">
        <f>IF(OR($B92="",COUNT($E92:$K92)=0),"",SUMPRODUCT((MOD(COLUMN($E92:$K92)-COLUMN($E92)-3,7)&lt;MAX(1,MIN(7,N($L92))))*$E92:$K92)*(1+N(Configuración!$C$3)))</f>
        <v/>
      </c>
      <c r="Q92" s="19">
        <f>IF(OR($B92="",COUNT($E92:$K92)=0),"",SUMPRODUCT((MOD(COLUMN($E92:$K92)-COLUMN($E92)-4,7)&lt;MAX(1,MIN(7,N($L92))))*$E92:$K92)*(1+N(Configuración!$C$3)))</f>
        <v/>
      </c>
      <c r="R92" s="19">
        <f>IF(OR($B92="",COUNT($E92:$K92)=0),"",SUMPRODUCT((MOD(COLUMN($E92:$K92)-COLUMN($E92)-5,7)&lt;MAX(1,MIN(7,N($L92))))*$E92:$K92)*(1+N(Configuración!$C$3)))</f>
        <v/>
      </c>
      <c r="S92" s="19">
        <f>IF(OR($B92="",COUNT($E92:$K92)=0),"",SUMPRODUCT((MOD(COLUMN($E92:$K92)-COLUMN($E92)-6,7)&lt;MAX(1,MIN(7,N($L92))))*$E92:$K92)*(1+N(Configuración!$C$3)))</f>
        <v/>
      </c>
      <c r="T92" s="17" t="n"/>
    </row>
    <row r="93">
      <c r="A93" s="17" t="n"/>
      <c r="B93" s="17" t="n"/>
      <c r="C93" s="17" t="n"/>
      <c r="D93" s="17" t="n"/>
      <c r="E93" s="18" t="n"/>
      <c r="F93" s="18" t="n"/>
      <c r="G93" s="18" t="n"/>
      <c r="H93" s="18" t="n"/>
      <c r="I93" s="18" t="n"/>
      <c r="J93" s="18" t="n"/>
      <c r="K93" s="18" t="n"/>
      <c r="L93" s="17" t="n"/>
      <c r="M93" s="19">
        <f>IF(OR($B93="",COUNT($E93:$K93)=0),"",SUMPRODUCT((MOD(COLUMN($E93:$K93)-COLUMN($E93)-0,7)&lt;MAX(1,MIN(7,N($L93))))*$E93:$K93)*(1+N(Configuración!$C$3)))</f>
        <v/>
      </c>
      <c r="N93" s="19">
        <f>IF(OR($B93="",COUNT($E93:$K93)=0),"",SUMPRODUCT((MOD(COLUMN($E93:$K93)-COLUMN($E93)-1,7)&lt;MAX(1,MIN(7,N($L93))))*$E93:$K93)*(1+N(Configuración!$C$3)))</f>
        <v/>
      </c>
      <c r="O93" s="19">
        <f>IF(OR($B93="",COUNT($E93:$K93)=0),"",SUMPRODUCT((MOD(COLUMN($E93:$K93)-COLUMN($E93)-2,7)&lt;MAX(1,MIN(7,N($L93))))*$E93:$K93)*(1+N(Configuración!$C$3)))</f>
        <v/>
      </c>
      <c r="P93" s="19">
        <f>IF(OR($B93="",COUNT($E93:$K93)=0),"",SUMPRODUCT((MOD(COLUMN($E93:$K93)-COLUMN($E93)-3,7)&lt;MAX(1,MIN(7,N($L93))))*$E93:$K93)*(1+N(Configuración!$C$3)))</f>
        <v/>
      </c>
      <c r="Q93" s="19">
        <f>IF(OR($B93="",COUNT($E93:$K93)=0),"",SUMPRODUCT((MOD(COLUMN($E93:$K93)-COLUMN($E93)-4,7)&lt;MAX(1,MIN(7,N($L93))))*$E93:$K93)*(1+N(Configuración!$C$3)))</f>
        <v/>
      </c>
      <c r="R93" s="19">
        <f>IF(OR($B93="",COUNT($E93:$K93)=0),"",SUMPRODUCT((MOD(COLUMN($E93:$K93)-COLUMN($E93)-5,7)&lt;MAX(1,MIN(7,N($L93))))*$E93:$K93)*(1+N(Configuración!$C$3)))</f>
        <v/>
      </c>
      <c r="S93" s="19">
        <f>IF(OR($B93="",COUNT($E93:$K93)=0),"",SUMPRODUCT((MOD(COLUMN($E93:$K93)-COLUMN($E93)-6,7)&lt;MAX(1,MIN(7,N($L93))))*$E93:$K93)*(1+N(Configuración!$C$3)))</f>
        <v/>
      </c>
      <c r="T93" s="17" t="n"/>
    </row>
    <row r="94">
      <c r="A94" s="17" t="n"/>
      <c r="B94" s="17" t="n"/>
      <c r="C94" s="17" t="n"/>
      <c r="D94" s="17" t="n"/>
      <c r="E94" s="18" t="n"/>
      <c r="F94" s="18" t="n"/>
      <c r="G94" s="18" t="n"/>
      <c r="H94" s="18" t="n"/>
      <c r="I94" s="18" t="n"/>
      <c r="J94" s="18" t="n"/>
      <c r="K94" s="18" t="n"/>
      <c r="L94" s="17" t="n"/>
      <c r="M94" s="19">
        <f>IF(OR($B94="",COUNT($E94:$K94)=0),"",SUMPRODUCT((MOD(COLUMN($E94:$K94)-COLUMN($E94)-0,7)&lt;MAX(1,MIN(7,N($L94))))*$E94:$K94)*(1+N(Configuración!$C$3)))</f>
        <v/>
      </c>
      <c r="N94" s="19">
        <f>IF(OR($B94="",COUNT($E94:$K94)=0),"",SUMPRODUCT((MOD(COLUMN($E94:$K94)-COLUMN($E94)-1,7)&lt;MAX(1,MIN(7,N($L94))))*$E94:$K94)*(1+N(Configuración!$C$3)))</f>
        <v/>
      </c>
      <c r="O94" s="19">
        <f>IF(OR($B94="",COUNT($E94:$K94)=0),"",SUMPRODUCT((MOD(COLUMN($E94:$K94)-COLUMN($E94)-2,7)&lt;MAX(1,MIN(7,N($L94))))*$E94:$K94)*(1+N(Configuración!$C$3)))</f>
        <v/>
      </c>
      <c r="P94" s="19">
        <f>IF(OR($B94="",COUNT($E94:$K94)=0),"",SUMPRODUCT((MOD(COLUMN($E94:$K94)-COLUMN($E94)-3,7)&lt;MAX(1,MIN(7,N($L94))))*$E94:$K94)*(1+N(Configuración!$C$3)))</f>
        <v/>
      </c>
      <c r="Q94" s="19">
        <f>IF(OR($B94="",COUNT($E94:$K94)=0),"",SUMPRODUCT((MOD(COLUMN($E94:$K94)-COLUMN($E94)-4,7)&lt;MAX(1,MIN(7,N($L94))))*$E94:$K94)*(1+N(Configuración!$C$3)))</f>
        <v/>
      </c>
      <c r="R94" s="19">
        <f>IF(OR($B94="",COUNT($E94:$K94)=0),"",SUMPRODUCT((MOD(COLUMN($E94:$K94)-COLUMN($E94)-5,7)&lt;MAX(1,MIN(7,N($L94))))*$E94:$K94)*(1+N(Configuración!$C$3)))</f>
        <v/>
      </c>
      <c r="S94" s="19">
        <f>IF(OR($B94="",COUNT($E94:$K94)=0),"",SUMPRODUCT((MOD(COLUMN($E94:$K94)-COLUMN($E94)-6,7)&lt;MAX(1,MIN(7,N($L94))))*$E94:$K94)*(1+N(Configuración!$C$3)))</f>
        <v/>
      </c>
      <c r="T94" s="17" t="n"/>
    </row>
    <row r="95">
      <c r="A95" s="17" t="n"/>
      <c r="B95" s="17" t="n"/>
      <c r="C95" s="17" t="n"/>
      <c r="D95" s="17" t="n"/>
      <c r="E95" s="18" t="n"/>
      <c r="F95" s="18" t="n"/>
      <c r="G95" s="18" t="n"/>
      <c r="H95" s="18" t="n"/>
      <c r="I95" s="18" t="n"/>
      <c r="J95" s="18" t="n"/>
      <c r="K95" s="18" t="n"/>
      <c r="L95" s="17" t="n"/>
      <c r="M95" s="19">
        <f>IF(OR($B95="",COUNT($E95:$K95)=0),"",SUMPRODUCT((MOD(COLUMN($E95:$K95)-COLUMN($E95)-0,7)&lt;MAX(1,MIN(7,N($L95))))*$E95:$K95)*(1+N(Configuración!$C$3)))</f>
        <v/>
      </c>
      <c r="N95" s="19">
        <f>IF(OR($B95="",COUNT($E95:$K95)=0),"",SUMPRODUCT((MOD(COLUMN($E95:$K95)-COLUMN($E95)-1,7)&lt;MAX(1,MIN(7,N($L95))))*$E95:$K95)*(1+N(Configuración!$C$3)))</f>
        <v/>
      </c>
      <c r="O95" s="19">
        <f>IF(OR($B95="",COUNT($E95:$K95)=0),"",SUMPRODUCT((MOD(COLUMN($E95:$K95)-COLUMN($E95)-2,7)&lt;MAX(1,MIN(7,N($L95))))*$E95:$K95)*(1+N(Configuración!$C$3)))</f>
        <v/>
      </c>
      <c r="P95" s="19">
        <f>IF(OR($B95="",COUNT($E95:$K95)=0),"",SUMPRODUCT((MOD(COLUMN($E95:$K95)-COLUMN($E95)-3,7)&lt;MAX(1,MIN(7,N($L95))))*$E95:$K95)*(1+N(Configuración!$C$3)))</f>
        <v/>
      </c>
      <c r="Q95" s="19">
        <f>IF(OR($B95="",COUNT($E95:$K95)=0),"",SUMPRODUCT((MOD(COLUMN($E95:$K95)-COLUMN($E95)-4,7)&lt;MAX(1,MIN(7,N($L95))))*$E95:$K95)*(1+N(Configuración!$C$3)))</f>
        <v/>
      </c>
      <c r="R95" s="19">
        <f>IF(OR($B95="",COUNT($E95:$K95)=0),"",SUMPRODUCT((MOD(COLUMN($E95:$K95)-COLUMN($E95)-5,7)&lt;MAX(1,MIN(7,N($L95))))*$E95:$K95)*(1+N(Configuración!$C$3)))</f>
        <v/>
      </c>
      <c r="S95" s="19">
        <f>IF(OR($B95="",COUNT($E95:$K95)=0),"",SUMPRODUCT((MOD(COLUMN($E95:$K95)-COLUMN($E95)-6,7)&lt;MAX(1,MIN(7,N($L95))))*$E95:$K95)*(1+N(Configuración!$C$3)))</f>
        <v/>
      </c>
      <c r="T95" s="17" t="n"/>
    </row>
    <row r="96">
      <c r="A96" s="17" t="n"/>
      <c r="B96" s="17" t="n"/>
      <c r="C96" s="17" t="n"/>
      <c r="D96" s="17" t="n"/>
      <c r="E96" s="18" t="n"/>
      <c r="F96" s="18" t="n"/>
      <c r="G96" s="18" t="n"/>
      <c r="H96" s="18" t="n"/>
      <c r="I96" s="18" t="n"/>
      <c r="J96" s="18" t="n"/>
      <c r="K96" s="18" t="n"/>
      <c r="L96" s="17" t="n"/>
      <c r="M96" s="19">
        <f>IF(OR($B96="",COUNT($E96:$K96)=0),"",SUMPRODUCT((MOD(COLUMN($E96:$K96)-COLUMN($E96)-0,7)&lt;MAX(1,MIN(7,N($L96))))*$E96:$K96)*(1+N(Configuración!$C$3)))</f>
        <v/>
      </c>
      <c r="N96" s="19">
        <f>IF(OR($B96="",COUNT($E96:$K96)=0),"",SUMPRODUCT((MOD(COLUMN($E96:$K96)-COLUMN($E96)-1,7)&lt;MAX(1,MIN(7,N($L96))))*$E96:$K96)*(1+N(Configuración!$C$3)))</f>
        <v/>
      </c>
      <c r="O96" s="19">
        <f>IF(OR($B96="",COUNT($E96:$K96)=0),"",SUMPRODUCT((MOD(COLUMN($E96:$K96)-COLUMN($E96)-2,7)&lt;MAX(1,MIN(7,N($L96))))*$E96:$K96)*(1+N(Configuración!$C$3)))</f>
        <v/>
      </c>
      <c r="P96" s="19">
        <f>IF(OR($B96="",COUNT($E96:$K96)=0),"",SUMPRODUCT((MOD(COLUMN($E96:$K96)-COLUMN($E96)-3,7)&lt;MAX(1,MIN(7,N($L96))))*$E96:$K96)*(1+N(Configuración!$C$3)))</f>
        <v/>
      </c>
      <c r="Q96" s="19">
        <f>IF(OR($B96="",COUNT($E96:$K96)=0),"",SUMPRODUCT((MOD(COLUMN($E96:$K96)-COLUMN($E96)-4,7)&lt;MAX(1,MIN(7,N($L96))))*$E96:$K96)*(1+N(Configuración!$C$3)))</f>
        <v/>
      </c>
      <c r="R96" s="19">
        <f>IF(OR($B96="",COUNT($E96:$K96)=0),"",SUMPRODUCT((MOD(COLUMN($E96:$K96)-COLUMN($E96)-5,7)&lt;MAX(1,MIN(7,N($L96))))*$E96:$K96)*(1+N(Configuración!$C$3)))</f>
        <v/>
      </c>
      <c r="S96" s="19">
        <f>IF(OR($B96="",COUNT($E96:$K96)=0),"",SUMPRODUCT((MOD(COLUMN($E96:$K96)-COLUMN($E96)-6,7)&lt;MAX(1,MIN(7,N($L96))))*$E96:$K96)*(1+N(Configuración!$C$3)))</f>
        <v/>
      </c>
      <c r="T96" s="17" t="n"/>
    </row>
    <row r="97">
      <c r="A97" s="17" t="n"/>
      <c r="B97" s="17" t="n"/>
      <c r="C97" s="17" t="n"/>
      <c r="D97" s="17" t="n"/>
      <c r="E97" s="18" t="n"/>
      <c r="F97" s="18" t="n"/>
      <c r="G97" s="18" t="n"/>
      <c r="H97" s="18" t="n"/>
      <c r="I97" s="18" t="n"/>
      <c r="J97" s="18" t="n"/>
      <c r="K97" s="18" t="n"/>
      <c r="L97" s="17" t="n"/>
      <c r="M97" s="19">
        <f>IF(OR($B97="",COUNT($E97:$K97)=0),"",SUMPRODUCT((MOD(COLUMN($E97:$K97)-COLUMN($E97)-0,7)&lt;MAX(1,MIN(7,N($L97))))*$E97:$K97)*(1+N(Configuración!$C$3)))</f>
        <v/>
      </c>
      <c r="N97" s="19">
        <f>IF(OR($B97="",COUNT($E97:$K97)=0),"",SUMPRODUCT((MOD(COLUMN($E97:$K97)-COLUMN($E97)-1,7)&lt;MAX(1,MIN(7,N($L97))))*$E97:$K97)*(1+N(Configuración!$C$3)))</f>
        <v/>
      </c>
      <c r="O97" s="19">
        <f>IF(OR($B97="",COUNT($E97:$K97)=0),"",SUMPRODUCT((MOD(COLUMN($E97:$K97)-COLUMN($E97)-2,7)&lt;MAX(1,MIN(7,N($L97))))*$E97:$K97)*(1+N(Configuración!$C$3)))</f>
        <v/>
      </c>
      <c r="P97" s="19">
        <f>IF(OR($B97="",COUNT($E97:$K97)=0),"",SUMPRODUCT((MOD(COLUMN($E97:$K97)-COLUMN($E97)-3,7)&lt;MAX(1,MIN(7,N($L97))))*$E97:$K97)*(1+N(Configuración!$C$3)))</f>
        <v/>
      </c>
      <c r="Q97" s="19">
        <f>IF(OR($B97="",COUNT($E97:$K97)=0),"",SUMPRODUCT((MOD(COLUMN($E97:$K97)-COLUMN($E97)-4,7)&lt;MAX(1,MIN(7,N($L97))))*$E97:$K97)*(1+N(Configuración!$C$3)))</f>
        <v/>
      </c>
      <c r="R97" s="19">
        <f>IF(OR($B97="",COUNT($E97:$K97)=0),"",SUMPRODUCT((MOD(COLUMN($E97:$K97)-COLUMN($E97)-5,7)&lt;MAX(1,MIN(7,N($L97))))*$E97:$K97)*(1+N(Configuración!$C$3)))</f>
        <v/>
      </c>
      <c r="S97" s="19">
        <f>IF(OR($B97="",COUNT($E97:$K97)=0),"",SUMPRODUCT((MOD(COLUMN($E97:$K97)-COLUMN($E97)-6,7)&lt;MAX(1,MIN(7,N($L97))))*$E97:$K97)*(1+N(Configuración!$C$3)))</f>
        <v/>
      </c>
      <c r="T97" s="17" t="n"/>
    </row>
    <row r="98">
      <c r="A98" s="17" t="n"/>
      <c r="B98" s="17" t="n"/>
      <c r="C98" s="17" t="n"/>
      <c r="D98" s="17" t="n"/>
      <c r="E98" s="18" t="n"/>
      <c r="F98" s="18" t="n"/>
      <c r="G98" s="18" t="n"/>
      <c r="H98" s="18" t="n"/>
      <c r="I98" s="18" t="n"/>
      <c r="J98" s="18" t="n"/>
      <c r="K98" s="18" t="n"/>
      <c r="L98" s="17" t="n"/>
      <c r="M98" s="19">
        <f>IF(OR($B98="",COUNT($E98:$K98)=0),"",SUMPRODUCT((MOD(COLUMN($E98:$K98)-COLUMN($E98)-0,7)&lt;MAX(1,MIN(7,N($L98))))*$E98:$K98)*(1+N(Configuración!$C$3)))</f>
        <v/>
      </c>
      <c r="N98" s="19">
        <f>IF(OR($B98="",COUNT($E98:$K98)=0),"",SUMPRODUCT((MOD(COLUMN($E98:$K98)-COLUMN($E98)-1,7)&lt;MAX(1,MIN(7,N($L98))))*$E98:$K98)*(1+N(Configuración!$C$3)))</f>
        <v/>
      </c>
      <c r="O98" s="19">
        <f>IF(OR($B98="",COUNT($E98:$K98)=0),"",SUMPRODUCT((MOD(COLUMN($E98:$K98)-COLUMN($E98)-2,7)&lt;MAX(1,MIN(7,N($L98))))*$E98:$K98)*(1+N(Configuración!$C$3)))</f>
        <v/>
      </c>
      <c r="P98" s="19">
        <f>IF(OR($B98="",COUNT($E98:$K98)=0),"",SUMPRODUCT((MOD(COLUMN($E98:$K98)-COLUMN($E98)-3,7)&lt;MAX(1,MIN(7,N($L98))))*$E98:$K98)*(1+N(Configuración!$C$3)))</f>
        <v/>
      </c>
      <c r="Q98" s="19">
        <f>IF(OR($B98="",COUNT($E98:$K98)=0),"",SUMPRODUCT((MOD(COLUMN($E98:$K98)-COLUMN($E98)-4,7)&lt;MAX(1,MIN(7,N($L98))))*$E98:$K98)*(1+N(Configuración!$C$3)))</f>
        <v/>
      </c>
      <c r="R98" s="19">
        <f>IF(OR($B98="",COUNT($E98:$K98)=0),"",SUMPRODUCT((MOD(COLUMN($E98:$K98)-COLUMN($E98)-5,7)&lt;MAX(1,MIN(7,N($L98))))*$E98:$K98)*(1+N(Configuración!$C$3)))</f>
        <v/>
      </c>
      <c r="S98" s="19">
        <f>IF(OR($B98="",COUNT($E98:$K98)=0),"",SUMPRODUCT((MOD(COLUMN($E98:$K98)-COLUMN($E98)-6,7)&lt;MAX(1,MIN(7,N($L98))))*$E98:$K98)*(1+N(Configuración!$C$3)))</f>
        <v/>
      </c>
      <c r="T98" s="17" t="n"/>
    </row>
    <row r="99">
      <c r="A99" s="17" t="n"/>
      <c r="B99" s="17" t="n"/>
      <c r="C99" s="17" t="n"/>
      <c r="D99" s="17" t="n"/>
      <c r="E99" s="18" t="n"/>
      <c r="F99" s="18" t="n"/>
      <c r="G99" s="18" t="n"/>
      <c r="H99" s="18" t="n"/>
      <c r="I99" s="18" t="n"/>
      <c r="J99" s="18" t="n"/>
      <c r="K99" s="18" t="n"/>
      <c r="L99" s="17" t="n"/>
      <c r="M99" s="19">
        <f>IF(OR($B99="",COUNT($E99:$K99)=0),"",SUMPRODUCT((MOD(COLUMN($E99:$K99)-COLUMN($E99)-0,7)&lt;MAX(1,MIN(7,N($L99))))*$E99:$K99)*(1+N(Configuración!$C$3)))</f>
        <v/>
      </c>
      <c r="N99" s="19">
        <f>IF(OR($B99="",COUNT($E99:$K99)=0),"",SUMPRODUCT((MOD(COLUMN($E99:$K99)-COLUMN($E99)-1,7)&lt;MAX(1,MIN(7,N($L99))))*$E99:$K99)*(1+N(Configuración!$C$3)))</f>
        <v/>
      </c>
      <c r="O99" s="19">
        <f>IF(OR($B99="",COUNT($E99:$K99)=0),"",SUMPRODUCT((MOD(COLUMN($E99:$K99)-COLUMN($E99)-2,7)&lt;MAX(1,MIN(7,N($L99))))*$E99:$K99)*(1+N(Configuración!$C$3)))</f>
        <v/>
      </c>
      <c r="P99" s="19">
        <f>IF(OR($B99="",COUNT($E99:$K99)=0),"",SUMPRODUCT((MOD(COLUMN($E99:$K99)-COLUMN($E99)-3,7)&lt;MAX(1,MIN(7,N($L99))))*$E99:$K99)*(1+N(Configuración!$C$3)))</f>
        <v/>
      </c>
      <c r="Q99" s="19">
        <f>IF(OR($B99="",COUNT($E99:$K99)=0),"",SUMPRODUCT((MOD(COLUMN($E99:$K99)-COLUMN($E99)-4,7)&lt;MAX(1,MIN(7,N($L99))))*$E99:$K99)*(1+N(Configuración!$C$3)))</f>
        <v/>
      </c>
      <c r="R99" s="19">
        <f>IF(OR($B99="",COUNT($E99:$K99)=0),"",SUMPRODUCT((MOD(COLUMN($E99:$K99)-COLUMN($E99)-5,7)&lt;MAX(1,MIN(7,N($L99))))*$E99:$K99)*(1+N(Configuración!$C$3)))</f>
        <v/>
      </c>
      <c r="S99" s="19">
        <f>IF(OR($B99="",COUNT($E99:$K99)=0),"",SUMPRODUCT((MOD(COLUMN($E99:$K99)-COLUMN($E99)-6,7)&lt;MAX(1,MIN(7,N($L99))))*$E99:$K99)*(1+N(Configuración!$C$3)))</f>
        <v/>
      </c>
      <c r="T99" s="17" t="n"/>
    </row>
    <row r="100">
      <c r="A100" s="17" t="n"/>
      <c r="B100" s="17" t="n"/>
      <c r="C100" s="17" t="n"/>
      <c r="D100" s="17" t="n"/>
      <c r="E100" s="18" t="n"/>
      <c r="F100" s="18" t="n"/>
      <c r="G100" s="18" t="n"/>
      <c r="H100" s="18" t="n"/>
      <c r="I100" s="18" t="n"/>
      <c r="J100" s="18" t="n"/>
      <c r="K100" s="18" t="n"/>
      <c r="L100" s="17" t="n"/>
      <c r="M100" s="19">
        <f>IF(OR($B100="",COUNT($E100:$K100)=0),"",SUMPRODUCT((MOD(COLUMN($E100:$K100)-COLUMN($E100)-0,7)&lt;MAX(1,MIN(7,N($L100))))*$E100:$K100)*(1+N(Configuración!$C$3)))</f>
        <v/>
      </c>
      <c r="N100" s="19">
        <f>IF(OR($B100="",COUNT($E100:$K100)=0),"",SUMPRODUCT((MOD(COLUMN($E100:$K100)-COLUMN($E100)-1,7)&lt;MAX(1,MIN(7,N($L100))))*$E100:$K100)*(1+N(Configuración!$C$3)))</f>
        <v/>
      </c>
      <c r="O100" s="19">
        <f>IF(OR($B100="",COUNT($E100:$K100)=0),"",SUMPRODUCT((MOD(COLUMN($E100:$K100)-COLUMN($E100)-2,7)&lt;MAX(1,MIN(7,N($L100))))*$E100:$K100)*(1+N(Configuración!$C$3)))</f>
        <v/>
      </c>
      <c r="P100" s="19">
        <f>IF(OR($B100="",COUNT($E100:$K100)=0),"",SUMPRODUCT((MOD(COLUMN($E100:$K100)-COLUMN($E100)-3,7)&lt;MAX(1,MIN(7,N($L100))))*$E100:$K100)*(1+N(Configuración!$C$3)))</f>
        <v/>
      </c>
      <c r="Q100" s="19">
        <f>IF(OR($B100="",COUNT($E100:$K100)=0),"",SUMPRODUCT((MOD(COLUMN($E100:$K100)-COLUMN($E100)-4,7)&lt;MAX(1,MIN(7,N($L100))))*$E100:$K100)*(1+N(Configuración!$C$3)))</f>
        <v/>
      </c>
      <c r="R100" s="19">
        <f>IF(OR($B100="",COUNT($E100:$K100)=0),"",SUMPRODUCT((MOD(COLUMN($E100:$K100)-COLUMN($E100)-5,7)&lt;MAX(1,MIN(7,N($L100))))*$E100:$K100)*(1+N(Configuración!$C$3)))</f>
        <v/>
      </c>
      <c r="S100" s="19">
        <f>IF(OR($B100="",COUNT($E100:$K100)=0),"",SUMPRODUCT((MOD(COLUMN($E100:$K100)-COLUMN($E100)-6,7)&lt;MAX(1,MIN(7,N($L100))))*$E100:$K100)*(1+N(Configuración!$C$3)))</f>
        <v/>
      </c>
      <c r="T100" s="17" t="n"/>
    </row>
    <row r="101">
      <c r="A101" s="17" t="n"/>
      <c r="B101" s="17" t="n"/>
      <c r="C101" s="17" t="n"/>
      <c r="D101" s="17" t="n"/>
      <c r="E101" s="18" t="n"/>
      <c r="F101" s="18" t="n"/>
      <c r="G101" s="18" t="n"/>
      <c r="H101" s="18" t="n"/>
      <c r="I101" s="18" t="n"/>
      <c r="J101" s="18" t="n"/>
      <c r="K101" s="18" t="n"/>
      <c r="L101" s="17" t="n"/>
      <c r="M101" s="19">
        <f>IF(OR($B101="",COUNT($E101:$K101)=0),"",SUMPRODUCT((MOD(COLUMN($E101:$K101)-COLUMN($E101)-0,7)&lt;MAX(1,MIN(7,N($L101))))*$E101:$K101)*(1+N(Configuración!$C$3)))</f>
        <v/>
      </c>
      <c r="N101" s="19">
        <f>IF(OR($B101="",COUNT($E101:$K101)=0),"",SUMPRODUCT((MOD(COLUMN($E101:$K101)-COLUMN($E101)-1,7)&lt;MAX(1,MIN(7,N($L101))))*$E101:$K101)*(1+N(Configuración!$C$3)))</f>
        <v/>
      </c>
      <c r="O101" s="19">
        <f>IF(OR($B101="",COUNT($E101:$K101)=0),"",SUMPRODUCT((MOD(COLUMN($E101:$K101)-COLUMN($E101)-2,7)&lt;MAX(1,MIN(7,N($L101))))*$E101:$K101)*(1+N(Configuración!$C$3)))</f>
        <v/>
      </c>
      <c r="P101" s="19">
        <f>IF(OR($B101="",COUNT($E101:$K101)=0),"",SUMPRODUCT((MOD(COLUMN($E101:$K101)-COLUMN($E101)-3,7)&lt;MAX(1,MIN(7,N($L101))))*$E101:$K101)*(1+N(Configuración!$C$3)))</f>
        <v/>
      </c>
      <c r="Q101" s="19">
        <f>IF(OR($B101="",COUNT($E101:$K101)=0),"",SUMPRODUCT((MOD(COLUMN($E101:$K101)-COLUMN($E101)-4,7)&lt;MAX(1,MIN(7,N($L101))))*$E101:$K101)*(1+N(Configuración!$C$3)))</f>
        <v/>
      </c>
      <c r="R101" s="19">
        <f>IF(OR($B101="",COUNT($E101:$K101)=0),"",SUMPRODUCT((MOD(COLUMN($E101:$K101)-COLUMN($E101)-5,7)&lt;MAX(1,MIN(7,N($L101))))*$E101:$K101)*(1+N(Configuración!$C$3)))</f>
        <v/>
      </c>
      <c r="S101" s="19">
        <f>IF(OR($B101="",COUNT($E101:$K101)=0),"",SUMPRODUCT((MOD(COLUMN($E101:$K101)-COLUMN($E101)-6,7)&lt;MAX(1,MIN(7,N($L101))))*$E101:$K101)*(1+N(Configuración!$C$3)))</f>
        <v/>
      </c>
      <c r="T101" s="17" t="n"/>
    </row>
    <row r="102">
      <c r="A102" s="17" t="n"/>
      <c r="B102" s="17" t="n"/>
      <c r="C102" s="17" t="n"/>
      <c r="D102" s="17" t="n"/>
      <c r="E102" s="18" t="n"/>
      <c r="F102" s="18" t="n"/>
      <c r="G102" s="18" t="n"/>
      <c r="H102" s="18" t="n"/>
      <c r="I102" s="18" t="n"/>
      <c r="J102" s="18" t="n"/>
      <c r="K102" s="18" t="n"/>
      <c r="L102" s="17" t="n"/>
      <c r="M102" s="19">
        <f>IF(OR($B102="",COUNT($E102:$K102)=0),"",SUMPRODUCT((MOD(COLUMN($E102:$K102)-COLUMN($E102)-0,7)&lt;MAX(1,MIN(7,N($L102))))*$E102:$K102)*(1+N(Configuración!$C$3)))</f>
        <v/>
      </c>
      <c r="N102" s="19">
        <f>IF(OR($B102="",COUNT($E102:$K102)=0),"",SUMPRODUCT((MOD(COLUMN($E102:$K102)-COLUMN($E102)-1,7)&lt;MAX(1,MIN(7,N($L102))))*$E102:$K102)*(1+N(Configuración!$C$3)))</f>
        <v/>
      </c>
      <c r="O102" s="19">
        <f>IF(OR($B102="",COUNT($E102:$K102)=0),"",SUMPRODUCT((MOD(COLUMN($E102:$K102)-COLUMN($E102)-2,7)&lt;MAX(1,MIN(7,N($L102))))*$E102:$K102)*(1+N(Configuración!$C$3)))</f>
        <v/>
      </c>
      <c r="P102" s="19">
        <f>IF(OR($B102="",COUNT($E102:$K102)=0),"",SUMPRODUCT((MOD(COLUMN($E102:$K102)-COLUMN($E102)-3,7)&lt;MAX(1,MIN(7,N($L102))))*$E102:$K102)*(1+N(Configuración!$C$3)))</f>
        <v/>
      </c>
      <c r="Q102" s="19">
        <f>IF(OR($B102="",COUNT($E102:$K102)=0),"",SUMPRODUCT((MOD(COLUMN($E102:$K102)-COLUMN($E102)-4,7)&lt;MAX(1,MIN(7,N($L102))))*$E102:$K102)*(1+N(Configuración!$C$3)))</f>
        <v/>
      </c>
      <c r="R102" s="19">
        <f>IF(OR($B102="",COUNT($E102:$K102)=0),"",SUMPRODUCT((MOD(COLUMN($E102:$K102)-COLUMN($E102)-5,7)&lt;MAX(1,MIN(7,N($L102))))*$E102:$K102)*(1+N(Configuración!$C$3)))</f>
        <v/>
      </c>
      <c r="S102" s="19">
        <f>IF(OR($B102="",COUNT($E102:$K102)=0),"",SUMPRODUCT((MOD(COLUMN($E102:$K102)-COLUMN($E102)-6,7)&lt;MAX(1,MIN(7,N($L102))))*$E102:$K102)*(1+N(Configuración!$C$3)))</f>
        <v/>
      </c>
      <c r="T102" s="17" t="n"/>
    </row>
    <row r="103">
      <c r="A103" s="17" t="n"/>
      <c r="B103" s="17" t="n"/>
      <c r="C103" s="17" t="n"/>
      <c r="D103" s="17" t="n"/>
      <c r="E103" s="18" t="n"/>
      <c r="F103" s="18" t="n"/>
      <c r="G103" s="18" t="n"/>
      <c r="H103" s="18" t="n"/>
      <c r="I103" s="18" t="n"/>
      <c r="J103" s="18" t="n"/>
      <c r="K103" s="18" t="n"/>
      <c r="L103" s="17" t="n"/>
      <c r="M103" s="19">
        <f>IF(OR($B103="",COUNT($E103:$K103)=0),"",SUMPRODUCT((MOD(COLUMN($E103:$K103)-COLUMN($E103)-0,7)&lt;MAX(1,MIN(7,N($L103))))*$E103:$K103)*(1+N(Configuración!$C$3)))</f>
        <v/>
      </c>
      <c r="N103" s="19">
        <f>IF(OR($B103="",COUNT($E103:$K103)=0),"",SUMPRODUCT((MOD(COLUMN($E103:$K103)-COLUMN($E103)-1,7)&lt;MAX(1,MIN(7,N($L103))))*$E103:$K103)*(1+N(Configuración!$C$3)))</f>
        <v/>
      </c>
      <c r="O103" s="19">
        <f>IF(OR($B103="",COUNT($E103:$K103)=0),"",SUMPRODUCT((MOD(COLUMN($E103:$K103)-COLUMN($E103)-2,7)&lt;MAX(1,MIN(7,N($L103))))*$E103:$K103)*(1+N(Configuración!$C$3)))</f>
        <v/>
      </c>
      <c r="P103" s="19">
        <f>IF(OR($B103="",COUNT($E103:$K103)=0),"",SUMPRODUCT((MOD(COLUMN($E103:$K103)-COLUMN($E103)-3,7)&lt;MAX(1,MIN(7,N($L103))))*$E103:$K103)*(1+N(Configuración!$C$3)))</f>
        <v/>
      </c>
      <c r="Q103" s="19">
        <f>IF(OR($B103="",COUNT($E103:$K103)=0),"",SUMPRODUCT((MOD(COLUMN($E103:$K103)-COLUMN($E103)-4,7)&lt;MAX(1,MIN(7,N($L103))))*$E103:$K103)*(1+N(Configuración!$C$3)))</f>
        <v/>
      </c>
      <c r="R103" s="19">
        <f>IF(OR($B103="",COUNT($E103:$K103)=0),"",SUMPRODUCT((MOD(COLUMN($E103:$K103)-COLUMN($E103)-5,7)&lt;MAX(1,MIN(7,N($L103))))*$E103:$K103)*(1+N(Configuración!$C$3)))</f>
        <v/>
      </c>
      <c r="S103" s="19">
        <f>IF(OR($B103="",COUNT($E103:$K103)=0),"",SUMPRODUCT((MOD(COLUMN($E103:$K103)-COLUMN($E103)-6,7)&lt;MAX(1,MIN(7,N($L103))))*$E103:$K103)*(1+N(Configuración!$C$3)))</f>
        <v/>
      </c>
      <c r="T103" s="17" t="n"/>
    </row>
    <row r="104">
      <c r="A104" s="17" t="n"/>
      <c r="B104" s="17" t="n"/>
      <c r="C104" s="17" t="n"/>
      <c r="D104" s="17" t="n"/>
      <c r="E104" s="18" t="n"/>
      <c r="F104" s="18" t="n"/>
      <c r="G104" s="18" t="n"/>
      <c r="H104" s="18" t="n"/>
      <c r="I104" s="18" t="n"/>
      <c r="J104" s="18" t="n"/>
      <c r="K104" s="18" t="n"/>
      <c r="L104" s="17" t="n"/>
      <c r="M104" s="19">
        <f>IF(OR($B104="",COUNT($E104:$K104)=0),"",SUMPRODUCT((MOD(COLUMN($E104:$K104)-COLUMN($E104)-0,7)&lt;MAX(1,MIN(7,N($L104))))*$E104:$K104)*(1+N(Configuración!$C$3)))</f>
        <v/>
      </c>
      <c r="N104" s="19">
        <f>IF(OR($B104="",COUNT($E104:$K104)=0),"",SUMPRODUCT((MOD(COLUMN($E104:$K104)-COLUMN($E104)-1,7)&lt;MAX(1,MIN(7,N($L104))))*$E104:$K104)*(1+N(Configuración!$C$3)))</f>
        <v/>
      </c>
      <c r="O104" s="19">
        <f>IF(OR($B104="",COUNT($E104:$K104)=0),"",SUMPRODUCT((MOD(COLUMN($E104:$K104)-COLUMN($E104)-2,7)&lt;MAX(1,MIN(7,N($L104))))*$E104:$K104)*(1+N(Configuración!$C$3)))</f>
        <v/>
      </c>
      <c r="P104" s="19">
        <f>IF(OR($B104="",COUNT($E104:$K104)=0),"",SUMPRODUCT((MOD(COLUMN($E104:$K104)-COLUMN($E104)-3,7)&lt;MAX(1,MIN(7,N($L104))))*$E104:$K104)*(1+N(Configuración!$C$3)))</f>
        <v/>
      </c>
      <c r="Q104" s="19">
        <f>IF(OR($B104="",COUNT($E104:$K104)=0),"",SUMPRODUCT((MOD(COLUMN($E104:$K104)-COLUMN($E104)-4,7)&lt;MAX(1,MIN(7,N($L104))))*$E104:$K104)*(1+N(Configuración!$C$3)))</f>
        <v/>
      </c>
      <c r="R104" s="19">
        <f>IF(OR($B104="",COUNT($E104:$K104)=0),"",SUMPRODUCT((MOD(COLUMN($E104:$K104)-COLUMN($E104)-5,7)&lt;MAX(1,MIN(7,N($L104))))*$E104:$K104)*(1+N(Configuración!$C$3)))</f>
        <v/>
      </c>
      <c r="S104" s="19">
        <f>IF(OR($B104="",COUNT($E104:$K104)=0),"",SUMPRODUCT((MOD(COLUMN($E104:$K104)-COLUMN($E104)-6,7)&lt;MAX(1,MIN(7,N($L104))))*$E104:$K104)*(1+N(Configuración!$C$3)))</f>
        <v/>
      </c>
      <c r="T104" s="17" t="n"/>
    </row>
    <row r="105">
      <c r="A105" s="17" t="n"/>
      <c r="B105" s="17" t="n"/>
      <c r="C105" s="17" t="n"/>
      <c r="D105" s="17" t="n"/>
      <c r="E105" s="18" t="n"/>
      <c r="F105" s="18" t="n"/>
      <c r="G105" s="18" t="n"/>
      <c r="H105" s="18" t="n"/>
      <c r="I105" s="18" t="n"/>
      <c r="J105" s="18" t="n"/>
      <c r="K105" s="18" t="n"/>
      <c r="L105" s="17" t="n"/>
      <c r="M105" s="19">
        <f>IF(OR($B105="",COUNT($E105:$K105)=0),"",SUMPRODUCT((MOD(COLUMN($E105:$K105)-COLUMN($E105)-0,7)&lt;MAX(1,MIN(7,N($L105))))*$E105:$K105)*(1+N(Configuración!$C$3)))</f>
        <v/>
      </c>
      <c r="N105" s="19">
        <f>IF(OR($B105="",COUNT($E105:$K105)=0),"",SUMPRODUCT((MOD(COLUMN($E105:$K105)-COLUMN($E105)-1,7)&lt;MAX(1,MIN(7,N($L105))))*$E105:$K105)*(1+N(Configuración!$C$3)))</f>
        <v/>
      </c>
      <c r="O105" s="19">
        <f>IF(OR($B105="",COUNT($E105:$K105)=0),"",SUMPRODUCT((MOD(COLUMN($E105:$K105)-COLUMN($E105)-2,7)&lt;MAX(1,MIN(7,N($L105))))*$E105:$K105)*(1+N(Configuración!$C$3)))</f>
        <v/>
      </c>
      <c r="P105" s="19">
        <f>IF(OR($B105="",COUNT($E105:$K105)=0),"",SUMPRODUCT((MOD(COLUMN($E105:$K105)-COLUMN($E105)-3,7)&lt;MAX(1,MIN(7,N($L105))))*$E105:$K105)*(1+N(Configuración!$C$3)))</f>
        <v/>
      </c>
      <c r="Q105" s="19">
        <f>IF(OR($B105="",COUNT($E105:$K105)=0),"",SUMPRODUCT((MOD(COLUMN($E105:$K105)-COLUMN($E105)-4,7)&lt;MAX(1,MIN(7,N($L105))))*$E105:$K105)*(1+N(Configuración!$C$3)))</f>
        <v/>
      </c>
      <c r="R105" s="19">
        <f>IF(OR($B105="",COUNT($E105:$K105)=0),"",SUMPRODUCT((MOD(COLUMN($E105:$K105)-COLUMN($E105)-5,7)&lt;MAX(1,MIN(7,N($L105))))*$E105:$K105)*(1+N(Configuración!$C$3)))</f>
        <v/>
      </c>
      <c r="S105" s="19">
        <f>IF(OR($B105="",COUNT($E105:$K105)=0),"",SUMPRODUCT((MOD(COLUMN($E105:$K105)-COLUMN($E105)-6,7)&lt;MAX(1,MIN(7,N($L105))))*$E105:$K105)*(1+N(Configuración!$C$3)))</f>
        <v/>
      </c>
      <c r="T105" s="17" t="n"/>
    </row>
    <row r="106">
      <c r="A106" s="17" t="n"/>
      <c r="B106" s="17" t="n"/>
      <c r="C106" s="17" t="n"/>
      <c r="D106" s="17" t="n"/>
      <c r="E106" s="18" t="n"/>
      <c r="F106" s="18" t="n"/>
      <c r="G106" s="18" t="n"/>
      <c r="H106" s="18" t="n"/>
      <c r="I106" s="18" t="n"/>
      <c r="J106" s="18" t="n"/>
      <c r="K106" s="18" t="n"/>
      <c r="L106" s="17" t="n"/>
      <c r="M106" s="19">
        <f>IF(OR($B106="",COUNT($E106:$K106)=0),"",SUMPRODUCT((MOD(COLUMN($E106:$K106)-COLUMN($E106)-0,7)&lt;MAX(1,MIN(7,N($L106))))*$E106:$K106)*(1+N(Configuración!$C$3)))</f>
        <v/>
      </c>
      <c r="N106" s="19">
        <f>IF(OR($B106="",COUNT($E106:$K106)=0),"",SUMPRODUCT((MOD(COLUMN($E106:$K106)-COLUMN($E106)-1,7)&lt;MAX(1,MIN(7,N($L106))))*$E106:$K106)*(1+N(Configuración!$C$3)))</f>
        <v/>
      </c>
      <c r="O106" s="19">
        <f>IF(OR($B106="",COUNT($E106:$K106)=0),"",SUMPRODUCT((MOD(COLUMN($E106:$K106)-COLUMN($E106)-2,7)&lt;MAX(1,MIN(7,N($L106))))*$E106:$K106)*(1+N(Configuración!$C$3)))</f>
        <v/>
      </c>
      <c r="P106" s="19">
        <f>IF(OR($B106="",COUNT($E106:$K106)=0),"",SUMPRODUCT((MOD(COLUMN($E106:$K106)-COLUMN($E106)-3,7)&lt;MAX(1,MIN(7,N($L106))))*$E106:$K106)*(1+N(Configuración!$C$3)))</f>
        <v/>
      </c>
      <c r="Q106" s="19">
        <f>IF(OR($B106="",COUNT($E106:$K106)=0),"",SUMPRODUCT((MOD(COLUMN($E106:$K106)-COLUMN($E106)-4,7)&lt;MAX(1,MIN(7,N($L106))))*$E106:$K106)*(1+N(Configuración!$C$3)))</f>
        <v/>
      </c>
      <c r="R106" s="19">
        <f>IF(OR($B106="",COUNT($E106:$K106)=0),"",SUMPRODUCT((MOD(COLUMN($E106:$K106)-COLUMN($E106)-5,7)&lt;MAX(1,MIN(7,N($L106))))*$E106:$K106)*(1+N(Configuración!$C$3)))</f>
        <v/>
      </c>
      <c r="S106" s="19">
        <f>IF(OR($B106="",COUNT($E106:$K106)=0),"",SUMPRODUCT((MOD(COLUMN($E106:$K106)-COLUMN($E106)-6,7)&lt;MAX(1,MIN(7,N($L106))))*$E106:$K106)*(1+N(Configuración!$C$3)))</f>
        <v/>
      </c>
      <c r="T106" s="17" t="n"/>
    </row>
    <row r="107">
      <c r="A107" s="17" t="n"/>
      <c r="B107" s="17" t="n"/>
      <c r="C107" s="17" t="n"/>
      <c r="D107" s="17" t="n"/>
      <c r="E107" s="18" t="n"/>
      <c r="F107" s="18" t="n"/>
      <c r="G107" s="18" t="n"/>
      <c r="H107" s="18" t="n"/>
      <c r="I107" s="18" t="n"/>
      <c r="J107" s="18" t="n"/>
      <c r="K107" s="18" t="n"/>
      <c r="L107" s="17" t="n"/>
      <c r="M107" s="19">
        <f>IF(OR($B107="",COUNT($E107:$K107)=0),"",SUMPRODUCT((MOD(COLUMN($E107:$K107)-COLUMN($E107)-0,7)&lt;MAX(1,MIN(7,N($L107))))*$E107:$K107)*(1+N(Configuración!$C$3)))</f>
        <v/>
      </c>
      <c r="N107" s="19">
        <f>IF(OR($B107="",COUNT($E107:$K107)=0),"",SUMPRODUCT((MOD(COLUMN($E107:$K107)-COLUMN($E107)-1,7)&lt;MAX(1,MIN(7,N($L107))))*$E107:$K107)*(1+N(Configuración!$C$3)))</f>
        <v/>
      </c>
      <c r="O107" s="19">
        <f>IF(OR($B107="",COUNT($E107:$K107)=0),"",SUMPRODUCT((MOD(COLUMN($E107:$K107)-COLUMN($E107)-2,7)&lt;MAX(1,MIN(7,N($L107))))*$E107:$K107)*(1+N(Configuración!$C$3)))</f>
        <v/>
      </c>
      <c r="P107" s="19">
        <f>IF(OR($B107="",COUNT($E107:$K107)=0),"",SUMPRODUCT((MOD(COLUMN($E107:$K107)-COLUMN($E107)-3,7)&lt;MAX(1,MIN(7,N($L107))))*$E107:$K107)*(1+N(Configuración!$C$3)))</f>
        <v/>
      </c>
      <c r="Q107" s="19">
        <f>IF(OR($B107="",COUNT($E107:$K107)=0),"",SUMPRODUCT((MOD(COLUMN($E107:$K107)-COLUMN($E107)-4,7)&lt;MAX(1,MIN(7,N($L107))))*$E107:$K107)*(1+N(Configuración!$C$3)))</f>
        <v/>
      </c>
      <c r="R107" s="19">
        <f>IF(OR($B107="",COUNT($E107:$K107)=0),"",SUMPRODUCT((MOD(COLUMN($E107:$K107)-COLUMN($E107)-5,7)&lt;MAX(1,MIN(7,N($L107))))*$E107:$K107)*(1+N(Configuración!$C$3)))</f>
        <v/>
      </c>
      <c r="S107" s="19">
        <f>IF(OR($B107="",COUNT($E107:$K107)=0),"",SUMPRODUCT((MOD(COLUMN($E107:$K107)-COLUMN($E107)-6,7)&lt;MAX(1,MIN(7,N($L107))))*$E107:$K107)*(1+N(Configuración!$C$3)))</f>
        <v/>
      </c>
      <c r="T107" s="17" t="n"/>
    </row>
    <row r="108">
      <c r="A108" s="17" t="n"/>
      <c r="B108" s="17" t="n"/>
      <c r="C108" s="17" t="n"/>
      <c r="D108" s="17" t="n"/>
      <c r="E108" s="18" t="n"/>
      <c r="F108" s="18" t="n"/>
      <c r="G108" s="18" t="n"/>
      <c r="H108" s="18" t="n"/>
      <c r="I108" s="18" t="n"/>
      <c r="J108" s="18" t="n"/>
      <c r="K108" s="18" t="n"/>
      <c r="L108" s="17" t="n"/>
      <c r="M108" s="19">
        <f>IF(OR($B108="",COUNT($E108:$K108)=0),"",SUMPRODUCT((MOD(COLUMN($E108:$K108)-COLUMN($E108)-0,7)&lt;MAX(1,MIN(7,N($L108))))*$E108:$K108)*(1+N(Configuración!$C$3)))</f>
        <v/>
      </c>
      <c r="N108" s="19">
        <f>IF(OR($B108="",COUNT($E108:$K108)=0),"",SUMPRODUCT((MOD(COLUMN($E108:$K108)-COLUMN($E108)-1,7)&lt;MAX(1,MIN(7,N($L108))))*$E108:$K108)*(1+N(Configuración!$C$3)))</f>
        <v/>
      </c>
      <c r="O108" s="19">
        <f>IF(OR($B108="",COUNT($E108:$K108)=0),"",SUMPRODUCT((MOD(COLUMN($E108:$K108)-COLUMN($E108)-2,7)&lt;MAX(1,MIN(7,N($L108))))*$E108:$K108)*(1+N(Configuración!$C$3)))</f>
        <v/>
      </c>
      <c r="P108" s="19">
        <f>IF(OR($B108="",COUNT($E108:$K108)=0),"",SUMPRODUCT((MOD(COLUMN($E108:$K108)-COLUMN($E108)-3,7)&lt;MAX(1,MIN(7,N($L108))))*$E108:$K108)*(1+N(Configuración!$C$3)))</f>
        <v/>
      </c>
      <c r="Q108" s="19">
        <f>IF(OR($B108="",COUNT($E108:$K108)=0),"",SUMPRODUCT((MOD(COLUMN($E108:$K108)-COLUMN($E108)-4,7)&lt;MAX(1,MIN(7,N($L108))))*$E108:$K108)*(1+N(Configuración!$C$3)))</f>
        <v/>
      </c>
      <c r="R108" s="19">
        <f>IF(OR($B108="",COUNT($E108:$K108)=0),"",SUMPRODUCT((MOD(COLUMN($E108:$K108)-COLUMN($E108)-5,7)&lt;MAX(1,MIN(7,N($L108))))*$E108:$K108)*(1+N(Configuración!$C$3)))</f>
        <v/>
      </c>
      <c r="S108" s="19">
        <f>IF(OR($B108="",COUNT($E108:$K108)=0),"",SUMPRODUCT((MOD(COLUMN($E108:$K108)-COLUMN($E108)-6,7)&lt;MAX(1,MIN(7,N($L108))))*$E108:$K108)*(1+N(Configuración!$C$3)))</f>
        <v/>
      </c>
      <c r="T108" s="17" t="n"/>
    </row>
    <row r="109">
      <c r="A109" s="17" t="n"/>
      <c r="B109" s="17" t="n"/>
      <c r="C109" s="17" t="n"/>
      <c r="D109" s="17" t="n"/>
      <c r="E109" s="18" t="n"/>
      <c r="F109" s="18" t="n"/>
      <c r="G109" s="18" t="n"/>
      <c r="H109" s="18" t="n"/>
      <c r="I109" s="18" t="n"/>
      <c r="J109" s="18" t="n"/>
      <c r="K109" s="18" t="n"/>
      <c r="L109" s="17" t="n"/>
      <c r="M109" s="19">
        <f>IF(OR($B109="",COUNT($E109:$K109)=0),"",SUMPRODUCT((MOD(COLUMN($E109:$K109)-COLUMN($E109)-0,7)&lt;MAX(1,MIN(7,N($L109))))*$E109:$K109)*(1+N(Configuración!$C$3)))</f>
        <v/>
      </c>
      <c r="N109" s="19">
        <f>IF(OR($B109="",COUNT($E109:$K109)=0),"",SUMPRODUCT((MOD(COLUMN($E109:$K109)-COLUMN($E109)-1,7)&lt;MAX(1,MIN(7,N($L109))))*$E109:$K109)*(1+N(Configuración!$C$3)))</f>
        <v/>
      </c>
      <c r="O109" s="19">
        <f>IF(OR($B109="",COUNT($E109:$K109)=0),"",SUMPRODUCT((MOD(COLUMN($E109:$K109)-COLUMN($E109)-2,7)&lt;MAX(1,MIN(7,N($L109))))*$E109:$K109)*(1+N(Configuración!$C$3)))</f>
        <v/>
      </c>
      <c r="P109" s="19">
        <f>IF(OR($B109="",COUNT($E109:$K109)=0),"",SUMPRODUCT((MOD(COLUMN($E109:$K109)-COLUMN($E109)-3,7)&lt;MAX(1,MIN(7,N($L109))))*$E109:$K109)*(1+N(Configuración!$C$3)))</f>
        <v/>
      </c>
      <c r="Q109" s="19">
        <f>IF(OR($B109="",COUNT($E109:$K109)=0),"",SUMPRODUCT((MOD(COLUMN($E109:$K109)-COLUMN($E109)-4,7)&lt;MAX(1,MIN(7,N($L109))))*$E109:$K109)*(1+N(Configuración!$C$3)))</f>
        <v/>
      </c>
      <c r="R109" s="19">
        <f>IF(OR($B109="",COUNT($E109:$K109)=0),"",SUMPRODUCT((MOD(COLUMN($E109:$K109)-COLUMN($E109)-5,7)&lt;MAX(1,MIN(7,N($L109))))*$E109:$K109)*(1+N(Configuración!$C$3)))</f>
        <v/>
      </c>
      <c r="S109" s="19">
        <f>IF(OR($B109="",COUNT($E109:$K109)=0),"",SUMPRODUCT((MOD(COLUMN($E109:$K109)-COLUMN($E109)-6,7)&lt;MAX(1,MIN(7,N($L109))))*$E109:$K109)*(1+N(Configuración!$C$3)))</f>
        <v/>
      </c>
      <c r="T109" s="17" t="n"/>
    </row>
    <row r="110">
      <c r="A110" s="17" t="n"/>
      <c r="B110" s="17" t="n"/>
      <c r="C110" s="17" t="n"/>
      <c r="D110" s="17" t="n"/>
      <c r="E110" s="18" t="n"/>
      <c r="F110" s="18" t="n"/>
      <c r="G110" s="18" t="n"/>
      <c r="H110" s="18" t="n"/>
      <c r="I110" s="18" t="n"/>
      <c r="J110" s="18" t="n"/>
      <c r="K110" s="18" t="n"/>
      <c r="L110" s="17" t="n"/>
      <c r="M110" s="19">
        <f>IF(OR($B110="",COUNT($E110:$K110)=0),"",SUMPRODUCT((MOD(COLUMN($E110:$K110)-COLUMN($E110)-0,7)&lt;MAX(1,MIN(7,N($L110))))*$E110:$K110)*(1+N(Configuración!$C$3)))</f>
        <v/>
      </c>
      <c r="N110" s="19">
        <f>IF(OR($B110="",COUNT($E110:$K110)=0),"",SUMPRODUCT((MOD(COLUMN($E110:$K110)-COLUMN($E110)-1,7)&lt;MAX(1,MIN(7,N($L110))))*$E110:$K110)*(1+N(Configuración!$C$3)))</f>
        <v/>
      </c>
      <c r="O110" s="19">
        <f>IF(OR($B110="",COUNT($E110:$K110)=0),"",SUMPRODUCT((MOD(COLUMN($E110:$K110)-COLUMN($E110)-2,7)&lt;MAX(1,MIN(7,N($L110))))*$E110:$K110)*(1+N(Configuración!$C$3)))</f>
        <v/>
      </c>
      <c r="P110" s="19">
        <f>IF(OR($B110="",COUNT($E110:$K110)=0),"",SUMPRODUCT((MOD(COLUMN($E110:$K110)-COLUMN($E110)-3,7)&lt;MAX(1,MIN(7,N($L110))))*$E110:$K110)*(1+N(Configuración!$C$3)))</f>
        <v/>
      </c>
      <c r="Q110" s="19">
        <f>IF(OR($B110="",COUNT($E110:$K110)=0),"",SUMPRODUCT((MOD(COLUMN($E110:$K110)-COLUMN($E110)-4,7)&lt;MAX(1,MIN(7,N($L110))))*$E110:$K110)*(1+N(Configuración!$C$3)))</f>
        <v/>
      </c>
      <c r="R110" s="19">
        <f>IF(OR($B110="",COUNT($E110:$K110)=0),"",SUMPRODUCT((MOD(COLUMN($E110:$K110)-COLUMN($E110)-5,7)&lt;MAX(1,MIN(7,N($L110))))*$E110:$K110)*(1+N(Configuración!$C$3)))</f>
        <v/>
      </c>
      <c r="S110" s="19">
        <f>IF(OR($B110="",COUNT($E110:$K110)=0),"",SUMPRODUCT((MOD(COLUMN($E110:$K110)-COLUMN($E110)-6,7)&lt;MAX(1,MIN(7,N($L110))))*$E110:$K110)*(1+N(Configuración!$C$3)))</f>
        <v/>
      </c>
      <c r="T110" s="17" t="n"/>
    </row>
    <row r="111">
      <c r="A111" s="17" t="n"/>
      <c r="B111" s="17" t="n"/>
      <c r="C111" s="17" t="n"/>
      <c r="D111" s="17" t="n"/>
      <c r="E111" s="18" t="n"/>
      <c r="F111" s="18" t="n"/>
      <c r="G111" s="18" t="n"/>
      <c r="H111" s="18" t="n"/>
      <c r="I111" s="18" t="n"/>
      <c r="J111" s="18" t="n"/>
      <c r="K111" s="18" t="n"/>
      <c r="L111" s="17" t="n"/>
      <c r="M111" s="19">
        <f>IF(OR($B111="",COUNT($E111:$K111)=0),"",SUMPRODUCT((MOD(COLUMN($E111:$K111)-COLUMN($E111)-0,7)&lt;MAX(1,MIN(7,N($L111))))*$E111:$K111)*(1+N(Configuración!$C$3)))</f>
        <v/>
      </c>
      <c r="N111" s="19">
        <f>IF(OR($B111="",COUNT($E111:$K111)=0),"",SUMPRODUCT((MOD(COLUMN($E111:$K111)-COLUMN($E111)-1,7)&lt;MAX(1,MIN(7,N($L111))))*$E111:$K111)*(1+N(Configuración!$C$3)))</f>
        <v/>
      </c>
      <c r="O111" s="19">
        <f>IF(OR($B111="",COUNT($E111:$K111)=0),"",SUMPRODUCT((MOD(COLUMN($E111:$K111)-COLUMN($E111)-2,7)&lt;MAX(1,MIN(7,N($L111))))*$E111:$K111)*(1+N(Configuración!$C$3)))</f>
        <v/>
      </c>
      <c r="P111" s="19">
        <f>IF(OR($B111="",COUNT($E111:$K111)=0),"",SUMPRODUCT((MOD(COLUMN($E111:$K111)-COLUMN($E111)-3,7)&lt;MAX(1,MIN(7,N($L111))))*$E111:$K111)*(1+N(Configuración!$C$3)))</f>
        <v/>
      </c>
      <c r="Q111" s="19">
        <f>IF(OR($B111="",COUNT($E111:$K111)=0),"",SUMPRODUCT((MOD(COLUMN($E111:$K111)-COLUMN($E111)-4,7)&lt;MAX(1,MIN(7,N($L111))))*$E111:$K111)*(1+N(Configuración!$C$3)))</f>
        <v/>
      </c>
      <c r="R111" s="19">
        <f>IF(OR($B111="",COUNT($E111:$K111)=0),"",SUMPRODUCT((MOD(COLUMN($E111:$K111)-COLUMN($E111)-5,7)&lt;MAX(1,MIN(7,N($L111))))*$E111:$K111)*(1+N(Configuración!$C$3)))</f>
        <v/>
      </c>
      <c r="S111" s="19">
        <f>IF(OR($B111="",COUNT($E111:$K111)=0),"",SUMPRODUCT((MOD(COLUMN($E111:$K111)-COLUMN($E111)-6,7)&lt;MAX(1,MIN(7,N($L111))))*$E111:$K111)*(1+N(Configuración!$C$3)))</f>
        <v/>
      </c>
      <c r="T111" s="17" t="n"/>
    </row>
    <row r="112">
      <c r="A112" s="17" t="n"/>
      <c r="B112" s="17" t="n"/>
      <c r="C112" s="17" t="n"/>
      <c r="D112" s="17" t="n"/>
      <c r="E112" s="18" t="n"/>
      <c r="F112" s="18" t="n"/>
      <c r="G112" s="18" t="n"/>
      <c r="H112" s="18" t="n"/>
      <c r="I112" s="18" t="n"/>
      <c r="J112" s="18" t="n"/>
      <c r="K112" s="18" t="n"/>
      <c r="L112" s="17" t="n"/>
      <c r="M112" s="19">
        <f>IF(OR($B112="",COUNT($E112:$K112)=0),"",SUMPRODUCT((MOD(COLUMN($E112:$K112)-COLUMN($E112)-0,7)&lt;MAX(1,MIN(7,N($L112))))*$E112:$K112)*(1+N(Configuración!$C$3)))</f>
        <v/>
      </c>
      <c r="N112" s="19">
        <f>IF(OR($B112="",COUNT($E112:$K112)=0),"",SUMPRODUCT((MOD(COLUMN($E112:$K112)-COLUMN($E112)-1,7)&lt;MAX(1,MIN(7,N($L112))))*$E112:$K112)*(1+N(Configuración!$C$3)))</f>
        <v/>
      </c>
      <c r="O112" s="19">
        <f>IF(OR($B112="",COUNT($E112:$K112)=0),"",SUMPRODUCT((MOD(COLUMN($E112:$K112)-COLUMN($E112)-2,7)&lt;MAX(1,MIN(7,N($L112))))*$E112:$K112)*(1+N(Configuración!$C$3)))</f>
        <v/>
      </c>
      <c r="P112" s="19">
        <f>IF(OR($B112="",COUNT($E112:$K112)=0),"",SUMPRODUCT((MOD(COLUMN($E112:$K112)-COLUMN($E112)-3,7)&lt;MAX(1,MIN(7,N($L112))))*$E112:$K112)*(1+N(Configuración!$C$3)))</f>
        <v/>
      </c>
      <c r="Q112" s="19">
        <f>IF(OR($B112="",COUNT($E112:$K112)=0),"",SUMPRODUCT((MOD(COLUMN($E112:$K112)-COLUMN($E112)-4,7)&lt;MAX(1,MIN(7,N($L112))))*$E112:$K112)*(1+N(Configuración!$C$3)))</f>
        <v/>
      </c>
      <c r="R112" s="19">
        <f>IF(OR($B112="",COUNT($E112:$K112)=0),"",SUMPRODUCT((MOD(COLUMN($E112:$K112)-COLUMN($E112)-5,7)&lt;MAX(1,MIN(7,N($L112))))*$E112:$K112)*(1+N(Configuración!$C$3)))</f>
        <v/>
      </c>
      <c r="S112" s="19">
        <f>IF(OR($B112="",COUNT($E112:$K112)=0),"",SUMPRODUCT((MOD(COLUMN($E112:$K112)-COLUMN($E112)-6,7)&lt;MAX(1,MIN(7,N($L112))))*$E112:$K112)*(1+N(Configuración!$C$3)))</f>
        <v/>
      </c>
      <c r="T112" s="17" t="n"/>
    </row>
    <row r="113">
      <c r="A113" s="17" t="n"/>
      <c r="B113" s="17" t="n"/>
      <c r="C113" s="17" t="n"/>
      <c r="D113" s="17" t="n"/>
      <c r="E113" s="18" t="n"/>
      <c r="F113" s="18" t="n"/>
      <c r="G113" s="18" t="n"/>
      <c r="H113" s="18" t="n"/>
      <c r="I113" s="18" t="n"/>
      <c r="J113" s="18" t="n"/>
      <c r="K113" s="18" t="n"/>
      <c r="L113" s="17" t="n"/>
      <c r="M113" s="19">
        <f>IF(OR($B113="",COUNT($E113:$K113)=0),"",SUMPRODUCT((MOD(COLUMN($E113:$K113)-COLUMN($E113)-0,7)&lt;MAX(1,MIN(7,N($L113))))*$E113:$K113)*(1+N(Configuración!$C$3)))</f>
        <v/>
      </c>
      <c r="N113" s="19">
        <f>IF(OR($B113="",COUNT($E113:$K113)=0),"",SUMPRODUCT((MOD(COLUMN($E113:$K113)-COLUMN($E113)-1,7)&lt;MAX(1,MIN(7,N($L113))))*$E113:$K113)*(1+N(Configuración!$C$3)))</f>
        <v/>
      </c>
      <c r="O113" s="19">
        <f>IF(OR($B113="",COUNT($E113:$K113)=0),"",SUMPRODUCT((MOD(COLUMN($E113:$K113)-COLUMN($E113)-2,7)&lt;MAX(1,MIN(7,N($L113))))*$E113:$K113)*(1+N(Configuración!$C$3)))</f>
        <v/>
      </c>
      <c r="P113" s="19">
        <f>IF(OR($B113="",COUNT($E113:$K113)=0),"",SUMPRODUCT((MOD(COLUMN($E113:$K113)-COLUMN($E113)-3,7)&lt;MAX(1,MIN(7,N($L113))))*$E113:$K113)*(1+N(Configuración!$C$3)))</f>
        <v/>
      </c>
      <c r="Q113" s="19">
        <f>IF(OR($B113="",COUNT($E113:$K113)=0),"",SUMPRODUCT((MOD(COLUMN($E113:$K113)-COLUMN($E113)-4,7)&lt;MAX(1,MIN(7,N($L113))))*$E113:$K113)*(1+N(Configuración!$C$3)))</f>
        <v/>
      </c>
      <c r="R113" s="19">
        <f>IF(OR($B113="",COUNT($E113:$K113)=0),"",SUMPRODUCT((MOD(COLUMN($E113:$K113)-COLUMN($E113)-5,7)&lt;MAX(1,MIN(7,N($L113))))*$E113:$K113)*(1+N(Configuración!$C$3)))</f>
        <v/>
      </c>
      <c r="S113" s="19">
        <f>IF(OR($B113="",COUNT($E113:$K113)=0),"",SUMPRODUCT((MOD(COLUMN($E113:$K113)-COLUMN($E113)-6,7)&lt;MAX(1,MIN(7,N($L113))))*$E113:$K113)*(1+N(Configuración!$C$3)))</f>
        <v/>
      </c>
      <c r="T113" s="17" t="n"/>
    </row>
    <row r="114">
      <c r="A114" s="17" t="n"/>
      <c r="B114" s="17" t="n"/>
      <c r="C114" s="17" t="n"/>
      <c r="D114" s="17" t="n"/>
      <c r="E114" s="18" t="n"/>
      <c r="F114" s="18" t="n"/>
      <c r="G114" s="18" t="n"/>
      <c r="H114" s="18" t="n"/>
      <c r="I114" s="18" t="n"/>
      <c r="J114" s="18" t="n"/>
      <c r="K114" s="18" t="n"/>
      <c r="L114" s="17" t="n"/>
      <c r="M114" s="19">
        <f>IF(OR($B114="",COUNT($E114:$K114)=0),"",SUMPRODUCT((MOD(COLUMN($E114:$K114)-COLUMN($E114)-0,7)&lt;MAX(1,MIN(7,N($L114))))*$E114:$K114)*(1+N(Configuración!$C$3)))</f>
        <v/>
      </c>
      <c r="N114" s="19">
        <f>IF(OR($B114="",COUNT($E114:$K114)=0),"",SUMPRODUCT((MOD(COLUMN($E114:$K114)-COLUMN($E114)-1,7)&lt;MAX(1,MIN(7,N($L114))))*$E114:$K114)*(1+N(Configuración!$C$3)))</f>
        <v/>
      </c>
      <c r="O114" s="19">
        <f>IF(OR($B114="",COUNT($E114:$K114)=0),"",SUMPRODUCT((MOD(COLUMN($E114:$K114)-COLUMN($E114)-2,7)&lt;MAX(1,MIN(7,N($L114))))*$E114:$K114)*(1+N(Configuración!$C$3)))</f>
        <v/>
      </c>
      <c r="P114" s="19">
        <f>IF(OR($B114="",COUNT($E114:$K114)=0),"",SUMPRODUCT((MOD(COLUMN($E114:$K114)-COLUMN($E114)-3,7)&lt;MAX(1,MIN(7,N($L114))))*$E114:$K114)*(1+N(Configuración!$C$3)))</f>
        <v/>
      </c>
      <c r="Q114" s="19">
        <f>IF(OR($B114="",COUNT($E114:$K114)=0),"",SUMPRODUCT((MOD(COLUMN($E114:$K114)-COLUMN($E114)-4,7)&lt;MAX(1,MIN(7,N($L114))))*$E114:$K114)*(1+N(Configuración!$C$3)))</f>
        <v/>
      </c>
      <c r="R114" s="19">
        <f>IF(OR($B114="",COUNT($E114:$K114)=0),"",SUMPRODUCT((MOD(COLUMN($E114:$K114)-COLUMN($E114)-5,7)&lt;MAX(1,MIN(7,N($L114))))*$E114:$K114)*(1+N(Configuración!$C$3)))</f>
        <v/>
      </c>
      <c r="S114" s="19">
        <f>IF(OR($B114="",COUNT($E114:$K114)=0),"",SUMPRODUCT((MOD(COLUMN($E114:$K114)-COLUMN($E114)-6,7)&lt;MAX(1,MIN(7,N($L114))))*$E114:$K114)*(1+N(Configuración!$C$3)))</f>
        <v/>
      </c>
      <c r="T114" s="17" t="n"/>
    </row>
    <row r="115">
      <c r="A115" s="17" t="n"/>
      <c r="B115" s="17" t="n"/>
      <c r="C115" s="17" t="n"/>
      <c r="D115" s="17" t="n"/>
      <c r="E115" s="18" t="n"/>
      <c r="F115" s="18" t="n"/>
      <c r="G115" s="18" t="n"/>
      <c r="H115" s="18" t="n"/>
      <c r="I115" s="18" t="n"/>
      <c r="J115" s="18" t="n"/>
      <c r="K115" s="18" t="n"/>
      <c r="L115" s="17" t="n"/>
      <c r="M115" s="19">
        <f>IF(OR($B115="",COUNT($E115:$K115)=0),"",SUMPRODUCT((MOD(COLUMN($E115:$K115)-COLUMN($E115)-0,7)&lt;MAX(1,MIN(7,N($L115))))*$E115:$K115)*(1+N(Configuración!$C$3)))</f>
        <v/>
      </c>
      <c r="N115" s="19">
        <f>IF(OR($B115="",COUNT($E115:$K115)=0),"",SUMPRODUCT((MOD(COLUMN($E115:$K115)-COLUMN($E115)-1,7)&lt;MAX(1,MIN(7,N($L115))))*$E115:$K115)*(1+N(Configuración!$C$3)))</f>
        <v/>
      </c>
      <c r="O115" s="19">
        <f>IF(OR($B115="",COUNT($E115:$K115)=0),"",SUMPRODUCT((MOD(COLUMN($E115:$K115)-COLUMN($E115)-2,7)&lt;MAX(1,MIN(7,N($L115))))*$E115:$K115)*(1+N(Configuración!$C$3)))</f>
        <v/>
      </c>
      <c r="P115" s="19">
        <f>IF(OR($B115="",COUNT($E115:$K115)=0),"",SUMPRODUCT((MOD(COLUMN($E115:$K115)-COLUMN($E115)-3,7)&lt;MAX(1,MIN(7,N($L115))))*$E115:$K115)*(1+N(Configuración!$C$3)))</f>
        <v/>
      </c>
      <c r="Q115" s="19">
        <f>IF(OR($B115="",COUNT($E115:$K115)=0),"",SUMPRODUCT((MOD(COLUMN($E115:$K115)-COLUMN($E115)-4,7)&lt;MAX(1,MIN(7,N($L115))))*$E115:$K115)*(1+N(Configuración!$C$3)))</f>
        <v/>
      </c>
      <c r="R115" s="19">
        <f>IF(OR($B115="",COUNT($E115:$K115)=0),"",SUMPRODUCT((MOD(COLUMN($E115:$K115)-COLUMN($E115)-5,7)&lt;MAX(1,MIN(7,N($L115))))*$E115:$K115)*(1+N(Configuración!$C$3)))</f>
        <v/>
      </c>
      <c r="S115" s="19">
        <f>IF(OR($B115="",COUNT($E115:$K115)=0),"",SUMPRODUCT((MOD(COLUMN($E115:$K115)-COLUMN($E115)-6,7)&lt;MAX(1,MIN(7,N($L115))))*$E115:$K115)*(1+N(Configuración!$C$3)))</f>
        <v/>
      </c>
      <c r="T115" s="17" t="n"/>
    </row>
    <row r="116">
      <c r="A116" s="17" t="n"/>
      <c r="B116" s="17" t="n"/>
      <c r="C116" s="17" t="n"/>
      <c r="D116" s="17" t="n"/>
      <c r="E116" s="18" t="n"/>
      <c r="F116" s="18" t="n"/>
      <c r="G116" s="18" t="n"/>
      <c r="H116" s="18" t="n"/>
      <c r="I116" s="18" t="n"/>
      <c r="J116" s="18" t="n"/>
      <c r="K116" s="18" t="n"/>
      <c r="L116" s="17" t="n"/>
      <c r="M116" s="19">
        <f>IF(OR($B116="",COUNT($E116:$K116)=0),"",SUMPRODUCT((MOD(COLUMN($E116:$K116)-COLUMN($E116)-0,7)&lt;MAX(1,MIN(7,N($L116))))*$E116:$K116)*(1+N(Configuración!$C$3)))</f>
        <v/>
      </c>
      <c r="N116" s="19">
        <f>IF(OR($B116="",COUNT($E116:$K116)=0),"",SUMPRODUCT((MOD(COLUMN($E116:$K116)-COLUMN($E116)-1,7)&lt;MAX(1,MIN(7,N($L116))))*$E116:$K116)*(1+N(Configuración!$C$3)))</f>
        <v/>
      </c>
      <c r="O116" s="19">
        <f>IF(OR($B116="",COUNT($E116:$K116)=0),"",SUMPRODUCT((MOD(COLUMN($E116:$K116)-COLUMN($E116)-2,7)&lt;MAX(1,MIN(7,N($L116))))*$E116:$K116)*(1+N(Configuración!$C$3)))</f>
        <v/>
      </c>
      <c r="P116" s="19">
        <f>IF(OR($B116="",COUNT($E116:$K116)=0),"",SUMPRODUCT((MOD(COLUMN($E116:$K116)-COLUMN($E116)-3,7)&lt;MAX(1,MIN(7,N($L116))))*$E116:$K116)*(1+N(Configuración!$C$3)))</f>
        <v/>
      </c>
      <c r="Q116" s="19">
        <f>IF(OR($B116="",COUNT($E116:$K116)=0),"",SUMPRODUCT((MOD(COLUMN($E116:$K116)-COLUMN($E116)-4,7)&lt;MAX(1,MIN(7,N($L116))))*$E116:$K116)*(1+N(Configuración!$C$3)))</f>
        <v/>
      </c>
      <c r="R116" s="19">
        <f>IF(OR($B116="",COUNT($E116:$K116)=0),"",SUMPRODUCT((MOD(COLUMN($E116:$K116)-COLUMN($E116)-5,7)&lt;MAX(1,MIN(7,N($L116))))*$E116:$K116)*(1+N(Configuración!$C$3)))</f>
        <v/>
      </c>
      <c r="S116" s="19">
        <f>IF(OR($B116="",COUNT($E116:$K116)=0),"",SUMPRODUCT((MOD(COLUMN($E116:$K116)-COLUMN($E116)-6,7)&lt;MAX(1,MIN(7,N($L116))))*$E116:$K116)*(1+N(Configuración!$C$3)))</f>
        <v/>
      </c>
      <c r="T116" s="17" t="n"/>
    </row>
    <row r="117">
      <c r="A117" s="17" t="n"/>
      <c r="B117" s="17" t="n"/>
      <c r="C117" s="17" t="n"/>
      <c r="D117" s="17" t="n"/>
      <c r="E117" s="18" t="n"/>
      <c r="F117" s="18" t="n"/>
      <c r="G117" s="18" t="n"/>
      <c r="H117" s="18" t="n"/>
      <c r="I117" s="18" t="n"/>
      <c r="J117" s="18" t="n"/>
      <c r="K117" s="18" t="n"/>
      <c r="L117" s="17" t="n"/>
      <c r="M117" s="19">
        <f>IF(OR($B117="",COUNT($E117:$K117)=0),"",SUMPRODUCT((MOD(COLUMN($E117:$K117)-COLUMN($E117)-0,7)&lt;MAX(1,MIN(7,N($L117))))*$E117:$K117)*(1+N(Configuración!$C$3)))</f>
        <v/>
      </c>
      <c r="N117" s="19">
        <f>IF(OR($B117="",COUNT($E117:$K117)=0),"",SUMPRODUCT((MOD(COLUMN($E117:$K117)-COLUMN($E117)-1,7)&lt;MAX(1,MIN(7,N($L117))))*$E117:$K117)*(1+N(Configuración!$C$3)))</f>
        <v/>
      </c>
      <c r="O117" s="19">
        <f>IF(OR($B117="",COUNT($E117:$K117)=0),"",SUMPRODUCT((MOD(COLUMN($E117:$K117)-COLUMN($E117)-2,7)&lt;MAX(1,MIN(7,N($L117))))*$E117:$K117)*(1+N(Configuración!$C$3)))</f>
        <v/>
      </c>
      <c r="P117" s="19">
        <f>IF(OR($B117="",COUNT($E117:$K117)=0),"",SUMPRODUCT((MOD(COLUMN($E117:$K117)-COLUMN($E117)-3,7)&lt;MAX(1,MIN(7,N($L117))))*$E117:$K117)*(1+N(Configuración!$C$3)))</f>
        <v/>
      </c>
      <c r="Q117" s="19">
        <f>IF(OR($B117="",COUNT($E117:$K117)=0),"",SUMPRODUCT((MOD(COLUMN($E117:$K117)-COLUMN($E117)-4,7)&lt;MAX(1,MIN(7,N($L117))))*$E117:$K117)*(1+N(Configuración!$C$3)))</f>
        <v/>
      </c>
      <c r="R117" s="19">
        <f>IF(OR($B117="",COUNT($E117:$K117)=0),"",SUMPRODUCT((MOD(COLUMN($E117:$K117)-COLUMN($E117)-5,7)&lt;MAX(1,MIN(7,N($L117))))*$E117:$K117)*(1+N(Configuración!$C$3)))</f>
        <v/>
      </c>
      <c r="S117" s="19">
        <f>IF(OR($B117="",COUNT($E117:$K117)=0),"",SUMPRODUCT((MOD(COLUMN($E117:$K117)-COLUMN($E117)-6,7)&lt;MAX(1,MIN(7,N($L117))))*$E117:$K117)*(1+N(Configuración!$C$3)))</f>
        <v/>
      </c>
      <c r="T117" s="17" t="n"/>
    </row>
    <row r="118">
      <c r="A118" s="17" t="n"/>
      <c r="B118" s="17" t="n"/>
      <c r="C118" s="17" t="n"/>
      <c r="D118" s="17" t="n"/>
      <c r="E118" s="18" t="n"/>
      <c r="F118" s="18" t="n"/>
      <c r="G118" s="18" t="n"/>
      <c r="H118" s="18" t="n"/>
      <c r="I118" s="18" t="n"/>
      <c r="J118" s="18" t="n"/>
      <c r="K118" s="18" t="n"/>
      <c r="L118" s="17" t="n"/>
      <c r="M118" s="19">
        <f>IF(OR($B118="",COUNT($E118:$K118)=0),"",SUMPRODUCT((MOD(COLUMN($E118:$K118)-COLUMN($E118)-0,7)&lt;MAX(1,MIN(7,N($L118))))*$E118:$K118)*(1+N(Configuración!$C$3)))</f>
        <v/>
      </c>
      <c r="N118" s="19">
        <f>IF(OR($B118="",COUNT($E118:$K118)=0),"",SUMPRODUCT((MOD(COLUMN($E118:$K118)-COLUMN($E118)-1,7)&lt;MAX(1,MIN(7,N($L118))))*$E118:$K118)*(1+N(Configuración!$C$3)))</f>
        <v/>
      </c>
      <c r="O118" s="19">
        <f>IF(OR($B118="",COUNT($E118:$K118)=0),"",SUMPRODUCT((MOD(COLUMN($E118:$K118)-COLUMN($E118)-2,7)&lt;MAX(1,MIN(7,N($L118))))*$E118:$K118)*(1+N(Configuración!$C$3)))</f>
        <v/>
      </c>
      <c r="P118" s="19">
        <f>IF(OR($B118="",COUNT($E118:$K118)=0),"",SUMPRODUCT((MOD(COLUMN($E118:$K118)-COLUMN($E118)-3,7)&lt;MAX(1,MIN(7,N($L118))))*$E118:$K118)*(1+N(Configuración!$C$3)))</f>
        <v/>
      </c>
      <c r="Q118" s="19">
        <f>IF(OR($B118="",COUNT($E118:$K118)=0),"",SUMPRODUCT((MOD(COLUMN($E118:$K118)-COLUMN($E118)-4,7)&lt;MAX(1,MIN(7,N($L118))))*$E118:$K118)*(1+N(Configuración!$C$3)))</f>
        <v/>
      </c>
      <c r="R118" s="19">
        <f>IF(OR($B118="",COUNT($E118:$K118)=0),"",SUMPRODUCT((MOD(COLUMN($E118:$K118)-COLUMN($E118)-5,7)&lt;MAX(1,MIN(7,N($L118))))*$E118:$K118)*(1+N(Configuración!$C$3)))</f>
        <v/>
      </c>
      <c r="S118" s="19">
        <f>IF(OR($B118="",COUNT($E118:$K118)=0),"",SUMPRODUCT((MOD(COLUMN($E118:$K118)-COLUMN($E118)-6,7)&lt;MAX(1,MIN(7,N($L118))))*$E118:$K118)*(1+N(Configuración!$C$3)))</f>
        <v/>
      </c>
      <c r="T118" s="17" t="n"/>
    </row>
    <row r="119">
      <c r="A119" s="17" t="n"/>
      <c r="B119" s="17" t="n"/>
      <c r="C119" s="17" t="n"/>
      <c r="D119" s="17" t="n"/>
      <c r="E119" s="18" t="n"/>
      <c r="F119" s="18" t="n"/>
      <c r="G119" s="18" t="n"/>
      <c r="H119" s="18" t="n"/>
      <c r="I119" s="18" t="n"/>
      <c r="J119" s="18" t="n"/>
      <c r="K119" s="18" t="n"/>
      <c r="L119" s="17" t="n"/>
      <c r="M119" s="19">
        <f>IF(OR($B119="",COUNT($E119:$K119)=0),"",SUMPRODUCT((MOD(COLUMN($E119:$K119)-COLUMN($E119)-0,7)&lt;MAX(1,MIN(7,N($L119))))*$E119:$K119)*(1+N(Configuración!$C$3)))</f>
        <v/>
      </c>
      <c r="N119" s="19">
        <f>IF(OR($B119="",COUNT($E119:$K119)=0),"",SUMPRODUCT((MOD(COLUMN($E119:$K119)-COLUMN($E119)-1,7)&lt;MAX(1,MIN(7,N($L119))))*$E119:$K119)*(1+N(Configuración!$C$3)))</f>
        <v/>
      </c>
      <c r="O119" s="19">
        <f>IF(OR($B119="",COUNT($E119:$K119)=0),"",SUMPRODUCT((MOD(COLUMN($E119:$K119)-COLUMN($E119)-2,7)&lt;MAX(1,MIN(7,N($L119))))*$E119:$K119)*(1+N(Configuración!$C$3)))</f>
        <v/>
      </c>
      <c r="P119" s="19">
        <f>IF(OR($B119="",COUNT($E119:$K119)=0),"",SUMPRODUCT((MOD(COLUMN($E119:$K119)-COLUMN($E119)-3,7)&lt;MAX(1,MIN(7,N($L119))))*$E119:$K119)*(1+N(Configuración!$C$3)))</f>
        <v/>
      </c>
      <c r="Q119" s="19">
        <f>IF(OR($B119="",COUNT($E119:$K119)=0),"",SUMPRODUCT((MOD(COLUMN($E119:$K119)-COLUMN($E119)-4,7)&lt;MAX(1,MIN(7,N($L119))))*$E119:$K119)*(1+N(Configuración!$C$3)))</f>
        <v/>
      </c>
      <c r="R119" s="19">
        <f>IF(OR($B119="",COUNT($E119:$K119)=0),"",SUMPRODUCT((MOD(COLUMN($E119:$K119)-COLUMN($E119)-5,7)&lt;MAX(1,MIN(7,N($L119))))*$E119:$K119)*(1+N(Configuración!$C$3)))</f>
        <v/>
      </c>
      <c r="S119" s="19">
        <f>IF(OR($B119="",COUNT($E119:$K119)=0),"",SUMPRODUCT((MOD(COLUMN($E119:$K119)-COLUMN($E119)-6,7)&lt;MAX(1,MIN(7,N($L119))))*$E119:$K119)*(1+N(Configuración!$C$3)))</f>
        <v/>
      </c>
      <c r="T119" s="17" t="n"/>
    </row>
    <row r="120">
      <c r="A120" s="17" t="n"/>
      <c r="B120" s="17" t="n"/>
      <c r="C120" s="17" t="n"/>
      <c r="D120" s="17" t="n"/>
      <c r="E120" s="18" t="n"/>
      <c r="F120" s="18" t="n"/>
      <c r="G120" s="18" t="n"/>
      <c r="H120" s="18" t="n"/>
      <c r="I120" s="18" t="n"/>
      <c r="J120" s="18" t="n"/>
      <c r="K120" s="18" t="n"/>
      <c r="L120" s="17" t="n"/>
      <c r="M120" s="19">
        <f>IF(OR($B120="",COUNT($E120:$K120)=0),"",SUMPRODUCT((MOD(COLUMN($E120:$K120)-COLUMN($E120)-0,7)&lt;MAX(1,MIN(7,N($L120))))*$E120:$K120)*(1+N(Configuración!$C$3)))</f>
        <v/>
      </c>
      <c r="N120" s="19">
        <f>IF(OR($B120="",COUNT($E120:$K120)=0),"",SUMPRODUCT((MOD(COLUMN($E120:$K120)-COLUMN($E120)-1,7)&lt;MAX(1,MIN(7,N($L120))))*$E120:$K120)*(1+N(Configuración!$C$3)))</f>
        <v/>
      </c>
      <c r="O120" s="19">
        <f>IF(OR($B120="",COUNT($E120:$K120)=0),"",SUMPRODUCT((MOD(COLUMN($E120:$K120)-COLUMN($E120)-2,7)&lt;MAX(1,MIN(7,N($L120))))*$E120:$K120)*(1+N(Configuración!$C$3)))</f>
        <v/>
      </c>
      <c r="P120" s="19">
        <f>IF(OR($B120="",COUNT($E120:$K120)=0),"",SUMPRODUCT((MOD(COLUMN($E120:$K120)-COLUMN($E120)-3,7)&lt;MAX(1,MIN(7,N($L120))))*$E120:$K120)*(1+N(Configuración!$C$3)))</f>
        <v/>
      </c>
      <c r="Q120" s="19">
        <f>IF(OR($B120="",COUNT($E120:$K120)=0),"",SUMPRODUCT((MOD(COLUMN($E120:$K120)-COLUMN($E120)-4,7)&lt;MAX(1,MIN(7,N($L120))))*$E120:$K120)*(1+N(Configuración!$C$3)))</f>
        <v/>
      </c>
      <c r="R120" s="19">
        <f>IF(OR($B120="",COUNT($E120:$K120)=0),"",SUMPRODUCT((MOD(COLUMN($E120:$K120)-COLUMN($E120)-5,7)&lt;MAX(1,MIN(7,N($L120))))*$E120:$K120)*(1+N(Configuración!$C$3)))</f>
        <v/>
      </c>
      <c r="S120" s="19">
        <f>IF(OR($B120="",COUNT($E120:$K120)=0),"",SUMPRODUCT((MOD(COLUMN($E120:$K120)-COLUMN($E120)-6,7)&lt;MAX(1,MIN(7,N($L120))))*$E120:$K120)*(1+N(Configuración!$C$3)))</f>
        <v/>
      </c>
      <c r="T120" s="17" t="n"/>
    </row>
    <row r="121">
      <c r="A121" s="17" t="n"/>
      <c r="B121" s="17" t="n"/>
      <c r="C121" s="17" t="n"/>
      <c r="D121" s="17" t="n"/>
      <c r="E121" s="18" t="n"/>
      <c r="F121" s="18" t="n"/>
      <c r="G121" s="18" t="n"/>
      <c r="H121" s="18" t="n"/>
      <c r="I121" s="18" t="n"/>
      <c r="J121" s="18" t="n"/>
      <c r="K121" s="18" t="n"/>
      <c r="L121" s="17" t="n"/>
      <c r="M121" s="19">
        <f>IF(OR($B121="",COUNT($E121:$K121)=0),"",SUMPRODUCT((MOD(COLUMN($E121:$K121)-COLUMN($E121)-0,7)&lt;MAX(1,MIN(7,N($L121))))*$E121:$K121)*(1+N(Configuración!$C$3)))</f>
        <v/>
      </c>
      <c r="N121" s="19">
        <f>IF(OR($B121="",COUNT($E121:$K121)=0),"",SUMPRODUCT((MOD(COLUMN($E121:$K121)-COLUMN($E121)-1,7)&lt;MAX(1,MIN(7,N($L121))))*$E121:$K121)*(1+N(Configuración!$C$3)))</f>
        <v/>
      </c>
      <c r="O121" s="19">
        <f>IF(OR($B121="",COUNT($E121:$K121)=0),"",SUMPRODUCT((MOD(COLUMN($E121:$K121)-COLUMN($E121)-2,7)&lt;MAX(1,MIN(7,N($L121))))*$E121:$K121)*(1+N(Configuración!$C$3)))</f>
        <v/>
      </c>
      <c r="P121" s="19">
        <f>IF(OR($B121="",COUNT($E121:$K121)=0),"",SUMPRODUCT((MOD(COLUMN($E121:$K121)-COLUMN($E121)-3,7)&lt;MAX(1,MIN(7,N($L121))))*$E121:$K121)*(1+N(Configuración!$C$3)))</f>
        <v/>
      </c>
      <c r="Q121" s="19">
        <f>IF(OR($B121="",COUNT($E121:$K121)=0),"",SUMPRODUCT((MOD(COLUMN($E121:$K121)-COLUMN($E121)-4,7)&lt;MAX(1,MIN(7,N($L121))))*$E121:$K121)*(1+N(Configuración!$C$3)))</f>
        <v/>
      </c>
      <c r="R121" s="19">
        <f>IF(OR($B121="",COUNT($E121:$K121)=0),"",SUMPRODUCT((MOD(COLUMN($E121:$K121)-COLUMN($E121)-5,7)&lt;MAX(1,MIN(7,N($L121))))*$E121:$K121)*(1+N(Configuración!$C$3)))</f>
        <v/>
      </c>
      <c r="S121" s="19">
        <f>IF(OR($B121="",COUNT($E121:$K121)=0),"",SUMPRODUCT((MOD(COLUMN($E121:$K121)-COLUMN($E121)-6,7)&lt;MAX(1,MIN(7,N($L121))))*$E121:$K121)*(1+N(Configuración!$C$3)))</f>
        <v/>
      </c>
      <c r="T121" s="17" t="n"/>
    </row>
    <row r="122">
      <c r="A122" s="17" t="n"/>
      <c r="B122" s="17" t="n"/>
      <c r="C122" s="17" t="n"/>
      <c r="D122" s="17" t="n"/>
      <c r="E122" s="18" t="n"/>
      <c r="F122" s="18" t="n"/>
      <c r="G122" s="18" t="n"/>
      <c r="H122" s="18" t="n"/>
      <c r="I122" s="18" t="n"/>
      <c r="J122" s="18" t="n"/>
      <c r="K122" s="18" t="n"/>
      <c r="L122" s="17" t="n"/>
      <c r="M122" s="19">
        <f>IF(OR($B122="",COUNT($E122:$K122)=0),"",SUMPRODUCT((MOD(COLUMN($E122:$K122)-COLUMN($E122)-0,7)&lt;MAX(1,MIN(7,N($L122))))*$E122:$K122)*(1+N(Configuración!$C$3)))</f>
        <v/>
      </c>
      <c r="N122" s="19">
        <f>IF(OR($B122="",COUNT($E122:$K122)=0),"",SUMPRODUCT((MOD(COLUMN($E122:$K122)-COLUMN($E122)-1,7)&lt;MAX(1,MIN(7,N($L122))))*$E122:$K122)*(1+N(Configuración!$C$3)))</f>
        <v/>
      </c>
      <c r="O122" s="19">
        <f>IF(OR($B122="",COUNT($E122:$K122)=0),"",SUMPRODUCT((MOD(COLUMN($E122:$K122)-COLUMN($E122)-2,7)&lt;MAX(1,MIN(7,N($L122))))*$E122:$K122)*(1+N(Configuración!$C$3)))</f>
        <v/>
      </c>
      <c r="P122" s="19">
        <f>IF(OR($B122="",COUNT($E122:$K122)=0),"",SUMPRODUCT((MOD(COLUMN($E122:$K122)-COLUMN($E122)-3,7)&lt;MAX(1,MIN(7,N($L122))))*$E122:$K122)*(1+N(Configuración!$C$3)))</f>
        <v/>
      </c>
      <c r="Q122" s="19">
        <f>IF(OR($B122="",COUNT($E122:$K122)=0),"",SUMPRODUCT((MOD(COLUMN($E122:$K122)-COLUMN($E122)-4,7)&lt;MAX(1,MIN(7,N($L122))))*$E122:$K122)*(1+N(Configuración!$C$3)))</f>
        <v/>
      </c>
      <c r="R122" s="19">
        <f>IF(OR($B122="",COUNT($E122:$K122)=0),"",SUMPRODUCT((MOD(COLUMN($E122:$K122)-COLUMN($E122)-5,7)&lt;MAX(1,MIN(7,N($L122))))*$E122:$K122)*(1+N(Configuración!$C$3)))</f>
        <v/>
      </c>
      <c r="S122" s="19">
        <f>IF(OR($B122="",COUNT($E122:$K122)=0),"",SUMPRODUCT((MOD(COLUMN($E122:$K122)-COLUMN($E122)-6,7)&lt;MAX(1,MIN(7,N($L122))))*$E122:$K122)*(1+N(Configuración!$C$3)))</f>
        <v/>
      </c>
      <c r="T122" s="17" t="n"/>
    </row>
    <row r="123">
      <c r="A123" s="17" t="n"/>
      <c r="B123" s="17" t="n"/>
      <c r="C123" s="17" t="n"/>
      <c r="D123" s="17" t="n"/>
      <c r="E123" s="18" t="n"/>
      <c r="F123" s="18" t="n"/>
      <c r="G123" s="18" t="n"/>
      <c r="H123" s="18" t="n"/>
      <c r="I123" s="18" t="n"/>
      <c r="J123" s="18" t="n"/>
      <c r="K123" s="18" t="n"/>
      <c r="L123" s="17" t="n"/>
      <c r="M123" s="19">
        <f>IF(OR($B123="",COUNT($E123:$K123)=0),"",SUMPRODUCT((MOD(COLUMN($E123:$K123)-COLUMN($E123)-0,7)&lt;MAX(1,MIN(7,N($L123))))*$E123:$K123)*(1+N(Configuración!$C$3)))</f>
        <v/>
      </c>
      <c r="N123" s="19">
        <f>IF(OR($B123="",COUNT($E123:$K123)=0),"",SUMPRODUCT((MOD(COLUMN($E123:$K123)-COLUMN($E123)-1,7)&lt;MAX(1,MIN(7,N($L123))))*$E123:$K123)*(1+N(Configuración!$C$3)))</f>
        <v/>
      </c>
      <c r="O123" s="19">
        <f>IF(OR($B123="",COUNT($E123:$K123)=0),"",SUMPRODUCT((MOD(COLUMN($E123:$K123)-COLUMN($E123)-2,7)&lt;MAX(1,MIN(7,N($L123))))*$E123:$K123)*(1+N(Configuración!$C$3)))</f>
        <v/>
      </c>
      <c r="P123" s="19">
        <f>IF(OR($B123="",COUNT($E123:$K123)=0),"",SUMPRODUCT((MOD(COLUMN($E123:$K123)-COLUMN($E123)-3,7)&lt;MAX(1,MIN(7,N($L123))))*$E123:$K123)*(1+N(Configuración!$C$3)))</f>
        <v/>
      </c>
      <c r="Q123" s="19">
        <f>IF(OR($B123="",COUNT($E123:$K123)=0),"",SUMPRODUCT((MOD(COLUMN($E123:$K123)-COLUMN($E123)-4,7)&lt;MAX(1,MIN(7,N($L123))))*$E123:$K123)*(1+N(Configuración!$C$3)))</f>
        <v/>
      </c>
      <c r="R123" s="19">
        <f>IF(OR($B123="",COUNT($E123:$K123)=0),"",SUMPRODUCT((MOD(COLUMN($E123:$K123)-COLUMN($E123)-5,7)&lt;MAX(1,MIN(7,N($L123))))*$E123:$K123)*(1+N(Configuración!$C$3)))</f>
        <v/>
      </c>
      <c r="S123" s="19">
        <f>IF(OR($B123="",COUNT($E123:$K123)=0),"",SUMPRODUCT((MOD(COLUMN($E123:$K123)-COLUMN($E123)-6,7)&lt;MAX(1,MIN(7,N($L123))))*$E123:$K123)*(1+N(Configuración!$C$3)))</f>
        <v/>
      </c>
      <c r="T123" s="17" t="n"/>
    </row>
    <row r="124">
      <c r="A124" s="17" t="n"/>
      <c r="B124" s="17" t="n"/>
      <c r="C124" s="17" t="n"/>
      <c r="D124" s="17" t="n"/>
      <c r="E124" s="18" t="n"/>
      <c r="F124" s="18" t="n"/>
      <c r="G124" s="18" t="n"/>
      <c r="H124" s="18" t="n"/>
      <c r="I124" s="18" t="n"/>
      <c r="J124" s="18" t="n"/>
      <c r="K124" s="18" t="n"/>
      <c r="L124" s="17" t="n"/>
      <c r="M124" s="19">
        <f>IF(OR($B124="",COUNT($E124:$K124)=0),"",SUMPRODUCT((MOD(COLUMN($E124:$K124)-COLUMN($E124)-0,7)&lt;MAX(1,MIN(7,N($L124))))*$E124:$K124)*(1+N(Configuración!$C$3)))</f>
        <v/>
      </c>
      <c r="N124" s="19">
        <f>IF(OR($B124="",COUNT($E124:$K124)=0),"",SUMPRODUCT((MOD(COLUMN($E124:$K124)-COLUMN($E124)-1,7)&lt;MAX(1,MIN(7,N($L124))))*$E124:$K124)*(1+N(Configuración!$C$3)))</f>
        <v/>
      </c>
      <c r="O124" s="19">
        <f>IF(OR($B124="",COUNT($E124:$K124)=0),"",SUMPRODUCT((MOD(COLUMN($E124:$K124)-COLUMN($E124)-2,7)&lt;MAX(1,MIN(7,N($L124))))*$E124:$K124)*(1+N(Configuración!$C$3)))</f>
        <v/>
      </c>
      <c r="P124" s="19">
        <f>IF(OR($B124="",COUNT($E124:$K124)=0),"",SUMPRODUCT((MOD(COLUMN($E124:$K124)-COLUMN($E124)-3,7)&lt;MAX(1,MIN(7,N($L124))))*$E124:$K124)*(1+N(Configuración!$C$3)))</f>
        <v/>
      </c>
      <c r="Q124" s="19">
        <f>IF(OR($B124="",COUNT($E124:$K124)=0),"",SUMPRODUCT((MOD(COLUMN($E124:$K124)-COLUMN($E124)-4,7)&lt;MAX(1,MIN(7,N($L124))))*$E124:$K124)*(1+N(Configuración!$C$3)))</f>
        <v/>
      </c>
      <c r="R124" s="19">
        <f>IF(OR($B124="",COUNT($E124:$K124)=0),"",SUMPRODUCT((MOD(COLUMN($E124:$K124)-COLUMN($E124)-5,7)&lt;MAX(1,MIN(7,N($L124))))*$E124:$K124)*(1+N(Configuración!$C$3)))</f>
        <v/>
      </c>
      <c r="S124" s="19">
        <f>IF(OR($B124="",COUNT($E124:$K124)=0),"",SUMPRODUCT((MOD(COLUMN($E124:$K124)-COLUMN($E124)-6,7)&lt;MAX(1,MIN(7,N($L124))))*$E124:$K124)*(1+N(Configuración!$C$3)))</f>
        <v/>
      </c>
      <c r="T124" s="17" t="n"/>
    </row>
    <row r="125">
      <c r="A125" s="17" t="n"/>
      <c r="B125" s="17" t="n"/>
      <c r="C125" s="17" t="n"/>
      <c r="D125" s="17" t="n"/>
      <c r="E125" s="18" t="n"/>
      <c r="F125" s="18" t="n"/>
      <c r="G125" s="18" t="n"/>
      <c r="H125" s="18" t="n"/>
      <c r="I125" s="18" t="n"/>
      <c r="J125" s="18" t="n"/>
      <c r="K125" s="18" t="n"/>
      <c r="L125" s="17" t="n"/>
      <c r="M125" s="19">
        <f>IF(OR($B125="",COUNT($E125:$K125)=0),"",SUMPRODUCT((MOD(COLUMN($E125:$K125)-COLUMN($E125)-0,7)&lt;MAX(1,MIN(7,N($L125))))*$E125:$K125)*(1+N(Configuración!$C$3)))</f>
        <v/>
      </c>
      <c r="N125" s="19">
        <f>IF(OR($B125="",COUNT($E125:$K125)=0),"",SUMPRODUCT((MOD(COLUMN($E125:$K125)-COLUMN($E125)-1,7)&lt;MAX(1,MIN(7,N($L125))))*$E125:$K125)*(1+N(Configuración!$C$3)))</f>
        <v/>
      </c>
      <c r="O125" s="19">
        <f>IF(OR($B125="",COUNT($E125:$K125)=0),"",SUMPRODUCT((MOD(COLUMN($E125:$K125)-COLUMN($E125)-2,7)&lt;MAX(1,MIN(7,N($L125))))*$E125:$K125)*(1+N(Configuración!$C$3)))</f>
        <v/>
      </c>
      <c r="P125" s="19">
        <f>IF(OR($B125="",COUNT($E125:$K125)=0),"",SUMPRODUCT((MOD(COLUMN($E125:$K125)-COLUMN($E125)-3,7)&lt;MAX(1,MIN(7,N($L125))))*$E125:$K125)*(1+N(Configuración!$C$3)))</f>
        <v/>
      </c>
      <c r="Q125" s="19">
        <f>IF(OR($B125="",COUNT($E125:$K125)=0),"",SUMPRODUCT((MOD(COLUMN($E125:$K125)-COLUMN($E125)-4,7)&lt;MAX(1,MIN(7,N($L125))))*$E125:$K125)*(1+N(Configuración!$C$3)))</f>
        <v/>
      </c>
      <c r="R125" s="19">
        <f>IF(OR($B125="",COUNT($E125:$K125)=0),"",SUMPRODUCT((MOD(COLUMN($E125:$K125)-COLUMN($E125)-5,7)&lt;MAX(1,MIN(7,N($L125))))*$E125:$K125)*(1+N(Configuración!$C$3)))</f>
        <v/>
      </c>
      <c r="S125" s="19">
        <f>IF(OR($B125="",COUNT($E125:$K125)=0),"",SUMPRODUCT((MOD(COLUMN($E125:$K125)-COLUMN($E125)-6,7)&lt;MAX(1,MIN(7,N($L125))))*$E125:$K125)*(1+N(Configuración!$C$3)))</f>
        <v/>
      </c>
      <c r="T125" s="17" t="n"/>
    </row>
    <row r="126">
      <c r="A126" s="17" t="n"/>
      <c r="B126" s="17" t="n"/>
      <c r="C126" s="17" t="n"/>
      <c r="D126" s="17" t="n"/>
      <c r="E126" s="18" t="n"/>
      <c r="F126" s="18" t="n"/>
      <c r="G126" s="18" t="n"/>
      <c r="H126" s="18" t="n"/>
      <c r="I126" s="18" t="n"/>
      <c r="J126" s="18" t="n"/>
      <c r="K126" s="18" t="n"/>
      <c r="L126" s="17" t="n"/>
      <c r="M126" s="19">
        <f>IF(OR($B126="",COUNT($E126:$K126)=0),"",SUMPRODUCT((MOD(COLUMN($E126:$K126)-COLUMN($E126)-0,7)&lt;MAX(1,MIN(7,N($L126))))*$E126:$K126)*(1+N(Configuración!$C$3)))</f>
        <v/>
      </c>
      <c r="N126" s="19">
        <f>IF(OR($B126="",COUNT($E126:$K126)=0),"",SUMPRODUCT((MOD(COLUMN($E126:$K126)-COLUMN($E126)-1,7)&lt;MAX(1,MIN(7,N($L126))))*$E126:$K126)*(1+N(Configuración!$C$3)))</f>
        <v/>
      </c>
      <c r="O126" s="19">
        <f>IF(OR($B126="",COUNT($E126:$K126)=0),"",SUMPRODUCT((MOD(COLUMN($E126:$K126)-COLUMN($E126)-2,7)&lt;MAX(1,MIN(7,N($L126))))*$E126:$K126)*(1+N(Configuración!$C$3)))</f>
        <v/>
      </c>
      <c r="P126" s="19">
        <f>IF(OR($B126="",COUNT($E126:$K126)=0),"",SUMPRODUCT((MOD(COLUMN($E126:$K126)-COLUMN($E126)-3,7)&lt;MAX(1,MIN(7,N($L126))))*$E126:$K126)*(1+N(Configuración!$C$3)))</f>
        <v/>
      </c>
      <c r="Q126" s="19">
        <f>IF(OR($B126="",COUNT($E126:$K126)=0),"",SUMPRODUCT((MOD(COLUMN($E126:$K126)-COLUMN($E126)-4,7)&lt;MAX(1,MIN(7,N($L126))))*$E126:$K126)*(1+N(Configuración!$C$3)))</f>
        <v/>
      </c>
      <c r="R126" s="19">
        <f>IF(OR($B126="",COUNT($E126:$K126)=0),"",SUMPRODUCT((MOD(COLUMN($E126:$K126)-COLUMN($E126)-5,7)&lt;MAX(1,MIN(7,N($L126))))*$E126:$K126)*(1+N(Configuración!$C$3)))</f>
        <v/>
      </c>
      <c r="S126" s="19">
        <f>IF(OR($B126="",COUNT($E126:$K126)=0),"",SUMPRODUCT((MOD(COLUMN($E126:$K126)-COLUMN($E126)-6,7)&lt;MAX(1,MIN(7,N($L126))))*$E126:$K126)*(1+N(Configuración!$C$3)))</f>
        <v/>
      </c>
      <c r="T126" s="17" t="n"/>
    </row>
    <row r="127">
      <c r="A127" s="17" t="n"/>
      <c r="B127" s="17" t="n"/>
      <c r="C127" s="17" t="n"/>
      <c r="D127" s="17" t="n"/>
      <c r="E127" s="18" t="n"/>
      <c r="F127" s="18" t="n"/>
      <c r="G127" s="18" t="n"/>
      <c r="H127" s="18" t="n"/>
      <c r="I127" s="18" t="n"/>
      <c r="J127" s="18" t="n"/>
      <c r="K127" s="18" t="n"/>
      <c r="L127" s="17" t="n"/>
      <c r="M127" s="19">
        <f>IF(OR($B127="",COUNT($E127:$K127)=0),"",SUMPRODUCT((MOD(COLUMN($E127:$K127)-COLUMN($E127)-0,7)&lt;MAX(1,MIN(7,N($L127))))*$E127:$K127)*(1+N(Configuración!$C$3)))</f>
        <v/>
      </c>
      <c r="N127" s="19">
        <f>IF(OR($B127="",COUNT($E127:$K127)=0),"",SUMPRODUCT((MOD(COLUMN($E127:$K127)-COLUMN($E127)-1,7)&lt;MAX(1,MIN(7,N($L127))))*$E127:$K127)*(1+N(Configuración!$C$3)))</f>
        <v/>
      </c>
      <c r="O127" s="19">
        <f>IF(OR($B127="",COUNT($E127:$K127)=0),"",SUMPRODUCT((MOD(COLUMN($E127:$K127)-COLUMN($E127)-2,7)&lt;MAX(1,MIN(7,N($L127))))*$E127:$K127)*(1+N(Configuración!$C$3)))</f>
        <v/>
      </c>
      <c r="P127" s="19">
        <f>IF(OR($B127="",COUNT($E127:$K127)=0),"",SUMPRODUCT((MOD(COLUMN($E127:$K127)-COLUMN($E127)-3,7)&lt;MAX(1,MIN(7,N($L127))))*$E127:$K127)*(1+N(Configuración!$C$3)))</f>
        <v/>
      </c>
      <c r="Q127" s="19">
        <f>IF(OR($B127="",COUNT($E127:$K127)=0),"",SUMPRODUCT((MOD(COLUMN($E127:$K127)-COLUMN($E127)-4,7)&lt;MAX(1,MIN(7,N($L127))))*$E127:$K127)*(1+N(Configuración!$C$3)))</f>
        <v/>
      </c>
      <c r="R127" s="19">
        <f>IF(OR($B127="",COUNT($E127:$K127)=0),"",SUMPRODUCT((MOD(COLUMN($E127:$K127)-COLUMN($E127)-5,7)&lt;MAX(1,MIN(7,N($L127))))*$E127:$K127)*(1+N(Configuración!$C$3)))</f>
        <v/>
      </c>
      <c r="S127" s="19">
        <f>IF(OR($B127="",COUNT($E127:$K127)=0),"",SUMPRODUCT((MOD(COLUMN($E127:$K127)-COLUMN($E127)-6,7)&lt;MAX(1,MIN(7,N($L127))))*$E127:$K127)*(1+N(Configuración!$C$3)))</f>
        <v/>
      </c>
      <c r="T127" s="17" t="n"/>
    </row>
    <row r="128">
      <c r="A128" s="17" t="n"/>
      <c r="B128" s="17" t="n"/>
      <c r="C128" s="17" t="n"/>
      <c r="D128" s="17" t="n"/>
      <c r="E128" s="18" t="n"/>
      <c r="F128" s="18" t="n"/>
      <c r="G128" s="18" t="n"/>
      <c r="H128" s="18" t="n"/>
      <c r="I128" s="18" t="n"/>
      <c r="J128" s="18" t="n"/>
      <c r="K128" s="18" t="n"/>
      <c r="L128" s="17" t="n"/>
      <c r="M128" s="19">
        <f>IF(OR($B128="",COUNT($E128:$K128)=0),"",SUMPRODUCT((MOD(COLUMN($E128:$K128)-COLUMN($E128)-0,7)&lt;MAX(1,MIN(7,N($L128))))*$E128:$K128)*(1+N(Configuración!$C$3)))</f>
        <v/>
      </c>
      <c r="N128" s="19">
        <f>IF(OR($B128="",COUNT($E128:$K128)=0),"",SUMPRODUCT((MOD(COLUMN($E128:$K128)-COLUMN($E128)-1,7)&lt;MAX(1,MIN(7,N($L128))))*$E128:$K128)*(1+N(Configuración!$C$3)))</f>
        <v/>
      </c>
      <c r="O128" s="19">
        <f>IF(OR($B128="",COUNT($E128:$K128)=0),"",SUMPRODUCT((MOD(COLUMN($E128:$K128)-COLUMN($E128)-2,7)&lt;MAX(1,MIN(7,N($L128))))*$E128:$K128)*(1+N(Configuración!$C$3)))</f>
        <v/>
      </c>
      <c r="P128" s="19">
        <f>IF(OR($B128="",COUNT($E128:$K128)=0),"",SUMPRODUCT((MOD(COLUMN($E128:$K128)-COLUMN($E128)-3,7)&lt;MAX(1,MIN(7,N($L128))))*$E128:$K128)*(1+N(Configuración!$C$3)))</f>
        <v/>
      </c>
      <c r="Q128" s="19">
        <f>IF(OR($B128="",COUNT($E128:$K128)=0),"",SUMPRODUCT((MOD(COLUMN($E128:$K128)-COLUMN($E128)-4,7)&lt;MAX(1,MIN(7,N($L128))))*$E128:$K128)*(1+N(Configuración!$C$3)))</f>
        <v/>
      </c>
      <c r="R128" s="19">
        <f>IF(OR($B128="",COUNT($E128:$K128)=0),"",SUMPRODUCT((MOD(COLUMN($E128:$K128)-COLUMN($E128)-5,7)&lt;MAX(1,MIN(7,N($L128))))*$E128:$K128)*(1+N(Configuración!$C$3)))</f>
        <v/>
      </c>
      <c r="S128" s="19">
        <f>IF(OR($B128="",COUNT($E128:$K128)=0),"",SUMPRODUCT((MOD(COLUMN($E128:$K128)-COLUMN($E128)-6,7)&lt;MAX(1,MIN(7,N($L128))))*$E128:$K128)*(1+N(Configuración!$C$3)))</f>
        <v/>
      </c>
      <c r="T128" s="17" t="n"/>
    </row>
    <row r="129">
      <c r="A129" s="17" t="n"/>
      <c r="B129" s="17" t="n"/>
      <c r="C129" s="17" t="n"/>
      <c r="D129" s="17" t="n"/>
      <c r="E129" s="18" t="n"/>
      <c r="F129" s="18" t="n"/>
      <c r="G129" s="18" t="n"/>
      <c r="H129" s="18" t="n"/>
      <c r="I129" s="18" t="n"/>
      <c r="J129" s="18" t="n"/>
      <c r="K129" s="18" t="n"/>
      <c r="L129" s="17" t="n"/>
      <c r="M129" s="19">
        <f>IF(OR($B129="",COUNT($E129:$K129)=0),"",SUMPRODUCT((MOD(COLUMN($E129:$K129)-COLUMN($E129)-0,7)&lt;MAX(1,MIN(7,N($L129))))*$E129:$K129)*(1+N(Configuración!$C$3)))</f>
        <v/>
      </c>
      <c r="N129" s="19">
        <f>IF(OR($B129="",COUNT($E129:$K129)=0),"",SUMPRODUCT((MOD(COLUMN($E129:$K129)-COLUMN($E129)-1,7)&lt;MAX(1,MIN(7,N($L129))))*$E129:$K129)*(1+N(Configuración!$C$3)))</f>
        <v/>
      </c>
      <c r="O129" s="19">
        <f>IF(OR($B129="",COUNT($E129:$K129)=0),"",SUMPRODUCT((MOD(COLUMN($E129:$K129)-COLUMN($E129)-2,7)&lt;MAX(1,MIN(7,N($L129))))*$E129:$K129)*(1+N(Configuración!$C$3)))</f>
        <v/>
      </c>
      <c r="P129" s="19">
        <f>IF(OR($B129="",COUNT($E129:$K129)=0),"",SUMPRODUCT((MOD(COLUMN($E129:$K129)-COLUMN($E129)-3,7)&lt;MAX(1,MIN(7,N($L129))))*$E129:$K129)*(1+N(Configuración!$C$3)))</f>
        <v/>
      </c>
      <c r="Q129" s="19">
        <f>IF(OR($B129="",COUNT($E129:$K129)=0),"",SUMPRODUCT((MOD(COLUMN($E129:$K129)-COLUMN($E129)-4,7)&lt;MAX(1,MIN(7,N($L129))))*$E129:$K129)*(1+N(Configuración!$C$3)))</f>
        <v/>
      </c>
      <c r="R129" s="19">
        <f>IF(OR($B129="",COUNT($E129:$K129)=0),"",SUMPRODUCT((MOD(COLUMN($E129:$K129)-COLUMN($E129)-5,7)&lt;MAX(1,MIN(7,N($L129))))*$E129:$K129)*(1+N(Configuración!$C$3)))</f>
        <v/>
      </c>
      <c r="S129" s="19">
        <f>IF(OR($B129="",COUNT($E129:$K129)=0),"",SUMPRODUCT((MOD(COLUMN($E129:$K129)-COLUMN($E129)-6,7)&lt;MAX(1,MIN(7,N($L129))))*$E129:$K129)*(1+N(Configuración!$C$3)))</f>
        <v/>
      </c>
      <c r="T129" s="17" t="n"/>
    </row>
    <row r="130">
      <c r="A130" s="17" t="n"/>
      <c r="B130" s="17" t="n"/>
      <c r="C130" s="17" t="n"/>
      <c r="D130" s="17" t="n"/>
      <c r="E130" s="18" t="n"/>
      <c r="F130" s="18" t="n"/>
      <c r="G130" s="18" t="n"/>
      <c r="H130" s="18" t="n"/>
      <c r="I130" s="18" t="n"/>
      <c r="J130" s="18" t="n"/>
      <c r="K130" s="18" t="n"/>
      <c r="L130" s="17" t="n"/>
      <c r="M130" s="19">
        <f>IF(OR($B130="",COUNT($E130:$K130)=0),"",SUMPRODUCT((MOD(COLUMN($E130:$K130)-COLUMN($E130)-0,7)&lt;MAX(1,MIN(7,N($L130))))*$E130:$K130)*(1+N(Configuración!$C$3)))</f>
        <v/>
      </c>
      <c r="N130" s="19">
        <f>IF(OR($B130="",COUNT($E130:$K130)=0),"",SUMPRODUCT((MOD(COLUMN($E130:$K130)-COLUMN($E130)-1,7)&lt;MAX(1,MIN(7,N($L130))))*$E130:$K130)*(1+N(Configuración!$C$3)))</f>
        <v/>
      </c>
      <c r="O130" s="19">
        <f>IF(OR($B130="",COUNT($E130:$K130)=0),"",SUMPRODUCT((MOD(COLUMN($E130:$K130)-COLUMN($E130)-2,7)&lt;MAX(1,MIN(7,N($L130))))*$E130:$K130)*(1+N(Configuración!$C$3)))</f>
        <v/>
      </c>
      <c r="P130" s="19">
        <f>IF(OR($B130="",COUNT($E130:$K130)=0),"",SUMPRODUCT((MOD(COLUMN($E130:$K130)-COLUMN($E130)-3,7)&lt;MAX(1,MIN(7,N($L130))))*$E130:$K130)*(1+N(Configuración!$C$3)))</f>
        <v/>
      </c>
      <c r="Q130" s="19">
        <f>IF(OR($B130="",COUNT($E130:$K130)=0),"",SUMPRODUCT((MOD(COLUMN($E130:$K130)-COLUMN($E130)-4,7)&lt;MAX(1,MIN(7,N($L130))))*$E130:$K130)*(1+N(Configuración!$C$3)))</f>
        <v/>
      </c>
      <c r="R130" s="19">
        <f>IF(OR($B130="",COUNT($E130:$K130)=0),"",SUMPRODUCT((MOD(COLUMN($E130:$K130)-COLUMN($E130)-5,7)&lt;MAX(1,MIN(7,N($L130))))*$E130:$K130)*(1+N(Configuración!$C$3)))</f>
        <v/>
      </c>
      <c r="S130" s="19">
        <f>IF(OR($B130="",COUNT($E130:$K130)=0),"",SUMPRODUCT((MOD(COLUMN($E130:$K130)-COLUMN($E130)-6,7)&lt;MAX(1,MIN(7,N($L130))))*$E130:$K130)*(1+N(Configuración!$C$3)))</f>
        <v/>
      </c>
      <c r="T130" s="17" t="n"/>
    </row>
    <row r="131">
      <c r="A131" s="17" t="n"/>
      <c r="B131" s="17" t="n"/>
      <c r="C131" s="17" t="n"/>
      <c r="D131" s="17" t="n"/>
      <c r="E131" s="18" t="n"/>
      <c r="F131" s="18" t="n"/>
      <c r="G131" s="18" t="n"/>
      <c r="H131" s="18" t="n"/>
      <c r="I131" s="18" t="n"/>
      <c r="J131" s="18" t="n"/>
      <c r="K131" s="18" t="n"/>
      <c r="L131" s="17" t="n"/>
      <c r="M131" s="19">
        <f>IF(OR($B131="",COUNT($E131:$K131)=0),"",SUMPRODUCT((MOD(COLUMN($E131:$K131)-COLUMN($E131)-0,7)&lt;MAX(1,MIN(7,N($L131))))*$E131:$K131)*(1+N(Configuración!$C$3)))</f>
        <v/>
      </c>
      <c r="N131" s="19">
        <f>IF(OR($B131="",COUNT($E131:$K131)=0),"",SUMPRODUCT((MOD(COLUMN($E131:$K131)-COLUMN($E131)-1,7)&lt;MAX(1,MIN(7,N($L131))))*$E131:$K131)*(1+N(Configuración!$C$3)))</f>
        <v/>
      </c>
      <c r="O131" s="19">
        <f>IF(OR($B131="",COUNT($E131:$K131)=0),"",SUMPRODUCT((MOD(COLUMN($E131:$K131)-COLUMN($E131)-2,7)&lt;MAX(1,MIN(7,N($L131))))*$E131:$K131)*(1+N(Configuración!$C$3)))</f>
        <v/>
      </c>
      <c r="P131" s="19">
        <f>IF(OR($B131="",COUNT($E131:$K131)=0),"",SUMPRODUCT((MOD(COLUMN($E131:$K131)-COLUMN($E131)-3,7)&lt;MAX(1,MIN(7,N($L131))))*$E131:$K131)*(1+N(Configuración!$C$3)))</f>
        <v/>
      </c>
      <c r="Q131" s="19">
        <f>IF(OR($B131="",COUNT($E131:$K131)=0),"",SUMPRODUCT((MOD(COLUMN($E131:$K131)-COLUMN($E131)-4,7)&lt;MAX(1,MIN(7,N($L131))))*$E131:$K131)*(1+N(Configuración!$C$3)))</f>
        <v/>
      </c>
      <c r="R131" s="19">
        <f>IF(OR($B131="",COUNT($E131:$K131)=0),"",SUMPRODUCT((MOD(COLUMN($E131:$K131)-COLUMN($E131)-5,7)&lt;MAX(1,MIN(7,N($L131))))*$E131:$K131)*(1+N(Configuración!$C$3)))</f>
        <v/>
      </c>
      <c r="S131" s="19">
        <f>IF(OR($B131="",COUNT($E131:$K131)=0),"",SUMPRODUCT((MOD(COLUMN($E131:$K131)-COLUMN($E131)-6,7)&lt;MAX(1,MIN(7,N($L131))))*$E131:$K131)*(1+N(Configuración!$C$3)))</f>
        <v/>
      </c>
      <c r="T131" s="17" t="n"/>
    </row>
    <row r="132">
      <c r="A132" s="17" t="n"/>
      <c r="B132" s="17" t="n"/>
      <c r="C132" s="17" t="n"/>
      <c r="D132" s="17" t="n"/>
      <c r="E132" s="18" t="n"/>
      <c r="F132" s="18" t="n"/>
      <c r="G132" s="18" t="n"/>
      <c r="H132" s="18" t="n"/>
      <c r="I132" s="18" t="n"/>
      <c r="J132" s="18" t="n"/>
      <c r="K132" s="18" t="n"/>
      <c r="L132" s="17" t="n"/>
      <c r="M132" s="19">
        <f>IF(OR($B132="",COUNT($E132:$K132)=0),"",SUMPRODUCT((MOD(COLUMN($E132:$K132)-COLUMN($E132)-0,7)&lt;MAX(1,MIN(7,N($L132))))*$E132:$K132)*(1+N(Configuración!$C$3)))</f>
        <v/>
      </c>
      <c r="N132" s="19">
        <f>IF(OR($B132="",COUNT($E132:$K132)=0),"",SUMPRODUCT((MOD(COLUMN($E132:$K132)-COLUMN($E132)-1,7)&lt;MAX(1,MIN(7,N($L132))))*$E132:$K132)*(1+N(Configuración!$C$3)))</f>
        <v/>
      </c>
      <c r="O132" s="19">
        <f>IF(OR($B132="",COUNT($E132:$K132)=0),"",SUMPRODUCT((MOD(COLUMN($E132:$K132)-COLUMN($E132)-2,7)&lt;MAX(1,MIN(7,N($L132))))*$E132:$K132)*(1+N(Configuración!$C$3)))</f>
        <v/>
      </c>
      <c r="P132" s="19">
        <f>IF(OR($B132="",COUNT($E132:$K132)=0),"",SUMPRODUCT((MOD(COLUMN($E132:$K132)-COLUMN($E132)-3,7)&lt;MAX(1,MIN(7,N($L132))))*$E132:$K132)*(1+N(Configuración!$C$3)))</f>
        <v/>
      </c>
      <c r="Q132" s="19">
        <f>IF(OR($B132="",COUNT($E132:$K132)=0),"",SUMPRODUCT((MOD(COLUMN($E132:$K132)-COLUMN($E132)-4,7)&lt;MAX(1,MIN(7,N($L132))))*$E132:$K132)*(1+N(Configuración!$C$3)))</f>
        <v/>
      </c>
      <c r="R132" s="19">
        <f>IF(OR($B132="",COUNT($E132:$K132)=0),"",SUMPRODUCT((MOD(COLUMN($E132:$K132)-COLUMN($E132)-5,7)&lt;MAX(1,MIN(7,N($L132))))*$E132:$K132)*(1+N(Configuración!$C$3)))</f>
        <v/>
      </c>
      <c r="S132" s="19">
        <f>IF(OR($B132="",COUNT($E132:$K132)=0),"",SUMPRODUCT((MOD(COLUMN($E132:$K132)-COLUMN($E132)-6,7)&lt;MAX(1,MIN(7,N($L132))))*$E132:$K132)*(1+N(Configuración!$C$3)))</f>
        <v/>
      </c>
      <c r="T132" s="17" t="n"/>
    </row>
    <row r="133">
      <c r="A133" s="17" t="n"/>
      <c r="B133" s="17" t="n"/>
      <c r="C133" s="17" t="n"/>
      <c r="D133" s="17" t="n"/>
      <c r="E133" s="18" t="n"/>
      <c r="F133" s="18" t="n"/>
      <c r="G133" s="18" t="n"/>
      <c r="H133" s="18" t="n"/>
      <c r="I133" s="18" t="n"/>
      <c r="J133" s="18" t="n"/>
      <c r="K133" s="18" t="n"/>
      <c r="L133" s="17" t="n"/>
      <c r="M133" s="19">
        <f>IF(OR($B133="",COUNT($E133:$K133)=0),"",SUMPRODUCT((MOD(COLUMN($E133:$K133)-COLUMN($E133)-0,7)&lt;MAX(1,MIN(7,N($L133))))*$E133:$K133)*(1+N(Configuración!$C$3)))</f>
        <v/>
      </c>
      <c r="N133" s="19">
        <f>IF(OR($B133="",COUNT($E133:$K133)=0),"",SUMPRODUCT((MOD(COLUMN($E133:$K133)-COLUMN($E133)-1,7)&lt;MAX(1,MIN(7,N($L133))))*$E133:$K133)*(1+N(Configuración!$C$3)))</f>
        <v/>
      </c>
      <c r="O133" s="19">
        <f>IF(OR($B133="",COUNT($E133:$K133)=0),"",SUMPRODUCT((MOD(COLUMN($E133:$K133)-COLUMN($E133)-2,7)&lt;MAX(1,MIN(7,N($L133))))*$E133:$K133)*(1+N(Configuración!$C$3)))</f>
        <v/>
      </c>
      <c r="P133" s="19">
        <f>IF(OR($B133="",COUNT($E133:$K133)=0),"",SUMPRODUCT((MOD(COLUMN($E133:$K133)-COLUMN($E133)-3,7)&lt;MAX(1,MIN(7,N($L133))))*$E133:$K133)*(1+N(Configuración!$C$3)))</f>
        <v/>
      </c>
      <c r="Q133" s="19">
        <f>IF(OR($B133="",COUNT($E133:$K133)=0),"",SUMPRODUCT((MOD(COLUMN($E133:$K133)-COLUMN($E133)-4,7)&lt;MAX(1,MIN(7,N($L133))))*$E133:$K133)*(1+N(Configuración!$C$3)))</f>
        <v/>
      </c>
      <c r="R133" s="19">
        <f>IF(OR($B133="",COUNT($E133:$K133)=0),"",SUMPRODUCT((MOD(COLUMN($E133:$K133)-COLUMN($E133)-5,7)&lt;MAX(1,MIN(7,N($L133))))*$E133:$K133)*(1+N(Configuración!$C$3)))</f>
        <v/>
      </c>
      <c r="S133" s="19">
        <f>IF(OR($B133="",COUNT($E133:$K133)=0),"",SUMPRODUCT((MOD(COLUMN($E133:$K133)-COLUMN($E133)-6,7)&lt;MAX(1,MIN(7,N($L133))))*$E133:$K133)*(1+N(Configuración!$C$3)))</f>
        <v/>
      </c>
      <c r="T133" s="17" t="n"/>
    </row>
    <row r="134">
      <c r="A134" s="17" t="n"/>
      <c r="B134" s="17" t="n"/>
      <c r="C134" s="17" t="n"/>
      <c r="D134" s="17" t="n"/>
      <c r="E134" s="18" t="n"/>
      <c r="F134" s="18" t="n"/>
      <c r="G134" s="18" t="n"/>
      <c r="H134" s="18" t="n"/>
      <c r="I134" s="18" t="n"/>
      <c r="J134" s="18" t="n"/>
      <c r="K134" s="18" t="n"/>
      <c r="L134" s="17" t="n"/>
      <c r="M134" s="19">
        <f>IF(OR($B134="",COUNT($E134:$K134)=0),"",SUMPRODUCT((MOD(COLUMN($E134:$K134)-COLUMN($E134)-0,7)&lt;MAX(1,MIN(7,N($L134))))*$E134:$K134)*(1+N(Configuración!$C$3)))</f>
        <v/>
      </c>
      <c r="N134" s="19">
        <f>IF(OR($B134="",COUNT($E134:$K134)=0),"",SUMPRODUCT((MOD(COLUMN($E134:$K134)-COLUMN($E134)-1,7)&lt;MAX(1,MIN(7,N($L134))))*$E134:$K134)*(1+N(Configuración!$C$3)))</f>
        <v/>
      </c>
      <c r="O134" s="19">
        <f>IF(OR($B134="",COUNT($E134:$K134)=0),"",SUMPRODUCT((MOD(COLUMN($E134:$K134)-COLUMN($E134)-2,7)&lt;MAX(1,MIN(7,N($L134))))*$E134:$K134)*(1+N(Configuración!$C$3)))</f>
        <v/>
      </c>
      <c r="P134" s="19">
        <f>IF(OR($B134="",COUNT($E134:$K134)=0),"",SUMPRODUCT((MOD(COLUMN($E134:$K134)-COLUMN($E134)-3,7)&lt;MAX(1,MIN(7,N($L134))))*$E134:$K134)*(1+N(Configuración!$C$3)))</f>
        <v/>
      </c>
      <c r="Q134" s="19">
        <f>IF(OR($B134="",COUNT($E134:$K134)=0),"",SUMPRODUCT((MOD(COLUMN($E134:$K134)-COLUMN($E134)-4,7)&lt;MAX(1,MIN(7,N($L134))))*$E134:$K134)*(1+N(Configuración!$C$3)))</f>
        <v/>
      </c>
      <c r="R134" s="19">
        <f>IF(OR($B134="",COUNT($E134:$K134)=0),"",SUMPRODUCT((MOD(COLUMN($E134:$K134)-COLUMN($E134)-5,7)&lt;MAX(1,MIN(7,N($L134))))*$E134:$K134)*(1+N(Configuración!$C$3)))</f>
        <v/>
      </c>
      <c r="S134" s="19">
        <f>IF(OR($B134="",COUNT($E134:$K134)=0),"",SUMPRODUCT((MOD(COLUMN($E134:$K134)-COLUMN($E134)-6,7)&lt;MAX(1,MIN(7,N($L134))))*$E134:$K134)*(1+N(Configuración!$C$3)))</f>
        <v/>
      </c>
      <c r="T134" s="17" t="n"/>
    </row>
    <row r="135">
      <c r="A135" s="17" t="n"/>
      <c r="B135" s="17" t="n"/>
      <c r="C135" s="17" t="n"/>
      <c r="D135" s="17" t="n"/>
      <c r="E135" s="18" t="n"/>
      <c r="F135" s="18" t="n"/>
      <c r="G135" s="18" t="n"/>
      <c r="H135" s="18" t="n"/>
      <c r="I135" s="18" t="n"/>
      <c r="J135" s="18" t="n"/>
      <c r="K135" s="18" t="n"/>
      <c r="L135" s="17" t="n"/>
      <c r="M135" s="19">
        <f>IF(OR($B135="",COUNT($E135:$K135)=0),"",SUMPRODUCT((MOD(COLUMN($E135:$K135)-COLUMN($E135)-0,7)&lt;MAX(1,MIN(7,N($L135))))*$E135:$K135)*(1+N(Configuración!$C$3)))</f>
        <v/>
      </c>
      <c r="N135" s="19">
        <f>IF(OR($B135="",COUNT($E135:$K135)=0),"",SUMPRODUCT((MOD(COLUMN($E135:$K135)-COLUMN($E135)-1,7)&lt;MAX(1,MIN(7,N($L135))))*$E135:$K135)*(1+N(Configuración!$C$3)))</f>
        <v/>
      </c>
      <c r="O135" s="19">
        <f>IF(OR($B135="",COUNT($E135:$K135)=0),"",SUMPRODUCT((MOD(COLUMN($E135:$K135)-COLUMN($E135)-2,7)&lt;MAX(1,MIN(7,N($L135))))*$E135:$K135)*(1+N(Configuración!$C$3)))</f>
        <v/>
      </c>
      <c r="P135" s="19">
        <f>IF(OR($B135="",COUNT($E135:$K135)=0),"",SUMPRODUCT((MOD(COLUMN($E135:$K135)-COLUMN($E135)-3,7)&lt;MAX(1,MIN(7,N($L135))))*$E135:$K135)*(1+N(Configuración!$C$3)))</f>
        <v/>
      </c>
      <c r="Q135" s="19">
        <f>IF(OR($B135="",COUNT($E135:$K135)=0),"",SUMPRODUCT((MOD(COLUMN($E135:$K135)-COLUMN($E135)-4,7)&lt;MAX(1,MIN(7,N($L135))))*$E135:$K135)*(1+N(Configuración!$C$3)))</f>
        <v/>
      </c>
      <c r="R135" s="19">
        <f>IF(OR($B135="",COUNT($E135:$K135)=0),"",SUMPRODUCT((MOD(COLUMN($E135:$K135)-COLUMN($E135)-5,7)&lt;MAX(1,MIN(7,N($L135))))*$E135:$K135)*(1+N(Configuración!$C$3)))</f>
        <v/>
      </c>
      <c r="S135" s="19">
        <f>IF(OR($B135="",COUNT($E135:$K135)=0),"",SUMPRODUCT((MOD(COLUMN($E135:$K135)-COLUMN($E135)-6,7)&lt;MAX(1,MIN(7,N($L135))))*$E135:$K135)*(1+N(Configuración!$C$3)))</f>
        <v/>
      </c>
      <c r="T135" s="17" t="n"/>
    </row>
    <row r="136">
      <c r="A136" s="17" t="n"/>
      <c r="B136" s="17" t="n"/>
      <c r="C136" s="17" t="n"/>
      <c r="D136" s="17" t="n"/>
      <c r="E136" s="18" t="n"/>
      <c r="F136" s="18" t="n"/>
      <c r="G136" s="18" t="n"/>
      <c r="H136" s="18" t="n"/>
      <c r="I136" s="18" t="n"/>
      <c r="J136" s="18" t="n"/>
      <c r="K136" s="18" t="n"/>
      <c r="L136" s="17" t="n"/>
      <c r="M136" s="19">
        <f>IF(OR($B136="",COUNT($E136:$K136)=0),"",SUMPRODUCT((MOD(COLUMN($E136:$K136)-COLUMN($E136)-0,7)&lt;MAX(1,MIN(7,N($L136))))*$E136:$K136)*(1+N(Configuración!$C$3)))</f>
        <v/>
      </c>
      <c r="N136" s="19">
        <f>IF(OR($B136="",COUNT($E136:$K136)=0),"",SUMPRODUCT((MOD(COLUMN($E136:$K136)-COLUMN($E136)-1,7)&lt;MAX(1,MIN(7,N($L136))))*$E136:$K136)*(1+N(Configuración!$C$3)))</f>
        <v/>
      </c>
      <c r="O136" s="19">
        <f>IF(OR($B136="",COUNT($E136:$K136)=0),"",SUMPRODUCT((MOD(COLUMN($E136:$K136)-COLUMN($E136)-2,7)&lt;MAX(1,MIN(7,N($L136))))*$E136:$K136)*(1+N(Configuración!$C$3)))</f>
        <v/>
      </c>
      <c r="P136" s="19">
        <f>IF(OR($B136="",COUNT($E136:$K136)=0),"",SUMPRODUCT((MOD(COLUMN($E136:$K136)-COLUMN($E136)-3,7)&lt;MAX(1,MIN(7,N($L136))))*$E136:$K136)*(1+N(Configuración!$C$3)))</f>
        <v/>
      </c>
      <c r="Q136" s="19">
        <f>IF(OR($B136="",COUNT($E136:$K136)=0),"",SUMPRODUCT((MOD(COLUMN($E136:$K136)-COLUMN($E136)-4,7)&lt;MAX(1,MIN(7,N($L136))))*$E136:$K136)*(1+N(Configuración!$C$3)))</f>
        <v/>
      </c>
      <c r="R136" s="19">
        <f>IF(OR($B136="",COUNT($E136:$K136)=0),"",SUMPRODUCT((MOD(COLUMN($E136:$K136)-COLUMN($E136)-5,7)&lt;MAX(1,MIN(7,N($L136))))*$E136:$K136)*(1+N(Configuración!$C$3)))</f>
        <v/>
      </c>
      <c r="S136" s="19">
        <f>IF(OR($B136="",COUNT($E136:$K136)=0),"",SUMPRODUCT((MOD(COLUMN($E136:$K136)-COLUMN($E136)-6,7)&lt;MAX(1,MIN(7,N($L136))))*$E136:$K136)*(1+N(Configuración!$C$3)))</f>
        <v/>
      </c>
      <c r="T136" s="17" t="n"/>
    </row>
    <row r="137">
      <c r="A137" s="17" t="n"/>
      <c r="B137" s="17" t="n"/>
      <c r="C137" s="17" t="n"/>
      <c r="D137" s="17" t="n"/>
      <c r="E137" s="18" t="n"/>
      <c r="F137" s="18" t="n"/>
      <c r="G137" s="18" t="n"/>
      <c r="H137" s="18" t="n"/>
      <c r="I137" s="18" t="n"/>
      <c r="J137" s="18" t="n"/>
      <c r="K137" s="18" t="n"/>
      <c r="L137" s="17" t="n"/>
      <c r="M137" s="19">
        <f>IF(OR($B137="",COUNT($E137:$K137)=0),"",SUMPRODUCT((MOD(COLUMN($E137:$K137)-COLUMN($E137)-0,7)&lt;MAX(1,MIN(7,N($L137))))*$E137:$K137)*(1+N(Configuración!$C$3)))</f>
        <v/>
      </c>
      <c r="N137" s="19">
        <f>IF(OR($B137="",COUNT($E137:$K137)=0),"",SUMPRODUCT((MOD(COLUMN($E137:$K137)-COLUMN($E137)-1,7)&lt;MAX(1,MIN(7,N($L137))))*$E137:$K137)*(1+N(Configuración!$C$3)))</f>
        <v/>
      </c>
      <c r="O137" s="19">
        <f>IF(OR($B137="",COUNT($E137:$K137)=0),"",SUMPRODUCT((MOD(COLUMN($E137:$K137)-COLUMN($E137)-2,7)&lt;MAX(1,MIN(7,N($L137))))*$E137:$K137)*(1+N(Configuración!$C$3)))</f>
        <v/>
      </c>
      <c r="P137" s="19">
        <f>IF(OR($B137="",COUNT($E137:$K137)=0),"",SUMPRODUCT((MOD(COLUMN($E137:$K137)-COLUMN($E137)-3,7)&lt;MAX(1,MIN(7,N($L137))))*$E137:$K137)*(1+N(Configuración!$C$3)))</f>
        <v/>
      </c>
      <c r="Q137" s="19">
        <f>IF(OR($B137="",COUNT($E137:$K137)=0),"",SUMPRODUCT((MOD(COLUMN($E137:$K137)-COLUMN($E137)-4,7)&lt;MAX(1,MIN(7,N($L137))))*$E137:$K137)*(1+N(Configuración!$C$3)))</f>
        <v/>
      </c>
      <c r="R137" s="19">
        <f>IF(OR($B137="",COUNT($E137:$K137)=0),"",SUMPRODUCT((MOD(COLUMN($E137:$K137)-COLUMN($E137)-5,7)&lt;MAX(1,MIN(7,N($L137))))*$E137:$K137)*(1+N(Configuración!$C$3)))</f>
        <v/>
      </c>
      <c r="S137" s="19">
        <f>IF(OR($B137="",COUNT($E137:$K137)=0),"",SUMPRODUCT((MOD(COLUMN($E137:$K137)-COLUMN($E137)-6,7)&lt;MAX(1,MIN(7,N($L137))))*$E137:$K137)*(1+N(Configuración!$C$3)))</f>
        <v/>
      </c>
      <c r="T137" s="17" t="n"/>
    </row>
    <row r="138">
      <c r="A138" s="17" t="n"/>
      <c r="B138" s="17" t="n"/>
      <c r="C138" s="17" t="n"/>
      <c r="D138" s="17" t="n"/>
      <c r="E138" s="18" t="n"/>
      <c r="F138" s="18" t="n"/>
      <c r="G138" s="18" t="n"/>
      <c r="H138" s="18" t="n"/>
      <c r="I138" s="18" t="n"/>
      <c r="J138" s="18" t="n"/>
      <c r="K138" s="18" t="n"/>
      <c r="L138" s="17" t="n"/>
      <c r="M138" s="19">
        <f>IF(OR($B138="",COUNT($E138:$K138)=0),"",SUMPRODUCT((MOD(COLUMN($E138:$K138)-COLUMN($E138)-0,7)&lt;MAX(1,MIN(7,N($L138))))*$E138:$K138)*(1+N(Configuración!$C$3)))</f>
        <v/>
      </c>
      <c r="N138" s="19">
        <f>IF(OR($B138="",COUNT($E138:$K138)=0),"",SUMPRODUCT((MOD(COLUMN($E138:$K138)-COLUMN($E138)-1,7)&lt;MAX(1,MIN(7,N($L138))))*$E138:$K138)*(1+N(Configuración!$C$3)))</f>
        <v/>
      </c>
      <c r="O138" s="19">
        <f>IF(OR($B138="",COUNT($E138:$K138)=0),"",SUMPRODUCT((MOD(COLUMN($E138:$K138)-COLUMN($E138)-2,7)&lt;MAX(1,MIN(7,N($L138))))*$E138:$K138)*(1+N(Configuración!$C$3)))</f>
        <v/>
      </c>
      <c r="P138" s="19">
        <f>IF(OR($B138="",COUNT($E138:$K138)=0),"",SUMPRODUCT((MOD(COLUMN($E138:$K138)-COLUMN($E138)-3,7)&lt;MAX(1,MIN(7,N($L138))))*$E138:$K138)*(1+N(Configuración!$C$3)))</f>
        <v/>
      </c>
      <c r="Q138" s="19">
        <f>IF(OR($B138="",COUNT($E138:$K138)=0),"",SUMPRODUCT((MOD(COLUMN($E138:$K138)-COLUMN($E138)-4,7)&lt;MAX(1,MIN(7,N($L138))))*$E138:$K138)*(1+N(Configuración!$C$3)))</f>
        <v/>
      </c>
      <c r="R138" s="19">
        <f>IF(OR($B138="",COUNT($E138:$K138)=0),"",SUMPRODUCT((MOD(COLUMN($E138:$K138)-COLUMN($E138)-5,7)&lt;MAX(1,MIN(7,N($L138))))*$E138:$K138)*(1+N(Configuración!$C$3)))</f>
        <v/>
      </c>
      <c r="S138" s="19">
        <f>IF(OR($B138="",COUNT($E138:$K138)=0),"",SUMPRODUCT((MOD(COLUMN($E138:$K138)-COLUMN($E138)-6,7)&lt;MAX(1,MIN(7,N($L138))))*$E138:$K138)*(1+N(Configuración!$C$3)))</f>
        <v/>
      </c>
      <c r="T138" s="17" t="n"/>
    </row>
    <row r="139">
      <c r="A139" s="17" t="n"/>
      <c r="B139" s="17" t="n"/>
      <c r="C139" s="17" t="n"/>
      <c r="D139" s="17" t="n"/>
      <c r="E139" s="18" t="n"/>
      <c r="F139" s="18" t="n"/>
      <c r="G139" s="18" t="n"/>
      <c r="H139" s="18" t="n"/>
      <c r="I139" s="18" t="n"/>
      <c r="J139" s="18" t="n"/>
      <c r="K139" s="18" t="n"/>
      <c r="L139" s="17" t="n"/>
      <c r="M139" s="19">
        <f>IF(OR($B139="",COUNT($E139:$K139)=0),"",SUMPRODUCT((MOD(COLUMN($E139:$K139)-COLUMN($E139)-0,7)&lt;MAX(1,MIN(7,N($L139))))*$E139:$K139)*(1+N(Configuración!$C$3)))</f>
        <v/>
      </c>
      <c r="N139" s="19">
        <f>IF(OR($B139="",COUNT($E139:$K139)=0),"",SUMPRODUCT((MOD(COLUMN($E139:$K139)-COLUMN($E139)-1,7)&lt;MAX(1,MIN(7,N($L139))))*$E139:$K139)*(1+N(Configuración!$C$3)))</f>
        <v/>
      </c>
      <c r="O139" s="19">
        <f>IF(OR($B139="",COUNT($E139:$K139)=0),"",SUMPRODUCT((MOD(COLUMN($E139:$K139)-COLUMN($E139)-2,7)&lt;MAX(1,MIN(7,N($L139))))*$E139:$K139)*(1+N(Configuración!$C$3)))</f>
        <v/>
      </c>
      <c r="P139" s="19">
        <f>IF(OR($B139="",COUNT($E139:$K139)=0),"",SUMPRODUCT((MOD(COLUMN($E139:$K139)-COLUMN($E139)-3,7)&lt;MAX(1,MIN(7,N($L139))))*$E139:$K139)*(1+N(Configuración!$C$3)))</f>
        <v/>
      </c>
      <c r="Q139" s="19">
        <f>IF(OR($B139="",COUNT($E139:$K139)=0),"",SUMPRODUCT((MOD(COLUMN($E139:$K139)-COLUMN($E139)-4,7)&lt;MAX(1,MIN(7,N($L139))))*$E139:$K139)*(1+N(Configuración!$C$3)))</f>
        <v/>
      </c>
      <c r="R139" s="19">
        <f>IF(OR($B139="",COUNT($E139:$K139)=0),"",SUMPRODUCT((MOD(COLUMN($E139:$K139)-COLUMN($E139)-5,7)&lt;MAX(1,MIN(7,N($L139))))*$E139:$K139)*(1+N(Configuración!$C$3)))</f>
        <v/>
      </c>
      <c r="S139" s="19">
        <f>IF(OR($B139="",COUNT($E139:$K139)=0),"",SUMPRODUCT((MOD(COLUMN($E139:$K139)-COLUMN($E139)-6,7)&lt;MAX(1,MIN(7,N($L139))))*$E139:$K139)*(1+N(Configuración!$C$3)))</f>
        <v/>
      </c>
      <c r="T139" s="17" t="n"/>
    </row>
    <row r="140">
      <c r="A140" s="17" t="n"/>
      <c r="B140" s="17" t="n"/>
      <c r="C140" s="17" t="n"/>
      <c r="D140" s="17" t="n"/>
      <c r="E140" s="18" t="n"/>
      <c r="F140" s="18" t="n"/>
      <c r="G140" s="18" t="n"/>
      <c r="H140" s="18" t="n"/>
      <c r="I140" s="18" t="n"/>
      <c r="J140" s="18" t="n"/>
      <c r="K140" s="18" t="n"/>
      <c r="L140" s="17" t="n"/>
      <c r="M140" s="19">
        <f>IF(OR($B140="",COUNT($E140:$K140)=0),"",SUMPRODUCT((MOD(COLUMN($E140:$K140)-COLUMN($E140)-0,7)&lt;MAX(1,MIN(7,N($L140))))*$E140:$K140)*(1+N(Configuración!$C$3)))</f>
        <v/>
      </c>
      <c r="N140" s="19">
        <f>IF(OR($B140="",COUNT($E140:$K140)=0),"",SUMPRODUCT((MOD(COLUMN($E140:$K140)-COLUMN($E140)-1,7)&lt;MAX(1,MIN(7,N($L140))))*$E140:$K140)*(1+N(Configuración!$C$3)))</f>
        <v/>
      </c>
      <c r="O140" s="19">
        <f>IF(OR($B140="",COUNT($E140:$K140)=0),"",SUMPRODUCT((MOD(COLUMN($E140:$K140)-COLUMN($E140)-2,7)&lt;MAX(1,MIN(7,N($L140))))*$E140:$K140)*(1+N(Configuración!$C$3)))</f>
        <v/>
      </c>
      <c r="P140" s="19">
        <f>IF(OR($B140="",COUNT($E140:$K140)=0),"",SUMPRODUCT((MOD(COLUMN($E140:$K140)-COLUMN($E140)-3,7)&lt;MAX(1,MIN(7,N($L140))))*$E140:$K140)*(1+N(Configuración!$C$3)))</f>
        <v/>
      </c>
      <c r="Q140" s="19">
        <f>IF(OR($B140="",COUNT($E140:$K140)=0),"",SUMPRODUCT((MOD(COLUMN($E140:$K140)-COLUMN($E140)-4,7)&lt;MAX(1,MIN(7,N($L140))))*$E140:$K140)*(1+N(Configuración!$C$3)))</f>
        <v/>
      </c>
      <c r="R140" s="19">
        <f>IF(OR($B140="",COUNT($E140:$K140)=0),"",SUMPRODUCT((MOD(COLUMN($E140:$K140)-COLUMN($E140)-5,7)&lt;MAX(1,MIN(7,N($L140))))*$E140:$K140)*(1+N(Configuración!$C$3)))</f>
        <v/>
      </c>
      <c r="S140" s="19">
        <f>IF(OR($B140="",COUNT($E140:$K140)=0),"",SUMPRODUCT((MOD(COLUMN($E140:$K140)-COLUMN($E140)-6,7)&lt;MAX(1,MIN(7,N($L140))))*$E140:$K140)*(1+N(Configuración!$C$3)))</f>
        <v/>
      </c>
      <c r="T140" s="17" t="n"/>
    </row>
    <row r="141">
      <c r="A141" s="17" t="n"/>
      <c r="B141" s="17" t="n"/>
      <c r="C141" s="17" t="n"/>
      <c r="D141" s="17" t="n"/>
      <c r="E141" s="18" t="n"/>
      <c r="F141" s="18" t="n"/>
      <c r="G141" s="18" t="n"/>
      <c r="H141" s="18" t="n"/>
      <c r="I141" s="18" t="n"/>
      <c r="J141" s="18" t="n"/>
      <c r="K141" s="18" t="n"/>
      <c r="L141" s="17" t="n"/>
      <c r="M141" s="19">
        <f>IF(OR($B141="",COUNT($E141:$K141)=0),"",SUMPRODUCT((MOD(COLUMN($E141:$K141)-COLUMN($E141)-0,7)&lt;MAX(1,MIN(7,N($L141))))*$E141:$K141)*(1+N(Configuración!$C$3)))</f>
        <v/>
      </c>
      <c r="N141" s="19">
        <f>IF(OR($B141="",COUNT($E141:$K141)=0),"",SUMPRODUCT((MOD(COLUMN($E141:$K141)-COLUMN($E141)-1,7)&lt;MAX(1,MIN(7,N($L141))))*$E141:$K141)*(1+N(Configuración!$C$3)))</f>
        <v/>
      </c>
      <c r="O141" s="19">
        <f>IF(OR($B141="",COUNT($E141:$K141)=0),"",SUMPRODUCT((MOD(COLUMN($E141:$K141)-COLUMN($E141)-2,7)&lt;MAX(1,MIN(7,N($L141))))*$E141:$K141)*(1+N(Configuración!$C$3)))</f>
        <v/>
      </c>
      <c r="P141" s="19">
        <f>IF(OR($B141="",COUNT($E141:$K141)=0),"",SUMPRODUCT((MOD(COLUMN($E141:$K141)-COLUMN($E141)-3,7)&lt;MAX(1,MIN(7,N($L141))))*$E141:$K141)*(1+N(Configuración!$C$3)))</f>
        <v/>
      </c>
      <c r="Q141" s="19">
        <f>IF(OR($B141="",COUNT($E141:$K141)=0),"",SUMPRODUCT((MOD(COLUMN($E141:$K141)-COLUMN($E141)-4,7)&lt;MAX(1,MIN(7,N($L141))))*$E141:$K141)*(1+N(Configuración!$C$3)))</f>
        <v/>
      </c>
      <c r="R141" s="19">
        <f>IF(OR($B141="",COUNT($E141:$K141)=0),"",SUMPRODUCT((MOD(COLUMN($E141:$K141)-COLUMN($E141)-5,7)&lt;MAX(1,MIN(7,N($L141))))*$E141:$K141)*(1+N(Configuración!$C$3)))</f>
        <v/>
      </c>
      <c r="S141" s="19">
        <f>IF(OR($B141="",COUNT($E141:$K141)=0),"",SUMPRODUCT((MOD(COLUMN($E141:$K141)-COLUMN($E141)-6,7)&lt;MAX(1,MIN(7,N($L141))))*$E141:$K141)*(1+N(Configuración!$C$3)))</f>
        <v/>
      </c>
      <c r="T141" s="17" t="n"/>
    </row>
    <row r="142">
      <c r="A142" s="17" t="n"/>
      <c r="B142" s="17" t="n"/>
      <c r="C142" s="17" t="n"/>
      <c r="D142" s="17" t="n"/>
      <c r="E142" s="18" t="n"/>
      <c r="F142" s="18" t="n"/>
      <c r="G142" s="18" t="n"/>
      <c r="H142" s="18" t="n"/>
      <c r="I142" s="18" t="n"/>
      <c r="J142" s="18" t="n"/>
      <c r="K142" s="18" t="n"/>
      <c r="L142" s="17" t="n"/>
      <c r="M142" s="19">
        <f>IF(OR($B142="",COUNT($E142:$K142)=0),"",SUMPRODUCT((MOD(COLUMN($E142:$K142)-COLUMN($E142)-0,7)&lt;MAX(1,MIN(7,N($L142))))*$E142:$K142)*(1+N(Configuración!$C$3)))</f>
        <v/>
      </c>
      <c r="N142" s="19">
        <f>IF(OR($B142="",COUNT($E142:$K142)=0),"",SUMPRODUCT((MOD(COLUMN($E142:$K142)-COLUMN($E142)-1,7)&lt;MAX(1,MIN(7,N($L142))))*$E142:$K142)*(1+N(Configuración!$C$3)))</f>
        <v/>
      </c>
      <c r="O142" s="19">
        <f>IF(OR($B142="",COUNT($E142:$K142)=0),"",SUMPRODUCT((MOD(COLUMN($E142:$K142)-COLUMN($E142)-2,7)&lt;MAX(1,MIN(7,N($L142))))*$E142:$K142)*(1+N(Configuración!$C$3)))</f>
        <v/>
      </c>
      <c r="P142" s="19">
        <f>IF(OR($B142="",COUNT($E142:$K142)=0),"",SUMPRODUCT((MOD(COLUMN($E142:$K142)-COLUMN($E142)-3,7)&lt;MAX(1,MIN(7,N($L142))))*$E142:$K142)*(1+N(Configuración!$C$3)))</f>
        <v/>
      </c>
      <c r="Q142" s="19">
        <f>IF(OR($B142="",COUNT($E142:$K142)=0),"",SUMPRODUCT((MOD(COLUMN($E142:$K142)-COLUMN($E142)-4,7)&lt;MAX(1,MIN(7,N($L142))))*$E142:$K142)*(1+N(Configuración!$C$3)))</f>
        <v/>
      </c>
      <c r="R142" s="19">
        <f>IF(OR($B142="",COUNT($E142:$K142)=0),"",SUMPRODUCT((MOD(COLUMN($E142:$K142)-COLUMN($E142)-5,7)&lt;MAX(1,MIN(7,N($L142))))*$E142:$K142)*(1+N(Configuración!$C$3)))</f>
        <v/>
      </c>
      <c r="S142" s="19">
        <f>IF(OR($B142="",COUNT($E142:$K142)=0),"",SUMPRODUCT((MOD(COLUMN($E142:$K142)-COLUMN($E142)-6,7)&lt;MAX(1,MIN(7,N($L142))))*$E142:$K142)*(1+N(Configuración!$C$3)))</f>
        <v/>
      </c>
      <c r="T142" s="17" t="n"/>
    </row>
    <row r="143">
      <c r="A143" s="17" t="n"/>
      <c r="B143" s="17" t="n"/>
      <c r="C143" s="17" t="n"/>
      <c r="D143" s="17" t="n"/>
      <c r="E143" s="18" t="n"/>
      <c r="F143" s="18" t="n"/>
      <c r="G143" s="18" t="n"/>
      <c r="H143" s="18" t="n"/>
      <c r="I143" s="18" t="n"/>
      <c r="J143" s="18" t="n"/>
      <c r="K143" s="18" t="n"/>
      <c r="L143" s="17" t="n"/>
      <c r="M143" s="19">
        <f>IF(OR($B143="",COUNT($E143:$K143)=0),"",SUMPRODUCT((MOD(COLUMN($E143:$K143)-COLUMN($E143)-0,7)&lt;MAX(1,MIN(7,N($L143))))*$E143:$K143)*(1+N(Configuración!$C$3)))</f>
        <v/>
      </c>
      <c r="N143" s="19">
        <f>IF(OR($B143="",COUNT($E143:$K143)=0),"",SUMPRODUCT((MOD(COLUMN($E143:$K143)-COLUMN($E143)-1,7)&lt;MAX(1,MIN(7,N($L143))))*$E143:$K143)*(1+N(Configuración!$C$3)))</f>
        <v/>
      </c>
      <c r="O143" s="19">
        <f>IF(OR($B143="",COUNT($E143:$K143)=0),"",SUMPRODUCT((MOD(COLUMN($E143:$K143)-COLUMN($E143)-2,7)&lt;MAX(1,MIN(7,N($L143))))*$E143:$K143)*(1+N(Configuración!$C$3)))</f>
        <v/>
      </c>
      <c r="P143" s="19">
        <f>IF(OR($B143="",COUNT($E143:$K143)=0),"",SUMPRODUCT((MOD(COLUMN($E143:$K143)-COLUMN($E143)-3,7)&lt;MAX(1,MIN(7,N($L143))))*$E143:$K143)*(1+N(Configuración!$C$3)))</f>
        <v/>
      </c>
      <c r="Q143" s="19">
        <f>IF(OR($B143="",COUNT($E143:$K143)=0),"",SUMPRODUCT((MOD(COLUMN($E143:$K143)-COLUMN($E143)-4,7)&lt;MAX(1,MIN(7,N($L143))))*$E143:$K143)*(1+N(Configuración!$C$3)))</f>
        <v/>
      </c>
      <c r="R143" s="19">
        <f>IF(OR($B143="",COUNT($E143:$K143)=0),"",SUMPRODUCT((MOD(COLUMN($E143:$K143)-COLUMN($E143)-5,7)&lt;MAX(1,MIN(7,N($L143))))*$E143:$K143)*(1+N(Configuración!$C$3)))</f>
        <v/>
      </c>
      <c r="S143" s="19">
        <f>IF(OR($B143="",COUNT($E143:$K143)=0),"",SUMPRODUCT((MOD(COLUMN($E143:$K143)-COLUMN($E143)-6,7)&lt;MAX(1,MIN(7,N($L143))))*$E143:$K143)*(1+N(Configuración!$C$3)))</f>
        <v/>
      </c>
      <c r="T143" s="17" t="n"/>
    </row>
    <row r="144">
      <c r="A144" s="17" t="n"/>
      <c r="B144" s="17" t="n"/>
      <c r="C144" s="17" t="n"/>
      <c r="D144" s="17" t="n"/>
      <c r="E144" s="18" t="n"/>
      <c r="F144" s="18" t="n"/>
      <c r="G144" s="18" t="n"/>
      <c r="H144" s="18" t="n"/>
      <c r="I144" s="18" t="n"/>
      <c r="J144" s="18" t="n"/>
      <c r="K144" s="18" t="n"/>
      <c r="L144" s="17" t="n"/>
      <c r="M144" s="19">
        <f>IF(OR($B144="",COUNT($E144:$K144)=0),"",SUMPRODUCT((MOD(COLUMN($E144:$K144)-COLUMN($E144)-0,7)&lt;MAX(1,MIN(7,N($L144))))*$E144:$K144)*(1+N(Configuración!$C$3)))</f>
        <v/>
      </c>
      <c r="N144" s="19">
        <f>IF(OR($B144="",COUNT($E144:$K144)=0),"",SUMPRODUCT((MOD(COLUMN($E144:$K144)-COLUMN($E144)-1,7)&lt;MAX(1,MIN(7,N($L144))))*$E144:$K144)*(1+N(Configuración!$C$3)))</f>
        <v/>
      </c>
      <c r="O144" s="19">
        <f>IF(OR($B144="",COUNT($E144:$K144)=0),"",SUMPRODUCT((MOD(COLUMN($E144:$K144)-COLUMN($E144)-2,7)&lt;MAX(1,MIN(7,N($L144))))*$E144:$K144)*(1+N(Configuración!$C$3)))</f>
        <v/>
      </c>
      <c r="P144" s="19">
        <f>IF(OR($B144="",COUNT($E144:$K144)=0),"",SUMPRODUCT((MOD(COLUMN($E144:$K144)-COLUMN($E144)-3,7)&lt;MAX(1,MIN(7,N($L144))))*$E144:$K144)*(1+N(Configuración!$C$3)))</f>
        <v/>
      </c>
      <c r="Q144" s="19">
        <f>IF(OR($B144="",COUNT($E144:$K144)=0),"",SUMPRODUCT((MOD(COLUMN($E144:$K144)-COLUMN($E144)-4,7)&lt;MAX(1,MIN(7,N($L144))))*$E144:$K144)*(1+N(Configuración!$C$3)))</f>
        <v/>
      </c>
      <c r="R144" s="19">
        <f>IF(OR($B144="",COUNT($E144:$K144)=0),"",SUMPRODUCT((MOD(COLUMN($E144:$K144)-COLUMN($E144)-5,7)&lt;MAX(1,MIN(7,N($L144))))*$E144:$K144)*(1+N(Configuración!$C$3)))</f>
        <v/>
      </c>
      <c r="S144" s="19">
        <f>IF(OR($B144="",COUNT($E144:$K144)=0),"",SUMPRODUCT((MOD(COLUMN($E144:$K144)-COLUMN($E144)-6,7)&lt;MAX(1,MIN(7,N($L144))))*$E144:$K144)*(1+N(Configuración!$C$3)))</f>
        <v/>
      </c>
      <c r="T144" s="17" t="n"/>
    </row>
    <row r="145">
      <c r="A145" s="17" t="n"/>
      <c r="B145" s="17" t="n"/>
      <c r="C145" s="17" t="n"/>
      <c r="D145" s="17" t="n"/>
      <c r="E145" s="18" t="n"/>
      <c r="F145" s="18" t="n"/>
      <c r="G145" s="18" t="n"/>
      <c r="H145" s="18" t="n"/>
      <c r="I145" s="18" t="n"/>
      <c r="J145" s="18" t="n"/>
      <c r="K145" s="18" t="n"/>
      <c r="L145" s="17" t="n"/>
      <c r="M145" s="19">
        <f>IF(OR($B145="",COUNT($E145:$K145)=0),"",SUMPRODUCT((MOD(COLUMN($E145:$K145)-COLUMN($E145)-0,7)&lt;MAX(1,MIN(7,N($L145))))*$E145:$K145)*(1+N(Configuración!$C$3)))</f>
        <v/>
      </c>
      <c r="N145" s="19">
        <f>IF(OR($B145="",COUNT($E145:$K145)=0),"",SUMPRODUCT((MOD(COLUMN($E145:$K145)-COLUMN($E145)-1,7)&lt;MAX(1,MIN(7,N($L145))))*$E145:$K145)*(1+N(Configuración!$C$3)))</f>
        <v/>
      </c>
      <c r="O145" s="19">
        <f>IF(OR($B145="",COUNT($E145:$K145)=0),"",SUMPRODUCT((MOD(COLUMN($E145:$K145)-COLUMN($E145)-2,7)&lt;MAX(1,MIN(7,N($L145))))*$E145:$K145)*(1+N(Configuración!$C$3)))</f>
        <v/>
      </c>
      <c r="P145" s="19">
        <f>IF(OR($B145="",COUNT($E145:$K145)=0),"",SUMPRODUCT((MOD(COLUMN($E145:$K145)-COLUMN($E145)-3,7)&lt;MAX(1,MIN(7,N($L145))))*$E145:$K145)*(1+N(Configuración!$C$3)))</f>
        <v/>
      </c>
      <c r="Q145" s="19">
        <f>IF(OR($B145="",COUNT($E145:$K145)=0),"",SUMPRODUCT((MOD(COLUMN($E145:$K145)-COLUMN($E145)-4,7)&lt;MAX(1,MIN(7,N($L145))))*$E145:$K145)*(1+N(Configuración!$C$3)))</f>
        <v/>
      </c>
      <c r="R145" s="19">
        <f>IF(OR($B145="",COUNT($E145:$K145)=0),"",SUMPRODUCT((MOD(COLUMN($E145:$K145)-COLUMN($E145)-5,7)&lt;MAX(1,MIN(7,N($L145))))*$E145:$K145)*(1+N(Configuración!$C$3)))</f>
        <v/>
      </c>
      <c r="S145" s="19">
        <f>IF(OR($B145="",COUNT($E145:$K145)=0),"",SUMPRODUCT((MOD(COLUMN($E145:$K145)-COLUMN($E145)-6,7)&lt;MAX(1,MIN(7,N($L145))))*$E145:$K145)*(1+N(Configuración!$C$3)))</f>
        <v/>
      </c>
      <c r="T145" s="17" t="n"/>
    </row>
    <row r="146">
      <c r="A146" s="17" t="n"/>
      <c r="B146" s="17" t="n"/>
      <c r="C146" s="17" t="n"/>
      <c r="D146" s="17" t="n"/>
      <c r="E146" s="18" t="n"/>
      <c r="F146" s="18" t="n"/>
      <c r="G146" s="18" t="n"/>
      <c r="H146" s="18" t="n"/>
      <c r="I146" s="18" t="n"/>
      <c r="J146" s="18" t="n"/>
      <c r="K146" s="18" t="n"/>
      <c r="L146" s="17" t="n"/>
      <c r="M146" s="19">
        <f>IF(OR($B146="",COUNT($E146:$K146)=0),"",SUMPRODUCT((MOD(COLUMN($E146:$K146)-COLUMN($E146)-0,7)&lt;MAX(1,MIN(7,N($L146))))*$E146:$K146)*(1+N(Configuración!$C$3)))</f>
        <v/>
      </c>
      <c r="N146" s="19">
        <f>IF(OR($B146="",COUNT($E146:$K146)=0),"",SUMPRODUCT((MOD(COLUMN($E146:$K146)-COLUMN($E146)-1,7)&lt;MAX(1,MIN(7,N($L146))))*$E146:$K146)*(1+N(Configuración!$C$3)))</f>
        <v/>
      </c>
      <c r="O146" s="19">
        <f>IF(OR($B146="",COUNT($E146:$K146)=0),"",SUMPRODUCT((MOD(COLUMN($E146:$K146)-COLUMN($E146)-2,7)&lt;MAX(1,MIN(7,N($L146))))*$E146:$K146)*(1+N(Configuración!$C$3)))</f>
        <v/>
      </c>
      <c r="P146" s="19">
        <f>IF(OR($B146="",COUNT($E146:$K146)=0),"",SUMPRODUCT((MOD(COLUMN($E146:$K146)-COLUMN($E146)-3,7)&lt;MAX(1,MIN(7,N($L146))))*$E146:$K146)*(1+N(Configuración!$C$3)))</f>
        <v/>
      </c>
      <c r="Q146" s="19">
        <f>IF(OR($B146="",COUNT($E146:$K146)=0),"",SUMPRODUCT((MOD(COLUMN($E146:$K146)-COLUMN($E146)-4,7)&lt;MAX(1,MIN(7,N($L146))))*$E146:$K146)*(1+N(Configuración!$C$3)))</f>
        <v/>
      </c>
      <c r="R146" s="19">
        <f>IF(OR($B146="",COUNT($E146:$K146)=0),"",SUMPRODUCT((MOD(COLUMN($E146:$K146)-COLUMN($E146)-5,7)&lt;MAX(1,MIN(7,N($L146))))*$E146:$K146)*(1+N(Configuración!$C$3)))</f>
        <v/>
      </c>
      <c r="S146" s="19">
        <f>IF(OR($B146="",COUNT($E146:$K146)=0),"",SUMPRODUCT((MOD(COLUMN($E146:$K146)-COLUMN($E146)-6,7)&lt;MAX(1,MIN(7,N($L146))))*$E146:$K146)*(1+N(Configuración!$C$3)))</f>
        <v/>
      </c>
      <c r="T146" s="17" t="n"/>
    </row>
    <row r="147">
      <c r="A147" s="17" t="n"/>
      <c r="B147" s="17" t="n"/>
      <c r="C147" s="17" t="n"/>
      <c r="D147" s="17" t="n"/>
      <c r="E147" s="18" t="n"/>
      <c r="F147" s="18" t="n"/>
      <c r="G147" s="18" t="n"/>
      <c r="H147" s="18" t="n"/>
      <c r="I147" s="18" t="n"/>
      <c r="J147" s="18" t="n"/>
      <c r="K147" s="18" t="n"/>
      <c r="L147" s="17" t="n"/>
      <c r="M147" s="19">
        <f>IF(OR($B147="",COUNT($E147:$K147)=0),"",SUMPRODUCT((MOD(COLUMN($E147:$K147)-COLUMN($E147)-0,7)&lt;MAX(1,MIN(7,N($L147))))*$E147:$K147)*(1+N(Configuración!$C$3)))</f>
        <v/>
      </c>
      <c r="N147" s="19">
        <f>IF(OR($B147="",COUNT($E147:$K147)=0),"",SUMPRODUCT((MOD(COLUMN($E147:$K147)-COLUMN($E147)-1,7)&lt;MAX(1,MIN(7,N($L147))))*$E147:$K147)*(1+N(Configuración!$C$3)))</f>
        <v/>
      </c>
      <c r="O147" s="19">
        <f>IF(OR($B147="",COUNT($E147:$K147)=0),"",SUMPRODUCT((MOD(COLUMN($E147:$K147)-COLUMN($E147)-2,7)&lt;MAX(1,MIN(7,N($L147))))*$E147:$K147)*(1+N(Configuración!$C$3)))</f>
        <v/>
      </c>
      <c r="P147" s="19">
        <f>IF(OR($B147="",COUNT($E147:$K147)=0),"",SUMPRODUCT((MOD(COLUMN($E147:$K147)-COLUMN($E147)-3,7)&lt;MAX(1,MIN(7,N($L147))))*$E147:$K147)*(1+N(Configuración!$C$3)))</f>
        <v/>
      </c>
      <c r="Q147" s="19">
        <f>IF(OR($B147="",COUNT($E147:$K147)=0),"",SUMPRODUCT((MOD(COLUMN($E147:$K147)-COLUMN($E147)-4,7)&lt;MAX(1,MIN(7,N($L147))))*$E147:$K147)*(1+N(Configuración!$C$3)))</f>
        <v/>
      </c>
      <c r="R147" s="19">
        <f>IF(OR($B147="",COUNT($E147:$K147)=0),"",SUMPRODUCT((MOD(COLUMN($E147:$K147)-COLUMN($E147)-5,7)&lt;MAX(1,MIN(7,N($L147))))*$E147:$K147)*(1+N(Configuración!$C$3)))</f>
        <v/>
      </c>
      <c r="S147" s="19">
        <f>IF(OR($B147="",COUNT($E147:$K147)=0),"",SUMPRODUCT((MOD(COLUMN($E147:$K147)-COLUMN($E147)-6,7)&lt;MAX(1,MIN(7,N($L147))))*$E147:$K147)*(1+N(Configuración!$C$3)))</f>
        <v/>
      </c>
      <c r="T147" s="17" t="n"/>
    </row>
    <row r="148">
      <c r="A148" s="17" t="n"/>
      <c r="B148" s="17" t="n"/>
      <c r="C148" s="17" t="n"/>
      <c r="D148" s="17" t="n"/>
      <c r="E148" s="18" t="n"/>
      <c r="F148" s="18" t="n"/>
      <c r="G148" s="18" t="n"/>
      <c r="H148" s="18" t="n"/>
      <c r="I148" s="18" t="n"/>
      <c r="J148" s="18" t="n"/>
      <c r="K148" s="18" t="n"/>
      <c r="L148" s="17" t="n"/>
      <c r="M148" s="19">
        <f>IF(OR($B148="",COUNT($E148:$K148)=0),"",SUMPRODUCT((MOD(COLUMN($E148:$K148)-COLUMN($E148)-0,7)&lt;MAX(1,MIN(7,N($L148))))*$E148:$K148)*(1+N(Configuración!$C$3)))</f>
        <v/>
      </c>
      <c r="N148" s="19">
        <f>IF(OR($B148="",COUNT($E148:$K148)=0),"",SUMPRODUCT((MOD(COLUMN($E148:$K148)-COLUMN($E148)-1,7)&lt;MAX(1,MIN(7,N($L148))))*$E148:$K148)*(1+N(Configuración!$C$3)))</f>
        <v/>
      </c>
      <c r="O148" s="19">
        <f>IF(OR($B148="",COUNT($E148:$K148)=0),"",SUMPRODUCT((MOD(COLUMN($E148:$K148)-COLUMN($E148)-2,7)&lt;MAX(1,MIN(7,N($L148))))*$E148:$K148)*(1+N(Configuración!$C$3)))</f>
        <v/>
      </c>
      <c r="P148" s="19">
        <f>IF(OR($B148="",COUNT($E148:$K148)=0),"",SUMPRODUCT((MOD(COLUMN($E148:$K148)-COLUMN($E148)-3,7)&lt;MAX(1,MIN(7,N($L148))))*$E148:$K148)*(1+N(Configuración!$C$3)))</f>
        <v/>
      </c>
      <c r="Q148" s="19">
        <f>IF(OR($B148="",COUNT($E148:$K148)=0),"",SUMPRODUCT((MOD(COLUMN($E148:$K148)-COLUMN($E148)-4,7)&lt;MAX(1,MIN(7,N($L148))))*$E148:$K148)*(1+N(Configuración!$C$3)))</f>
        <v/>
      </c>
      <c r="R148" s="19">
        <f>IF(OR($B148="",COUNT($E148:$K148)=0),"",SUMPRODUCT((MOD(COLUMN($E148:$K148)-COLUMN($E148)-5,7)&lt;MAX(1,MIN(7,N($L148))))*$E148:$K148)*(1+N(Configuración!$C$3)))</f>
        <v/>
      </c>
      <c r="S148" s="19">
        <f>IF(OR($B148="",COUNT($E148:$K148)=0),"",SUMPRODUCT((MOD(COLUMN($E148:$K148)-COLUMN($E148)-6,7)&lt;MAX(1,MIN(7,N($L148))))*$E148:$K148)*(1+N(Configuración!$C$3)))</f>
        <v/>
      </c>
      <c r="T148" s="17" t="n"/>
    </row>
    <row r="149">
      <c r="A149" s="17" t="n"/>
      <c r="B149" s="17" t="n"/>
      <c r="C149" s="17" t="n"/>
      <c r="D149" s="17" t="n"/>
      <c r="E149" s="18" t="n"/>
      <c r="F149" s="18" t="n"/>
      <c r="G149" s="18" t="n"/>
      <c r="H149" s="18" t="n"/>
      <c r="I149" s="18" t="n"/>
      <c r="J149" s="18" t="n"/>
      <c r="K149" s="18" t="n"/>
      <c r="L149" s="17" t="n"/>
      <c r="M149" s="19">
        <f>IF(OR($B149="",COUNT($E149:$K149)=0),"",SUMPRODUCT((MOD(COLUMN($E149:$K149)-COLUMN($E149)-0,7)&lt;MAX(1,MIN(7,N($L149))))*$E149:$K149)*(1+N(Configuración!$C$3)))</f>
        <v/>
      </c>
      <c r="N149" s="19">
        <f>IF(OR($B149="",COUNT($E149:$K149)=0),"",SUMPRODUCT((MOD(COLUMN($E149:$K149)-COLUMN($E149)-1,7)&lt;MAX(1,MIN(7,N($L149))))*$E149:$K149)*(1+N(Configuración!$C$3)))</f>
        <v/>
      </c>
      <c r="O149" s="19">
        <f>IF(OR($B149="",COUNT($E149:$K149)=0),"",SUMPRODUCT((MOD(COLUMN($E149:$K149)-COLUMN($E149)-2,7)&lt;MAX(1,MIN(7,N($L149))))*$E149:$K149)*(1+N(Configuración!$C$3)))</f>
        <v/>
      </c>
      <c r="P149" s="19">
        <f>IF(OR($B149="",COUNT($E149:$K149)=0),"",SUMPRODUCT((MOD(COLUMN($E149:$K149)-COLUMN($E149)-3,7)&lt;MAX(1,MIN(7,N($L149))))*$E149:$K149)*(1+N(Configuración!$C$3)))</f>
        <v/>
      </c>
      <c r="Q149" s="19">
        <f>IF(OR($B149="",COUNT($E149:$K149)=0),"",SUMPRODUCT((MOD(COLUMN($E149:$K149)-COLUMN($E149)-4,7)&lt;MAX(1,MIN(7,N($L149))))*$E149:$K149)*(1+N(Configuración!$C$3)))</f>
        <v/>
      </c>
      <c r="R149" s="19">
        <f>IF(OR($B149="",COUNT($E149:$K149)=0),"",SUMPRODUCT((MOD(COLUMN($E149:$K149)-COLUMN($E149)-5,7)&lt;MAX(1,MIN(7,N($L149))))*$E149:$K149)*(1+N(Configuración!$C$3)))</f>
        <v/>
      </c>
      <c r="S149" s="19">
        <f>IF(OR($B149="",COUNT($E149:$K149)=0),"",SUMPRODUCT((MOD(COLUMN($E149:$K149)-COLUMN($E149)-6,7)&lt;MAX(1,MIN(7,N($L149))))*$E149:$K149)*(1+N(Configuración!$C$3)))</f>
        <v/>
      </c>
      <c r="T149" s="17" t="n"/>
    </row>
    <row r="150">
      <c r="A150" s="17" t="n"/>
      <c r="B150" s="17" t="n"/>
      <c r="C150" s="17" t="n"/>
      <c r="D150" s="17" t="n"/>
      <c r="E150" s="18" t="n"/>
      <c r="F150" s="18" t="n"/>
      <c r="G150" s="18" t="n"/>
      <c r="H150" s="18" t="n"/>
      <c r="I150" s="18" t="n"/>
      <c r="J150" s="18" t="n"/>
      <c r="K150" s="18" t="n"/>
      <c r="L150" s="17" t="n"/>
      <c r="M150" s="19">
        <f>IF(OR($B150="",COUNT($E150:$K150)=0),"",SUMPRODUCT((MOD(COLUMN($E150:$K150)-COLUMN($E150)-0,7)&lt;MAX(1,MIN(7,N($L150))))*$E150:$K150)*(1+N(Configuración!$C$3)))</f>
        <v/>
      </c>
      <c r="N150" s="19">
        <f>IF(OR($B150="",COUNT($E150:$K150)=0),"",SUMPRODUCT((MOD(COLUMN($E150:$K150)-COLUMN($E150)-1,7)&lt;MAX(1,MIN(7,N($L150))))*$E150:$K150)*(1+N(Configuración!$C$3)))</f>
        <v/>
      </c>
      <c r="O150" s="19">
        <f>IF(OR($B150="",COUNT($E150:$K150)=0),"",SUMPRODUCT((MOD(COLUMN($E150:$K150)-COLUMN($E150)-2,7)&lt;MAX(1,MIN(7,N($L150))))*$E150:$K150)*(1+N(Configuración!$C$3)))</f>
        <v/>
      </c>
      <c r="P150" s="19">
        <f>IF(OR($B150="",COUNT($E150:$K150)=0),"",SUMPRODUCT((MOD(COLUMN($E150:$K150)-COLUMN($E150)-3,7)&lt;MAX(1,MIN(7,N($L150))))*$E150:$K150)*(1+N(Configuración!$C$3)))</f>
        <v/>
      </c>
      <c r="Q150" s="19">
        <f>IF(OR($B150="",COUNT($E150:$K150)=0),"",SUMPRODUCT((MOD(COLUMN($E150:$K150)-COLUMN($E150)-4,7)&lt;MAX(1,MIN(7,N($L150))))*$E150:$K150)*(1+N(Configuración!$C$3)))</f>
        <v/>
      </c>
      <c r="R150" s="19">
        <f>IF(OR($B150="",COUNT($E150:$K150)=0),"",SUMPRODUCT((MOD(COLUMN($E150:$K150)-COLUMN($E150)-5,7)&lt;MAX(1,MIN(7,N($L150))))*$E150:$K150)*(1+N(Configuración!$C$3)))</f>
        <v/>
      </c>
      <c r="S150" s="19">
        <f>IF(OR($B150="",COUNT($E150:$K150)=0),"",SUMPRODUCT((MOD(COLUMN($E150:$K150)-COLUMN($E150)-6,7)&lt;MAX(1,MIN(7,N($L150))))*$E150:$K150)*(1+N(Configuración!$C$3)))</f>
        <v/>
      </c>
      <c r="T150" s="17" t="n"/>
    </row>
    <row r="151">
      <c r="A151" s="17" t="n"/>
      <c r="B151" s="17" t="n"/>
      <c r="C151" s="17" t="n"/>
      <c r="D151" s="17" t="n"/>
      <c r="E151" s="18" t="n"/>
      <c r="F151" s="18" t="n"/>
      <c r="G151" s="18" t="n"/>
      <c r="H151" s="18" t="n"/>
      <c r="I151" s="18" t="n"/>
      <c r="J151" s="18" t="n"/>
      <c r="K151" s="18" t="n"/>
      <c r="L151" s="17" t="n"/>
      <c r="M151" s="19">
        <f>IF(OR($B151="",COUNT($E151:$K151)=0),"",SUMPRODUCT((MOD(COLUMN($E151:$K151)-COLUMN($E151)-0,7)&lt;MAX(1,MIN(7,N($L151))))*$E151:$K151)*(1+N(Configuración!$C$3)))</f>
        <v/>
      </c>
      <c r="N151" s="19">
        <f>IF(OR($B151="",COUNT($E151:$K151)=0),"",SUMPRODUCT((MOD(COLUMN($E151:$K151)-COLUMN($E151)-1,7)&lt;MAX(1,MIN(7,N($L151))))*$E151:$K151)*(1+N(Configuración!$C$3)))</f>
        <v/>
      </c>
      <c r="O151" s="19">
        <f>IF(OR($B151="",COUNT($E151:$K151)=0),"",SUMPRODUCT((MOD(COLUMN($E151:$K151)-COLUMN($E151)-2,7)&lt;MAX(1,MIN(7,N($L151))))*$E151:$K151)*(1+N(Configuración!$C$3)))</f>
        <v/>
      </c>
      <c r="P151" s="19">
        <f>IF(OR($B151="",COUNT($E151:$K151)=0),"",SUMPRODUCT((MOD(COLUMN($E151:$K151)-COLUMN($E151)-3,7)&lt;MAX(1,MIN(7,N($L151))))*$E151:$K151)*(1+N(Configuración!$C$3)))</f>
        <v/>
      </c>
      <c r="Q151" s="19">
        <f>IF(OR($B151="",COUNT($E151:$K151)=0),"",SUMPRODUCT((MOD(COLUMN($E151:$K151)-COLUMN($E151)-4,7)&lt;MAX(1,MIN(7,N($L151))))*$E151:$K151)*(1+N(Configuración!$C$3)))</f>
        <v/>
      </c>
      <c r="R151" s="19">
        <f>IF(OR($B151="",COUNT($E151:$K151)=0),"",SUMPRODUCT((MOD(COLUMN($E151:$K151)-COLUMN($E151)-5,7)&lt;MAX(1,MIN(7,N($L151))))*$E151:$K151)*(1+N(Configuración!$C$3)))</f>
        <v/>
      </c>
      <c r="S151" s="19">
        <f>IF(OR($B151="",COUNT($E151:$K151)=0),"",SUMPRODUCT((MOD(COLUMN($E151:$K151)-COLUMN($E151)-6,7)&lt;MAX(1,MIN(7,N($L151))))*$E151:$K151)*(1+N(Configuración!$C$3)))</f>
        <v/>
      </c>
      <c r="T151" s="17" t="n"/>
    </row>
  </sheetData>
  <dataValidations count="3">
    <dataValidation sqref="C2:C151" showDropDown="0" showInputMessage="0" showErrorMessage="0" allowBlank="1" type="list">
      <formula1>=Configuración!$B$6:$B$15</formula1>
    </dataValidation>
    <dataValidation sqref="D2:D151" showDropDown="0" showInputMessage="0" showErrorMessage="0" allowBlank="1" type="list">
      <formula1>"kg,litro,unidad,bolsa,botella,caja,porción,atado"</formula1>
    </dataValidation>
    <dataValidation sqref="L2:L151" showDropDown="0" showInputMessage="0" showErrorMessage="0" allowBlank="1" type="whole" operator="between">
      <formula1>1</formula1>
      <formula2>7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AF22"/>
    <outlinePr summaryBelow="1" summaryRight="1"/>
    <pageSetUpPr/>
  </sheetPr>
  <dimension ref="A1:M150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9" customWidth="1" min="3" max="3"/>
    <col width="24" customWidth="1" min="4" max="4"/>
    <col width="11" customWidth="1" min="5" max="5"/>
    <col width="9" customWidth="1" min="6" max="6"/>
    <col width="11" customWidth="1" min="7" max="7"/>
    <col width="11" customWidth="1" min="8" max="8"/>
    <col width="10" customWidth="1" min="9" max="9"/>
    <col width="18" customWidth="1" min="10" max="10"/>
    <col width="12" customWidth="1" min="11" max="11"/>
    <col width="26" customWidth="1" min="12" max="12"/>
    <col width="7" customWidth="1" min="13" max="13"/>
  </cols>
  <sheetData>
    <row r="1" ht="36" customHeight="1">
      <c r="A1" s="15" t="inlineStr">
        <is>
          <t>Fecha</t>
        </is>
      </c>
      <c r="B1" s="15" t="inlineStr">
        <is>
          <t>Día</t>
        </is>
      </c>
      <c r="C1" s="15" t="inlineStr">
        <is>
          <t>Código</t>
        </is>
      </c>
      <c r="D1" s="15" t="inlineStr">
        <is>
          <t>Insumo</t>
        </is>
      </c>
      <c r="E1" s="15" t="inlineStr">
        <is>
          <t>Sector</t>
        </is>
      </c>
      <c r="F1" s="15" t="inlineStr">
        <is>
          <t>Unidad</t>
        </is>
      </c>
      <c r="G1" s="15" t="inlineStr">
        <is>
          <t>Stock contado</t>
        </is>
      </c>
      <c r="H1" s="15" t="inlineStr">
        <is>
          <t>Mínimo del día</t>
        </is>
      </c>
      <c r="I1" s="15" t="inlineStr">
        <is>
          <t>Falta</t>
        </is>
      </c>
      <c r="J1" s="15" t="inlineStr">
        <is>
          <t>Estado</t>
        </is>
      </c>
      <c r="K1" s="15" t="inlineStr">
        <is>
          <t>Contó</t>
        </is>
      </c>
      <c r="L1" s="15" t="inlineStr">
        <is>
          <t>Observaciones</t>
        </is>
      </c>
      <c r="M1" s="15" t="inlineStr">
        <is>
          <t>N° lista</t>
        </is>
      </c>
    </row>
    <row r="2">
      <c r="A2" s="20" t="n">
        <v>46318</v>
      </c>
      <c r="B2" s="21">
        <f>IF($A2="","",CHOOSE(WEEKDAY($A2,2),"Lunes","Martes","Miércoles","Jueves","Viernes","Sábado","Domingo"))</f>
        <v/>
      </c>
      <c r="C2" s="17" t="inlineStr">
        <is>
          <t>C-01</t>
        </is>
      </c>
      <c r="D2" s="21">
        <f>IF($C2="","",IFERROR(INDEX(Insumos!$B$2:$B$151,MATCH($C2,Insumos!$A$2:$A$151,0)),"Código no cargado"))</f>
        <v/>
      </c>
      <c r="E2" s="21">
        <f>IF($C2="","",IFERROR(INDEX(Insumos!$C$2:$C$151,MATCH($C2,Insumos!$A$2:$A$151,0)),""))</f>
        <v/>
      </c>
      <c r="F2" s="21">
        <f>IF($C2="","",IFERROR(INDEX(Insumos!$D$2:$D$151,MATCH($C2,Insumos!$A$2:$A$151,0)),""))</f>
        <v/>
      </c>
      <c r="G2" s="18" t="n">
        <v>70</v>
      </c>
      <c r="H2" s="19">
        <f>IF(OR($A2="",$C2=""),"",IFERROR(INDEX(Insumos!$M$2:$S$151,MATCH($C2,Insumos!$A$2:$A$151,0),WEEKDAY($A2,2)),""))</f>
        <v/>
      </c>
      <c r="I2" s="19">
        <f>IF(OR($G2="",$H2=""),"",MAX(0,$H2-$G2))</f>
        <v/>
      </c>
      <c r="J2" s="21">
        <f>IF($I2="","",IF($I2=0,"OK",IF($G2&lt;=0,"Sin stock: pedir ya","Pedir o producir")))</f>
        <v/>
      </c>
      <c r="K2" s="17" t="n"/>
      <c r="L2" s="17" t="n"/>
      <c r="M2" s="21">
        <f>IF(OR($A2="",$A2&lt;&gt;'Lista para pedir'!$C$3,N($I2)&lt;=0),"",COUNTIFS($A$2:$A2,$A2,$I$2:$I2,"&gt;0"))</f>
        <v/>
      </c>
    </row>
    <row r="3">
      <c r="A3" s="20" t="n">
        <v>46318</v>
      </c>
      <c r="B3" s="21">
        <f>IF($A3="","",CHOOSE(WEEKDAY($A3,2),"Lunes","Martes","Miércoles","Jueves","Viernes","Sábado","Domingo"))</f>
        <v/>
      </c>
      <c r="C3" s="17" t="inlineStr">
        <is>
          <t>C-02</t>
        </is>
      </c>
      <c r="D3" s="21">
        <f>IF($C3="","",IFERROR(INDEX(Insumos!$B$2:$B$151,MATCH($C3,Insumos!$A$2:$A$151,0)),"Código no cargado"))</f>
        <v/>
      </c>
      <c r="E3" s="21">
        <f>IF($C3="","",IFERROR(INDEX(Insumos!$C$2:$C$151,MATCH($C3,Insumos!$A$2:$A$151,0)),""))</f>
        <v/>
      </c>
      <c r="F3" s="21">
        <f>IF($C3="","",IFERROR(INDEX(Insumos!$D$2:$D$151,MATCH($C3,Insumos!$A$2:$A$151,0)),""))</f>
        <v/>
      </c>
      <c r="G3" s="18" t="n">
        <v>3.5</v>
      </c>
      <c r="H3" s="19">
        <f>IF(OR($A3="",$C3=""),"",IFERROR(INDEX(Insumos!$M$2:$S$151,MATCH($C3,Insumos!$A$2:$A$151,0),WEEKDAY($A3,2)),""))</f>
        <v/>
      </c>
      <c r="I3" s="19">
        <f>IF(OR($G3="",$H3=""),"",MAX(0,$H3-$G3))</f>
        <v/>
      </c>
      <c r="J3" s="21">
        <f>IF($I3="","",IF($I3=0,"OK",IF($G3&lt;=0,"Sin stock: pedir ya","Pedir o producir")))</f>
        <v/>
      </c>
      <c r="K3" s="17" t="n"/>
      <c r="L3" s="17" t="n"/>
      <c r="M3" s="21">
        <f>IF(OR($A3="",$A3&lt;&gt;'Lista para pedir'!$C$3,N($I3)&lt;=0),"",COUNTIFS($A$2:$A3,$A3,$I$2:$I3,"&gt;0"))</f>
        <v/>
      </c>
    </row>
    <row r="4">
      <c r="A4" s="20" t="n">
        <v>46318</v>
      </c>
      <c r="B4" s="21">
        <f>IF($A4="","",CHOOSE(WEEKDAY($A4,2),"Lunes","Martes","Miércoles","Jueves","Viernes","Sábado","Domingo"))</f>
        <v/>
      </c>
      <c r="C4" s="17" t="inlineStr">
        <is>
          <t>C-03</t>
        </is>
      </c>
      <c r="D4" s="21">
        <f>IF($C4="","",IFERROR(INDEX(Insumos!$B$2:$B$151,MATCH($C4,Insumos!$A$2:$A$151,0)),"Código no cargado"))</f>
        <v/>
      </c>
      <c r="E4" s="21">
        <f>IF($C4="","",IFERROR(INDEX(Insumos!$C$2:$C$151,MATCH($C4,Insumos!$A$2:$A$151,0)),""))</f>
        <v/>
      </c>
      <c r="F4" s="21">
        <f>IF($C4="","",IFERROR(INDEX(Insumos!$D$2:$D$151,MATCH($C4,Insumos!$A$2:$A$151,0)),""))</f>
        <v/>
      </c>
      <c r="G4" s="18" t="n">
        <v>25</v>
      </c>
      <c r="H4" s="19">
        <f>IF(OR($A4="",$C4=""),"",IFERROR(INDEX(Insumos!$M$2:$S$151,MATCH($C4,Insumos!$A$2:$A$151,0),WEEKDAY($A4,2)),""))</f>
        <v/>
      </c>
      <c r="I4" s="19">
        <f>IF(OR($G4="",$H4=""),"",MAX(0,$H4-$G4))</f>
        <v/>
      </c>
      <c r="J4" s="21">
        <f>IF($I4="","",IF($I4=0,"OK",IF($G4&lt;=0,"Sin stock: pedir ya","Pedir o producir")))</f>
        <v/>
      </c>
      <c r="K4" s="17" t="n"/>
      <c r="L4" s="17" t="n"/>
      <c r="M4" s="21">
        <f>IF(OR($A4="",$A4&lt;&gt;'Lista para pedir'!$C$3,N($I4)&lt;=0),"",COUNTIFS($A$2:$A4,$A4,$I$2:$I4,"&gt;0"))</f>
        <v/>
      </c>
    </row>
    <row r="5">
      <c r="A5" s="20" t="n">
        <v>46318</v>
      </c>
      <c r="B5" s="21">
        <f>IF($A5="","",CHOOSE(WEEKDAY($A5,2),"Lunes","Martes","Miércoles","Jueves","Viernes","Sábado","Domingo"))</f>
        <v/>
      </c>
      <c r="C5" s="17" t="inlineStr">
        <is>
          <t>C-04</t>
        </is>
      </c>
      <c r="D5" s="21">
        <f>IF($C5="","",IFERROR(INDEX(Insumos!$B$2:$B$151,MATCH($C5,Insumos!$A$2:$A$151,0)),"Código no cargado"))</f>
        <v/>
      </c>
      <c r="E5" s="21">
        <f>IF($C5="","",IFERROR(INDEX(Insumos!$C$2:$C$151,MATCH($C5,Insumos!$A$2:$A$151,0)),""))</f>
        <v/>
      </c>
      <c r="F5" s="21">
        <f>IF($C5="","",IFERROR(INDEX(Insumos!$D$2:$D$151,MATCH($C5,Insumos!$A$2:$A$151,0)),""))</f>
        <v/>
      </c>
      <c r="G5" s="18" t="n">
        <v>70</v>
      </c>
      <c r="H5" s="19">
        <f>IF(OR($A5="",$C5=""),"",IFERROR(INDEX(Insumos!$M$2:$S$151,MATCH($C5,Insumos!$A$2:$A$151,0),WEEKDAY($A5,2)),""))</f>
        <v/>
      </c>
      <c r="I5" s="19">
        <f>IF(OR($G5="",$H5=""),"",MAX(0,$H5-$G5))</f>
        <v/>
      </c>
      <c r="J5" s="21">
        <f>IF($I5="","",IF($I5=0,"OK",IF($G5&lt;=0,"Sin stock: pedir ya","Pedir o producir")))</f>
        <v/>
      </c>
      <c r="K5" s="17" t="n"/>
      <c r="L5" s="17" t="n"/>
      <c r="M5" s="21">
        <f>IF(OR($A5="",$A5&lt;&gt;'Lista para pedir'!$C$3,N($I5)&lt;=0),"",COUNTIFS($A$2:$A5,$A5,$I$2:$I5,"&gt;0"))</f>
        <v/>
      </c>
    </row>
    <row r="6">
      <c r="A6" s="20" t="n">
        <v>46318</v>
      </c>
      <c r="B6" s="21">
        <f>IF($A6="","",CHOOSE(WEEKDAY($A6,2),"Lunes","Martes","Miércoles","Jueves","Viernes","Sábado","Domingo"))</f>
        <v/>
      </c>
      <c r="C6" s="17" t="inlineStr">
        <is>
          <t>C-05</t>
        </is>
      </c>
      <c r="D6" s="21">
        <f>IF($C6="","",IFERROR(INDEX(Insumos!$B$2:$B$151,MATCH($C6,Insumos!$A$2:$A$151,0)),"Código no cargado"))</f>
        <v/>
      </c>
      <c r="E6" s="21">
        <f>IF($C6="","",IFERROR(INDEX(Insumos!$C$2:$C$151,MATCH($C6,Insumos!$A$2:$A$151,0)),""))</f>
        <v/>
      </c>
      <c r="F6" s="21">
        <f>IF($C6="","",IFERROR(INDEX(Insumos!$D$2:$D$151,MATCH($C6,Insumos!$A$2:$A$151,0)),""))</f>
        <v/>
      </c>
      <c r="G6" s="18" t="n">
        <v>16</v>
      </c>
      <c r="H6" s="19">
        <f>IF(OR($A6="",$C6=""),"",IFERROR(INDEX(Insumos!$M$2:$S$151,MATCH($C6,Insumos!$A$2:$A$151,0),WEEKDAY($A6,2)),""))</f>
        <v/>
      </c>
      <c r="I6" s="19">
        <f>IF(OR($G6="",$H6=""),"",MAX(0,$H6-$G6))</f>
        <v/>
      </c>
      <c r="J6" s="21">
        <f>IF($I6="","",IF($I6=0,"OK",IF($G6&lt;=0,"Sin stock: pedir ya","Pedir o producir")))</f>
        <v/>
      </c>
      <c r="K6" s="17" t="n"/>
      <c r="L6" s="17" t="n"/>
      <c r="M6" s="21">
        <f>IF(OR($A6="",$A6&lt;&gt;'Lista para pedir'!$C$3,N($I6)&lt;=0),"",COUNTIFS($A$2:$A6,$A6,$I$2:$I6,"&gt;0"))</f>
        <v/>
      </c>
    </row>
    <row r="7">
      <c r="A7" s="20" t="n">
        <v>46318</v>
      </c>
      <c r="B7" s="21">
        <f>IF($A7="","",CHOOSE(WEEKDAY($A7,2),"Lunes","Martes","Miércoles","Jueves","Viernes","Sábado","Domingo"))</f>
        <v/>
      </c>
      <c r="C7" s="17" t="inlineStr">
        <is>
          <t>C-06</t>
        </is>
      </c>
      <c r="D7" s="21">
        <f>IF($C7="","",IFERROR(INDEX(Insumos!$B$2:$B$151,MATCH($C7,Insumos!$A$2:$A$151,0)),"Código no cargado"))</f>
        <v/>
      </c>
      <c r="E7" s="21">
        <f>IF($C7="","",IFERROR(INDEX(Insumos!$C$2:$C$151,MATCH($C7,Insumos!$A$2:$A$151,0)),""))</f>
        <v/>
      </c>
      <c r="F7" s="21">
        <f>IF($C7="","",IFERROR(INDEX(Insumos!$D$2:$D$151,MATCH($C7,Insumos!$A$2:$A$151,0)),""))</f>
        <v/>
      </c>
      <c r="G7" s="18" t="n">
        <v>30</v>
      </c>
      <c r="H7" s="19">
        <f>IF(OR($A7="",$C7=""),"",IFERROR(INDEX(Insumos!$M$2:$S$151,MATCH($C7,Insumos!$A$2:$A$151,0),WEEKDAY($A7,2)),""))</f>
        <v/>
      </c>
      <c r="I7" s="19">
        <f>IF(OR($G7="",$H7=""),"",MAX(0,$H7-$G7))</f>
        <v/>
      </c>
      <c r="J7" s="21">
        <f>IF($I7="","",IF($I7=0,"OK",IF($G7&lt;=0,"Sin stock: pedir ya","Pedir o producir")))</f>
        <v/>
      </c>
      <c r="K7" s="17" t="n"/>
      <c r="L7" s="17" t="n"/>
      <c r="M7" s="21">
        <f>IF(OR($A7="",$A7&lt;&gt;'Lista para pedir'!$C$3,N($I7)&lt;=0),"",COUNTIFS($A$2:$A7,$A7,$I$2:$I7,"&gt;0"))</f>
        <v/>
      </c>
    </row>
    <row r="8">
      <c r="A8" s="20" t="n">
        <v>46318</v>
      </c>
      <c r="B8" s="21">
        <f>IF($A8="","",CHOOSE(WEEKDAY($A8,2),"Lunes","Martes","Miércoles","Jueves","Viernes","Sábado","Domingo"))</f>
        <v/>
      </c>
      <c r="C8" s="17" t="inlineStr">
        <is>
          <t>B-01</t>
        </is>
      </c>
      <c r="D8" s="21">
        <f>IF($C8="","",IFERROR(INDEX(Insumos!$B$2:$B$151,MATCH($C8,Insumos!$A$2:$A$151,0)),"Código no cargado"))</f>
        <v/>
      </c>
      <c r="E8" s="21">
        <f>IF($C8="","",IFERROR(INDEX(Insumos!$C$2:$C$151,MATCH($C8,Insumos!$A$2:$A$151,0)),""))</f>
        <v/>
      </c>
      <c r="F8" s="21">
        <f>IF($C8="","",IFERROR(INDEX(Insumos!$D$2:$D$151,MATCH($C8,Insumos!$A$2:$A$151,0)),""))</f>
        <v/>
      </c>
      <c r="G8" s="18" t="n">
        <v>15</v>
      </c>
      <c r="H8" s="19">
        <f>IF(OR($A8="",$C8=""),"",IFERROR(INDEX(Insumos!$M$2:$S$151,MATCH($C8,Insumos!$A$2:$A$151,0),WEEKDAY($A8,2)),""))</f>
        <v/>
      </c>
      <c r="I8" s="19">
        <f>IF(OR($G8="",$H8=""),"",MAX(0,$H8-$G8))</f>
        <v/>
      </c>
      <c r="J8" s="21">
        <f>IF($I8="","",IF($I8=0,"OK",IF($G8&lt;=0,"Sin stock: pedir ya","Pedir o producir")))</f>
        <v/>
      </c>
      <c r="K8" s="17" t="n"/>
      <c r="L8" s="17" t="n"/>
      <c r="M8" s="21">
        <f>IF(OR($A8="",$A8&lt;&gt;'Lista para pedir'!$C$3,N($I8)&lt;=0),"",COUNTIFS($A$2:$A8,$A8,$I$2:$I8,"&gt;0"))</f>
        <v/>
      </c>
    </row>
    <row r="9">
      <c r="A9" s="20" t="n">
        <v>46318</v>
      </c>
      <c r="B9" s="21">
        <f>IF($A9="","",CHOOSE(WEEKDAY($A9,2),"Lunes","Martes","Miércoles","Jueves","Viernes","Sábado","Domingo"))</f>
        <v/>
      </c>
      <c r="C9" s="17" t="inlineStr">
        <is>
          <t>B-02</t>
        </is>
      </c>
      <c r="D9" s="21">
        <f>IF($C9="","",IFERROR(INDEX(Insumos!$B$2:$B$151,MATCH($C9,Insumos!$A$2:$A$151,0)),"Código no cargado"))</f>
        <v/>
      </c>
      <c r="E9" s="21">
        <f>IF($C9="","",IFERROR(INDEX(Insumos!$C$2:$C$151,MATCH($C9,Insumos!$A$2:$A$151,0)),""))</f>
        <v/>
      </c>
      <c r="F9" s="21">
        <f>IF($C9="","",IFERROR(INDEX(Insumos!$D$2:$D$151,MATCH($C9,Insumos!$A$2:$A$151,0)),""))</f>
        <v/>
      </c>
      <c r="G9" s="18" t="n">
        <v>2</v>
      </c>
      <c r="H9" s="19">
        <f>IF(OR($A9="",$C9=""),"",IFERROR(INDEX(Insumos!$M$2:$S$151,MATCH($C9,Insumos!$A$2:$A$151,0),WEEKDAY($A9,2)),""))</f>
        <v/>
      </c>
      <c r="I9" s="19">
        <f>IF(OR($G9="",$H9=""),"",MAX(0,$H9-$G9))</f>
        <v/>
      </c>
      <c r="J9" s="21">
        <f>IF($I9="","",IF($I9=0,"OK",IF($G9&lt;=0,"Sin stock: pedir ya","Pedir o producir")))</f>
        <v/>
      </c>
      <c r="K9" s="17" t="n"/>
      <c r="L9" s="17" t="n"/>
      <c r="M9" s="21">
        <f>IF(OR($A9="",$A9&lt;&gt;'Lista para pedir'!$C$3,N($I9)&lt;=0),"",COUNTIFS($A$2:$A9,$A9,$I$2:$I9,"&gt;0"))</f>
        <v/>
      </c>
    </row>
    <row r="10">
      <c r="A10" s="20" t="n">
        <v>46318</v>
      </c>
      <c r="B10" s="21">
        <f>IF($A10="","",CHOOSE(WEEKDAY($A10,2),"Lunes","Martes","Miércoles","Jueves","Viernes","Sábado","Domingo"))</f>
        <v/>
      </c>
      <c r="C10" s="17" t="inlineStr">
        <is>
          <t>B-03</t>
        </is>
      </c>
      <c r="D10" s="21">
        <f>IF($C10="","",IFERROR(INDEX(Insumos!$B$2:$B$151,MATCH($C10,Insumos!$A$2:$A$151,0)),"Código no cargado"))</f>
        <v/>
      </c>
      <c r="E10" s="21">
        <f>IF($C10="","",IFERROR(INDEX(Insumos!$C$2:$C$151,MATCH($C10,Insumos!$A$2:$A$151,0)),""))</f>
        <v/>
      </c>
      <c r="F10" s="21">
        <f>IF($C10="","",IFERROR(INDEX(Insumos!$D$2:$D$151,MATCH($C10,Insumos!$A$2:$A$151,0)),""))</f>
        <v/>
      </c>
      <c r="G10" s="18" t="n">
        <v>0</v>
      </c>
      <c r="H10" s="19">
        <f>IF(OR($A10="",$C10=""),"",IFERROR(INDEX(Insumos!$M$2:$S$151,MATCH($C10,Insumos!$A$2:$A$151,0),WEEKDAY($A10,2)),""))</f>
        <v/>
      </c>
      <c r="I10" s="19">
        <f>IF(OR($G10="",$H10=""),"",MAX(0,$H10-$G10))</f>
        <v/>
      </c>
      <c r="J10" s="21">
        <f>IF($I10="","",IF($I10=0,"OK",IF($G10&lt;=0,"Sin stock: pedir ya","Pedir o producir")))</f>
        <v/>
      </c>
      <c r="K10" s="17" t="n"/>
      <c r="L10" s="17" t="n"/>
      <c r="M10" s="21">
        <f>IF(OR($A10="",$A10&lt;&gt;'Lista para pedir'!$C$3,N($I10)&lt;=0),"",COUNTIFS($A$2:$A10,$A10,$I$2:$I10,"&gt;0"))</f>
        <v/>
      </c>
    </row>
    <row r="11">
      <c r="A11" s="20" t="n">
        <v>46318</v>
      </c>
      <c r="B11" s="21">
        <f>IF($A11="","",CHOOSE(WEEKDAY($A11,2),"Lunes","Martes","Miércoles","Jueves","Viernes","Sábado","Domingo"))</f>
        <v/>
      </c>
      <c r="C11" s="17" t="inlineStr">
        <is>
          <t>B-04</t>
        </is>
      </c>
      <c r="D11" s="21">
        <f>IF($C11="","",IFERROR(INDEX(Insumos!$B$2:$B$151,MATCH($C11,Insumos!$A$2:$A$151,0)),"Código no cargado"))</f>
        <v/>
      </c>
      <c r="E11" s="21">
        <f>IF($C11="","",IFERROR(INDEX(Insumos!$C$2:$C$151,MATCH($C11,Insumos!$A$2:$A$151,0)),""))</f>
        <v/>
      </c>
      <c r="F11" s="21">
        <f>IF($C11="","",IFERROR(INDEX(Insumos!$D$2:$D$151,MATCH($C11,Insumos!$A$2:$A$151,0)),""))</f>
        <v/>
      </c>
      <c r="G11" s="18" t="n">
        <v>170</v>
      </c>
      <c r="H11" s="19">
        <f>IF(OR($A11="",$C11=""),"",IFERROR(INDEX(Insumos!$M$2:$S$151,MATCH($C11,Insumos!$A$2:$A$151,0),WEEKDAY($A11,2)),""))</f>
        <v/>
      </c>
      <c r="I11" s="19">
        <f>IF(OR($G11="",$H11=""),"",MAX(0,$H11-$G11))</f>
        <v/>
      </c>
      <c r="J11" s="21">
        <f>IF($I11="","",IF($I11=0,"OK",IF($G11&lt;=0,"Sin stock: pedir ya","Pedir o producir")))</f>
        <v/>
      </c>
      <c r="K11" s="17" t="n"/>
      <c r="L11" s="17" t="n"/>
      <c r="M11" s="21">
        <f>IF(OR($A11="",$A11&lt;&gt;'Lista para pedir'!$C$3,N($I11)&lt;=0),"",COUNTIFS($A$2:$A11,$A11,$I$2:$I11,"&gt;0"))</f>
        <v/>
      </c>
    </row>
    <row r="12">
      <c r="A12" s="20" t="n"/>
      <c r="B12" s="21">
        <f>IF($A12="","",CHOOSE(WEEKDAY($A12,2),"Lunes","Martes","Miércoles","Jueves","Viernes","Sábado","Domingo"))</f>
        <v/>
      </c>
      <c r="C12" s="17" t="n"/>
      <c r="D12" s="21">
        <f>IF($C12="","",IFERROR(INDEX(Insumos!$B$2:$B$151,MATCH($C12,Insumos!$A$2:$A$151,0)),"Código no cargado"))</f>
        <v/>
      </c>
      <c r="E12" s="21">
        <f>IF($C12="","",IFERROR(INDEX(Insumos!$C$2:$C$151,MATCH($C12,Insumos!$A$2:$A$151,0)),""))</f>
        <v/>
      </c>
      <c r="F12" s="21">
        <f>IF($C12="","",IFERROR(INDEX(Insumos!$D$2:$D$151,MATCH($C12,Insumos!$A$2:$A$151,0)),""))</f>
        <v/>
      </c>
      <c r="G12" s="18" t="n"/>
      <c r="H12" s="19">
        <f>IF(OR($A12="",$C12=""),"",IFERROR(INDEX(Insumos!$M$2:$S$151,MATCH($C12,Insumos!$A$2:$A$151,0),WEEKDAY($A12,2)),""))</f>
        <v/>
      </c>
      <c r="I12" s="19">
        <f>IF(OR($G12="",$H12=""),"",MAX(0,$H12-$G12))</f>
        <v/>
      </c>
      <c r="J12" s="21">
        <f>IF($I12="","",IF($I12=0,"OK",IF($G12&lt;=0,"Sin stock: pedir ya","Pedir o producir")))</f>
        <v/>
      </c>
      <c r="K12" s="17" t="n"/>
      <c r="L12" s="17" t="n"/>
      <c r="M12" s="21">
        <f>IF(OR($A12="",$A12&lt;&gt;'Lista para pedir'!$C$3,N($I12)&lt;=0),"",COUNTIFS($A$2:$A12,$A12,$I$2:$I12,"&gt;0"))</f>
        <v/>
      </c>
    </row>
    <row r="13">
      <c r="A13" s="20" t="n"/>
      <c r="B13" s="21">
        <f>IF($A13="","",CHOOSE(WEEKDAY($A13,2),"Lunes","Martes","Miércoles","Jueves","Viernes","Sábado","Domingo"))</f>
        <v/>
      </c>
      <c r="C13" s="17" t="n"/>
      <c r="D13" s="21">
        <f>IF($C13="","",IFERROR(INDEX(Insumos!$B$2:$B$151,MATCH($C13,Insumos!$A$2:$A$151,0)),"Código no cargado"))</f>
        <v/>
      </c>
      <c r="E13" s="21">
        <f>IF($C13="","",IFERROR(INDEX(Insumos!$C$2:$C$151,MATCH($C13,Insumos!$A$2:$A$151,0)),""))</f>
        <v/>
      </c>
      <c r="F13" s="21">
        <f>IF($C13="","",IFERROR(INDEX(Insumos!$D$2:$D$151,MATCH($C13,Insumos!$A$2:$A$151,0)),""))</f>
        <v/>
      </c>
      <c r="G13" s="18" t="n"/>
      <c r="H13" s="19">
        <f>IF(OR($A13="",$C13=""),"",IFERROR(INDEX(Insumos!$M$2:$S$151,MATCH($C13,Insumos!$A$2:$A$151,0),WEEKDAY($A13,2)),""))</f>
        <v/>
      </c>
      <c r="I13" s="19">
        <f>IF(OR($G13="",$H13=""),"",MAX(0,$H13-$G13))</f>
        <v/>
      </c>
      <c r="J13" s="21">
        <f>IF($I13="","",IF($I13=0,"OK",IF($G13&lt;=0,"Sin stock: pedir ya","Pedir o producir")))</f>
        <v/>
      </c>
      <c r="K13" s="17" t="n"/>
      <c r="L13" s="17" t="n"/>
      <c r="M13" s="21">
        <f>IF(OR($A13="",$A13&lt;&gt;'Lista para pedir'!$C$3,N($I13)&lt;=0),"",COUNTIFS($A$2:$A13,$A13,$I$2:$I13,"&gt;0"))</f>
        <v/>
      </c>
    </row>
    <row r="14">
      <c r="A14" s="20" t="n"/>
      <c r="B14" s="21">
        <f>IF($A14="","",CHOOSE(WEEKDAY($A14,2),"Lunes","Martes","Miércoles","Jueves","Viernes","Sábado","Domingo"))</f>
        <v/>
      </c>
      <c r="C14" s="17" t="n"/>
      <c r="D14" s="21">
        <f>IF($C14="","",IFERROR(INDEX(Insumos!$B$2:$B$151,MATCH($C14,Insumos!$A$2:$A$151,0)),"Código no cargado"))</f>
        <v/>
      </c>
      <c r="E14" s="21">
        <f>IF($C14="","",IFERROR(INDEX(Insumos!$C$2:$C$151,MATCH($C14,Insumos!$A$2:$A$151,0)),""))</f>
        <v/>
      </c>
      <c r="F14" s="21">
        <f>IF($C14="","",IFERROR(INDEX(Insumos!$D$2:$D$151,MATCH($C14,Insumos!$A$2:$A$151,0)),""))</f>
        <v/>
      </c>
      <c r="G14" s="18" t="n"/>
      <c r="H14" s="19">
        <f>IF(OR($A14="",$C14=""),"",IFERROR(INDEX(Insumos!$M$2:$S$151,MATCH($C14,Insumos!$A$2:$A$151,0),WEEKDAY($A14,2)),""))</f>
        <v/>
      </c>
      <c r="I14" s="19">
        <f>IF(OR($G14="",$H14=""),"",MAX(0,$H14-$G14))</f>
        <v/>
      </c>
      <c r="J14" s="21">
        <f>IF($I14="","",IF($I14=0,"OK",IF($G14&lt;=0,"Sin stock: pedir ya","Pedir o producir")))</f>
        <v/>
      </c>
      <c r="K14" s="17" t="n"/>
      <c r="L14" s="17" t="n"/>
      <c r="M14" s="21">
        <f>IF(OR($A14="",$A14&lt;&gt;'Lista para pedir'!$C$3,N($I14)&lt;=0),"",COUNTIFS($A$2:$A14,$A14,$I$2:$I14,"&gt;0"))</f>
        <v/>
      </c>
    </row>
    <row r="15">
      <c r="A15" s="20" t="n"/>
      <c r="B15" s="21">
        <f>IF($A15="","",CHOOSE(WEEKDAY($A15,2),"Lunes","Martes","Miércoles","Jueves","Viernes","Sábado","Domingo"))</f>
        <v/>
      </c>
      <c r="C15" s="17" t="n"/>
      <c r="D15" s="21">
        <f>IF($C15="","",IFERROR(INDEX(Insumos!$B$2:$B$151,MATCH($C15,Insumos!$A$2:$A$151,0)),"Código no cargado"))</f>
        <v/>
      </c>
      <c r="E15" s="21">
        <f>IF($C15="","",IFERROR(INDEX(Insumos!$C$2:$C$151,MATCH($C15,Insumos!$A$2:$A$151,0)),""))</f>
        <v/>
      </c>
      <c r="F15" s="21">
        <f>IF($C15="","",IFERROR(INDEX(Insumos!$D$2:$D$151,MATCH($C15,Insumos!$A$2:$A$151,0)),""))</f>
        <v/>
      </c>
      <c r="G15" s="18" t="n"/>
      <c r="H15" s="19">
        <f>IF(OR($A15="",$C15=""),"",IFERROR(INDEX(Insumos!$M$2:$S$151,MATCH($C15,Insumos!$A$2:$A$151,0),WEEKDAY($A15,2)),""))</f>
        <v/>
      </c>
      <c r="I15" s="19">
        <f>IF(OR($G15="",$H15=""),"",MAX(0,$H15-$G15))</f>
        <v/>
      </c>
      <c r="J15" s="21">
        <f>IF($I15="","",IF($I15=0,"OK",IF($G15&lt;=0,"Sin stock: pedir ya","Pedir o producir")))</f>
        <v/>
      </c>
      <c r="K15" s="17" t="n"/>
      <c r="L15" s="17" t="n"/>
      <c r="M15" s="21">
        <f>IF(OR($A15="",$A15&lt;&gt;'Lista para pedir'!$C$3,N($I15)&lt;=0),"",COUNTIFS($A$2:$A15,$A15,$I$2:$I15,"&gt;0"))</f>
        <v/>
      </c>
    </row>
    <row r="16">
      <c r="A16" s="20" t="n"/>
      <c r="B16" s="21">
        <f>IF($A16="","",CHOOSE(WEEKDAY($A16,2),"Lunes","Martes","Miércoles","Jueves","Viernes","Sábado","Domingo"))</f>
        <v/>
      </c>
      <c r="C16" s="17" t="n"/>
      <c r="D16" s="21">
        <f>IF($C16="","",IFERROR(INDEX(Insumos!$B$2:$B$151,MATCH($C16,Insumos!$A$2:$A$151,0)),"Código no cargado"))</f>
        <v/>
      </c>
      <c r="E16" s="21">
        <f>IF($C16="","",IFERROR(INDEX(Insumos!$C$2:$C$151,MATCH($C16,Insumos!$A$2:$A$151,0)),""))</f>
        <v/>
      </c>
      <c r="F16" s="21">
        <f>IF($C16="","",IFERROR(INDEX(Insumos!$D$2:$D$151,MATCH($C16,Insumos!$A$2:$A$151,0)),""))</f>
        <v/>
      </c>
      <c r="G16" s="18" t="n"/>
      <c r="H16" s="19">
        <f>IF(OR($A16="",$C16=""),"",IFERROR(INDEX(Insumos!$M$2:$S$151,MATCH($C16,Insumos!$A$2:$A$151,0),WEEKDAY($A16,2)),""))</f>
        <v/>
      </c>
      <c r="I16" s="19">
        <f>IF(OR($G16="",$H16=""),"",MAX(0,$H16-$G16))</f>
        <v/>
      </c>
      <c r="J16" s="21">
        <f>IF($I16="","",IF($I16=0,"OK",IF($G16&lt;=0,"Sin stock: pedir ya","Pedir o producir")))</f>
        <v/>
      </c>
      <c r="K16" s="17" t="n"/>
      <c r="L16" s="17" t="n"/>
      <c r="M16" s="21">
        <f>IF(OR($A16="",$A16&lt;&gt;'Lista para pedir'!$C$3,N($I16)&lt;=0),"",COUNTIFS($A$2:$A16,$A16,$I$2:$I16,"&gt;0"))</f>
        <v/>
      </c>
    </row>
    <row r="17">
      <c r="A17" s="20" t="n"/>
      <c r="B17" s="21">
        <f>IF($A17="","",CHOOSE(WEEKDAY($A17,2),"Lunes","Martes","Miércoles","Jueves","Viernes","Sábado","Domingo"))</f>
        <v/>
      </c>
      <c r="C17" s="17" t="n"/>
      <c r="D17" s="21">
        <f>IF($C17="","",IFERROR(INDEX(Insumos!$B$2:$B$151,MATCH($C17,Insumos!$A$2:$A$151,0)),"Código no cargado"))</f>
        <v/>
      </c>
      <c r="E17" s="21">
        <f>IF($C17="","",IFERROR(INDEX(Insumos!$C$2:$C$151,MATCH($C17,Insumos!$A$2:$A$151,0)),""))</f>
        <v/>
      </c>
      <c r="F17" s="21">
        <f>IF($C17="","",IFERROR(INDEX(Insumos!$D$2:$D$151,MATCH($C17,Insumos!$A$2:$A$151,0)),""))</f>
        <v/>
      </c>
      <c r="G17" s="18" t="n"/>
      <c r="H17" s="19">
        <f>IF(OR($A17="",$C17=""),"",IFERROR(INDEX(Insumos!$M$2:$S$151,MATCH($C17,Insumos!$A$2:$A$151,0),WEEKDAY($A17,2)),""))</f>
        <v/>
      </c>
      <c r="I17" s="19">
        <f>IF(OR($G17="",$H17=""),"",MAX(0,$H17-$G17))</f>
        <v/>
      </c>
      <c r="J17" s="21">
        <f>IF($I17="","",IF($I17=0,"OK",IF($G17&lt;=0,"Sin stock: pedir ya","Pedir o producir")))</f>
        <v/>
      </c>
      <c r="K17" s="17" t="n"/>
      <c r="L17" s="17" t="n"/>
      <c r="M17" s="21">
        <f>IF(OR($A17="",$A17&lt;&gt;'Lista para pedir'!$C$3,N($I17)&lt;=0),"",COUNTIFS($A$2:$A17,$A17,$I$2:$I17,"&gt;0"))</f>
        <v/>
      </c>
    </row>
    <row r="18">
      <c r="A18" s="20" t="n"/>
      <c r="B18" s="21">
        <f>IF($A18="","",CHOOSE(WEEKDAY($A18,2),"Lunes","Martes","Miércoles","Jueves","Viernes","Sábado","Domingo"))</f>
        <v/>
      </c>
      <c r="C18" s="17" t="n"/>
      <c r="D18" s="21">
        <f>IF($C18="","",IFERROR(INDEX(Insumos!$B$2:$B$151,MATCH($C18,Insumos!$A$2:$A$151,0)),"Código no cargado"))</f>
        <v/>
      </c>
      <c r="E18" s="21">
        <f>IF($C18="","",IFERROR(INDEX(Insumos!$C$2:$C$151,MATCH($C18,Insumos!$A$2:$A$151,0)),""))</f>
        <v/>
      </c>
      <c r="F18" s="21">
        <f>IF($C18="","",IFERROR(INDEX(Insumos!$D$2:$D$151,MATCH($C18,Insumos!$A$2:$A$151,0)),""))</f>
        <v/>
      </c>
      <c r="G18" s="18" t="n"/>
      <c r="H18" s="19">
        <f>IF(OR($A18="",$C18=""),"",IFERROR(INDEX(Insumos!$M$2:$S$151,MATCH($C18,Insumos!$A$2:$A$151,0),WEEKDAY($A18,2)),""))</f>
        <v/>
      </c>
      <c r="I18" s="19">
        <f>IF(OR($G18="",$H18=""),"",MAX(0,$H18-$G18))</f>
        <v/>
      </c>
      <c r="J18" s="21">
        <f>IF($I18="","",IF($I18=0,"OK",IF($G18&lt;=0,"Sin stock: pedir ya","Pedir o producir")))</f>
        <v/>
      </c>
      <c r="K18" s="17" t="n"/>
      <c r="L18" s="17" t="n"/>
      <c r="M18" s="21">
        <f>IF(OR($A18="",$A18&lt;&gt;'Lista para pedir'!$C$3,N($I18)&lt;=0),"",COUNTIFS($A$2:$A18,$A18,$I$2:$I18,"&gt;0"))</f>
        <v/>
      </c>
    </row>
    <row r="19">
      <c r="A19" s="20" t="n"/>
      <c r="B19" s="21">
        <f>IF($A19="","",CHOOSE(WEEKDAY($A19,2),"Lunes","Martes","Miércoles","Jueves","Viernes","Sábado","Domingo"))</f>
        <v/>
      </c>
      <c r="C19" s="17" t="n"/>
      <c r="D19" s="21">
        <f>IF($C19="","",IFERROR(INDEX(Insumos!$B$2:$B$151,MATCH($C19,Insumos!$A$2:$A$151,0)),"Código no cargado"))</f>
        <v/>
      </c>
      <c r="E19" s="21">
        <f>IF($C19="","",IFERROR(INDEX(Insumos!$C$2:$C$151,MATCH($C19,Insumos!$A$2:$A$151,0)),""))</f>
        <v/>
      </c>
      <c r="F19" s="21">
        <f>IF($C19="","",IFERROR(INDEX(Insumos!$D$2:$D$151,MATCH($C19,Insumos!$A$2:$A$151,0)),""))</f>
        <v/>
      </c>
      <c r="G19" s="18" t="n"/>
      <c r="H19" s="19">
        <f>IF(OR($A19="",$C19=""),"",IFERROR(INDEX(Insumos!$M$2:$S$151,MATCH($C19,Insumos!$A$2:$A$151,0),WEEKDAY($A19,2)),""))</f>
        <v/>
      </c>
      <c r="I19" s="19">
        <f>IF(OR($G19="",$H19=""),"",MAX(0,$H19-$G19))</f>
        <v/>
      </c>
      <c r="J19" s="21">
        <f>IF($I19="","",IF($I19=0,"OK",IF($G19&lt;=0,"Sin stock: pedir ya","Pedir o producir")))</f>
        <v/>
      </c>
      <c r="K19" s="17" t="n"/>
      <c r="L19" s="17" t="n"/>
      <c r="M19" s="21">
        <f>IF(OR($A19="",$A19&lt;&gt;'Lista para pedir'!$C$3,N($I19)&lt;=0),"",COUNTIFS($A$2:$A19,$A19,$I$2:$I19,"&gt;0"))</f>
        <v/>
      </c>
    </row>
    <row r="20">
      <c r="A20" s="20" t="n"/>
      <c r="B20" s="21">
        <f>IF($A20="","",CHOOSE(WEEKDAY($A20,2),"Lunes","Martes","Miércoles","Jueves","Viernes","Sábado","Domingo"))</f>
        <v/>
      </c>
      <c r="C20" s="17" t="n"/>
      <c r="D20" s="21">
        <f>IF($C20="","",IFERROR(INDEX(Insumos!$B$2:$B$151,MATCH($C20,Insumos!$A$2:$A$151,0)),"Código no cargado"))</f>
        <v/>
      </c>
      <c r="E20" s="21">
        <f>IF($C20="","",IFERROR(INDEX(Insumos!$C$2:$C$151,MATCH($C20,Insumos!$A$2:$A$151,0)),""))</f>
        <v/>
      </c>
      <c r="F20" s="21">
        <f>IF($C20="","",IFERROR(INDEX(Insumos!$D$2:$D$151,MATCH($C20,Insumos!$A$2:$A$151,0)),""))</f>
        <v/>
      </c>
      <c r="G20" s="18" t="n"/>
      <c r="H20" s="19">
        <f>IF(OR($A20="",$C20=""),"",IFERROR(INDEX(Insumos!$M$2:$S$151,MATCH($C20,Insumos!$A$2:$A$151,0),WEEKDAY($A20,2)),""))</f>
        <v/>
      </c>
      <c r="I20" s="19">
        <f>IF(OR($G20="",$H20=""),"",MAX(0,$H20-$G20))</f>
        <v/>
      </c>
      <c r="J20" s="21">
        <f>IF($I20="","",IF($I20=0,"OK",IF($G20&lt;=0,"Sin stock: pedir ya","Pedir o producir")))</f>
        <v/>
      </c>
      <c r="K20" s="17" t="n"/>
      <c r="L20" s="17" t="n"/>
      <c r="M20" s="21">
        <f>IF(OR($A20="",$A20&lt;&gt;'Lista para pedir'!$C$3,N($I20)&lt;=0),"",COUNTIFS($A$2:$A20,$A20,$I$2:$I20,"&gt;0"))</f>
        <v/>
      </c>
    </row>
    <row r="21">
      <c r="A21" s="20" t="n"/>
      <c r="B21" s="21">
        <f>IF($A21="","",CHOOSE(WEEKDAY($A21,2),"Lunes","Martes","Miércoles","Jueves","Viernes","Sábado","Domingo"))</f>
        <v/>
      </c>
      <c r="C21" s="17" t="n"/>
      <c r="D21" s="21">
        <f>IF($C21="","",IFERROR(INDEX(Insumos!$B$2:$B$151,MATCH($C21,Insumos!$A$2:$A$151,0)),"Código no cargado"))</f>
        <v/>
      </c>
      <c r="E21" s="21">
        <f>IF($C21="","",IFERROR(INDEX(Insumos!$C$2:$C$151,MATCH($C21,Insumos!$A$2:$A$151,0)),""))</f>
        <v/>
      </c>
      <c r="F21" s="21">
        <f>IF($C21="","",IFERROR(INDEX(Insumos!$D$2:$D$151,MATCH($C21,Insumos!$A$2:$A$151,0)),""))</f>
        <v/>
      </c>
      <c r="G21" s="18" t="n"/>
      <c r="H21" s="19">
        <f>IF(OR($A21="",$C21=""),"",IFERROR(INDEX(Insumos!$M$2:$S$151,MATCH($C21,Insumos!$A$2:$A$151,0),WEEKDAY($A21,2)),""))</f>
        <v/>
      </c>
      <c r="I21" s="19">
        <f>IF(OR($G21="",$H21=""),"",MAX(0,$H21-$G21))</f>
        <v/>
      </c>
      <c r="J21" s="21">
        <f>IF($I21="","",IF($I21=0,"OK",IF($G21&lt;=0,"Sin stock: pedir ya","Pedir o producir")))</f>
        <v/>
      </c>
      <c r="K21" s="17" t="n"/>
      <c r="L21" s="17" t="n"/>
      <c r="M21" s="21">
        <f>IF(OR($A21="",$A21&lt;&gt;'Lista para pedir'!$C$3,N($I21)&lt;=0),"",COUNTIFS($A$2:$A21,$A21,$I$2:$I21,"&gt;0"))</f>
        <v/>
      </c>
    </row>
    <row r="22">
      <c r="A22" s="20" t="n"/>
      <c r="B22" s="21">
        <f>IF($A22="","",CHOOSE(WEEKDAY($A22,2),"Lunes","Martes","Miércoles","Jueves","Viernes","Sábado","Domingo"))</f>
        <v/>
      </c>
      <c r="C22" s="17" t="n"/>
      <c r="D22" s="21">
        <f>IF($C22="","",IFERROR(INDEX(Insumos!$B$2:$B$151,MATCH($C22,Insumos!$A$2:$A$151,0)),"Código no cargado"))</f>
        <v/>
      </c>
      <c r="E22" s="21">
        <f>IF($C22="","",IFERROR(INDEX(Insumos!$C$2:$C$151,MATCH($C22,Insumos!$A$2:$A$151,0)),""))</f>
        <v/>
      </c>
      <c r="F22" s="21">
        <f>IF($C22="","",IFERROR(INDEX(Insumos!$D$2:$D$151,MATCH($C22,Insumos!$A$2:$A$151,0)),""))</f>
        <v/>
      </c>
      <c r="G22" s="18" t="n"/>
      <c r="H22" s="19">
        <f>IF(OR($A22="",$C22=""),"",IFERROR(INDEX(Insumos!$M$2:$S$151,MATCH($C22,Insumos!$A$2:$A$151,0),WEEKDAY($A22,2)),""))</f>
        <v/>
      </c>
      <c r="I22" s="19">
        <f>IF(OR($G22="",$H22=""),"",MAX(0,$H22-$G22))</f>
        <v/>
      </c>
      <c r="J22" s="21">
        <f>IF($I22="","",IF($I22=0,"OK",IF($G22&lt;=0,"Sin stock: pedir ya","Pedir o producir")))</f>
        <v/>
      </c>
      <c r="K22" s="17" t="n"/>
      <c r="L22" s="17" t="n"/>
      <c r="M22" s="21">
        <f>IF(OR($A22="",$A22&lt;&gt;'Lista para pedir'!$C$3,N($I22)&lt;=0),"",COUNTIFS($A$2:$A22,$A22,$I$2:$I22,"&gt;0"))</f>
        <v/>
      </c>
    </row>
    <row r="23">
      <c r="A23" s="20" t="n"/>
      <c r="B23" s="21">
        <f>IF($A23="","",CHOOSE(WEEKDAY($A23,2),"Lunes","Martes","Miércoles","Jueves","Viernes","Sábado","Domingo"))</f>
        <v/>
      </c>
      <c r="C23" s="17" t="n"/>
      <c r="D23" s="21">
        <f>IF($C23="","",IFERROR(INDEX(Insumos!$B$2:$B$151,MATCH($C23,Insumos!$A$2:$A$151,0)),"Código no cargado"))</f>
        <v/>
      </c>
      <c r="E23" s="21">
        <f>IF($C23="","",IFERROR(INDEX(Insumos!$C$2:$C$151,MATCH($C23,Insumos!$A$2:$A$151,0)),""))</f>
        <v/>
      </c>
      <c r="F23" s="21">
        <f>IF($C23="","",IFERROR(INDEX(Insumos!$D$2:$D$151,MATCH($C23,Insumos!$A$2:$A$151,0)),""))</f>
        <v/>
      </c>
      <c r="G23" s="18" t="n"/>
      <c r="H23" s="19">
        <f>IF(OR($A23="",$C23=""),"",IFERROR(INDEX(Insumos!$M$2:$S$151,MATCH($C23,Insumos!$A$2:$A$151,0),WEEKDAY($A23,2)),""))</f>
        <v/>
      </c>
      <c r="I23" s="19">
        <f>IF(OR($G23="",$H23=""),"",MAX(0,$H23-$G23))</f>
        <v/>
      </c>
      <c r="J23" s="21">
        <f>IF($I23="","",IF($I23=0,"OK",IF($G23&lt;=0,"Sin stock: pedir ya","Pedir o producir")))</f>
        <v/>
      </c>
      <c r="K23" s="17" t="n"/>
      <c r="L23" s="17" t="n"/>
      <c r="M23" s="21">
        <f>IF(OR($A23="",$A23&lt;&gt;'Lista para pedir'!$C$3,N($I23)&lt;=0),"",COUNTIFS($A$2:$A23,$A23,$I$2:$I23,"&gt;0"))</f>
        <v/>
      </c>
    </row>
    <row r="24">
      <c r="A24" s="20" t="n"/>
      <c r="B24" s="21">
        <f>IF($A24="","",CHOOSE(WEEKDAY($A24,2),"Lunes","Martes","Miércoles","Jueves","Viernes","Sábado","Domingo"))</f>
        <v/>
      </c>
      <c r="C24" s="17" t="n"/>
      <c r="D24" s="21">
        <f>IF($C24="","",IFERROR(INDEX(Insumos!$B$2:$B$151,MATCH($C24,Insumos!$A$2:$A$151,0)),"Código no cargado"))</f>
        <v/>
      </c>
      <c r="E24" s="21">
        <f>IF($C24="","",IFERROR(INDEX(Insumos!$C$2:$C$151,MATCH($C24,Insumos!$A$2:$A$151,0)),""))</f>
        <v/>
      </c>
      <c r="F24" s="21">
        <f>IF($C24="","",IFERROR(INDEX(Insumos!$D$2:$D$151,MATCH($C24,Insumos!$A$2:$A$151,0)),""))</f>
        <v/>
      </c>
      <c r="G24" s="18" t="n"/>
      <c r="H24" s="19">
        <f>IF(OR($A24="",$C24=""),"",IFERROR(INDEX(Insumos!$M$2:$S$151,MATCH($C24,Insumos!$A$2:$A$151,0),WEEKDAY($A24,2)),""))</f>
        <v/>
      </c>
      <c r="I24" s="19">
        <f>IF(OR($G24="",$H24=""),"",MAX(0,$H24-$G24))</f>
        <v/>
      </c>
      <c r="J24" s="21">
        <f>IF($I24="","",IF($I24=0,"OK",IF($G24&lt;=0,"Sin stock: pedir ya","Pedir o producir")))</f>
        <v/>
      </c>
      <c r="K24" s="17" t="n"/>
      <c r="L24" s="17" t="n"/>
      <c r="M24" s="21">
        <f>IF(OR($A24="",$A24&lt;&gt;'Lista para pedir'!$C$3,N($I24)&lt;=0),"",COUNTIFS($A$2:$A24,$A24,$I$2:$I24,"&gt;0"))</f>
        <v/>
      </c>
    </row>
    <row r="25">
      <c r="A25" s="20" t="n"/>
      <c r="B25" s="21">
        <f>IF($A25="","",CHOOSE(WEEKDAY($A25,2),"Lunes","Martes","Miércoles","Jueves","Viernes","Sábado","Domingo"))</f>
        <v/>
      </c>
      <c r="C25" s="17" t="n"/>
      <c r="D25" s="21">
        <f>IF($C25="","",IFERROR(INDEX(Insumos!$B$2:$B$151,MATCH($C25,Insumos!$A$2:$A$151,0)),"Código no cargado"))</f>
        <v/>
      </c>
      <c r="E25" s="21">
        <f>IF($C25="","",IFERROR(INDEX(Insumos!$C$2:$C$151,MATCH($C25,Insumos!$A$2:$A$151,0)),""))</f>
        <v/>
      </c>
      <c r="F25" s="21">
        <f>IF($C25="","",IFERROR(INDEX(Insumos!$D$2:$D$151,MATCH($C25,Insumos!$A$2:$A$151,0)),""))</f>
        <v/>
      </c>
      <c r="G25" s="18" t="n"/>
      <c r="H25" s="19">
        <f>IF(OR($A25="",$C25=""),"",IFERROR(INDEX(Insumos!$M$2:$S$151,MATCH($C25,Insumos!$A$2:$A$151,0),WEEKDAY($A25,2)),""))</f>
        <v/>
      </c>
      <c r="I25" s="19">
        <f>IF(OR($G25="",$H25=""),"",MAX(0,$H25-$G25))</f>
        <v/>
      </c>
      <c r="J25" s="21">
        <f>IF($I25="","",IF($I25=0,"OK",IF($G25&lt;=0,"Sin stock: pedir ya","Pedir o producir")))</f>
        <v/>
      </c>
      <c r="K25" s="17" t="n"/>
      <c r="L25" s="17" t="n"/>
      <c r="M25" s="21">
        <f>IF(OR($A25="",$A25&lt;&gt;'Lista para pedir'!$C$3,N($I25)&lt;=0),"",COUNTIFS($A$2:$A25,$A25,$I$2:$I25,"&gt;0"))</f>
        <v/>
      </c>
    </row>
    <row r="26">
      <c r="A26" s="20" t="n"/>
      <c r="B26" s="21">
        <f>IF($A26="","",CHOOSE(WEEKDAY($A26,2),"Lunes","Martes","Miércoles","Jueves","Viernes","Sábado","Domingo"))</f>
        <v/>
      </c>
      <c r="C26" s="17" t="n"/>
      <c r="D26" s="21">
        <f>IF($C26="","",IFERROR(INDEX(Insumos!$B$2:$B$151,MATCH($C26,Insumos!$A$2:$A$151,0)),"Código no cargado"))</f>
        <v/>
      </c>
      <c r="E26" s="21">
        <f>IF($C26="","",IFERROR(INDEX(Insumos!$C$2:$C$151,MATCH($C26,Insumos!$A$2:$A$151,0)),""))</f>
        <v/>
      </c>
      <c r="F26" s="21">
        <f>IF($C26="","",IFERROR(INDEX(Insumos!$D$2:$D$151,MATCH($C26,Insumos!$A$2:$A$151,0)),""))</f>
        <v/>
      </c>
      <c r="G26" s="18" t="n"/>
      <c r="H26" s="19">
        <f>IF(OR($A26="",$C26=""),"",IFERROR(INDEX(Insumos!$M$2:$S$151,MATCH($C26,Insumos!$A$2:$A$151,0),WEEKDAY($A26,2)),""))</f>
        <v/>
      </c>
      <c r="I26" s="19">
        <f>IF(OR($G26="",$H26=""),"",MAX(0,$H26-$G26))</f>
        <v/>
      </c>
      <c r="J26" s="21">
        <f>IF($I26="","",IF($I26=0,"OK",IF($G26&lt;=0,"Sin stock: pedir ya","Pedir o producir")))</f>
        <v/>
      </c>
      <c r="K26" s="17" t="n"/>
      <c r="L26" s="17" t="n"/>
      <c r="M26" s="21">
        <f>IF(OR($A26="",$A26&lt;&gt;'Lista para pedir'!$C$3,N($I26)&lt;=0),"",COUNTIFS($A$2:$A26,$A26,$I$2:$I26,"&gt;0"))</f>
        <v/>
      </c>
    </row>
    <row r="27">
      <c r="A27" s="20" t="n"/>
      <c r="B27" s="21">
        <f>IF($A27="","",CHOOSE(WEEKDAY($A27,2),"Lunes","Martes","Miércoles","Jueves","Viernes","Sábado","Domingo"))</f>
        <v/>
      </c>
      <c r="C27" s="17" t="n"/>
      <c r="D27" s="21">
        <f>IF($C27="","",IFERROR(INDEX(Insumos!$B$2:$B$151,MATCH($C27,Insumos!$A$2:$A$151,0)),"Código no cargado"))</f>
        <v/>
      </c>
      <c r="E27" s="21">
        <f>IF($C27="","",IFERROR(INDEX(Insumos!$C$2:$C$151,MATCH($C27,Insumos!$A$2:$A$151,0)),""))</f>
        <v/>
      </c>
      <c r="F27" s="21">
        <f>IF($C27="","",IFERROR(INDEX(Insumos!$D$2:$D$151,MATCH($C27,Insumos!$A$2:$A$151,0)),""))</f>
        <v/>
      </c>
      <c r="G27" s="18" t="n"/>
      <c r="H27" s="19">
        <f>IF(OR($A27="",$C27=""),"",IFERROR(INDEX(Insumos!$M$2:$S$151,MATCH($C27,Insumos!$A$2:$A$151,0),WEEKDAY($A27,2)),""))</f>
        <v/>
      </c>
      <c r="I27" s="19">
        <f>IF(OR($G27="",$H27=""),"",MAX(0,$H27-$G27))</f>
        <v/>
      </c>
      <c r="J27" s="21">
        <f>IF($I27="","",IF($I27=0,"OK",IF($G27&lt;=0,"Sin stock: pedir ya","Pedir o producir")))</f>
        <v/>
      </c>
      <c r="K27" s="17" t="n"/>
      <c r="L27" s="17" t="n"/>
      <c r="M27" s="21">
        <f>IF(OR($A27="",$A27&lt;&gt;'Lista para pedir'!$C$3,N($I27)&lt;=0),"",COUNTIFS($A$2:$A27,$A27,$I$2:$I27,"&gt;0"))</f>
        <v/>
      </c>
    </row>
    <row r="28">
      <c r="A28" s="20" t="n"/>
      <c r="B28" s="21">
        <f>IF($A28="","",CHOOSE(WEEKDAY($A28,2),"Lunes","Martes","Miércoles","Jueves","Viernes","Sábado","Domingo"))</f>
        <v/>
      </c>
      <c r="C28" s="17" t="n"/>
      <c r="D28" s="21">
        <f>IF($C28="","",IFERROR(INDEX(Insumos!$B$2:$B$151,MATCH($C28,Insumos!$A$2:$A$151,0)),"Código no cargado"))</f>
        <v/>
      </c>
      <c r="E28" s="21">
        <f>IF($C28="","",IFERROR(INDEX(Insumos!$C$2:$C$151,MATCH($C28,Insumos!$A$2:$A$151,0)),""))</f>
        <v/>
      </c>
      <c r="F28" s="21">
        <f>IF($C28="","",IFERROR(INDEX(Insumos!$D$2:$D$151,MATCH($C28,Insumos!$A$2:$A$151,0)),""))</f>
        <v/>
      </c>
      <c r="G28" s="18" t="n"/>
      <c r="H28" s="19">
        <f>IF(OR($A28="",$C28=""),"",IFERROR(INDEX(Insumos!$M$2:$S$151,MATCH($C28,Insumos!$A$2:$A$151,0),WEEKDAY($A28,2)),""))</f>
        <v/>
      </c>
      <c r="I28" s="19">
        <f>IF(OR($G28="",$H28=""),"",MAX(0,$H28-$G28))</f>
        <v/>
      </c>
      <c r="J28" s="21">
        <f>IF($I28="","",IF($I28=0,"OK",IF($G28&lt;=0,"Sin stock: pedir ya","Pedir o producir")))</f>
        <v/>
      </c>
      <c r="K28" s="17" t="n"/>
      <c r="L28" s="17" t="n"/>
      <c r="M28" s="21">
        <f>IF(OR($A28="",$A28&lt;&gt;'Lista para pedir'!$C$3,N($I28)&lt;=0),"",COUNTIFS($A$2:$A28,$A28,$I$2:$I28,"&gt;0"))</f>
        <v/>
      </c>
    </row>
    <row r="29">
      <c r="A29" s="20" t="n"/>
      <c r="B29" s="21">
        <f>IF($A29="","",CHOOSE(WEEKDAY($A29,2),"Lunes","Martes","Miércoles","Jueves","Viernes","Sábado","Domingo"))</f>
        <v/>
      </c>
      <c r="C29" s="17" t="n"/>
      <c r="D29" s="21">
        <f>IF($C29="","",IFERROR(INDEX(Insumos!$B$2:$B$151,MATCH($C29,Insumos!$A$2:$A$151,0)),"Código no cargado"))</f>
        <v/>
      </c>
      <c r="E29" s="21">
        <f>IF($C29="","",IFERROR(INDEX(Insumos!$C$2:$C$151,MATCH($C29,Insumos!$A$2:$A$151,0)),""))</f>
        <v/>
      </c>
      <c r="F29" s="21">
        <f>IF($C29="","",IFERROR(INDEX(Insumos!$D$2:$D$151,MATCH($C29,Insumos!$A$2:$A$151,0)),""))</f>
        <v/>
      </c>
      <c r="G29" s="18" t="n"/>
      <c r="H29" s="19">
        <f>IF(OR($A29="",$C29=""),"",IFERROR(INDEX(Insumos!$M$2:$S$151,MATCH($C29,Insumos!$A$2:$A$151,0),WEEKDAY($A29,2)),""))</f>
        <v/>
      </c>
      <c r="I29" s="19">
        <f>IF(OR($G29="",$H29=""),"",MAX(0,$H29-$G29))</f>
        <v/>
      </c>
      <c r="J29" s="21">
        <f>IF($I29="","",IF($I29=0,"OK",IF($G29&lt;=0,"Sin stock: pedir ya","Pedir o producir")))</f>
        <v/>
      </c>
      <c r="K29" s="17" t="n"/>
      <c r="L29" s="17" t="n"/>
      <c r="M29" s="21">
        <f>IF(OR($A29="",$A29&lt;&gt;'Lista para pedir'!$C$3,N($I29)&lt;=0),"",COUNTIFS($A$2:$A29,$A29,$I$2:$I29,"&gt;0"))</f>
        <v/>
      </c>
    </row>
    <row r="30">
      <c r="A30" s="20" t="n"/>
      <c r="B30" s="21">
        <f>IF($A30="","",CHOOSE(WEEKDAY($A30,2),"Lunes","Martes","Miércoles","Jueves","Viernes","Sábado","Domingo"))</f>
        <v/>
      </c>
      <c r="C30" s="17" t="n"/>
      <c r="D30" s="21">
        <f>IF($C30="","",IFERROR(INDEX(Insumos!$B$2:$B$151,MATCH($C30,Insumos!$A$2:$A$151,0)),"Código no cargado"))</f>
        <v/>
      </c>
      <c r="E30" s="21">
        <f>IF($C30="","",IFERROR(INDEX(Insumos!$C$2:$C$151,MATCH($C30,Insumos!$A$2:$A$151,0)),""))</f>
        <v/>
      </c>
      <c r="F30" s="21">
        <f>IF($C30="","",IFERROR(INDEX(Insumos!$D$2:$D$151,MATCH($C30,Insumos!$A$2:$A$151,0)),""))</f>
        <v/>
      </c>
      <c r="G30" s="18" t="n"/>
      <c r="H30" s="19">
        <f>IF(OR($A30="",$C30=""),"",IFERROR(INDEX(Insumos!$M$2:$S$151,MATCH($C30,Insumos!$A$2:$A$151,0),WEEKDAY($A30,2)),""))</f>
        <v/>
      </c>
      <c r="I30" s="19">
        <f>IF(OR($G30="",$H30=""),"",MAX(0,$H30-$G30))</f>
        <v/>
      </c>
      <c r="J30" s="21">
        <f>IF($I30="","",IF($I30=0,"OK",IF($G30&lt;=0,"Sin stock: pedir ya","Pedir o producir")))</f>
        <v/>
      </c>
      <c r="K30" s="17" t="n"/>
      <c r="L30" s="17" t="n"/>
      <c r="M30" s="21">
        <f>IF(OR($A30="",$A30&lt;&gt;'Lista para pedir'!$C$3,N($I30)&lt;=0),"",COUNTIFS($A$2:$A30,$A30,$I$2:$I30,"&gt;0"))</f>
        <v/>
      </c>
    </row>
    <row r="31">
      <c r="A31" s="20" t="n"/>
      <c r="B31" s="21">
        <f>IF($A31="","",CHOOSE(WEEKDAY($A31,2),"Lunes","Martes","Miércoles","Jueves","Viernes","Sábado","Domingo"))</f>
        <v/>
      </c>
      <c r="C31" s="17" t="n"/>
      <c r="D31" s="21">
        <f>IF($C31="","",IFERROR(INDEX(Insumos!$B$2:$B$151,MATCH($C31,Insumos!$A$2:$A$151,0)),"Código no cargado"))</f>
        <v/>
      </c>
      <c r="E31" s="21">
        <f>IF($C31="","",IFERROR(INDEX(Insumos!$C$2:$C$151,MATCH($C31,Insumos!$A$2:$A$151,0)),""))</f>
        <v/>
      </c>
      <c r="F31" s="21">
        <f>IF($C31="","",IFERROR(INDEX(Insumos!$D$2:$D$151,MATCH($C31,Insumos!$A$2:$A$151,0)),""))</f>
        <v/>
      </c>
      <c r="G31" s="18" t="n"/>
      <c r="H31" s="19">
        <f>IF(OR($A31="",$C31=""),"",IFERROR(INDEX(Insumos!$M$2:$S$151,MATCH($C31,Insumos!$A$2:$A$151,0),WEEKDAY($A31,2)),""))</f>
        <v/>
      </c>
      <c r="I31" s="19">
        <f>IF(OR($G31="",$H31=""),"",MAX(0,$H31-$G31))</f>
        <v/>
      </c>
      <c r="J31" s="21">
        <f>IF($I31="","",IF($I31=0,"OK",IF($G31&lt;=0,"Sin stock: pedir ya","Pedir o producir")))</f>
        <v/>
      </c>
      <c r="K31" s="17" t="n"/>
      <c r="L31" s="17" t="n"/>
      <c r="M31" s="21">
        <f>IF(OR($A31="",$A31&lt;&gt;'Lista para pedir'!$C$3,N($I31)&lt;=0),"",COUNTIFS($A$2:$A31,$A31,$I$2:$I31,"&gt;0"))</f>
        <v/>
      </c>
    </row>
    <row r="32">
      <c r="A32" s="20" t="n"/>
      <c r="B32" s="21">
        <f>IF($A32="","",CHOOSE(WEEKDAY($A32,2),"Lunes","Martes","Miércoles","Jueves","Viernes","Sábado","Domingo"))</f>
        <v/>
      </c>
      <c r="C32" s="17" t="n"/>
      <c r="D32" s="21">
        <f>IF($C32="","",IFERROR(INDEX(Insumos!$B$2:$B$151,MATCH($C32,Insumos!$A$2:$A$151,0)),"Código no cargado"))</f>
        <v/>
      </c>
      <c r="E32" s="21">
        <f>IF($C32="","",IFERROR(INDEX(Insumos!$C$2:$C$151,MATCH($C32,Insumos!$A$2:$A$151,0)),""))</f>
        <v/>
      </c>
      <c r="F32" s="21">
        <f>IF($C32="","",IFERROR(INDEX(Insumos!$D$2:$D$151,MATCH($C32,Insumos!$A$2:$A$151,0)),""))</f>
        <v/>
      </c>
      <c r="G32" s="18" t="n"/>
      <c r="H32" s="19">
        <f>IF(OR($A32="",$C32=""),"",IFERROR(INDEX(Insumos!$M$2:$S$151,MATCH($C32,Insumos!$A$2:$A$151,0),WEEKDAY($A32,2)),""))</f>
        <v/>
      </c>
      <c r="I32" s="19">
        <f>IF(OR($G32="",$H32=""),"",MAX(0,$H32-$G32))</f>
        <v/>
      </c>
      <c r="J32" s="21">
        <f>IF($I32="","",IF($I32=0,"OK",IF($G32&lt;=0,"Sin stock: pedir ya","Pedir o producir")))</f>
        <v/>
      </c>
      <c r="K32" s="17" t="n"/>
      <c r="L32" s="17" t="n"/>
      <c r="M32" s="21">
        <f>IF(OR($A32="",$A32&lt;&gt;'Lista para pedir'!$C$3,N($I32)&lt;=0),"",COUNTIFS($A$2:$A32,$A32,$I$2:$I32,"&gt;0"))</f>
        <v/>
      </c>
    </row>
    <row r="33">
      <c r="A33" s="20" t="n"/>
      <c r="B33" s="21">
        <f>IF($A33="","",CHOOSE(WEEKDAY($A33,2),"Lunes","Martes","Miércoles","Jueves","Viernes","Sábado","Domingo"))</f>
        <v/>
      </c>
      <c r="C33" s="17" t="n"/>
      <c r="D33" s="21">
        <f>IF($C33="","",IFERROR(INDEX(Insumos!$B$2:$B$151,MATCH($C33,Insumos!$A$2:$A$151,0)),"Código no cargado"))</f>
        <v/>
      </c>
      <c r="E33" s="21">
        <f>IF($C33="","",IFERROR(INDEX(Insumos!$C$2:$C$151,MATCH($C33,Insumos!$A$2:$A$151,0)),""))</f>
        <v/>
      </c>
      <c r="F33" s="21">
        <f>IF($C33="","",IFERROR(INDEX(Insumos!$D$2:$D$151,MATCH($C33,Insumos!$A$2:$A$151,0)),""))</f>
        <v/>
      </c>
      <c r="G33" s="18" t="n"/>
      <c r="H33" s="19">
        <f>IF(OR($A33="",$C33=""),"",IFERROR(INDEX(Insumos!$M$2:$S$151,MATCH($C33,Insumos!$A$2:$A$151,0),WEEKDAY($A33,2)),""))</f>
        <v/>
      </c>
      <c r="I33" s="19">
        <f>IF(OR($G33="",$H33=""),"",MAX(0,$H33-$G33))</f>
        <v/>
      </c>
      <c r="J33" s="21">
        <f>IF($I33="","",IF($I33=0,"OK",IF($G33&lt;=0,"Sin stock: pedir ya","Pedir o producir")))</f>
        <v/>
      </c>
      <c r="K33" s="17" t="n"/>
      <c r="L33" s="17" t="n"/>
      <c r="M33" s="21">
        <f>IF(OR($A33="",$A33&lt;&gt;'Lista para pedir'!$C$3,N($I33)&lt;=0),"",COUNTIFS($A$2:$A33,$A33,$I$2:$I33,"&gt;0"))</f>
        <v/>
      </c>
    </row>
    <row r="34">
      <c r="A34" s="20" t="n"/>
      <c r="B34" s="21">
        <f>IF($A34="","",CHOOSE(WEEKDAY($A34,2),"Lunes","Martes","Miércoles","Jueves","Viernes","Sábado","Domingo"))</f>
        <v/>
      </c>
      <c r="C34" s="17" t="n"/>
      <c r="D34" s="21">
        <f>IF($C34="","",IFERROR(INDEX(Insumos!$B$2:$B$151,MATCH($C34,Insumos!$A$2:$A$151,0)),"Código no cargado"))</f>
        <v/>
      </c>
      <c r="E34" s="21">
        <f>IF($C34="","",IFERROR(INDEX(Insumos!$C$2:$C$151,MATCH($C34,Insumos!$A$2:$A$151,0)),""))</f>
        <v/>
      </c>
      <c r="F34" s="21">
        <f>IF($C34="","",IFERROR(INDEX(Insumos!$D$2:$D$151,MATCH($C34,Insumos!$A$2:$A$151,0)),""))</f>
        <v/>
      </c>
      <c r="G34" s="18" t="n"/>
      <c r="H34" s="19">
        <f>IF(OR($A34="",$C34=""),"",IFERROR(INDEX(Insumos!$M$2:$S$151,MATCH($C34,Insumos!$A$2:$A$151,0),WEEKDAY($A34,2)),""))</f>
        <v/>
      </c>
      <c r="I34" s="19">
        <f>IF(OR($G34="",$H34=""),"",MAX(0,$H34-$G34))</f>
        <v/>
      </c>
      <c r="J34" s="21">
        <f>IF($I34="","",IF($I34=0,"OK",IF($G34&lt;=0,"Sin stock: pedir ya","Pedir o producir")))</f>
        <v/>
      </c>
      <c r="K34" s="17" t="n"/>
      <c r="L34" s="17" t="n"/>
      <c r="M34" s="21">
        <f>IF(OR($A34="",$A34&lt;&gt;'Lista para pedir'!$C$3,N($I34)&lt;=0),"",COUNTIFS($A$2:$A34,$A34,$I$2:$I34,"&gt;0"))</f>
        <v/>
      </c>
    </row>
    <row r="35">
      <c r="A35" s="20" t="n"/>
      <c r="B35" s="21">
        <f>IF($A35="","",CHOOSE(WEEKDAY($A35,2),"Lunes","Martes","Miércoles","Jueves","Viernes","Sábado","Domingo"))</f>
        <v/>
      </c>
      <c r="C35" s="17" t="n"/>
      <c r="D35" s="21">
        <f>IF($C35="","",IFERROR(INDEX(Insumos!$B$2:$B$151,MATCH($C35,Insumos!$A$2:$A$151,0)),"Código no cargado"))</f>
        <v/>
      </c>
      <c r="E35" s="21">
        <f>IF($C35="","",IFERROR(INDEX(Insumos!$C$2:$C$151,MATCH($C35,Insumos!$A$2:$A$151,0)),""))</f>
        <v/>
      </c>
      <c r="F35" s="21">
        <f>IF($C35="","",IFERROR(INDEX(Insumos!$D$2:$D$151,MATCH($C35,Insumos!$A$2:$A$151,0)),""))</f>
        <v/>
      </c>
      <c r="G35" s="18" t="n"/>
      <c r="H35" s="19">
        <f>IF(OR($A35="",$C35=""),"",IFERROR(INDEX(Insumos!$M$2:$S$151,MATCH($C35,Insumos!$A$2:$A$151,0),WEEKDAY($A35,2)),""))</f>
        <v/>
      </c>
      <c r="I35" s="19">
        <f>IF(OR($G35="",$H35=""),"",MAX(0,$H35-$G35))</f>
        <v/>
      </c>
      <c r="J35" s="21">
        <f>IF($I35="","",IF($I35=0,"OK",IF($G35&lt;=0,"Sin stock: pedir ya","Pedir o producir")))</f>
        <v/>
      </c>
      <c r="K35" s="17" t="n"/>
      <c r="L35" s="17" t="n"/>
      <c r="M35" s="21">
        <f>IF(OR($A35="",$A35&lt;&gt;'Lista para pedir'!$C$3,N($I35)&lt;=0),"",COUNTIFS($A$2:$A35,$A35,$I$2:$I35,"&gt;0"))</f>
        <v/>
      </c>
    </row>
    <row r="36">
      <c r="A36" s="20" t="n"/>
      <c r="B36" s="21">
        <f>IF($A36="","",CHOOSE(WEEKDAY($A36,2),"Lunes","Martes","Miércoles","Jueves","Viernes","Sábado","Domingo"))</f>
        <v/>
      </c>
      <c r="C36" s="17" t="n"/>
      <c r="D36" s="21">
        <f>IF($C36="","",IFERROR(INDEX(Insumos!$B$2:$B$151,MATCH($C36,Insumos!$A$2:$A$151,0)),"Código no cargado"))</f>
        <v/>
      </c>
      <c r="E36" s="21">
        <f>IF($C36="","",IFERROR(INDEX(Insumos!$C$2:$C$151,MATCH($C36,Insumos!$A$2:$A$151,0)),""))</f>
        <v/>
      </c>
      <c r="F36" s="21">
        <f>IF($C36="","",IFERROR(INDEX(Insumos!$D$2:$D$151,MATCH($C36,Insumos!$A$2:$A$151,0)),""))</f>
        <v/>
      </c>
      <c r="G36" s="18" t="n"/>
      <c r="H36" s="19">
        <f>IF(OR($A36="",$C36=""),"",IFERROR(INDEX(Insumos!$M$2:$S$151,MATCH($C36,Insumos!$A$2:$A$151,0),WEEKDAY($A36,2)),""))</f>
        <v/>
      </c>
      <c r="I36" s="19">
        <f>IF(OR($G36="",$H36=""),"",MAX(0,$H36-$G36))</f>
        <v/>
      </c>
      <c r="J36" s="21">
        <f>IF($I36="","",IF($I36=0,"OK",IF($G36&lt;=0,"Sin stock: pedir ya","Pedir o producir")))</f>
        <v/>
      </c>
      <c r="K36" s="17" t="n"/>
      <c r="L36" s="17" t="n"/>
      <c r="M36" s="21">
        <f>IF(OR($A36="",$A36&lt;&gt;'Lista para pedir'!$C$3,N($I36)&lt;=0),"",COUNTIFS($A$2:$A36,$A36,$I$2:$I36,"&gt;0"))</f>
        <v/>
      </c>
    </row>
    <row r="37">
      <c r="A37" s="20" t="n"/>
      <c r="B37" s="21">
        <f>IF($A37="","",CHOOSE(WEEKDAY($A37,2),"Lunes","Martes","Miércoles","Jueves","Viernes","Sábado","Domingo"))</f>
        <v/>
      </c>
      <c r="C37" s="17" t="n"/>
      <c r="D37" s="21">
        <f>IF($C37="","",IFERROR(INDEX(Insumos!$B$2:$B$151,MATCH($C37,Insumos!$A$2:$A$151,0)),"Código no cargado"))</f>
        <v/>
      </c>
      <c r="E37" s="21">
        <f>IF($C37="","",IFERROR(INDEX(Insumos!$C$2:$C$151,MATCH($C37,Insumos!$A$2:$A$151,0)),""))</f>
        <v/>
      </c>
      <c r="F37" s="21">
        <f>IF($C37="","",IFERROR(INDEX(Insumos!$D$2:$D$151,MATCH($C37,Insumos!$A$2:$A$151,0)),""))</f>
        <v/>
      </c>
      <c r="G37" s="18" t="n"/>
      <c r="H37" s="19">
        <f>IF(OR($A37="",$C37=""),"",IFERROR(INDEX(Insumos!$M$2:$S$151,MATCH($C37,Insumos!$A$2:$A$151,0),WEEKDAY($A37,2)),""))</f>
        <v/>
      </c>
      <c r="I37" s="19">
        <f>IF(OR($G37="",$H37=""),"",MAX(0,$H37-$G37))</f>
        <v/>
      </c>
      <c r="J37" s="21">
        <f>IF($I37="","",IF($I37=0,"OK",IF($G37&lt;=0,"Sin stock: pedir ya","Pedir o producir")))</f>
        <v/>
      </c>
      <c r="K37" s="17" t="n"/>
      <c r="L37" s="17" t="n"/>
      <c r="M37" s="21">
        <f>IF(OR($A37="",$A37&lt;&gt;'Lista para pedir'!$C$3,N($I37)&lt;=0),"",COUNTIFS($A$2:$A37,$A37,$I$2:$I37,"&gt;0"))</f>
        <v/>
      </c>
    </row>
    <row r="38">
      <c r="A38" s="20" t="n"/>
      <c r="B38" s="21">
        <f>IF($A38="","",CHOOSE(WEEKDAY($A38,2),"Lunes","Martes","Miércoles","Jueves","Viernes","Sábado","Domingo"))</f>
        <v/>
      </c>
      <c r="C38" s="17" t="n"/>
      <c r="D38" s="21">
        <f>IF($C38="","",IFERROR(INDEX(Insumos!$B$2:$B$151,MATCH($C38,Insumos!$A$2:$A$151,0)),"Código no cargado"))</f>
        <v/>
      </c>
      <c r="E38" s="21">
        <f>IF($C38="","",IFERROR(INDEX(Insumos!$C$2:$C$151,MATCH($C38,Insumos!$A$2:$A$151,0)),""))</f>
        <v/>
      </c>
      <c r="F38" s="21">
        <f>IF($C38="","",IFERROR(INDEX(Insumos!$D$2:$D$151,MATCH($C38,Insumos!$A$2:$A$151,0)),""))</f>
        <v/>
      </c>
      <c r="G38" s="18" t="n"/>
      <c r="H38" s="19">
        <f>IF(OR($A38="",$C38=""),"",IFERROR(INDEX(Insumos!$M$2:$S$151,MATCH($C38,Insumos!$A$2:$A$151,0),WEEKDAY($A38,2)),""))</f>
        <v/>
      </c>
      <c r="I38" s="19">
        <f>IF(OR($G38="",$H38=""),"",MAX(0,$H38-$G38))</f>
        <v/>
      </c>
      <c r="J38" s="21">
        <f>IF($I38="","",IF($I38=0,"OK",IF($G38&lt;=0,"Sin stock: pedir ya","Pedir o producir")))</f>
        <v/>
      </c>
      <c r="K38" s="17" t="n"/>
      <c r="L38" s="17" t="n"/>
      <c r="M38" s="21">
        <f>IF(OR($A38="",$A38&lt;&gt;'Lista para pedir'!$C$3,N($I38)&lt;=0),"",COUNTIFS($A$2:$A38,$A38,$I$2:$I38,"&gt;0"))</f>
        <v/>
      </c>
    </row>
    <row r="39">
      <c r="A39" s="20" t="n"/>
      <c r="B39" s="21">
        <f>IF($A39="","",CHOOSE(WEEKDAY($A39,2),"Lunes","Martes","Miércoles","Jueves","Viernes","Sábado","Domingo"))</f>
        <v/>
      </c>
      <c r="C39" s="17" t="n"/>
      <c r="D39" s="21">
        <f>IF($C39="","",IFERROR(INDEX(Insumos!$B$2:$B$151,MATCH($C39,Insumos!$A$2:$A$151,0)),"Código no cargado"))</f>
        <v/>
      </c>
      <c r="E39" s="21">
        <f>IF($C39="","",IFERROR(INDEX(Insumos!$C$2:$C$151,MATCH($C39,Insumos!$A$2:$A$151,0)),""))</f>
        <v/>
      </c>
      <c r="F39" s="21">
        <f>IF($C39="","",IFERROR(INDEX(Insumos!$D$2:$D$151,MATCH($C39,Insumos!$A$2:$A$151,0)),""))</f>
        <v/>
      </c>
      <c r="G39" s="18" t="n"/>
      <c r="H39" s="19">
        <f>IF(OR($A39="",$C39=""),"",IFERROR(INDEX(Insumos!$M$2:$S$151,MATCH($C39,Insumos!$A$2:$A$151,0),WEEKDAY($A39,2)),""))</f>
        <v/>
      </c>
      <c r="I39" s="19">
        <f>IF(OR($G39="",$H39=""),"",MAX(0,$H39-$G39))</f>
        <v/>
      </c>
      <c r="J39" s="21">
        <f>IF($I39="","",IF($I39=0,"OK",IF($G39&lt;=0,"Sin stock: pedir ya","Pedir o producir")))</f>
        <v/>
      </c>
      <c r="K39" s="17" t="n"/>
      <c r="L39" s="17" t="n"/>
      <c r="M39" s="21">
        <f>IF(OR($A39="",$A39&lt;&gt;'Lista para pedir'!$C$3,N($I39)&lt;=0),"",COUNTIFS($A$2:$A39,$A39,$I$2:$I39,"&gt;0"))</f>
        <v/>
      </c>
    </row>
    <row r="40">
      <c r="A40" s="20" t="n"/>
      <c r="B40" s="21">
        <f>IF($A40="","",CHOOSE(WEEKDAY($A40,2),"Lunes","Martes","Miércoles","Jueves","Viernes","Sábado","Domingo"))</f>
        <v/>
      </c>
      <c r="C40" s="17" t="n"/>
      <c r="D40" s="21">
        <f>IF($C40="","",IFERROR(INDEX(Insumos!$B$2:$B$151,MATCH($C40,Insumos!$A$2:$A$151,0)),"Código no cargado"))</f>
        <v/>
      </c>
      <c r="E40" s="21">
        <f>IF($C40="","",IFERROR(INDEX(Insumos!$C$2:$C$151,MATCH($C40,Insumos!$A$2:$A$151,0)),""))</f>
        <v/>
      </c>
      <c r="F40" s="21">
        <f>IF($C40="","",IFERROR(INDEX(Insumos!$D$2:$D$151,MATCH($C40,Insumos!$A$2:$A$151,0)),""))</f>
        <v/>
      </c>
      <c r="G40" s="18" t="n"/>
      <c r="H40" s="19">
        <f>IF(OR($A40="",$C40=""),"",IFERROR(INDEX(Insumos!$M$2:$S$151,MATCH($C40,Insumos!$A$2:$A$151,0),WEEKDAY($A40,2)),""))</f>
        <v/>
      </c>
      <c r="I40" s="19">
        <f>IF(OR($G40="",$H40=""),"",MAX(0,$H40-$G40))</f>
        <v/>
      </c>
      <c r="J40" s="21">
        <f>IF($I40="","",IF($I40=0,"OK",IF($G40&lt;=0,"Sin stock: pedir ya","Pedir o producir")))</f>
        <v/>
      </c>
      <c r="K40" s="17" t="n"/>
      <c r="L40" s="17" t="n"/>
      <c r="M40" s="21">
        <f>IF(OR($A40="",$A40&lt;&gt;'Lista para pedir'!$C$3,N($I40)&lt;=0),"",COUNTIFS($A$2:$A40,$A40,$I$2:$I40,"&gt;0"))</f>
        <v/>
      </c>
    </row>
    <row r="41">
      <c r="A41" s="20" t="n"/>
      <c r="B41" s="21">
        <f>IF($A41="","",CHOOSE(WEEKDAY($A41,2),"Lunes","Martes","Miércoles","Jueves","Viernes","Sábado","Domingo"))</f>
        <v/>
      </c>
      <c r="C41" s="17" t="n"/>
      <c r="D41" s="21">
        <f>IF($C41="","",IFERROR(INDEX(Insumos!$B$2:$B$151,MATCH($C41,Insumos!$A$2:$A$151,0)),"Código no cargado"))</f>
        <v/>
      </c>
      <c r="E41" s="21">
        <f>IF($C41="","",IFERROR(INDEX(Insumos!$C$2:$C$151,MATCH($C41,Insumos!$A$2:$A$151,0)),""))</f>
        <v/>
      </c>
      <c r="F41" s="21">
        <f>IF($C41="","",IFERROR(INDEX(Insumos!$D$2:$D$151,MATCH($C41,Insumos!$A$2:$A$151,0)),""))</f>
        <v/>
      </c>
      <c r="G41" s="18" t="n"/>
      <c r="H41" s="19">
        <f>IF(OR($A41="",$C41=""),"",IFERROR(INDEX(Insumos!$M$2:$S$151,MATCH($C41,Insumos!$A$2:$A$151,0),WEEKDAY($A41,2)),""))</f>
        <v/>
      </c>
      <c r="I41" s="19">
        <f>IF(OR($G41="",$H41=""),"",MAX(0,$H41-$G41))</f>
        <v/>
      </c>
      <c r="J41" s="21">
        <f>IF($I41="","",IF($I41=0,"OK",IF($G41&lt;=0,"Sin stock: pedir ya","Pedir o producir")))</f>
        <v/>
      </c>
      <c r="K41" s="17" t="n"/>
      <c r="L41" s="17" t="n"/>
      <c r="M41" s="21">
        <f>IF(OR($A41="",$A41&lt;&gt;'Lista para pedir'!$C$3,N($I41)&lt;=0),"",COUNTIFS($A$2:$A41,$A41,$I$2:$I41,"&gt;0"))</f>
        <v/>
      </c>
    </row>
    <row r="42">
      <c r="A42" s="20" t="n"/>
      <c r="B42" s="21">
        <f>IF($A42="","",CHOOSE(WEEKDAY($A42,2),"Lunes","Martes","Miércoles","Jueves","Viernes","Sábado","Domingo"))</f>
        <v/>
      </c>
      <c r="C42" s="17" t="n"/>
      <c r="D42" s="21">
        <f>IF($C42="","",IFERROR(INDEX(Insumos!$B$2:$B$151,MATCH($C42,Insumos!$A$2:$A$151,0)),"Código no cargado"))</f>
        <v/>
      </c>
      <c r="E42" s="21">
        <f>IF($C42="","",IFERROR(INDEX(Insumos!$C$2:$C$151,MATCH($C42,Insumos!$A$2:$A$151,0)),""))</f>
        <v/>
      </c>
      <c r="F42" s="21">
        <f>IF($C42="","",IFERROR(INDEX(Insumos!$D$2:$D$151,MATCH($C42,Insumos!$A$2:$A$151,0)),""))</f>
        <v/>
      </c>
      <c r="G42" s="18" t="n"/>
      <c r="H42" s="19">
        <f>IF(OR($A42="",$C42=""),"",IFERROR(INDEX(Insumos!$M$2:$S$151,MATCH($C42,Insumos!$A$2:$A$151,0),WEEKDAY($A42,2)),""))</f>
        <v/>
      </c>
      <c r="I42" s="19">
        <f>IF(OR($G42="",$H42=""),"",MAX(0,$H42-$G42))</f>
        <v/>
      </c>
      <c r="J42" s="21">
        <f>IF($I42="","",IF($I42=0,"OK",IF($G42&lt;=0,"Sin stock: pedir ya","Pedir o producir")))</f>
        <v/>
      </c>
      <c r="K42" s="17" t="n"/>
      <c r="L42" s="17" t="n"/>
      <c r="M42" s="21">
        <f>IF(OR($A42="",$A42&lt;&gt;'Lista para pedir'!$C$3,N($I42)&lt;=0),"",COUNTIFS($A$2:$A42,$A42,$I$2:$I42,"&gt;0"))</f>
        <v/>
      </c>
    </row>
    <row r="43">
      <c r="A43" s="20" t="n"/>
      <c r="B43" s="21">
        <f>IF($A43="","",CHOOSE(WEEKDAY($A43,2),"Lunes","Martes","Miércoles","Jueves","Viernes","Sábado","Domingo"))</f>
        <v/>
      </c>
      <c r="C43" s="17" t="n"/>
      <c r="D43" s="21">
        <f>IF($C43="","",IFERROR(INDEX(Insumos!$B$2:$B$151,MATCH($C43,Insumos!$A$2:$A$151,0)),"Código no cargado"))</f>
        <v/>
      </c>
      <c r="E43" s="21">
        <f>IF($C43="","",IFERROR(INDEX(Insumos!$C$2:$C$151,MATCH($C43,Insumos!$A$2:$A$151,0)),""))</f>
        <v/>
      </c>
      <c r="F43" s="21">
        <f>IF($C43="","",IFERROR(INDEX(Insumos!$D$2:$D$151,MATCH($C43,Insumos!$A$2:$A$151,0)),""))</f>
        <v/>
      </c>
      <c r="G43" s="18" t="n"/>
      <c r="H43" s="19">
        <f>IF(OR($A43="",$C43=""),"",IFERROR(INDEX(Insumos!$M$2:$S$151,MATCH($C43,Insumos!$A$2:$A$151,0),WEEKDAY($A43,2)),""))</f>
        <v/>
      </c>
      <c r="I43" s="19">
        <f>IF(OR($G43="",$H43=""),"",MAX(0,$H43-$G43))</f>
        <v/>
      </c>
      <c r="J43" s="21">
        <f>IF($I43="","",IF($I43=0,"OK",IF($G43&lt;=0,"Sin stock: pedir ya","Pedir o producir")))</f>
        <v/>
      </c>
      <c r="K43" s="17" t="n"/>
      <c r="L43" s="17" t="n"/>
      <c r="M43" s="21">
        <f>IF(OR($A43="",$A43&lt;&gt;'Lista para pedir'!$C$3,N($I43)&lt;=0),"",COUNTIFS($A$2:$A43,$A43,$I$2:$I43,"&gt;0"))</f>
        <v/>
      </c>
    </row>
    <row r="44">
      <c r="A44" s="20" t="n"/>
      <c r="B44" s="21">
        <f>IF($A44="","",CHOOSE(WEEKDAY($A44,2),"Lunes","Martes","Miércoles","Jueves","Viernes","Sábado","Domingo"))</f>
        <v/>
      </c>
      <c r="C44" s="17" t="n"/>
      <c r="D44" s="21">
        <f>IF($C44="","",IFERROR(INDEX(Insumos!$B$2:$B$151,MATCH($C44,Insumos!$A$2:$A$151,0)),"Código no cargado"))</f>
        <v/>
      </c>
      <c r="E44" s="21">
        <f>IF($C44="","",IFERROR(INDEX(Insumos!$C$2:$C$151,MATCH($C44,Insumos!$A$2:$A$151,0)),""))</f>
        <v/>
      </c>
      <c r="F44" s="21">
        <f>IF($C44="","",IFERROR(INDEX(Insumos!$D$2:$D$151,MATCH($C44,Insumos!$A$2:$A$151,0)),""))</f>
        <v/>
      </c>
      <c r="G44" s="18" t="n"/>
      <c r="H44" s="19">
        <f>IF(OR($A44="",$C44=""),"",IFERROR(INDEX(Insumos!$M$2:$S$151,MATCH($C44,Insumos!$A$2:$A$151,0),WEEKDAY($A44,2)),""))</f>
        <v/>
      </c>
      <c r="I44" s="19">
        <f>IF(OR($G44="",$H44=""),"",MAX(0,$H44-$G44))</f>
        <v/>
      </c>
      <c r="J44" s="21">
        <f>IF($I44="","",IF($I44=0,"OK",IF($G44&lt;=0,"Sin stock: pedir ya","Pedir o producir")))</f>
        <v/>
      </c>
      <c r="K44" s="17" t="n"/>
      <c r="L44" s="17" t="n"/>
      <c r="M44" s="21">
        <f>IF(OR($A44="",$A44&lt;&gt;'Lista para pedir'!$C$3,N($I44)&lt;=0),"",COUNTIFS($A$2:$A44,$A44,$I$2:$I44,"&gt;0"))</f>
        <v/>
      </c>
    </row>
    <row r="45">
      <c r="A45" s="20" t="n"/>
      <c r="B45" s="21">
        <f>IF($A45="","",CHOOSE(WEEKDAY($A45,2),"Lunes","Martes","Miércoles","Jueves","Viernes","Sábado","Domingo"))</f>
        <v/>
      </c>
      <c r="C45" s="17" t="n"/>
      <c r="D45" s="21">
        <f>IF($C45="","",IFERROR(INDEX(Insumos!$B$2:$B$151,MATCH($C45,Insumos!$A$2:$A$151,0)),"Código no cargado"))</f>
        <v/>
      </c>
      <c r="E45" s="21">
        <f>IF($C45="","",IFERROR(INDEX(Insumos!$C$2:$C$151,MATCH($C45,Insumos!$A$2:$A$151,0)),""))</f>
        <v/>
      </c>
      <c r="F45" s="21">
        <f>IF($C45="","",IFERROR(INDEX(Insumos!$D$2:$D$151,MATCH($C45,Insumos!$A$2:$A$151,0)),""))</f>
        <v/>
      </c>
      <c r="G45" s="18" t="n"/>
      <c r="H45" s="19">
        <f>IF(OR($A45="",$C45=""),"",IFERROR(INDEX(Insumos!$M$2:$S$151,MATCH($C45,Insumos!$A$2:$A$151,0),WEEKDAY($A45,2)),""))</f>
        <v/>
      </c>
      <c r="I45" s="19">
        <f>IF(OR($G45="",$H45=""),"",MAX(0,$H45-$G45))</f>
        <v/>
      </c>
      <c r="J45" s="21">
        <f>IF($I45="","",IF($I45=0,"OK",IF($G45&lt;=0,"Sin stock: pedir ya","Pedir o producir")))</f>
        <v/>
      </c>
      <c r="K45" s="17" t="n"/>
      <c r="L45" s="17" t="n"/>
      <c r="M45" s="21">
        <f>IF(OR($A45="",$A45&lt;&gt;'Lista para pedir'!$C$3,N($I45)&lt;=0),"",COUNTIFS($A$2:$A45,$A45,$I$2:$I45,"&gt;0"))</f>
        <v/>
      </c>
    </row>
    <row r="46">
      <c r="A46" s="20" t="n"/>
      <c r="B46" s="21">
        <f>IF($A46="","",CHOOSE(WEEKDAY($A46,2),"Lunes","Martes","Miércoles","Jueves","Viernes","Sábado","Domingo"))</f>
        <v/>
      </c>
      <c r="C46" s="17" t="n"/>
      <c r="D46" s="21">
        <f>IF($C46="","",IFERROR(INDEX(Insumos!$B$2:$B$151,MATCH($C46,Insumos!$A$2:$A$151,0)),"Código no cargado"))</f>
        <v/>
      </c>
      <c r="E46" s="21">
        <f>IF($C46="","",IFERROR(INDEX(Insumos!$C$2:$C$151,MATCH($C46,Insumos!$A$2:$A$151,0)),""))</f>
        <v/>
      </c>
      <c r="F46" s="21">
        <f>IF($C46="","",IFERROR(INDEX(Insumos!$D$2:$D$151,MATCH($C46,Insumos!$A$2:$A$151,0)),""))</f>
        <v/>
      </c>
      <c r="G46" s="18" t="n"/>
      <c r="H46" s="19">
        <f>IF(OR($A46="",$C46=""),"",IFERROR(INDEX(Insumos!$M$2:$S$151,MATCH($C46,Insumos!$A$2:$A$151,0),WEEKDAY($A46,2)),""))</f>
        <v/>
      </c>
      <c r="I46" s="19">
        <f>IF(OR($G46="",$H46=""),"",MAX(0,$H46-$G46))</f>
        <v/>
      </c>
      <c r="J46" s="21">
        <f>IF($I46="","",IF($I46=0,"OK",IF($G46&lt;=0,"Sin stock: pedir ya","Pedir o producir")))</f>
        <v/>
      </c>
      <c r="K46" s="17" t="n"/>
      <c r="L46" s="17" t="n"/>
      <c r="M46" s="21">
        <f>IF(OR($A46="",$A46&lt;&gt;'Lista para pedir'!$C$3,N($I46)&lt;=0),"",COUNTIFS($A$2:$A46,$A46,$I$2:$I46,"&gt;0"))</f>
        <v/>
      </c>
    </row>
    <row r="47">
      <c r="A47" s="20" t="n"/>
      <c r="B47" s="21">
        <f>IF($A47="","",CHOOSE(WEEKDAY($A47,2),"Lunes","Martes","Miércoles","Jueves","Viernes","Sábado","Domingo"))</f>
        <v/>
      </c>
      <c r="C47" s="17" t="n"/>
      <c r="D47" s="21">
        <f>IF($C47="","",IFERROR(INDEX(Insumos!$B$2:$B$151,MATCH($C47,Insumos!$A$2:$A$151,0)),"Código no cargado"))</f>
        <v/>
      </c>
      <c r="E47" s="21">
        <f>IF($C47="","",IFERROR(INDEX(Insumos!$C$2:$C$151,MATCH($C47,Insumos!$A$2:$A$151,0)),""))</f>
        <v/>
      </c>
      <c r="F47" s="21">
        <f>IF($C47="","",IFERROR(INDEX(Insumos!$D$2:$D$151,MATCH($C47,Insumos!$A$2:$A$151,0)),""))</f>
        <v/>
      </c>
      <c r="G47" s="18" t="n"/>
      <c r="H47" s="19">
        <f>IF(OR($A47="",$C47=""),"",IFERROR(INDEX(Insumos!$M$2:$S$151,MATCH($C47,Insumos!$A$2:$A$151,0),WEEKDAY($A47,2)),""))</f>
        <v/>
      </c>
      <c r="I47" s="19">
        <f>IF(OR($G47="",$H47=""),"",MAX(0,$H47-$G47))</f>
        <v/>
      </c>
      <c r="J47" s="21">
        <f>IF($I47="","",IF($I47=0,"OK",IF($G47&lt;=0,"Sin stock: pedir ya","Pedir o producir")))</f>
        <v/>
      </c>
      <c r="K47" s="17" t="n"/>
      <c r="L47" s="17" t="n"/>
      <c r="M47" s="21">
        <f>IF(OR($A47="",$A47&lt;&gt;'Lista para pedir'!$C$3,N($I47)&lt;=0),"",COUNTIFS($A$2:$A47,$A47,$I$2:$I47,"&gt;0"))</f>
        <v/>
      </c>
    </row>
    <row r="48">
      <c r="A48" s="20" t="n"/>
      <c r="B48" s="21">
        <f>IF($A48="","",CHOOSE(WEEKDAY($A48,2),"Lunes","Martes","Miércoles","Jueves","Viernes","Sábado","Domingo"))</f>
        <v/>
      </c>
      <c r="C48" s="17" t="n"/>
      <c r="D48" s="21">
        <f>IF($C48="","",IFERROR(INDEX(Insumos!$B$2:$B$151,MATCH($C48,Insumos!$A$2:$A$151,0)),"Código no cargado"))</f>
        <v/>
      </c>
      <c r="E48" s="21">
        <f>IF($C48="","",IFERROR(INDEX(Insumos!$C$2:$C$151,MATCH($C48,Insumos!$A$2:$A$151,0)),""))</f>
        <v/>
      </c>
      <c r="F48" s="21">
        <f>IF($C48="","",IFERROR(INDEX(Insumos!$D$2:$D$151,MATCH($C48,Insumos!$A$2:$A$151,0)),""))</f>
        <v/>
      </c>
      <c r="G48" s="18" t="n"/>
      <c r="H48" s="19">
        <f>IF(OR($A48="",$C48=""),"",IFERROR(INDEX(Insumos!$M$2:$S$151,MATCH($C48,Insumos!$A$2:$A$151,0),WEEKDAY($A48,2)),""))</f>
        <v/>
      </c>
      <c r="I48" s="19">
        <f>IF(OR($G48="",$H48=""),"",MAX(0,$H48-$G48))</f>
        <v/>
      </c>
      <c r="J48" s="21">
        <f>IF($I48="","",IF($I48=0,"OK",IF($G48&lt;=0,"Sin stock: pedir ya","Pedir o producir")))</f>
        <v/>
      </c>
      <c r="K48" s="17" t="n"/>
      <c r="L48" s="17" t="n"/>
      <c r="M48" s="21">
        <f>IF(OR($A48="",$A48&lt;&gt;'Lista para pedir'!$C$3,N($I48)&lt;=0),"",COUNTIFS($A$2:$A48,$A48,$I$2:$I48,"&gt;0"))</f>
        <v/>
      </c>
    </row>
    <row r="49">
      <c r="A49" s="20" t="n"/>
      <c r="B49" s="21">
        <f>IF($A49="","",CHOOSE(WEEKDAY($A49,2),"Lunes","Martes","Miércoles","Jueves","Viernes","Sábado","Domingo"))</f>
        <v/>
      </c>
      <c r="C49" s="17" t="n"/>
      <c r="D49" s="21">
        <f>IF($C49="","",IFERROR(INDEX(Insumos!$B$2:$B$151,MATCH($C49,Insumos!$A$2:$A$151,0)),"Código no cargado"))</f>
        <v/>
      </c>
      <c r="E49" s="21">
        <f>IF($C49="","",IFERROR(INDEX(Insumos!$C$2:$C$151,MATCH($C49,Insumos!$A$2:$A$151,0)),""))</f>
        <v/>
      </c>
      <c r="F49" s="21">
        <f>IF($C49="","",IFERROR(INDEX(Insumos!$D$2:$D$151,MATCH($C49,Insumos!$A$2:$A$151,0)),""))</f>
        <v/>
      </c>
      <c r="G49" s="18" t="n"/>
      <c r="H49" s="19">
        <f>IF(OR($A49="",$C49=""),"",IFERROR(INDEX(Insumos!$M$2:$S$151,MATCH($C49,Insumos!$A$2:$A$151,0),WEEKDAY($A49,2)),""))</f>
        <v/>
      </c>
      <c r="I49" s="19">
        <f>IF(OR($G49="",$H49=""),"",MAX(0,$H49-$G49))</f>
        <v/>
      </c>
      <c r="J49" s="21">
        <f>IF($I49="","",IF($I49=0,"OK",IF($G49&lt;=0,"Sin stock: pedir ya","Pedir o producir")))</f>
        <v/>
      </c>
      <c r="K49" s="17" t="n"/>
      <c r="L49" s="17" t="n"/>
      <c r="M49" s="21">
        <f>IF(OR($A49="",$A49&lt;&gt;'Lista para pedir'!$C$3,N($I49)&lt;=0),"",COUNTIFS($A$2:$A49,$A49,$I$2:$I49,"&gt;0"))</f>
        <v/>
      </c>
    </row>
    <row r="50">
      <c r="A50" s="20" t="n"/>
      <c r="B50" s="21">
        <f>IF($A50="","",CHOOSE(WEEKDAY($A50,2),"Lunes","Martes","Miércoles","Jueves","Viernes","Sábado","Domingo"))</f>
        <v/>
      </c>
      <c r="C50" s="17" t="n"/>
      <c r="D50" s="21">
        <f>IF($C50="","",IFERROR(INDEX(Insumos!$B$2:$B$151,MATCH($C50,Insumos!$A$2:$A$151,0)),"Código no cargado"))</f>
        <v/>
      </c>
      <c r="E50" s="21">
        <f>IF($C50="","",IFERROR(INDEX(Insumos!$C$2:$C$151,MATCH($C50,Insumos!$A$2:$A$151,0)),""))</f>
        <v/>
      </c>
      <c r="F50" s="21">
        <f>IF($C50="","",IFERROR(INDEX(Insumos!$D$2:$D$151,MATCH($C50,Insumos!$A$2:$A$151,0)),""))</f>
        <v/>
      </c>
      <c r="G50" s="18" t="n"/>
      <c r="H50" s="19">
        <f>IF(OR($A50="",$C50=""),"",IFERROR(INDEX(Insumos!$M$2:$S$151,MATCH($C50,Insumos!$A$2:$A$151,0),WEEKDAY($A50,2)),""))</f>
        <v/>
      </c>
      <c r="I50" s="19">
        <f>IF(OR($G50="",$H50=""),"",MAX(0,$H50-$G50))</f>
        <v/>
      </c>
      <c r="J50" s="21">
        <f>IF($I50="","",IF($I50=0,"OK",IF($G50&lt;=0,"Sin stock: pedir ya","Pedir o producir")))</f>
        <v/>
      </c>
      <c r="K50" s="17" t="n"/>
      <c r="L50" s="17" t="n"/>
      <c r="M50" s="21">
        <f>IF(OR($A50="",$A50&lt;&gt;'Lista para pedir'!$C$3,N($I50)&lt;=0),"",COUNTIFS($A$2:$A50,$A50,$I$2:$I50,"&gt;0"))</f>
        <v/>
      </c>
    </row>
    <row r="51">
      <c r="A51" s="20" t="n"/>
      <c r="B51" s="21">
        <f>IF($A51="","",CHOOSE(WEEKDAY($A51,2),"Lunes","Martes","Miércoles","Jueves","Viernes","Sábado","Domingo"))</f>
        <v/>
      </c>
      <c r="C51" s="17" t="n"/>
      <c r="D51" s="21">
        <f>IF($C51="","",IFERROR(INDEX(Insumos!$B$2:$B$151,MATCH($C51,Insumos!$A$2:$A$151,0)),"Código no cargado"))</f>
        <v/>
      </c>
      <c r="E51" s="21">
        <f>IF($C51="","",IFERROR(INDEX(Insumos!$C$2:$C$151,MATCH($C51,Insumos!$A$2:$A$151,0)),""))</f>
        <v/>
      </c>
      <c r="F51" s="21">
        <f>IF($C51="","",IFERROR(INDEX(Insumos!$D$2:$D$151,MATCH($C51,Insumos!$A$2:$A$151,0)),""))</f>
        <v/>
      </c>
      <c r="G51" s="18" t="n"/>
      <c r="H51" s="19">
        <f>IF(OR($A51="",$C51=""),"",IFERROR(INDEX(Insumos!$M$2:$S$151,MATCH($C51,Insumos!$A$2:$A$151,0),WEEKDAY($A51,2)),""))</f>
        <v/>
      </c>
      <c r="I51" s="19">
        <f>IF(OR($G51="",$H51=""),"",MAX(0,$H51-$G51))</f>
        <v/>
      </c>
      <c r="J51" s="21">
        <f>IF($I51="","",IF($I51=0,"OK",IF($G51&lt;=0,"Sin stock: pedir ya","Pedir o producir")))</f>
        <v/>
      </c>
      <c r="K51" s="17" t="n"/>
      <c r="L51" s="17" t="n"/>
      <c r="M51" s="21">
        <f>IF(OR($A51="",$A51&lt;&gt;'Lista para pedir'!$C$3,N($I51)&lt;=0),"",COUNTIFS($A$2:$A51,$A51,$I$2:$I51,"&gt;0"))</f>
        <v/>
      </c>
    </row>
    <row r="52">
      <c r="A52" s="20" t="n"/>
      <c r="B52" s="21">
        <f>IF($A52="","",CHOOSE(WEEKDAY($A52,2),"Lunes","Martes","Miércoles","Jueves","Viernes","Sábado","Domingo"))</f>
        <v/>
      </c>
      <c r="C52" s="17" t="n"/>
      <c r="D52" s="21">
        <f>IF($C52="","",IFERROR(INDEX(Insumos!$B$2:$B$151,MATCH($C52,Insumos!$A$2:$A$151,0)),"Código no cargado"))</f>
        <v/>
      </c>
      <c r="E52" s="21">
        <f>IF($C52="","",IFERROR(INDEX(Insumos!$C$2:$C$151,MATCH($C52,Insumos!$A$2:$A$151,0)),""))</f>
        <v/>
      </c>
      <c r="F52" s="21">
        <f>IF($C52="","",IFERROR(INDEX(Insumos!$D$2:$D$151,MATCH($C52,Insumos!$A$2:$A$151,0)),""))</f>
        <v/>
      </c>
      <c r="G52" s="18" t="n"/>
      <c r="H52" s="19">
        <f>IF(OR($A52="",$C52=""),"",IFERROR(INDEX(Insumos!$M$2:$S$151,MATCH($C52,Insumos!$A$2:$A$151,0),WEEKDAY($A52,2)),""))</f>
        <v/>
      </c>
      <c r="I52" s="19">
        <f>IF(OR($G52="",$H52=""),"",MAX(0,$H52-$G52))</f>
        <v/>
      </c>
      <c r="J52" s="21">
        <f>IF($I52="","",IF($I52=0,"OK",IF($G52&lt;=0,"Sin stock: pedir ya","Pedir o producir")))</f>
        <v/>
      </c>
      <c r="K52" s="17" t="n"/>
      <c r="L52" s="17" t="n"/>
      <c r="M52" s="21">
        <f>IF(OR($A52="",$A52&lt;&gt;'Lista para pedir'!$C$3,N($I52)&lt;=0),"",COUNTIFS($A$2:$A52,$A52,$I$2:$I52,"&gt;0"))</f>
        <v/>
      </c>
    </row>
    <row r="53">
      <c r="A53" s="20" t="n"/>
      <c r="B53" s="21">
        <f>IF($A53="","",CHOOSE(WEEKDAY($A53,2),"Lunes","Martes","Miércoles","Jueves","Viernes","Sábado","Domingo"))</f>
        <v/>
      </c>
      <c r="C53" s="17" t="n"/>
      <c r="D53" s="21">
        <f>IF($C53="","",IFERROR(INDEX(Insumos!$B$2:$B$151,MATCH($C53,Insumos!$A$2:$A$151,0)),"Código no cargado"))</f>
        <v/>
      </c>
      <c r="E53" s="21">
        <f>IF($C53="","",IFERROR(INDEX(Insumos!$C$2:$C$151,MATCH($C53,Insumos!$A$2:$A$151,0)),""))</f>
        <v/>
      </c>
      <c r="F53" s="21">
        <f>IF($C53="","",IFERROR(INDEX(Insumos!$D$2:$D$151,MATCH($C53,Insumos!$A$2:$A$151,0)),""))</f>
        <v/>
      </c>
      <c r="G53" s="18" t="n"/>
      <c r="H53" s="19">
        <f>IF(OR($A53="",$C53=""),"",IFERROR(INDEX(Insumos!$M$2:$S$151,MATCH($C53,Insumos!$A$2:$A$151,0),WEEKDAY($A53,2)),""))</f>
        <v/>
      </c>
      <c r="I53" s="19">
        <f>IF(OR($G53="",$H53=""),"",MAX(0,$H53-$G53))</f>
        <v/>
      </c>
      <c r="J53" s="21">
        <f>IF($I53="","",IF($I53=0,"OK",IF($G53&lt;=0,"Sin stock: pedir ya","Pedir o producir")))</f>
        <v/>
      </c>
      <c r="K53" s="17" t="n"/>
      <c r="L53" s="17" t="n"/>
      <c r="M53" s="21">
        <f>IF(OR($A53="",$A53&lt;&gt;'Lista para pedir'!$C$3,N($I53)&lt;=0),"",COUNTIFS($A$2:$A53,$A53,$I$2:$I53,"&gt;0"))</f>
        <v/>
      </c>
    </row>
    <row r="54">
      <c r="A54" s="20" t="n"/>
      <c r="B54" s="21">
        <f>IF($A54="","",CHOOSE(WEEKDAY($A54,2),"Lunes","Martes","Miércoles","Jueves","Viernes","Sábado","Domingo"))</f>
        <v/>
      </c>
      <c r="C54" s="17" t="n"/>
      <c r="D54" s="21">
        <f>IF($C54="","",IFERROR(INDEX(Insumos!$B$2:$B$151,MATCH($C54,Insumos!$A$2:$A$151,0)),"Código no cargado"))</f>
        <v/>
      </c>
      <c r="E54" s="21">
        <f>IF($C54="","",IFERROR(INDEX(Insumos!$C$2:$C$151,MATCH($C54,Insumos!$A$2:$A$151,0)),""))</f>
        <v/>
      </c>
      <c r="F54" s="21">
        <f>IF($C54="","",IFERROR(INDEX(Insumos!$D$2:$D$151,MATCH($C54,Insumos!$A$2:$A$151,0)),""))</f>
        <v/>
      </c>
      <c r="G54" s="18" t="n"/>
      <c r="H54" s="19">
        <f>IF(OR($A54="",$C54=""),"",IFERROR(INDEX(Insumos!$M$2:$S$151,MATCH($C54,Insumos!$A$2:$A$151,0),WEEKDAY($A54,2)),""))</f>
        <v/>
      </c>
      <c r="I54" s="19">
        <f>IF(OR($G54="",$H54=""),"",MAX(0,$H54-$G54))</f>
        <v/>
      </c>
      <c r="J54" s="21">
        <f>IF($I54="","",IF($I54=0,"OK",IF($G54&lt;=0,"Sin stock: pedir ya","Pedir o producir")))</f>
        <v/>
      </c>
      <c r="K54" s="17" t="n"/>
      <c r="L54" s="17" t="n"/>
      <c r="M54" s="21">
        <f>IF(OR($A54="",$A54&lt;&gt;'Lista para pedir'!$C$3,N($I54)&lt;=0),"",COUNTIFS($A$2:$A54,$A54,$I$2:$I54,"&gt;0"))</f>
        <v/>
      </c>
    </row>
    <row r="55">
      <c r="A55" s="20" t="n"/>
      <c r="B55" s="21">
        <f>IF($A55="","",CHOOSE(WEEKDAY($A55,2),"Lunes","Martes","Miércoles","Jueves","Viernes","Sábado","Domingo"))</f>
        <v/>
      </c>
      <c r="C55" s="17" t="n"/>
      <c r="D55" s="21">
        <f>IF($C55="","",IFERROR(INDEX(Insumos!$B$2:$B$151,MATCH($C55,Insumos!$A$2:$A$151,0)),"Código no cargado"))</f>
        <v/>
      </c>
      <c r="E55" s="21">
        <f>IF($C55="","",IFERROR(INDEX(Insumos!$C$2:$C$151,MATCH($C55,Insumos!$A$2:$A$151,0)),""))</f>
        <v/>
      </c>
      <c r="F55" s="21">
        <f>IF($C55="","",IFERROR(INDEX(Insumos!$D$2:$D$151,MATCH($C55,Insumos!$A$2:$A$151,0)),""))</f>
        <v/>
      </c>
      <c r="G55" s="18" t="n"/>
      <c r="H55" s="19">
        <f>IF(OR($A55="",$C55=""),"",IFERROR(INDEX(Insumos!$M$2:$S$151,MATCH($C55,Insumos!$A$2:$A$151,0),WEEKDAY($A55,2)),""))</f>
        <v/>
      </c>
      <c r="I55" s="19">
        <f>IF(OR($G55="",$H55=""),"",MAX(0,$H55-$G55))</f>
        <v/>
      </c>
      <c r="J55" s="21">
        <f>IF($I55="","",IF($I55=0,"OK",IF($G55&lt;=0,"Sin stock: pedir ya","Pedir o producir")))</f>
        <v/>
      </c>
      <c r="K55" s="17" t="n"/>
      <c r="L55" s="17" t="n"/>
      <c r="M55" s="21">
        <f>IF(OR($A55="",$A55&lt;&gt;'Lista para pedir'!$C$3,N($I55)&lt;=0),"",COUNTIFS($A$2:$A55,$A55,$I$2:$I55,"&gt;0"))</f>
        <v/>
      </c>
    </row>
    <row r="56">
      <c r="A56" s="20" t="n"/>
      <c r="B56" s="21">
        <f>IF($A56="","",CHOOSE(WEEKDAY($A56,2),"Lunes","Martes","Miércoles","Jueves","Viernes","Sábado","Domingo"))</f>
        <v/>
      </c>
      <c r="C56" s="17" t="n"/>
      <c r="D56" s="21">
        <f>IF($C56="","",IFERROR(INDEX(Insumos!$B$2:$B$151,MATCH($C56,Insumos!$A$2:$A$151,0)),"Código no cargado"))</f>
        <v/>
      </c>
      <c r="E56" s="21">
        <f>IF($C56="","",IFERROR(INDEX(Insumos!$C$2:$C$151,MATCH($C56,Insumos!$A$2:$A$151,0)),""))</f>
        <v/>
      </c>
      <c r="F56" s="21">
        <f>IF($C56="","",IFERROR(INDEX(Insumos!$D$2:$D$151,MATCH($C56,Insumos!$A$2:$A$151,0)),""))</f>
        <v/>
      </c>
      <c r="G56" s="18" t="n"/>
      <c r="H56" s="19">
        <f>IF(OR($A56="",$C56=""),"",IFERROR(INDEX(Insumos!$M$2:$S$151,MATCH($C56,Insumos!$A$2:$A$151,0),WEEKDAY($A56,2)),""))</f>
        <v/>
      </c>
      <c r="I56" s="19">
        <f>IF(OR($G56="",$H56=""),"",MAX(0,$H56-$G56))</f>
        <v/>
      </c>
      <c r="J56" s="21">
        <f>IF($I56="","",IF($I56=0,"OK",IF($G56&lt;=0,"Sin stock: pedir ya","Pedir o producir")))</f>
        <v/>
      </c>
      <c r="K56" s="17" t="n"/>
      <c r="L56" s="17" t="n"/>
      <c r="M56" s="21">
        <f>IF(OR($A56="",$A56&lt;&gt;'Lista para pedir'!$C$3,N($I56)&lt;=0),"",COUNTIFS($A$2:$A56,$A56,$I$2:$I56,"&gt;0"))</f>
        <v/>
      </c>
    </row>
    <row r="57">
      <c r="A57" s="20" t="n"/>
      <c r="B57" s="21">
        <f>IF($A57="","",CHOOSE(WEEKDAY($A57,2),"Lunes","Martes","Miércoles","Jueves","Viernes","Sábado","Domingo"))</f>
        <v/>
      </c>
      <c r="C57" s="17" t="n"/>
      <c r="D57" s="21">
        <f>IF($C57="","",IFERROR(INDEX(Insumos!$B$2:$B$151,MATCH($C57,Insumos!$A$2:$A$151,0)),"Código no cargado"))</f>
        <v/>
      </c>
      <c r="E57" s="21">
        <f>IF($C57="","",IFERROR(INDEX(Insumos!$C$2:$C$151,MATCH($C57,Insumos!$A$2:$A$151,0)),""))</f>
        <v/>
      </c>
      <c r="F57" s="21">
        <f>IF($C57="","",IFERROR(INDEX(Insumos!$D$2:$D$151,MATCH($C57,Insumos!$A$2:$A$151,0)),""))</f>
        <v/>
      </c>
      <c r="G57" s="18" t="n"/>
      <c r="H57" s="19">
        <f>IF(OR($A57="",$C57=""),"",IFERROR(INDEX(Insumos!$M$2:$S$151,MATCH($C57,Insumos!$A$2:$A$151,0),WEEKDAY($A57,2)),""))</f>
        <v/>
      </c>
      <c r="I57" s="19">
        <f>IF(OR($G57="",$H57=""),"",MAX(0,$H57-$G57))</f>
        <v/>
      </c>
      <c r="J57" s="21">
        <f>IF($I57="","",IF($I57=0,"OK",IF($G57&lt;=0,"Sin stock: pedir ya","Pedir o producir")))</f>
        <v/>
      </c>
      <c r="K57" s="17" t="n"/>
      <c r="L57" s="17" t="n"/>
      <c r="M57" s="21">
        <f>IF(OR($A57="",$A57&lt;&gt;'Lista para pedir'!$C$3,N($I57)&lt;=0),"",COUNTIFS($A$2:$A57,$A57,$I$2:$I57,"&gt;0"))</f>
        <v/>
      </c>
    </row>
    <row r="58">
      <c r="A58" s="20" t="n"/>
      <c r="B58" s="21">
        <f>IF($A58="","",CHOOSE(WEEKDAY($A58,2),"Lunes","Martes","Miércoles","Jueves","Viernes","Sábado","Domingo"))</f>
        <v/>
      </c>
      <c r="C58" s="17" t="n"/>
      <c r="D58" s="21">
        <f>IF($C58="","",IFERROR(INDEX(Insumos!$B$2:$B$151,MATCH($C58,Insumos!$A$2:$A$151,0)),"Código no cargado"))</f>
        <v/>
      </c>
      <c r="E58" s="21">
        <f>IF($C58="","",IFERROR(INDEX(Insumos!$C$2:$C$151,MATCH($C58,Insumos!$A$2:$A$151,0)),""))</f>
        <v/>
      </c>
      <c r="F58" s="21">
        <f>IF($C58="","",IFERROR(INDEX(Insumos!$D$2:$D$151,MATCH($C58,Insumos!$A$2:$A$151,0)),""))</f>
        <v/>
      </c>
      <c r="G58" s="18" t="n"/>
      <c r="H58" s="19">
        <f>IF(OR($A58="",$C58=""),"",IFERROR(INDEX(Insumos!$M$2:$S$151,MATCH($C58,Insumos!$A$2:$A$151,0),WEEKDAY($A58,2)),""))</f>
        <v/>
      </c>
      <c r="I58" s="19">
        <f>IF(OR($G58="",$H58=""),"",MAX(0,$H58-$G58))</f>
        <v/>
      </c>
      <c r="J58" s="21">
        <f>IF($I58="","",IF($I58=0,"OK",IF($G58&lt;=0,"Sin stock: pedir ya","Pedir o producir")))</f>
        <v/>
      </c>
      <c r="K58" s="17" t="n"/>
      <c r="L58" s="17" t="n"/>
      <c r="M58" s="21">
        <f>IF(OR($A58="",$A58&lt;&gt;'Lista para pedir'!$C$3,N($I58)&lt;=0),"",COUNTIFS($A$2:$A58,$A58,$I$2:$I58,"&gt;0"))</f>
        <v/>
      </c>
    </row>
    <row r="59">
      <c r="A59" s="20" t="n"/>
      <c r="B59" s="21">
        <f>IF($A59="","",CHOOSE(WEEKDAY($A59,2),"Lunes","Martes","Miércoles","Jueves","Viernes","Sábado","Domingo"))</f>
        <v/>
      </c>
      <c r="C59" s="17" t="n"/>
      <c r="D59" s="21">
        <f>IF($C59="","",IFERROR(INDEX(Insumos!$B$2:$B$151,MATCH($C59,Insumos!$A$2:$A$151,0)),"Código no cargado"))</f>
        <v/>
      </c>
      <c r="E59" s="21">
        <f>IF($C59="","",IFERROR(INDEX(Insumos!$C$2:$C$151,MATCH($C59,Insumos!$A$2:$A$151,0)),""))</f>
        <v/>
      </c>
      <c r="F59" s="21">
        <f>IF($C59="","",IFERROR(INDEX(Insumos!$D$2:$D$151,MATCH($C59,Insumos!$A$2:$A$151,0)),""))</f>
        <v/>
      </c>
      <c r="G59" s="18" t="n"/>
      <c r="H59" s="19">
        <f>IF(OR($A59="",$C59=""),"",IFERROR(INDEX(Insumos!$M$2:$S$151,MATCH($C59,Insumos!$A$2:$A$151,0),WEEKDAY($A59,2)),""))</f>
        <v/>
      </c>
      <c r="I59" s="19">
        <f>IF(OR($G59="",$H59=""),"",MAX(0,$H59-$G59))</f>
        <v/>
      </c>
      <c r="J59" s="21">
        <f>IF($I59="","",IF($I59=0,"OK",IF($G59&lt;=0,"Sin stock: pedir ya","Pedir o producir")))</f>
        <v/>
      </c>
      <c r="K59" s="17" t="n"/>
      <c r="L59" s="17" t="n"/>
      <c r="M59" s="21">
        <f>IF(OR($A59="",$A59&lt;&gt;'Lista para pedir'!$C$3,N($I59)&lt;=0),"",COUNTIFS($A$2:$A59,$A59,$I$2:$I59,"&gt;0"))</f>
        <v/>
      </c>
    </row>
    <row r="60">
      <c r="A60" s="20" t="n"/>
      <c r="B60" s="21">
        <f>IF($A60="","",CHOOSE(WEEKDAY($A60,2),"Lunes","Martes","Miércoles","Jueves","Viernes","Sábado","Domingo"))</f>
        <v/>
      </c>
      <c r="C60" s="17" t="n"/>
      <c r="D60" s="21">
        <f>IF($C60="","",IFERROR(INDEX(Insumos!$B$2:$B$151,MATCH($C60,Insumos!$A$2:$A$151,0)),"Código no cargado"))</f>
        <v/>
      </c>
      <c r="E60" s="21">
        <f>IF($C60="","",IFERROR(INDEX(Insumos!$C$2:$C$151,MATCH($C60,Insumos!$A$2:$A$151,0)),""))</f>
        <v/>
      </c>
      <c r="F60" s="21">
        <f>IF($C60="","",IFERROR(INDEX(Insumos!$D$2:$D$151,MATCH($C60,Insumos!$A$2:$A$151,0)),""))</f>
        <v/>
      </c>
      <c r="G60" s="18" t="n"/>
      <c r="H60" s="19">
        <f>IF(OR($A60="",$C60=""),"",IFERROR(INDEX(Insumos!$M$2:$S$151,MATCH($C60,Insumos!$A$2:$A$151,0),WEEKDAY($A60,2)),""))</f>
        <v/>
      </c>
      <c r="I60" s="19">
        <f>IF(OR($G60="",$H60=""),"",MAX(0,$H60-$G60))</f>
        <v/>
      </c>
      <c r="J60" s="21">
        <f>IF($I60="","",IF($I60=0,"OK",IF($G60&lt;=0,"Sin stock: pedir ya","Pedir o producir")))</f>
        <v/>
      </c>
      <c r="K60" s="17" t="n"/>
      <c r="L60" s="17" t="n"/>
      <c r="M60" s="21">
        <f>IF(OR($A60="",$A60&lt;&gt;'Lista para pedir'!$C$3,N($I60)&lt;=0),"",COUNTIFS($A$2:$A60,$A60,$I$2:$I60,"&gt;0"))</f>
        <v/>
      </c>
    </row>
    <row r="61">
      <c r="A61" s="20" t="n"/>
      <c r="B61" s="21">
        <f>IF($A61="","",CHOOSE(WEEKDAY($A61,2),"Lunes","Martes","Miércoles","Jueves","Viernes","Sábado","Domingo"))</f>
        <v/>
      </c>
      <c r="C61" s="17" t="n"/>
      <c r="D61" s="21">
        <f>IF($C61="","",IFERROR(INDEX(Insumos!$B$2:$B$151,MATCH($C61,Insumos!$A$2:$A$151,0)),"Código no cargado"))</f>
        <v/>
      </c>
      <c r="E61" s="21">
        <f>IF($C61="","",IFERROR(INDEX(Insumos!$C$2:$C$151,MATCH($C61,Insumos!$A$2:$A$151,0)),""))</f>
        <v/>
      </c>
      <c r="F61" s="21">
        <f>IF($C61="","",IFERROR(INDEX(Insumos!$D$2:$D$151,MATCH($C61,Insumos!$A$2:$A$151,0)),""))</f>
        <v/>
      </c>
      <c r="G61" s="18" t="n"/>
      <c r="H61" s="19">
        <f>IF(OR($A61="",$C61=""),"",IFERROR(INDEX(Insumos!$M$2:$S$151,MATCH($C61,Insumos!$A$2:$A$151,0),WEEKDAY($A61,2)),""))</f>
        <v/>
      </c>
      <c r="I61" s="19">
        <f>IF(OR($G61="",$H61=""),"",MAX(0,$H61-$G61))</f>
        <v/>
      </c>
      <c r="J61" s="21">
        <f>IF($I61="","",IF($I61=0,"OK",IF($G61&lt;=0,"Sin stock: pedir ya","Pedir o producir")))</f>
        <v/>
      </c>
      <c r="K61" s="17" t="n"/>
      <c r="L61" s="17" t="n"/>
      <c r="M61" s="21">
        <f>IF(OR($A61="",$A61&lt;&gt;'Lista para pedir'!$C$3,N($I61)&lt;=0),"",COUNTIFS($A$2:$A61,$A61,$I$2:$I61,"&gt;0"))</f>
        <v/>
      </c>
    </row>
    <row r="62">
      <c r="A62" s="20" t="n"/>
      <c r="B62" s="21">
        <f>IF($A62="","",CHOOSE(WEEKDAY($A62,2),"Lunes","Martes","Miércoles","Jueves","Viernes","Sábado","Domingo"))</f>
        <v/>
      </c>
      <c r="C62" s="17" t="n"/>
      <c r="D62" s="21">
        <f>IF($C62="","",IFERROR(INDEX(Insumos!$B$2:$B$151,MATCH($C62,Insumos!$A$2:$A$151,0)),"Código no cargado"))</f>
        <v/>
      </c>
      <c r="E62" s="21">
        <f>IF($C62="","",IFERROR(INDEX(Insumos!$C$2:$C$151,MATCH($C62,Insumos!$A$2:$A$151,0)),""))</f>
        <v/>
      </c>
      <c r="F62" s="21">
        <f>IF($C62="","",IFERROR(INDEX(Insumos!$D$2:$D$151,MATCH($C62,Insumos!$A$2:$A$151,0)),""))</f>
        <v/>
      </c>
      <c r="G62" s="18" t="n"/>
      <c r="H62" s="19">
        <f>IF(OR($A62="",$C62=""),"",IFERROR(INDEX(Insumos!$M$2:$S$151,MATCH($C62,Insumos!$A$2:$A$151,0),WEEKDAY($A62,2)),""))</f>
        <v/>
      </c>
      <c r="I62" s="19">
        <f>IF(OR($G62="",$H62=""),"",MAX(0,$H62-$G62))</f>
        <v/>
      </c>
      <c r="J62" s="21">
        <f>IF($I62="","",IF($I62=0,"OK",IF($G62&lt;=0,"Sin stock: pedir ya","Pedir o producir")))</f>
        <v/>
      </c>
      <c r="K62" s="17" t="n"/>
      <c r="L62" s="17" t="n"/>
      <c r="M62" s="21">
        <f>IF(OR($A62="",$A62&lt;&gt;'Lista para pedir'!$C$3,N($I62)&lt;=0),"",COUNTIFS($A$2:$A62,$A62,$I$2:$I62,"&gt;0"))</f>
        <v/>
      </c>
    </row>
    <row r="63">
      <c r="A63" s="20" t="n"/>
      <c r="B63" s="21">
        <f>IF($A63="","",CHOOSE(WEEKDAY($A63,2),"Lunes","Martes","Miércoles","Jueves","Viernes","Sábado","Domingo"))</f>
        <v/>
      </c>
      <c r="C63" s="17" t="n"/>
      <c r="D63" s="21">
        <f>IF($C63="","",IFERROR(INDEX(Insumos!$B$2:$B$151,MATCH($C63,Insumos!$A$2:$A$151,0)),"Código no cargado"))</f>
        <v/>
      </c>
      <c r="E63" s="21">
        <f>IF($C63="","",IFERROR(INDEX(Insumos!$C$2:$C$151,MATCH($C63,Insumos!$A$2:$A$151,0)),""))</f>
        <v/>
      </c>
      <c r="F63" s="21">
        <f>IF($C63="","",IFERROR(INDEX(Insumos!$D$2:$D$151,MATCH($C63,Insumos!$A$2:$A$151,0)),""))</f>
        <v/>
      </c>
      <c r="G63" s="18" t="n"/>
      <c r="H63" s="19">
        <f>IF(OR($A63="",$C63=""),"",IFERROR(INDEX(Insumos!$M$2:$S$151,MATCH($C63,Insumos!$A$2:$A$151,0),WEEKDAY($A63,2)),""))</f>
        <v/>
      </c>
      <c r="I63" s="19">
        <f>IF(OR($G63="",$H63=""),"",MAX(0,$H63-$G63))</f>
        <v/>
      </c>
      <c r="J63" s="21">
        <f>IF($I63="","",IF($I63=0,"OK",IF($G63&lt;=0,"Sin stock: pedir ya","Pedir o producir")))</f>
        <v/>
      </c>
      <c r="K63" s="17" t="n"/>
      <c r="L63" s="17" t="n"/>
      <c r="M63" s="21">
        <f>IF(OR($A63="",$A63&lt;&gt;'Lista para pedir'!$C$3,N($I63)&lt;=0),"",COUNTIFS($A$2:$A63,$A63,$I$2:$I63,"&gt;0"))</f>
        <v/>
      </c>
    </row>
    <row r="64">
      <c r="A64" s="20" t="n"/>
      <c r="B64" s="21">
        <f>IF($A64="","",CHOOSE(WEEKDAY($A64,2),"Lunes","Martes","Miércoles","Jueves","Viernes","Sábado","Domingo"))</f>
        <v/>
      </c>
      <c r="C64" s="17" t="n"/>
      <c r="D64" s="21">
        <f>IF($C64="","",IFERROR(INDEX(Insumos!$B$2:$B$151,MATCH($C64,Insumos!$A$2:$A$151,0)),"Código no cargado"))</f>
        <v/>
      </c>
      <c r="E64" s="21">
        <f>IF($C64="","",IFERROR(INDEX(Insumos!$C$2:$C$151,MATCH($C64,Insumos!$A$2:$A$151,0)),""))</f>
        <v/>
      </c>
      <c r="F64" s="21">
        <f>IF($C64="","",IFERROR(INDEX(Insumos!$D$2:$D$151,MATCH($C64,Insumos!$A$2:$A$151,0)),""))</f>
        <v/>
      </c>
      <c r="G64" s="18" t="n"/>
      <c r="H64" s="19">
        <f>IF(OR($A64="",$C64=""),"",IFERROR(INDEX(Insumos!$M$2:$S$151,MATCH($C64,Insumos!$A$2:$A$151,0),WEEKDAY($A64,2)),""))</f>
        <v/>
      </c>
      <c r="I64" s="19">
        <f>IF(OR($G64="",$H64=""),"",MAX(0,$H64-$G64))</f>
        <v/>
      </c>
      <c r="J64" s="21">
        <f>IF($I64="","",IF($I64=0,"OK",IF($G64&lt;=0,"Sin stock: pedir ya","Pedir o producir")))</f>
        <v/>
      </c>
      <c r="K64" s="17" t="n"/>
      <c r="L64" s="17" t="n"/>
      <c r="M64" s="21">
        <f>IF(OR($A64="",$A64&lt;&gt;'Lista para pedir'!$C$3,N($I64)&lt;=0),"",COUNTIFS($A$2:$A64,$A64,$I$2:$I64,"&gt;0"))</f>
        <v/>
      </c>
    </row>
    <row r="65">
      <c r="A65" s="20" t="n"/>
      <c r="B65" s="21">
        <f>IF($A65="","",CHOOSE(WEEKDAY($A65,2),"Lunes","Martes","Miércoles","Jueves","Viernes","Sábado","Domingo"))</f>
        <v/>
      </c>
      <c r="C65" s="17" t="n"/>
      <c r="D65" s="21">
        <f>IF($C65="","",IFERROR(INDEX(Insumos!$B$2:$B$151,MATCH($C65,Insumos!$A$2:$A$151,0)),"Código no cargado"))</f>
        <v/>
      </c>
      <c r="E65" s="21">
        <f>IF($C65="","",IFERROR(INDEX(Insumos!$C$2:$C$151,MATCH($C65,Insumos!$A$2:$A$151,0)),""))</f>
        <v/>
      </c>
      <c r="F65" s="21">
        <f>IF($C65="","",IFERROR(INDEX(Insumos!$D$2:$D$151,MATCH($C65,Insumos!$A$2:$A$151,0)),""))</f>
        <v/>
      </c>
      <c r="G65" s="18" t="n"/>
      <c r="H65" s="19">
        <f>IF(OR($A65="",$C65=""),"",IFERROR(INDEX(Insumos!$M$2:$S$151,MATCH($C65,Insumos!$A$2:$A$151,0),WEEKDAY($A65,2)),""))</f>
        <v/>
      </c>
      <c r="I65" s="19">
        <f>IF(OR($G65="",$H65=""),"",MAX(0,$H65-$G65))</f>
        <v/>
      </c>
      <c r="J65" s="21">
        <f>IF($I65="","",IF($I65=0,"OK",IF($G65&lt;=0,"Sin stock: pedir ya","Pedir o producir")))</f>
        <v/>
      </c>
      <c r="K65" s="17" t="n"/>
      <c r="L65" s="17" t="n"/>
      <c r="M65" s="21">
        <f>IF(OR($A65="",$A65&lt;&gt;'Lista para pedir'!$C$3,N($I65)&lt;=0),"",COUNTIFS($A$2:$A65,$A65,$I$2:$I65,"&gt;0"))</f>
        <v/>
      </c>
    </row>
    <row r="66">
      <c r="A66" s="20" t="n"/>
      <c r="B66" s="21">
        <f>IF($A66="","",CHOOSE(WEEKDAY($A66,2),"Lunes","Martes","Miércoles","Jueves","Viernes","Sábado","Domingo"))</f>
        <v/>
      </c>
      <c r="C66" s="17" t="n"/>
      <c r="D66" s="21">
        <f>IF($C66="","",IFERROR(INDEX(Insumos!$B$2:$B$151,MATCH($C66,Insumos!$A$2:$A$151,0)),"Código no cargado"))</f>
        <v/>
      </c>
      <c r="E66" s="21">
        <f>IF($C66="","",IFERROR(INDEX(Insumos!$C$2:$C$151,MATCH($C66,Insumos!$A$2:$A$151,0)),""))</f>
        <v/>
      </c>
      <c r="F66" s="21">
        <f>IF($C66="","",IFERROR(INDEX(Insumos!$D$2:$D$151,MATCH($C66,Insumos!$A$2:$A$151,0)),""))</f>
        <v/>
      </c>
      <c r="G66" s="18" t="n"/>
      <c r="H66" s="19">
        <f>IF(OR($A66="",$C66=""),"",IFERROR(INDEX(Insumos!$M$2:$S$151,MATCH($C66,Insumos!$A$2:$A$151,0),WEEKDAY($A66,2)),""))</f>
        <v/>
      </c>
      <c r="I66" s="19">
        <f>IF(OR($G66="",$H66=""),"",MAX(0,$H66-$G66))</f>
        <v/>
      </c>
      <c r="J66" s="21">
        <f>IF($I66="","",IF($I66=0,"OK",IF($G66&lt;=0,"Sin stock: pedir ya","Pedir o producir")))</f>
        <v/>
      </c>
      <c r="K66" s="17" t="n"/>
      <c r="L66" s="17" t="n"/>
      <c r="M66" s="21">
        <f>IF(OR($A66="",$A66&lt;&gt;'Lista para pedir'!$C$3,N($I66)&lt;=0),"",COUNTIFS($A$2:$A66,$A66,$I$2:$I66,"&gt;0"))</f>
        <v/>
      </c>
    </row>
    <row r="67">
      <c r="A67" s="20" t="n"/>
      <c r="B67" s="21">
        <f>IF($A67="","",CHOOSE(WEEKDAY($A67,2),"Lunes","Martes","Miércoles","Jueves","Viernes","Sábado","Domingo"))</f>
        <v/>
      </c>
      <c r="C67" s="17" t="n"/>
      <c r="D67" s="21">
        <f>IF($C67="","",IFERROR(INDEX(Insumos!$B$2:$B$151,MATCH($C67,Insumos!$A$2:$A$151,0)),"Código no cargado"))</f>
        <v/>
      </c>
      <c r="E67" s="21">
        <f>IF($C67="","",IFERROR(INDEX(Insumos!$C$2:$C$151,MATCH($C67,Insumos!$A$2:$A$151,0)),""))</f>
        <v/>
      </c>
      <c r="F67" s="21">
        <f>IF($C67="","",IFERROR(INDEX(Insumos!$D$2:$D$151,MATCH($C67,Insumos!$A$2:$A$151,0)),""))</f>
        <v/>
      </c>
      <c r="G67" s="18" t="n"/>
      <c r="H67" s="19">
        <f>IF(OR($A67="",$C67=""),"",IFERROR(INDEX(Insumos!$M$2:$S$151,MATCH($C67,Insumos!$A$2:$A$151,0),WEEKDAY($A67,2)),""))</f>
        <v/>
      </c>
      <c r="I67" s="19">
        <f>IF(OR($G67="",$H67=""),"",MAX(0,$H67-$G67))</f>
        <v/>
      </c>
      <c r="J67" s="21">
        <f>IF($I67="","",IF($I67=0,"OK",IF($G67&lt;=0,"Sin stock: pedir ya","Pedir o producir")))</f>
        <v/>
      </c>
      <c r="K67" s="17" t="n"/>
      <c r="L67" s="17" t="n"/>
      <c r="M67" s="21">
        <f>IF(OR($A67="",$A67&lt;&gt;'Lista para pedir'!$C$3,N($I67)&lt;=0),"",COUNTIFS($A$2:$A67,$A67,$I$2:$I67,"&gt;0"))</f>
        <v/>
      </c>
    </row>
    <row r="68">
      <c r="A68" s="20" t="n"/>
      <c r="B68" s="21">
        <f>IF($A68="","",CHOOSE(WEEKDAY($A68,2),"Lunes","Martes","Miércoles","Jueves","Viernes","Sábado","Domingo"))</f>
        <v/>
      </c>
      <c r="C68" s="17" t="n"/>
      <c r="D68" s="21">
        <f>IF($C68="","",IFERROR(INDEX(Insumos!$B$2:$B$151,MATCH($C68,Insumos!$A$2:$A$151,0)),"Código no cargado"))</f>
        <v/>
      </c>
      <c r="E68" s="21">
        <f>IF($C68="","",IFERROR(INDEX(Insumos!$C$2:$C$151,MATCH($C68,Insumos!$A$2:$A$151,0)),""))</f>
        <v/>
      </c>
      <c r="F68" s="21">
        <f>IF($C68="","",IFERROR(INDEX(Insumos!$D$2:$D$151,MATCH($C68,Insumos!$A$2:$A$151,0)),""))</f>
        <v/>
      </c>
      <c r="G68" s="18" t="n"/>
      <c r="H68" s="19">
        <f>IF(OR($A68="",$C68=""),"",IFERROR(INDEX(Insumos!$M$2:$S$151,MATCH($C68,Insumos!$A$2:$A$151,0),WEEKDAY($A68,2)),""))</f>
        <v/>
      </c>
      <c r="I68" s="19">
        <f>IF(OR($G68="",$H68=""),"",MAX(0,$H68-$G68))</f>
        <v/>
      </c>
      <c r="J68" s="21">
        <f>IF($I68="","",IF($I68=0,"OK",IF($G68&lt;=0,"Sin stock: pedir ya","Pedir o producir")))</f>
        <v/>
      </c>
      <c r="K68" s="17" t="n"/>
      <c r="L68" s="17" t="n"/>
      <c r="M68" s="21">
        <f>IF(OR($A68="",$A68&lt;&gt;'Lista para pedir'!$C$3,N($I68)&lt;=0),"",COUNTIFS($A$2:$A68,$A68,$I$2:$I68,"&gt;0"))</f>
        <v/>
      </c>
    </row>
    <row r="69">
      <c r="A69" s="20" t="n"/>
      <c r="B69" s="21">
        <f>IF($A69="","",CHOOSE(WEEKDAY($A69,2),"Lunes","Martes","Miércoles","Jueves","Viernes","Sábado","Domingo"))</f>
        <v/>
      </c>
      <c r="C69" s="17" t="n"/>
      <c r="D69" s="21">
        <f>IF($C69="","",IFERROR(INDEX(Insumos!$B$2:$B$151,MATCH($C69,Insumos!$A$2:$A$151,0)),"Código no cargado"))</f>
        <v/>
      </c>
      <c r="E69" s="21">
        <f>IF($C69="","",IFERROR(INDEX(Insumos!$C$2:$C$151,MATCH($C69,Insumos!$A$2:$A$151,0)),""))</f>
        <v/>
      </c>
      <c r="F69" s="21">
        <f>IF($C69="","",IFERROR(INDEX(Insumos!$D$2:$D$151,MATCH($C69,Insumos!$A$2:$A$151,0)),""))</f>
        <v/>
      </c>
      <c r="G69" s="18" t="n"/>
      <c r="H69" s="19">
        <f>IF(OR($A69="",$C69=""),"",IFERROR(INDEX(Insumos!$M$2:$S$151,MATCH($C69,Insumos!$A$2:$A$151,0),WEEKDAY($A69,2)),""))</f>
        <v/>
      </c>
      <c r="I69" s="19">
        <f>IF(OR($G69="",$H69=""),"",MAX(0,$H69-$G69))</f>
        <v/>
      </c>
      <c r="J69" s="21">
        <f>IF($I69="","",IF($I69=0,"OK",IF($G69&lt;=0,"Sin stock: pedir ya","Pedir o producir")))</f>
        <v/>
      </c>
      <c r="K69" s="17" t="n"/>
      <c r="L69" s="17" t="n"/>
      <c r="M69" s="21">
        <f>IF(OR($A69="",$A69&lt;&gt;'Lista para pedir'!$C$3,N($I69)&lt;=0),"",COUNTIFS($A$2:$A69,$A69,$I$2:$I69,"&gt;0"))</f>
        <v/>
      </c>
    </row>
    <row r="70">
      <c r="A70" s="20" t="n"/>
      <c r="B70" s="21">
        <f>IF($A70="","",CHOOSE(WEEKDAY($A70,2),"Lunes","Martes","Miércoles","Jueves","Viernes","Sábado","Domingo"))</f>
        <v/>
      </c>
      <c r="C70" s="17" t="n"/>
      <c r="D70" s="21">
        <f>IF($C70="","",IFERROR(INDEX(Insumos!$B$2:$B$151,MATCH($C70,Insumos!$A$2:$A$151,0)),"Código no cargado"))</f>
        <v/>
      </c>
      <c r="E70" s="21">
        <f>IF($C70="","",IFERROR(INDEX(Insumos!$C$2:$C$151,MATCH($C70,Insumos!$A$2:$A$151,0)),""))</f>
        <v/>
      </c>
      <c r="F70" s="21">
        <f>IF($C70="","",IFERROR(INDEX(Insumos!$D$2:$D$151,MATCH($C70,Insumos!$A$2:$A$151,0)),""))</f>
        <v/>
      </c>
      <c r="G70" s="18" t="n"/>
      <c r="H70" s="19">
        <f>IF(OR($A70="",$C70=""),"",IFERROR(INDEX(Insumos!$M$2:$S$151,MATCH($C70,Insumos!$A$2:$A$151,0),WEEKDAY($A70,2)),""))</f>
        <v/>
      </c>
      <c r="I70" s="19">
        <f>IF(OR($G70="",$H70=""),"",MAX(0,$H70-$G70))</f>
        <v/>
      </c>
      <c r="J70" s="21">
        <f>IF($I70="","",IF($I70=0,"OK",IF($G70&lt;=0,"Sin stock: pedir ya","Pedir o producir")))</f>
        <v/>
      </c>
      <c r="K70" s="17" t="n"/>
      <c r="L70" s="17" t="n"/>
      <c r="M70" s="21">
        <f>IF(OR($A70="",$A70&lt;&gt;'Lista para pedir'!$C$3,N($I70)&lt;=0),"",COUNTIFS($A$2:$A70,$A70,$I$2:$I70,"&gt;0"))</f>
        <v/>
      </c>
    </row>
    <row r="71">
      <c r="A71" s="20" t="n"/>
      <c r="B71" s="21">
        <f>IF($A71="","",CHOOSE(WEEKDAY($A71,2),"Lunes","Martes","Miércoles","Jueves","Viernes","Sábado","Domingo"))</f>
        <v/>
      </c>
      <c r="C71" s="17" t="n"/>
      <c r="D71" s="21">
        <f>IF($C71="","",IFERROR(INDEX(Insumos!$B$2:$B$151,MATCH($C71,Insumos!$A$2:$A$151,0)),"Código no cargado"))</f>
        <v/>
      </c>
      <c r="E71" s="21">
        <f>IF($C71="","",IFERROR(INDEX(Insumos!$C$2:$C$151,MATCH($C71,Insumos!$A$2:$A$151,0)),""))</f>
        <v/>
      </c>
      <c r="F71" s="21">
        <f>IF($C71="","",IFERROR(INDEX(Insumos!$D$2:$D$151,MATCH($C71,Insumos!$A$2:$A$151,0)),""))</f>
        <v/>
      </c>
      <c r="G71" s="18" t="n"/>
      <c r="H71" s="19">
        <f>IF(OR($A71="",$C71=""),"",IFERROR(INDEX(Insumos!$M$2:$S$151,MATCH($C71,Insumos!$A$2:$A$151,0),WEEKDAY($A71,2)),""))</f>
        <v/>
      </c>
      <c r="I71" s="19">
        <f>IF(OR($G71="",$H71=""),"",MAX(0,$H71-$G71))</f>
        <v/>
      </c>
      <c r="J71" s="21">
        <f>IF($I71="","",IF($I71=0,"OK",IF($G71&lt;=0,"Sin stock: pedir ya","Pedir o producir")))</f>
        <v/>
      </c>
      <c r="K71" s="17" t="n"/>
      <c r="L71" s="17" t="n"/>
      <c r="M71" s="21">
        <f>IF(OR($A71="",$A71&lt;&gt;'Lista para pedir'!$C$3,N($I71)&lt;=0),"",COUNTIFS($A$2:$A71,$A71,$I$2:$I71,"&gt;0"))</f>
        <v/>
      </c>
    </row>
    <row r="72">
      <c r="A72" s="20" t="n"/>
      <c r="B72" s="21">
        <f>IF($A72="","",CHOOSE(WEEKDAY($A72,2),"Lunes","Martes","Miércoles","Jueves","Viernes","Sábado","Domingo"))</f>
        <v/>
      </c>
      <c r="C72" s="17" t="n"/>
      <c r="D72" s="21">
        <f>IF($C72="","",IFERROR(INDEX(Insumos!$B$2:$B$151,MATCH($C72,Insumos!$A$2:$A$151,0)),"Código no cargado"))</f>
        <v/>
      </c>
      <c r="E72" s="21">
        <f>IF($C72="","",IFERROR(INDEX(Insumos!$C$2:$C$151,MATCH($C72,Insumos!$A$2:$A$151,0)),""))</f>
        <v/>
      </c>
      <c r="F72" s="21">
        <f>IF($C72="","",IFERROR(INDEX(Insumos!$D$2:$D$151,MATCH($C72,Insumos!$A$2:$A$151,0)),""))</f>
        <v/>
      </c>
      <c r="G72" s="18" t="n"/>
      <c r="H72" s="19">
        <f>IF(OR($A72="",$C72=""),"",IFERROR(INDEX(Insumos!$M$2:$S$151,MATCH($C72,Insumos!$A$2:$A$151,0),WEEKDAY($A72,2)),""))</f>
        <v/>
      </c>
      <c r="I72" s="19">
        <f>IF(OR($G72="",$H72=""),"",MAX(0,$H72-$G72))</f>
        <v/>
      </c>
      <c r="J72" s="21">
        <f>IF($I72="","",IF($I72=0,"OK",IF($G72&lt;=0,"Sin stock: pedir ya","Pedir o producir")))</f>
        <v/>
      </c>
      <c r="K72" s="17" t="n"/>
      <c r="L72" s="17" t="n"/>
      <c r="M72" s="21">
        <f>IF(OR($A72="",$A72&lt;&gt;'Lista para pedir'!$C$3,N($I72)&lt;=0),"",COUNTIFS($A$2:$A72,$A72,$I$2:$I72,"&gt;0"))</f>
        <v/>
      </c>
    </row>
    <row r="73">
      <c r="A73" s="20" t="n"/>
      <c r="B73" s="21">
        <f>IF($A73="","",CHOOSE(WEEKDAY($A73,2),"Lunes","Martes","Miércoles","Jueves","Viernes","Sábado","Domingo"))</f>
        <v/>
      </c>
      <c r="C73" s="17" t="n"/>
      <c r="D73" s="21">
        <f>IF($C73="","",IFERROR(INDEX(Insumos!$B$2:$B$151,MATCH($C73,Insumos!$A$2:$A$151,0)),"Código no cargado"))</f>
        <v/>
      </c>
      <c r="E73" s="21">
        <f>IF($C73="","",IFERROR(INDEX(Insumos!$C$2:$C$151,MATCH($C73,Insumos!$A$2:$A$151,0)),""))</f>
        <v/>
      </c>
      <c r="F73" s="21">
        <f>IF($C73="","",IFERROR(INDEX(Insumos!$D$2:$D$151,MATCH($C73,Insumos!$A$2:$A$151,0)),""))</f>
        <v/>
      </c>
      <c r="G73" s="18" t="n"/>
      <c r="H73" s="19">
        <f>IF(OR($A73="",$C73=""),"",IFERROR(INDEX(Insumos!$M$2:$S$151,MATCH($C73,Insumos!$A$2:$A$151,0),WEEKDAY($A73,2)),""))</f>
        <v/>
      </c>
      <c r="I73" s="19">
        <f>IF(OR($G73="",$H73=""),"",MAX(0,$H73-$G73))</f>
        <v/>
      </c>
      <c r="J73" s="21">
        <f>IF($I73="","",IF($I73=0,"OK",IF($G73&lt;=0,"Sin stock: pedir ya","Pedir o producir")))</f>
        <v/>
      </c>
      <c r="K73" s="17" t="n"/>
      <c r="L73" s="17" t="n"/>
      <c r="M73" s="21">
        <f>IF(OR($A73="",$A73&lt;&gt;'Lista para pedir'!$C$3,N($I73)&lt;=0),"",COUNTIFS($A$2:$A73,$A73,$I$2:$I73,"&gt;0"))</f>
        <v/>
      </c>
    </row>
    <row r="74">
      <c r="A74" s="20" t="n"/>
      <c r="B74" s="21">
        <f>IF($A74="","",CHOOSE(WEEKDAY($A74,2),"Lunes","Martes","Miércoles","Jueves","Viernes","Sábado","Domingo"))</f>
        <v/>
      </c>
      <c r="C74" s="17" t="n"/>
      <c r="D74" s="21">
        <f>IF($C74="","",IFERROR(INDEX(Insumos!$B$2:$B$151,MATCH($C74,Insumos!$A$2:$A$151,0)),"Código no cargado"))</f>
        <v/>
      </c>
      <c r="E74" s="21">
        <f>IF($C74="","",IFERROR(INDEX(Insumos!$C$2:$C$151,MATCH($C74,Insumos!$A$2:$A$151,0)),""))</f>
        <v/>
      </c>
      <c r="F74" s="21">
        <f>IF($C74="","",IFERROR(INDEX(Insumos!$D$2:$D$151,MATCH($C74,Insumos!$A$2:$A$151,0)),""))</f>
        <v/>
      </c>
      <c r="G74" s="18" t="n"/>
      <c r="H74" s="19">
        <f>IF(OR($A74="",$C74=""),"",IFERROR(INDEX(Insumos!$M$2:$S$151,MATCH($C74,Insumos!$A$2:$A$151,0),WEEKDAY($A74,2)),""))</f>
        <v/>
      </c>
      <c r="I74" s="19">
        <f>IF(OR($G74="",$H74=""),"",MAX(0,$H74-$G74))</f>
        <v/>
      </c>
      <c r="J74" s="21">
        <f>IF($I74="","",IF($I74=0,"OK",IF($G74&lt;=0,"Sin stock: pedir ya","Pedir o producir")))</f>
        <v/>
      </c>
      <c r="K74" s="17" t="n"/>
      <c r="L74" s="17" t="n"/>
      <c r="M74" s="21">
        <f>IF(OR($A74="",$A74&lt;&gt;'Lista para pedir'!$C$3,N($I74)&lt;=0),"",COUNTIFS($A$2:$A74,$A74,$I$2:$I74,"&gt;0"))</f>
        <v/>
      </c>
    </row>
    <row r="75">
      <c r="A75" s="20" t="n"/>
      <c r="B75" s="21">
        <f>IF($A75="","",CHOOSE(WEEKDAY($A75,2),"Lunes","Martes","Miércoles","Jueves","Viernes","Sábado","Domingo"))</f>
        <v/>
      </c>
      <c r="C75" s="17" t="n"/>
      <c r="D75" s="21">
        <f>IF($C75="","",IFERROR(INDEX(Insumos!$B$2:$B$151,MATCH($C75,Insumos!$A$2:$A$151,0)),"Código no cargado"))</f>
        <v/>
      </c>
      <c r="E75" s="21">
        <f>IF($C75="","",IFERROR(INDEX(Insumos!$C$2:$C$151,MATCH($C75,Insumos!$A$2:$A$151,0)),""))</f>
        <v/>
      </c>
      <c r="F75" s="21">
        <f>IF($C75="","",IFERROR(INDEX(Insumos!$D$2:$D$151,MATCH($C75,Insumos!$A$2:$A$151,0)),""))</f>
        <v/>
      </c>
      <c r="G75" s="18" t="n"/>
      <c r="H75" s="19">
        <f>IF(OR($A75="",$C75=""),"",IFERROR(INDEX(Insumos!$M$2:$S$151,MATCH($C75,Insumos!$A$2:$A$151,0),WEEKDAY($A75,2)),""))</f>
        <v/>
      </c>
      <c r="I75" s="19">
        <f>IF(OR($G75="",$H75=""),"",MAX(0,$H75-$G75))</f>
        <v/>
      </c>
      <c r="J75" s="21">
        <f>IF($I75="","",IF($I75=0,"OK",IF($G75&lt;=0,"Sin stock: pedir ya","Pedir o producir")))</f>
        <v/>
      </c>
      <c r="K75" s="17" t="n"/>
      <c r="L75" s="17" t="n"/>
      <c r="M75" s="21">
        <f>IF(OR($A75="",$A75&lt;&gt;'Lista para pedir'!$C$3,N($I75)&lt;=0),"",COUNTIFS($A$2:$A75,$A75,$I$2:$I75,"&gt;0"))</f>
        <v/>
      </c>
    </row>
    <row r="76">
      <c r="A76" s="20" t="n"/>
      <c r="B76" s="21">
        <f>IF($A76="","",CHOOSE(WEEKDAY($A76,2),"Lunes","Martes","Miércoles","Jueves","Viernes","Sábado","Domingo"))</f>
        <v/>
      </c>
      <c r="C76" s="17" t="n"/>
      <c r="D76" s="21">
        <f>IF($C76="","",IFERROR(INDEX(Insumos!$B$2:$B$151,MATCH($C76,Insumos!$A$2:$A$151,0)),"Código no cargado"))</f>
        <v/>
      </c>
      <c r="E76" s="21">
        <f>IF($C76="","",IFERROR(INDEX(Insumos!$C$2:$C$151,MATCH($C76,Insumos!$A$2:$A$151,0)),""))</f>
        <v/>
      </c>
      <c r="F76" s="21">
        <f>IF($C76="","",IFERROR(INDEX(Insumos!$D$2:$D$151,MATCH($C76,Insumos!$A$2:$A$151,0)),""))</f>
        <v/>
      </c>
      <c r="G76" s="18" t="n"/>
      <c r="H76" s="19">
        <f>IF(OR($A76="",$C76=""),"",IFERROR(INDEX(Insumos!$M$2:$S$151,MATCH($C76,Insumos!$A$2:$A$151,0),WEEKDAY($A76,2)),""))</f>
        <v/>
      </c>
      <c r="I76" s="19">
        <f>IF(OR($G76="",$H76=""),"",MAX(0,$H76-$G76))</f>
        <v/>
      </c>
      <c r="J76" s="21">
        <f>IF($I76="","",IF($I76=0,"OK",IF($G76&lt;=0,"Sin stock: pedir ya","Pedir o producir")))</f>
        <v/>
      </c>
      <c r="K76" s="17" t="n"/>
      <c r="L76" s="17" t="n"/>
      <c r="M76" s="21">
        <f>IF(OR($A76="",$A76&lt;&gt;'Lista para pedir'!$C$3,N($I76)&lt;=0),"",COUNTIFS($A$2:$A76,$A76,$I$2:$I76,"&gt;0"))</f>
        <v/>
      </c>
    </row>
    <row r="77">
      <c r="A77" s="20" t="n"/>
      <c r="B77" s="21">
        <f>IF($A77="","",CHOOSE(WEEKDAY($A77,2),"Lunes","Martes","Miércoles","Jueves","Viernes","Sábado","Domingo"))</f>
        <v/>
      </c>
      <c r="C77" s="17" t="n"/>
      <c r="D77" s="21">
        <f>IF($C77="","",IFERROR(INDEX(Insumos!$B$2:$B$151,MATCH($C77,Insumos!$A$2:$A$151,0)),"Código no cargado"))</f>
        <v/>
      </c>
      <c r="E77" s="21">
        <f>IF($C77="","",IFERROR(INDEX(Insumos!$C$2:$C$151,MATCH($C77,Insumos!$A$2:$A$151,0)),""))</f>
        <v/>
      </c>
      <c r="F77" s="21">
        <f>IF($C77="","",IFERROR(INDEX(Insumos!$D$2:$D$151,MATCH($C77,Insumos!$A$2:$A$151,0)),""))</f>
        <v/>
      </c>
      <c r="G77" s="18" t="n"/>
      <c r="H77" s="19">
        <f>IF(OR($A77="",$C77=""),"",IFERROR(INDEX(Insumos!$M$2:$S$151,MATCH($C77,Insumos!$A$2:$A$151,0),WEEKDAY($A77,2)),""))</f>
        <v/>
      </c>
      <c r="I77" s="19">
        <f>IF(OR($G77="",$H77=""),"",MAX(0,$H77-$G77))</f>
        <v/>
      </c>
      <c r="J77" s="21">
        <f>IF($I77="","",IF($I77=0,"OK",IF($G77&lt;=0,"Sin stock: pedir ya","Pedir o producir")))</f>
        <v/>
      </c>
      <c r="K77" s="17" t="n"/>
      <c r="L77" s="17" t="n"/>
      <c r="M77" s="21">
        <f>IF(OR($A77="",$A77&lt;&gt;'Lista para pedir'!$C$3,N($I77)&lt;=0),"",COUNTIFS($A$2:$A77,$A77,$I$2:$I77,"&gt;0"))</f>
        <v/>
      </c>
    </row>
    <row r="78">
      <c r="A78" s="20" t="n"/>
      <c r="B78" s="21">
        <f>IF($A78="","",CHOOSE(WEEKDAY($A78,2),"Lunes","Martes","Miércoles","Jueves","Viernes","Sábado","Domingo"))</f>
        <v/>
      </c>
      <c r="C78" s="17" t="n"/>
      <c r="D78" s="21">
        <f>IF($C78="","",IFERROR(INDEX(Insumos!$B$2:$B$151,MATCH($C78,Insumos!$A$2:$A$151,0)),"Código no cargado"))</f>
        <v/>
      </c>
      <c r="E78" s="21">
        <f>IF($C78="","",IFERROR(INDEX(Insumos!$C$2:$C$151,MATCH($C78,Insumos!$A$2:$A$151,0)),""))</f>
        <v/>
      </c>
      <c r="F78" s="21">
        <f>IF($C78="","",IFERROR(INDEX(Insumos!$D$2:$D$151,MATCH($C78,Insumos!$A$2:$A$151,0)),""))</f>
        <v/>
      </c>
      <c r="G78" s="18" t="n"/>
      <c r="H78" s="19">
        <f>IF(OR($A78="",$C78=""),"",IFERROR(INDEX(Insumos!$M$2:$S$151,MATCH($C78,Insumos!$A$2:$A$151,0),WEEKDAY($A78,2)),""))</f>
        <v/>
      </c>
      <c r="I78" s="19">
        <f>IF(OR($G78="",$H78=""),"",MAX(0,$H78-$G78))</f>
        <v/>
      </c>
      <c r="J78" s="21">
        <f>IF($I78="","",IF($I78=0,"OK",IF($G78&lt;=0,"Sin stock: pedir ya","Pedir o producir")))</f>
        <v/>
      </c>
      <c r="K78" s="17" t="n"/>
      <c r="L78" s="17" t="n"/>
      <c r="M78" s="21">
        <f>IF(OR($A78="",$A78&lt;&gt;'Lista para pedir'!$C$3,N($I78)&lt;=0),"",COUNTIFS($A$2:$A78,$A78,$I$2:$I78,"&gt;0"))</f>
        <v/>
      </c>
    </row>
    <row r="79">
      <c r="A79" s="20" t="n"/>
      <c r="B79" s="21">
        <f>IF($A79="","",CHOOSE(WEEKDAY($A79,2),"Lunes","Martes","Miércoles","Jueves","Viernes","Sábado","Domingo"))</f>
        <v/>
      </c>
      <c r="C79" s="17" t="n"/>
      <c r="D79" s="21">
        <f>IF($C79="","",IFERROR(INDEX(Insumos!$B$2:$B$151,MATCH($C79,Insumos!$A$2:$A$151,0)),"Código no cargado"))</f>
        <v/>
      </c>
      <c r="E79" s="21">
        <f>IF($C79="","",IFERROR(INDEX(Insumos!$C$2:$C$151,MATCH($C79,Insumos!$A$2:$A$151,0)),""))</f>
        <v/>
      </c>
      <c r="F79" s="21">
        <f>IF($C79="","",IFERROR(INDEX(Insumos!$D$2:$D$151,MATCH($C79,Insumos!$A$2:$A$151,0)),""))</f>
        <v/>
      </c>
      <c r="G79" s="18" t="n"/>
      <c r="H79" s="19">
        <f>IF(OR($A79="",$C79=""),"",IFERROR(INDEX(Insumos!$M$2:$S$151,MATCH($C79,Insumos!$A$2:$A$151,0),WEEKDAY($A79,2)),""))</f>
        <v/>
      </c>
      <c r="I79" s="19">
        <f>IF(OR($G79="",$H79=""),"",MAX(0,$H79-$G79))</f>
        <v/>
      </c>
      <c r="J79" s="21">
        <f>IF($I79="","",IF($I79=0,"OK",IF($G79&lt;=0,"Sin stock: pedir ya","Pedir o producir")))</f>
        <v/>
      </c>
      <c r="K79" s="17" t="n"/>
      <c r="L79" s="17" t="n"/>
      <c r="M79" s="21">
        <f>IF(OR($A79="",$A79&lt;&gt;'Lista para pedir'!$C$3,N($I79)&lt;=0),"",COUNTIFS($A$2:$A79,$A79,$I$2:$I79,"&gt;0"))</f>
        <v/>
      </c>
    </row>
    <row r="80">
      <c r="A80" s="20" t="n"/>
      <c r="B80" s="21">
        <f>IF($A80="","",CHOOSE(WEEKDAY($A80,2),"Lunes","Martes","Miércoles","Jueves","Viernes","Sábado","Domingo"))</f>
        <v/>
      </c>
      <c r="C80" s="17" t="n"/>
      <c r="D80" s="21">
        <f>IF($C80="","",IFERROR(INDEX(Insumos!$B$2:$B$151,MATCH($C80,Insumos!$A$2:$A$151,0)),"Código no cargado"))</f>
        <v/>
      </c>
      <c r="E80" s="21">
        <f>IF($C80="","",IFERROR(INDEX(Insumos!$C$2:$C$151,MATCH($C80,Insumos!$A$2:$A$151,0)),""))</f>
        <v/>
      </c>
      <c r="F80" s="21">
        <f>IF($C80="","",IFERROR(INDEX(Insumos!$D$2:$D$151,MATCH($C80,Insumos!$A$2:$A$151,0)),""))</f>
        <v/>
      </c>
      <c r="G80" s="18" t="n"/>
      <c r="H80" s="19">
        <f>IF(OR($A80="",$C80=""),"",IFERROR(INDEX(Insumos!$M$2:$S$151,MATCH($C80,Insumos!$A$2:$A$151,0),WEEKDAY($A80,2)),""))</f>
        <v/>
      </c>
      <c r="I80" s="19">
        <f>IF(OR($G80="",$H80=""),"",MAX(0,$H80-$G80))</f>
        <v/>
      </c>
      <c r="J80" s="21">
        <f>IF($I80="","",IF($I80=0,"OK",IF($G80&lt;=0,"Sin stock: pedir ya","Pedir o producir")))</f>
        <v/>
      </c>
      <c r="K80" s="17" t="n"/>
      <c r="L80" s="17" t="n"/>
      <c r="M80" s="21">
        <f>IF(OR($A80="",$A80&lt;&gt;'Lista para pedir'!$C$3,N($I80)&lt;=0),"",COUNTIFS($A$2:$A80,$A80,$I$2:$I80,"&gt;0"))</f>
        <v/>
      </c>
    </row>
    <row r="81">
      <c r="A81" s="20" t="n"/>
      <c r="B81" s="21">
        <f>IF($A81="","",CHOOSE(WEEKDAY($A81,2),"Lunes","Martes","Miércoles","Jueves","Viernes","Sábado","Domingo"))</f>
        <v/>
      </c>
      <c r="C81" s="17" t="n"/>
      <c r="D81" s="21">
        <f>IF($C81="","",IFERROR(INDEX(Insumos!$B$2:$B$151,MATCH($C81,Insumos!$A$2:$A$151,0)),"Código no cargado"))</f>
        <v/>
      </c>
      <c r="E81" s="21">
        <f>IF($C81="","",IFERROR(INDEX(Insumos!$C$2:$C$151,MATCH($C81,Insumos!$A$2:$A$151,0)),""))</f>
        <v/>
      </c>
      <c r="F81" s="21">
        <f>IF($C81="","",IFERROR(INDEX(Insumos!$D$2:$D$151,MATCH($C81,Insumos!$A$2:$A$151,0)),""))</f>
        <v/>
      </c>
      <c r="G81" s="18" t="n"/>
      <c r="H81" s="19">
        <f>IF(OR($A81="",$C81=""),"",IFERROR(INDEX(Insumos!$M$2:$S$151,MATCH($C81,Insumos!$A$2:$A$151,0),WEEKDAY($A81,2)),""))</f>
        <v/>
      </c>
      <c r="I81" s="19">
        <f>IF(OR($G81="",$H81=""),"",MAX(0,$H81-$G81))</f>
        <v/>
      </c>
      <c r="J81" s="21">
        <f>IF($I81="","",IF($I81=0,"OK",IF($G81&lt;=0,"Sin stock: pedir ya","Pedir o producir")))</f>
        <v/>
      </c>
      <c r="K81" s="17" t="n"/>
      <c r="L81" s="17" t="n"/>
      <c r="M81" s="21">
        <f>IF(OR($A81="",$A81&lt;&gt;'Lista para pedir'!$C$3,N($I81)&lt;=0),"",COUNTIFS($A$2:$A81,$A81,$I$2:$I81,"&gt;0"))</f>
        <v/>
      </c>
    </row>
    <row r="82">
      <c r="A82" s="20" t="n"/>
      <c r="B82" s="21">
        <f>IF($A82="","",CHOOSE(WEEKDAY($A82,2),"Lunes","Martes","Miércoles","Jueves","Viernes","Sábado","Domingo"))</f>
        <v/>
      </c>
      <c r="C82" s="17" t="n"/>
      <c r="D82" s="21">
        <f>IF($C82="","",IFERROR(INDEX(Insumos!$B$2:$B$151,MATCH($C82,Insumos!$A$2:$A$151,0)),"Código no cargado"))</f>
        <v/>
      </c>
      <c r="E82" s="21">
        <f>IF($C82="","",IFERROR(INDEX(Insumos!$C$2:$C$151,MATCH($C82,Insumos!$A$2:$A$151,0)),""))</f>
        <v/>
      </c>
      <c r="F82" s="21">
        <f>IF($C82="","",IFERROR(INDEX(Insumos!$D$2:$D$151,MATCH($C82,Insumos!$A$2:$A$151,0)),""))</f>
        <v/>
      </c>
      <c r="G82" s="18" t="n"/>
      <c r="H82" s="19">
        <f>IF(OR($A82="",$C82=""),"",IFERROR(INDEX(Insumos!$M$2:$S$151,MATCH($C82,Insumos!$A$2:$A$151,0),WEEKDAY($A82,2)),""))</f>
        <v/>
      </c>
      <c r="I82" s="19">
        <f>IF(OR($G82="",$H82=""),"",MAX(0,$H82-$G82))</f>
        <v/>
      </c>
      <c r="J82" s="21">
        <f>IF($I82="","",IF($I82=0,"OK",IF($G82&lt;=0,"Sin stock: pedir ya","Pedir o producir")))</f>
        <v/>
      </c>
      <c r="K82" s="17" t="n"/>
      <c r="L82" s="17" t="n"/>
      <c r="M82" s="21">
        <f>IF(OR($A82="",$A82&lt;&gt;'Lista para pedir'!$C$3,N($I82)&lt;=0),"",COUNTIFS($A$2:$A82,$A82,$I$2:$I82,"&gt;0"))</f>
        <v/>
      </c>
    </row>
    <row r="83">
      <c r="A83" s="20" t="n"/>
      <c r="B83" s="21">
        <f>IF($A83="","",CHOOSE(WEEKDAY($A83,2),"Lunes","Martes","Miércoles","Jueves","Viernes","Sábado","Domingo"))</f>
        <v/>
      </c>
      <c r="C83" s="17" t="n"/>
      <c r="D83" s="21">
        <f>IF($C83="","",IFERROR(INDEX(Insumos!$B$2:$B$151,MATCH($C83,Insumos!$A$2:$A$151,0)),"Código no cargado"))</f>
        <v/>
      </c>
      <c r="E83" s="21">
        <f>IF($C83="","",IFERROR(INDEX(Insumos!$C$2:$C$151,MATCH($C83,Insumos!$A$2:$A$151,0)),""))</f>
        <v/>
      </c>
      <c r="F83" s="21">
        <f>IF($C83="","",IFERROR(INDEX(Insumos!$D$2:$D$151,MATCH($C83,Insumos!$A$2:$A$151,0)),""))</f>
        <v/>
      </c>
      <c r="G83" s="18" t="n"/>
      <c r="H83" s="19">
        <f>IF(OR($A83="",$C83=""),"",IFERROR(INDEX(Insumos!$M$2:$S$151,MATCH($C83,Insumos!$A$2:$A$151,0),WEEKDAY($A83,2)),""))</f>
        <v/>
      </c>
      <c r="I83" s="19">
        <f>IF(OR($G83="",$H83=""),"",MAX(0,$H83-$G83))</f>
        <v/>
      </c>
      <c r="J83" s="21">
        <f>IF($I83="","",IF($I83=0,"OK",IF($G83&lt;=0,"Sin stock: pedir ya","Pedir o producir")))</f>
        <v/>
      </c>
      <c r="K83" s="17" t="n"/>
      <c r="L83" s="17" t="n"/>
      <c r="M83" s="21">
        <f>IF(OR($A83="",$A83&lt;&gt;'Lista para pedir'!$C$3,N($I83)&lt;=0),"",COUNTIFS($A$2:$A83,$A83,$I$2:$I83,"&gt;0"))</f>
        <v/>
      </c>
    </row>
    <row r="84">
      <c r="A84" s="20" t="n"/>
      <c r="B84" s="21">
        <f>IF($A84="","",CHOOSE(WEEKDAY($A84,2),"Lunes","Martes","Miércoles","Jueves","Viernes","Sábado","Domingo"))</f>
        <v/>
      </c>
      <c r="C84" s="17" t="n"/>
      <c r="D84" s="21">
        <f>IF($C84="","",IFERROR(INDEX(Insumos!$B$2:$B$151,MATCH($C84,Insumos!$A$2:$A$151,0)),"Código no cargado"))</f>
        <v/>
      </c>
      <c r="E84" s="21">
        <f>IF($C84="","",IFERROR(INDEX(Insumos!$C$2:$C$151,MATCH($C84,Insumos!$A$2:$A$151,0)),""))</f>
        <v/>
      </c>
      <c r="F84" s="21">
        <f>IF($C84="","",IFERROR(INDEX(Insumos!$D$2:$D$151,MATCH($C84,Insumos!$A$2:$A$151,0)),""))</f>
        <v/>
      </c>
      <c r="G84" s="18" t="n"/>
      <c r="H84" s="19">
        <f>IF(OR($A84="",$C84=""),"",IFERROR(INDEX(Insumos!$M$2:$S$151,MATCH($C84,Insumos!$A$2:$A$151,0),WEEKDAY($A84,2)),""))</f>
        <v/>
      </c>
      <c r="I84" s="19">
        <f>IF(OR($G84="",$H84=""),"",MAX(0,$H84-$G84))</f>
        <v/>
      </c>
      <c r="J84" s="21">
        <f>IF($I84="","",IF($I84=0,"OK",IF($G84&lt;=0,"Sin stock: pedir ya","Pedir o producir")))</f>
        <v/>
      </c>
      <c r="K84" s="17" t="n"/>
      <c r="L84" s="17" t="n"/>
      <c r="M84" s="21">
        <f>IF(OR($A84="",$A84&lt;&gt;'Lista para pedir'!$C$3,N($I84)&lt;=0),"",COUNTIFS($A$2:$A84,$A84,$I$2:$I84,"&gt;0"))</f>
        <v/>
      </c>
    </row>
    <row r="85">
      <c r="A85" s="20" t="n"/>
      <c r="B85" s="21">
        <f>IF($A85="","",CHOOSE(WEEKDAY($A85,2),"Lunes","Martes","Miércoles","Jueves","Viernes","Sábado","Domingo"))</f>
        <v/>
      </c>
      <c r="C85" s="17" t="n"/>
      <c r="D85" s="21">
        <f>IF($C85="","",IFERROR(INDEX(Insumos!$B$2:$B$151,MATCH($C85,Insumos!$A$2:$A$151,0)),"Código no cargado"))</f>
        <v/>
      </c>
      <c r="E85" s="21">
        <f>IF($C85="","",IFERROR(INDEX(Insumos!$C$2:$C$151,MATCH($C85,Insumos!$A$2:$A$151,0)),""))</f>
        <v/>
      </c>
      <c r="F85" s="21">
        <f>IF($C85="","",IFERROR(INDEX(Insumos!$D$2:$D$151,MATCH($C85,Insumos!$A$2:$A$151,0)),""))</f>
        <v/>
      </c>
      <c r="G85" s="18" t="n"/>
      <c r="H85" s="19">
        <f>IF(OR($A85="",$C85=""),"",IFERROR(INDEX(Insumos!$M$2:$S$151,MATCH($C85,Insumos!$A$2:$A$151,0),WEEKDAY($A85,2)),""))</f>
        <v/>
      </c>
      <c r="I85" s="19">
        <f>IF(OR($G85="",$H85=""),"",MAX(0,$H85-$G85))</f>
        <v/>
      </c>
      <c r="J85" s="21">
        <f>IF($I85="","",IF($I85=0,"OK",IF($G85&lt;=0,"Sin stock: pedir ya","Pedir o producir")))</f>
        <v/>
      </c>
      <c r="K85" s="17" t="n"/>
      <c r="L85" s="17" t="n"/>
      <c r="M85" s="21">
        <f>IF(OR($A85="",$A85&lt;&gt;'Lista para pedir'!$C$3,N($I85)&lt;=0),"",COUNTIFS($A$2:$A85,$A85,$I$2:$I85,"&gt;0"))</f>
        <v/>
      </c>
    </row>
    <row r="86">
      <c r="A86" s="20" t="n"/>
      <c r="B86" s="21">
        <f>IF($A86="","",CHOOSE(WEEKDAY($A86,2),"Lunes","Martes","Miércoles","Jueves","Viernes","Sábado","Domingo"))</f>
        <v/>
      </c>
      <c r="C86" s="17" t="n"/>
      <c r="D86" s="21">
        <f>IF($C86="","",IFERROR(INDEX(Insumos!$B$2:$B$151,MATCH($C86,Insumos!$A$2:$A$151,0)),"Código no cargado"))</f>
        <v/>
      </c>
      <c r="E86" s="21">
        <f>IF($C86="","",IFERROR(INDEX(Insumos!$C$2:$C$151,MATCH($C86,Insumos!$A$2:$A$151,0)),""))</f>
        <v/>
      </c>
      <c r="F86" s="21">
        <f>IF($C86="","",IFERROR(INDEX(Insumos!$D$2:$D$151,MATCH($C86,Insumos!$A$2:$A$151,0)),""))</f>
        <v/>
      </c>
      <c r="G86" s="18" t="n"/>
      <c r="H86" s="19">
        <f>IF(OR($A86="",$C86=""),"",IFERROR(INDEX(Insumos!$M$2:$S$151,MATCH($C86,Insumos!$A$2:$A$151,0),WEEKDAY($A86,2)),""))</f>
        <v/>
      </c>
      <c r="I86" s="19">
        <f>IF(OR($G86="",$H86=""),"",MAX(0,$H86-$G86))</f>
        <v/>
      </c>
      <c r="J86" s="21">
        <f>IF($I86="","",IF($I86=0,"OK",IF($G86&lt;=0,"Sin stock: pedir ya","Pedir o producir")))</f>
        <v/>
      </c>
      <c r="K86" s="17" t="n"/>
      <c r="L86" s="17" t="n"/>
      <c r="M86" s="21">
        <f>IF(OR($A86="",$A86&lt;&gt;'Lista para pedir'!$C$3,N($I86)&lt;=0),"",COUNTIFS($A$2:$A86,$A86,$I$2:$I86,"&gt;0"))</f>
        <v/>
      </c>
    </row>
    <row r="87">
      <c r="A87" s="20" t="n"/>
      <c r="B87" s="21">
        <f>IF($A87="","",CHOOSE(WEEKDAY($A87,2),"Lunes","Martes","Miércoles","Jueves","Viernes","Sábado","Domingo"))</f>
        <v/>
      </c>
      <c r="C87" s="17" t="n"/>
      <c r="D87" s="21">
        <f>IF($C87="","",IFERROR(INDEX(Insumos!$B$2:$B$151,MATCH($C87,Insumos!$A$2:$A$151,0)),"Código no cargado"))</f>
        <v/>
      </c>
      <c r="E87" s="21">
        <f>IF($C87="","",IFERROR(INDEX(Insumos!$C$2:$C$151,MATCH($C87,Insumos!$A$2:$A$151,0)),""))</f>
        <v/>
      </c>
      <c r="F87" s="21">
        <f>IF($C87="","",IFERROR(INDEX(Insumos!$D$2:$D$151,MATCH($C87,Insumos!$A$2:$A$151,0)),""))</f>
        <v/>
      </c>
      <c r="G87" s="18" t="n"/>
      <c r="H87" s="19">
        <f>IF(OR($A87="",$C87=""),"",IFERROR(INDEX(Insumos!$M$2:$S$151,MATCH($C87,Insumos!$A$2:$A$151,0),WEEKDAY($A87,2)),""))</f>
        <v/>
      </c>
      <c r="I87" s="19">
        <f>IF(OR($G87="",$H87=""),"",MAX(0,$H87-$G87))</f>
        <v/>
      </c>
      <c r="J87" s="21">
        <f>IF($I87="","",IF($I87=0,"OK",IF($G87&lt;=0,"Sin stock: pedir ya","Pedir o producir")))</f>
        <v/>
      </c>
      <c r="K87" s="17" t="n"/>
      <c r="L87" s="17" t="n"/>
      <c r="M87" s="21">
        <f>IF(OR($A87="",$A87&lt;&gt;'Lista para pedir'!$C$3,N($I87)&lt;=0),"",COUNTIFS($A$2:$A87,$A87,$I$2:$I87,"&gt;0"))</f>
        <v/>
      </c>
    </row>
    <row r="88">
      <c r="A88" s="20" t="n"/>
      <c r="B88" s="21">
        <f>IF($A88="","",CHOOSE(WEEKDAY($A88,2),"Lunes","Martes","Miércoles","Jueves","Viernes","Sábado","Domingo"))</f>
        <v/>
      </c>
      <c r="C88" s="17" t="n"/>
      <c r="D88" s="21">
        <f>IF($C88="","",IFERROR(INDEX(Insumos!$B$2:$B$151,MATCH($C88,Insumos!$A$2:$A$151,0)),"Código no cargado"))</f>
        <v/>
      </c>
      <c r="E88" s="21">
        <f>IF($C88="","",IFERROR(INDEX(Insumos!$C$2:$C$151,MATCH($C88,Insumos!$A$2:$A$151,0)),""))</f>
        <v/>
      </c>
      <c r="F88" s="21">
        <f>IF($C88="","",IFERROR(INDEX(Insumos!$D$2:$D$151,MATCH($C88,Insumos!$A$2:$A$151,0)),""))</f>
        <v/>
      </c>
      <c r="G88" s="18" t="n"/>
      <c r="H88" s="19">
        <f>IF(OR($A88="",$C88=""),"",IFERROR(INDEX(Insumos!$M$2:$S$151,MATCH($C88,Insumos!$A$2:$A$151,0),WEEKDAY($A88,2)),""))</f>
        <v/>
      </c>
      <c r="I88" s="19">
        <f>IF(OR($G88="",$H88=""),"",MAX(0,$H88-$G88))</f>
        <v/>
      </c>
      <c r="J88" s="21">
        <f>IF($I88="","",IF($I88=0,"OK",IF($G88&lt;=0,"Sin stock: pedir ya","Pedir o producir")))</f>
        <v/>
      </c>
      <c r="K88" s="17" t="n"/>
      <c r="L88" s="17" t="n"/>
      <c r="M88" s="21">
        <f>IF(OR($A88="",$A88&lt;&gt;'Lista para pedir'!$C$3,N($I88)&lt;=0),"",COUNTIFS($A$2:$A88,$A88,$I$2:$I88,"&gt;0"))</f>
        <v/>
      </c>
    </row>
    <row r="89">
      <c r="A89" s="20" t="n"/>
      <c r="B89" s="21">
        <f>IF($A89="","",CHOOSE(WEEKDAY($A89,2),"Lunes","Martes","Miércoles","Jueves","Viernes","Sábado","Domingo"))</f>
        <v/>
      </c>
      <c r="C89" s="17" t="n"/>
      <c r="D89" s="21">
        <f>IF($C89="","",IFERROR(INDEX(Insumos!$B$2:$B$151,MATCH($C89,Insumos!$A$2:$A$151,0)),"Código no cargado"))</f>
        <v/>
      </c>
      <c r="E89" s="21">
        <f>IF($C89="","",IFERROR(INDEX(Insumos!$C$2:$C$151,MATCH($C89,Insumos!$A$2:$A$151,0)),""))</f>
        <v/>
      </c>
      <c r="F89" s="21">
        <f>IF($C89="","",IFERROR(INDEX(Insumos!$D$2:$D$151,MATCH($C89,Insumos!$A$2:$A$151,0)),""))</f>
        <v/>
      </c>
      <c r="G89" s="18" t="n"/>
      <c r="H89" s="19">
        <f>IF(OR($A89="",$C89=""),"",IFERROR(INDEX(Insumos!$M$2:$S$151,MATCH($C89,Insumos!$A$2:$A$151,0),WEEKDAY($A89,2)),""))</f>
        <v/>
      </c>
      <c r="I89" s="19">
        <f>IF(OR($G89="",$H89=""),"",MAX(0,$H89-$G89))</f>
        <v/>
      </c>
      <c r="J89" s="21">
        <f>IF($I89="","",IF($I89=0,"OK",IF($G89&lt;=0,"Sin stock: pedir ya","Pedir o producir")))</f>
        <v/>
      </c>
      <c r="K89" s="17" t="n"/>
      <c r="L89" s="17" t="n"/>
      <c r="M89" s="21">
        <f>IF(OR($A89="",$A89&lt;&gt;'Lista para pedir'!$C$3,N($I89)&lt;=0),"",COUNTIFS($A$2:$A89,$A89,$I$2:$I89,"&gt;0"))</f>
        <v/>
      </c>
    </row>
    <row r="90">
      <c r="A90" s="20" t="n"/>
      <c r="B90" s="21">
        <f>IF($A90="","",CHOOSE(WEEKDAY($A90,2),"Lunes","Martes","Miércoles","Jueves","Viernes","Sábado","Domingo"))</f>
        <v/>
      </c>
      <c r="C90" s="17" t="n"/>
      <c r="D90" s="21">
        <f>IF($C90="","",IFERROR(INDEX(Insumos!$B$2:$B$151,MATCH($C90,Insumos!$A$2:$A$151,0)),"Código no cargado"))</f>
        <v/>
      </c>
      <c r="E90" s="21">
        <f>IF($C90="","",IFERROR(INDEX(Insumos!$C$2:$C$151,MATCH($C90,Insumos!$A$2:$A$151,0)),""))</f>
        <v/>
      </c>
      <c r="F90" s="21">
        <f>IF($C90="","",IFERROR(INDEX(Insumos!$D$2:$D$151,MATCH($C90,Insumos!$A$2:$A$151,0)),""))</f>
        <v/>
      </c>
      <c r="G90" s="18" t="n"/>
      <c r="H90" s="19">
        <f>IF(OR($A90="",$C90=""),"",IFERROR(INDEX(Insumos!$M$2:$S$151,MATCH($C90,Insumos!$A$2:$A$151,0),WEEKDAY($A90,2)),""))</f>
        <v/>
      </c>
      <c r="I90" s="19">
        <f>IF(OR($G90="",$H90=""),"",MAX(0,$H90-$G90))</f>
        <v/>
      </c>
      <c r="J90" s="21">
        <f>IF($I90="","",IF($I90=0,"OK",IF($G90&lt;=0,"Sin stock: pedir ya","Pedir o producir")))</f>
        <v/>
      </c>
      <c r="K90" s="17" t="n"/>
      <c r="L90" s="17" t="n"/>
      <c r="M90" s="21">
        <f>IF(OR($A90="",$A90&lt;&gt;'Lista para pedir'!$C$3,N($I90)&lt;=0),"",COUNTIFS($A$2:$A90,$A90,$I$2:$I90,"&gt;0"))</f>
        <v/>
      </c>
    </row>
    <row r="91">
      <c r="A91" s="20" t="n"/>
      <c r="B91" s="21">
        <f>IF($A91="","",CHOOSE(WEEKDAY($A91,2),"Lunes","Martes","Miércoles","Jueves","Viernes","Sábado","Domingo"))</f>
        <v/>
      </c>
      <c r="C91" s="17" t="n"/>
      <c r="D91" s="21">
        <f>IF($C91="","",IFERROR(INDEX(Insumos!$B$2:$B$151,MATCH($C91,Insumos!$A$2:$A$151,0)),"Código no cargado"))</f>
        <v/>
      </c>
      <c r="E91" s="21">
        <f>IF($C91="","",IFERROR(INDEX(Insumos!$C$2:$C$151,MATCH($C91,Insumos!$A$2:$A$151,0)),""))</f>
        <v/>
      </c>
      <c r="F91" s="21">
        <f>IF($C91="","",IFERROR(INDEX(Insumos!$D$2:$D$151,MATCH($C91,Insumos!$A$2:$A$151,0)),""))</f>
        <v/>
      </c>
      <c r="G91" s="18" t="n"/>
      <c r="H91" s="19">
        <f>IF(OR($A91="",$C91=""),"",IFERROR(INDEX(Insumos!$M$2:$S$151,MATCH($C91,Insumos!$A$2:$A$151,0),WEEKDAY($A91,2)),""))</f>
        <v/>
      </c>
      <c r="I91" s="19">
        <f>IF(OR($G91="",$H91=""),"",MAX(0,$H91-$G91))</f>
        <v/>
      </c>
      <c r="J91" s="21">
        <f>IF($I91="","",IF($I91=0,"OK",IF($G91&lt;=0,"Sin stock: pedir ya","Pedir o producir")))</f>
        <v/>
      </c>
      <c r="K91" s="17" t="n"/>
      <c r="L91" s="17" t="n"/>
      <c r="M91" s="21">
        <f>IF(OR($A91="",$A91&lt;&gt;'Lista para pedir'!$C$3,N($I91)&lt;=0),"",COUNTIFS($A$2:$A91,$A91,$I$2:$I91,"&gt;0"))</f>
        <v/>
      </c>
    </row>
    <row r="92">
      <c r="A92" s="20" t="n"/>
      <c r="B92" s="21">
        <f>IF($A92="","",CHOOSE(WEEKDAY($A92,2),"Lunes","Martes","Miércoles","Jueves","Viernes","Sábado","Domingo"))</f>
        <v/>
      </c>
      <c r="C92" s="17" t="n"/>
      <c r="D92" s="21">
        <f>IF($C92="","",IFERROR(INDEX(Insumos!$B$2:$B$151,MATCH($C92,Insumos!$A$2:$A$151,0)),"Código no cargado"))</f>
        <v/>
      </c>
      <c r="E92" s="21">
        <f>IF($C92="","",IFERROR(INDEX(Insumos!$C$2:$C$151,MATCH($C92,Insumos!$A$2:$A$151,0)),""))</f>
        <v/>
      </c>
      <c r="F92" s="21">
        <f>IF($C92="","",IFERROR(INDEX(Insumos!$D$2:$D$151,MATCH($C92,Insumos!$A$2:$A$151,0)),""))</f>
        <v/>
      </c>
      <c r="G92" s="18" t="n"/>
      <c r="H92" s="19">
        <f>IF(OR($A92="",$C92=""),"",IFERROR(INDEX(Insumos!$M$2:$S$151,MATCH($C92,Insumos!$A$2:$A$151,0),WEEKDAY($A92,2)),""))</f>
        <v/>
      </c>
      <c r="I92" s="19">
        <f>IF(OR($G92="",$H92=""),"",MAX(0,$H92-$G92))</f>
        <v/>
      </c>
      <c r="J92" s="21">
        <f>IF($I92="","",IF($I92=0,"OK",IF($G92&lt;=0,"Sin stock: pedir ya","Pedir o producir")))</f>
        <v/>
      </c>
      <c r="K92" s="17" t="n"/>
      <c r="L92" s="17" t="n"/>
      <c r="M92" s="21">
        <f>IF(OR($A92="",$A92&lt;&gt;'Lista para pedir'!$C$3,N($I92)&lt;=0),"",COUNTIFS($A$2:$A92,$A92,$I$2:$I92,"&gt;0"))</f>
        <v/>
      </c>
    </row>
    <row r="93">
      <c r="A93" s="20" t="n"/>
      <c r="B93" s="21">
        <f>IF($A93="","",CHOOSE(WEEKDAY($A93,2),"Lunes","Martes","Miércoles","Jueves","Viernes","Sábado","Domingo"))</f>
        <v/>
      </c>
      <c r="C93" s="17" t="n"/>
      <c r="D93" s="21">
        <f>IF($C93="","",IFERROR(INDEX(Insumos!$B$2:$B$151,MATCH($C93,Insumos!$A$2:$A$151,0)),"Código no cargado"))</f>
        <v/>
      </c>
      <c r="E93" s="21">
        <f>IF($C93="","",IFERROR(INDEX(Insumos!$C$2:$C$151,MATCH($C93,Insumos!$A$2:$A$151,0)),""))</f>
        <v/>
      </c>
      <c r="F93" s="21">
        <f>IF($C93="","",IFERROR(INDEX(Insumos!$D$2:$D$151,MATCH($C93,Insumos!$A$2:$A$151,0)),""))</f>
        <v/>
      </c>
      <c r="G93" s="18" t="n"/>
      <c r="H93" s="19">
        <f>IF(OR($A93="",$C93=""),"",IFERROR(INDEX(Insumos!$M$2:$S$151,MATCH($C93,Insumos!$A$2:$A$151,0),WEEKDAY($A93,2)),""))</f>
        <v/>
      </c>
      <c r="I93" s="19">
        <f>IF(OR($G93="",$H93=""),"",MAX(0,$H93-$G93))</f>
        <v/>
      </c>
      <c r="J93" s="21">
        <f>IF($I93="","",IF($I93=0,"OK",IF($G93&lt;=0,"Sin stock: pedir ya","Pedir o producir")))</f>
        <v/>
      </c>
      <c r="K93" s="17" t="n"/>
      <c r="L93" s="17" t="n"/>
      <c r="M93" s="21">
        <f>IF(OR($A93="",$A93&lt;&gt;'Lista para pedir'!$C$3,N($I93)&lt;=0),"",COUNTIFS($A$2:$A93,$A93,$I$2:$I93,"&gt;0"))</f>
        <v/>
      </c>
    </row>
    <row r="94">
      <c r="A94" s="20" t="n"/>
      <c r="B94" s="21">
        <f>IF($A94="","",CHOOSE(WEEKDAY($A94,2),"Lunes","Martes","Miércoles","Jueves","Viernes","Sábado","Domingo"))</f>
        <v/>
      </c>
      <c r="C94" s="17" t="n"/>
      <c r="D94" s="21">
        <f>IF($C94="","",IFERROR(INDEX(Insumos!$B$2:$B$151,MATCH($C94,Insumos!$A$2:$A$151,0)),"Código no cargado"))</f>
        <v/>
      </c>
      <c r="E94" s="21">
        <f>IF($C94="","",IFERROR(INDEX(Insumos!$C$2:$C$151,MATCH($C94,Insumos!$A$2:$A$151,0)),""))</f>
        <v/>
      </c>
      <c r="F94" s="21">
        <f>IF($C94="","",IFERROR(INDEX(Insumos!$D$2:$D$151,MATCH($C94,Insumos!$A$2:$A$151,0)),""))</f>
        <v/>
      </c>
      <c r="G94" s="18" t="n"/>
      <c r="H94" s="19">
        <f>IF(OR($A94="",$C94=""),"",IFERROR(INDEX(Insumos!$M$2:$S$151,MATCH($C94,Insumos!$A$2:$A$151,0),WEEKDAY($A94,2)),""))</f>
        <v/>
      </c>
      <c r="I94" s="19">
        <f>IF(OR($G94="",$H94=""),"",MAX(0,$H94-$G94))</f>
        <v/>
      </c>
      <c r="J94" s="21">
        <f>IF($I94="","",IF($I94=0,"OK",IF($G94&lt;=0,"Sin stock: pedir ya","Pedir o producir")))</f>
        <v/>
      </c>
      <c r="K94" s="17" t="n"/>
      <c r="L94" s="17" t="n"/>
      <c r="M94" s="21">
        <f>IF(OR($A94="",$A94&lt;&gt;'Lista para pedir'!$C$3,N($I94)&lt;=0),"",COUNTIFS($A$2:$A94,$A94,$I$2:$I94,"&gt;0"))</f>
        <v/>
      </c>
    </row>
    <row r="95">
      <c r="A95" s="20" t="n"/>
      <c r="B95" s="21">
        <f>IF($A95="","",CHOOSE(WEEKDAY($A95,2),"Lunes","Martes","Miércoles","Jueves","Viernes","Sábado","Domingo"))</f>
        <v/>
      </c>
      <c r="C95" s="17" t="n"/>
      <c r="D95" s="21">
        <f>IF($C95="","",IFERROR(INDEX(Insumos!$B$2:$B$151,MATCH($C95,Insumos!$A$2:$A$151,0)),"Código no cargado"))</f>
        <v/>
      </c>
      <c r="E95" s="21">
        <f>IF($C95="","",IFERROR(INDEX(Insumos!$C$2:$C$151,MATCH($C95,Insumos!$A$2:$A$151,0)),""))</f>
        <v/>
      </c>
      <c r="F95" s="21">
        <f>IF($C95="","",IFERROR(INDEX(Insumos!$D$2:$D$151,MATCH($C95,Insumos!$A$2:$A$151,0)),""))</f>
        <v/>
      </c>
      <c r="G95" s="18" t="n"/>
      <c r="H95" s="19">
        <f>IF(OR($A95="",$C95=""),"",IFERROR(INDEX(Insumos!$M$2:$S$151,MATCH($C95,Insumos!$A$2:$A$151,0),WEEKDAY($A95,2)),""))</f>
        <v/>
      </c>
      <c r="I95" s="19">
        <f>IF(OR($G95="",$H95=""),"",MAX(0,$H95-$G95))</f>
        <v/>
      </c>
      <c r="J95" s="21">
        <f>IF($I95="","",IF($I95=0,"OK",IF($G95&lt;=0,"Sin stock: pedir ya","Pedir o producir")))</f>
        <v/>
      </c>
      <c r="K95" s="17" t="n"/>
      <c r="L95" s="17" t="n"/>
      <c r="M95" s="21">
        <f>IF(OR($A95="",$A95&lt;&gt;'Lista para pedir'!$C$3,N($I95)&lt;=0),"",COUNTIFS($A$2:$A95,$A95,$I$2:$I95,"&gt;0"))</f>
        <v/>
      </c>
    </row>
    <row r="96">
      <c r="A96" s="20" t="n"/>
      <c r="B96" s="21">
        <f>IF($A96="","",CHOOSE(WEEKDAY($A96,2),"Lunes","Martes","Miércoles","Jueves","Viernes","Sábado","Domingo"))</f>
        <v/>
      </c>
      <c r="C96" s="17" t="n"/>
      <c r="D96" s="21">
        <f>IF($C96="","",IFERROR(INDEX(Insumos!$B$2:$B$151,MATCH($C96,Insumos!$A$2:$A$151,0)),"Código no cargado"))</f>
        <v/>
      </c>
      <c r="E96" s="21">
        <f>IF($C96="","",IFERROR(INDEX(Insumos!$C$2:$C$151,MATCH($C96,Insumos!$A$2:$A$151,0)),""))</f>
        <v/>
      </c>
      <c r="F96" s="21">
        <f>IF($C96="","",IFERROR(INDEX(Insumos!$D$2:$D$151,MATCH($C96,Insumos!$A$2:$A$151,0)),""))</f>
        <v/>
      </c>
      <c r="G96" s="18" t="n"/>
      <c r="H96" s="19">
        <f>IF(OR($A96="",$C96=""),"",IFERROR(INDEX(Insumos!$M$2:$S$151,MATCH($C96,Insumos!$A$2:$A$151,0),WEEKDAY($A96,2)),""))</f>
        <v/>
      </c>
      <c r="I96" s="19">
        <f>IF(OR($G96="",$H96=""),"",MAX(0,$H96-$G96))</f>
        <v/>
      </c>
      <c r="J96" s="21">
        <f>IF($I96="","",IF($I96=0,"OK",IF($G96&lt;=0,"Sin stock: pedir ya","Pedir o producir")))</f>
        <v/>
      </c>
      <c r="K96" s="17" t="n"/>
      <c r="L96" s="17" t="n"/>
      <c r="M96" s="21">
        <f>IF(OR($A96="",$A96&lt;&gt;'Lista para pedir'!$C$3,N($I96)&lt;=0),"",COUNTIFS($A$2:$A96,$A96,$I$2:$I96,"&gt;0"))</f>
        <v/>
      </c>
    </row>
    <row r="97">
      <c r="A97" s="20" t="n"/>
      <c r="B97" s="21">
        <f>IF($A97="","",CHOOSE(WEEKDAY($A97,2),"Lunes","Martes","Miércoles","Jueves","Viernes","Sábado","Domingo"))</f>
        <v/>
      </c>
      <c r="C97" s="17" t="n"/>
      <c r="D97" s="21">
        <f>IF($C97="","",IFERROR(INDEX(Insumos!$B$2:$B$151,MATCH($C97,Insumos!$A$2:$A$151,0)),"Código no cargado"))</f>
        <v/>
      </c>
      <c r="E97" s="21">
        <f>IF($C97="","",IFERROR(INDEX(Insumos!$C$2:$C$151,MATCH($C97,Insumos!$A$2:$A$151,0)),""))</f>
        <v/>
      </c>
      <c r="F97" s="21">
        <f>IF($C97="","",IFERROR(INDEX(Insumos!$D$2:$D$151,MATCH($C97,Insumos!$A$2:$A$151,0)),""))</f>
        <v/>
      </c>
      <c r="G97" s="18" t="n"/>
      <c r="H97" s="19">
        <f>IF(OR($A97="",$C97=""),"",IFERROR(INDEX(Insumos!$M$2:$S$151,MATCH($C97,Insumos!$A$2:$A$151,0),WEEKDAY($A97,2)),""))</f>
        <v/>
      </c>
      <c r="I97" s="19">
        <f>IF(OR($G97="",$H97=""),"",MAX(0,$H97-$G97))</f>
        <v/>
      </c>
      <c r="J97" s="21">
        <f>IF($I97="","",IF($I97=0,"OK",IF($G97&lt;=0,"Sin stock: pedir ya","Pedir o producir")))</f>
        <v/>
      </c>
      <c r="K97" s="17" t="n"/>
      <c r="L97" s="17" t="n"/>
      <c r="M97" s="21">
        <f>IF(OR($A97="",$A97&lt;&gt;'Lista para pedir'!$C$3,N($I97)&lt;=0),"",COUNTIFS($A$2:$A97,$A97,$I$2:$I97,"&gt;0"))</f>
        <v/>
      </c>
    </row>
    <row r="98">
      <c r="A98" s="20" t="n"/>
      <c r="B98" s="21">
        <f>IF($A98="","",CHOOSE(WEEKDAY($A98,2),"Lunes","Martes","Miércoles","Jueves","Viernes","Sábado","Domingo"))</f>
        <v/>
      </c>
      <c r="C98" s="17" t="n"/>
      <c r="D98" s="21">
        <f>IF($C98="","",IFERROR(INDEX(Insumos!$B$2:$B$151,MATCH($C98,Insumos!$A$2:$A$151,0)),"Código no cargado"))</f>
        <v/>
      </c>
      <c r="E98" s="21">
        <f>IF($C98="","",IFERROR(INDEX(Insumos!$C$2:$C$151,MATCH($C98,Insumos!$A$2:$A$151,0)),""))</f>
        <v/>
      </c>
      <c r="F98" s="21">
        <f>IF($C98="","",IFERROR(INDEX(Insumos!$D$2:$D$151,MATCH($C98,Insumos!$A$2:$A$151,0)),""))</f>
        <v/>
      </c>
      <c r="G98" s="18" t="n"/>
      <c r="H98" s="19">
        <f>IF(OR($A98="",$C98=""),"",IFERROR(INDEX(Insumos!$M$2:$S$151,MATCH($C98,Insumos!$A$2:$A$151,0),WEEKDAY($A98,2)),""))</f>
        <v/>
      </c>
      <c r="I98" s="19">
        <f>IF(OR($G98="",$H98=""),"",MAX(0,$H98-$G98))</f>
        <v/>
      </c>
      <c r="J98" s="21">
        <f>IF($I98="","",IF($I98=0,"OK",IF($G98&lt;=0,"Sin stock: pedir ya","Pedir o producir")))</f>
        <v/>
      </c>
      <c r="K98" s="17" t="n"/>
      <c r="L98" s="17" t="n"/>
      <c r="M98" s="21">
        <f>IF(OR($A98="",$A98&lt;&gt;'Lista para pedir'!$C$3,N($I98)&lt;=0),"",COUNTIFS($A$2:$A98,$A98,$I$2:$I98,"&gt;0"))</f>
        <v/>
      </c>
    </row>
    <row r="99">
      <c r="A99" s="20" t="n"/>
      <c r="B99" s="21">
        <f>IF($A99="","",CHOOSE(WEEKDAY($A99,2),"Lunes","Martes","Miércoles","Jueves","Viernes","Sábado","Domingo"))</f>
        <v/>
      </c>
      <c r="C99" s="17" t="n"/>
      <c r="D99" s="21">
        <f>IF($C99="","",IFERROR(INDEX(Insumos!$B$2:$B$151,MATCH($C99,Insumos!$A$2:$A$151,0)),"Código no cargado"))</f>
        <v/>
      </c>
      <c r="E99" s="21">
        <f>IF($C99="","",IFERROR(INDEX(Insumos!$C$2:$C$151,MATCH($C99,Insumos!$A$2:$A$151,0)),""))</f>
        <v/>
      </c>
      <c r="F99" s="21">
        <f>IF($C99="","",IFERROR(INDEX(Insumos!$D$2:$D$151,MATCH($C99,Insumos!$A$2:$A$151,0)),""))</f>
        <v/>
      </c>
      <c r="G99" s="18" t="n"/>
      <c r="H99" s="19">
        <f>IF(OR($A99="",$C99=""),"",IFERROR(INDEX(Insumos!$M$2:$S$151,MATCH($C99,Insumos!$A$2:$A$151,0),WEEKDAY($A99,2)),""))</f>
        <v/>
      </c>
      <c r="I99" s="19">
        <f>IF(OR($G99="",$H99=""),"",MAX(0,$H99-$G99))</f>
        <v/>
      </c>
      <c r="J99" s="21">
        <f>IF($I99="","",IF($I99=0,"OK",IF($G99&lt;=0,"Sin stock: pedir ya","Pedir o producir")))</f>
        <v/>
      </c>
      <c r="K99" s="17" t="n"/>
      <c r="L99" s="17" t="n"/>
      <c r="M99" s="21">
        <f>IF(OR($A99="",$A99&lt;&gt;'Lista para pedir'!$C$3,N($I99)&lt;=0),"",COUNTIFS($A$2:$A99,$A99,$I$2:$I99,"&gt;0"))</f>
        <v/>
      </c>
    </row>
    <row r="100">
      <c r="A100" s="20" t="n"/>
      <c r="B100" s="21">
        <f>IF($A100="","",CHOOSE(WEEKDAY($A100,2),"Lunes","Martes","Miércoles","Jueves","Viernes","Sábado","Domingo"))</f>
        <v/>
      </c>
      <c r="C100" s="17" t="n"/>
      <c r="D100" s="21">
        <f>IF($C100="","",IFERROR(INDEX(Insumos!$B$2:$B$151,MATCH($C100,Insumos!$A$2:$A$151,0)),"Código no cargado"))</f>
        <v/>
      </c>
      <c r="E100" s="21">
        <f>IF($C100="","",IFERROR(INDEX(Insumos!$C$2:$C$151,MATCH($C100,Insumos!$A$2:$A$151,0)),""))</f>
        <v/>
      </c>
      <c r="F100" s="21">
        <f>IF($C100="","",IFERROR(INDEX(Insumos!$D$2:$D$151,MATCH($C100,Insumos!$A$2:$A$151,0)),""))</f>
        <v/>
      </c>
      <c r="G100" s="18" t="n"/>
      <c r="H100" s="19">
        <f>IF(OR($A100="",$C100=""),"",IFERROR(INDEX(Insumos!$M$2:$S$151,MATCH($C100,Insumos!$A$2:$A$151,0),WEEKDAY($A100,2)),""))</f>
        <v/>
      </c>
      <c r="I100" s="19">
        <f>IF(OR($G100="",$H100=""),"",MAX(0,$H100-$G100))</f>
        <v/>
      </c>
      <c r="J100" s="21">
        <f>IF($I100="","",IF($I100=0,"OK",IF($G100&lt;=0,"Sin stock: pedir ya","Pedir o producir")))</f>
        <v/>
      </c>
      <c r="K100" s="17" t="n"/>
      <c r="L100" s="17" t="n"/>
      <c r="M100" s="21">
        <f>IF(OR($A100="",$A100&lt;&gt;'Lista para pedir'!$C$3,N($I100)&lt;=0),"",COUNTIFS($A$2:$A100,$A100,$I$2:$I100,"&gt;0"))</f>
        <v/>
      </c>
    </row>
    <row r="101">
      <c r="A101" s="20" t="n"/>
      <c r="B101" s="21">
        <f>IF($A101="","",CHOOSE(WEEKDAY($A101,2),"Lunes","Martes","Miércoles","Jueves","Viernes","Sábado","Domingo"))</f>
        <v/>
      </c>
      <c r="C101" s="17" t="n"/>
      <c r="D101" s="21">
        <f>IF($C101="","",IFERROR(INDEX(Insumos!$B$2:$B$151,MATCH($C101,Insumos!$A$2:$A$151,0)),"Código no cargado"))</f>
        <v/>
      </c>
      <c r="E101" s="21">
        <f>IF($C101="","",IFERROR(INDEX(Insumos!$C$2:$C$151,MATCH($C101,Insumos!$A$2:$A$151,0)),""))</f>
        <v/>
      </c>
      <c r="F101" s="21">
        <f>IF($C101="","",IFERROR(INDEX(Insumos!$D$2:$D$151,MATCH($C101,Insumos!$A$2:$A$151,0)),""))</f>
        <v/>
      </c>
      <c r="G101" s="18" t="n"/>
      <c r="H101" s="19">
        <f>IF(OR($A101="",$C101=""),"",IFERROR(INDEX(Insumos!$M$2:$S$151,MATCH($C101,Insumos!$A$2:$A$151,0),WEEKDAY($A101,2)),""))</f>
        <v/>
      </c>
      <c r="I101" s="19">
        <f>IF(OR($G101="",$H101=""),"",MAX(0,$H101-$G101))</f>
        <v/>
      </c>
      <c r="J101" s="21">
        <f>IF($I101="","",IF($I101=0,"OK",IF($G101&lt;=0,"Sin stock: pedir ya","Pedir o producir")))</f>
        <v/>
      </c>
      <c r="K101" s="17" t="n"/>
      <c r="L101" s="17" t="n"/>
      <c r="M101" s="21">
        <f>IF(OR($A101="",$A101&lt;&gt;'Lista para pedir'!$C$3,N($I101)&lt;=0),"",COUNTIFS($A$2:$A101,$A101,$I$2:$I101,"&gt;0"))</f>
        <v/>
      </c>
    </row>
    <row r="102">
      <c r="A102" s="20" t="n"/>
      <c r="B102" s="21">
        <f>IF($A102="","",CHOOSE(WEEKDAY($A102,2),"Lunes","Martes","Miércoles","Jueves","Viernes","Sábado","Domingo"))</f>
        <v/>
      </c>
      <c r="C102" s="17" t="n"/>
      <c r="D102" s="21">
        <f>IF($C102="","",IFERROR(INDEX(Insumos!$B$2:$B$151,MATCH($C102,Insumos!$A$2:$A$151,0)),"Código no cargado"))</f>
        <v/>
      </c>
      <c r="E102" s="21">
        <f>IF($C102="","",IFERROR(INDEX(Insumos!$C$2:$C$151,MATCH($C102,Insumos!$A$2:$A$151,0)),""))</f>
        <v/>
      </c>
      <c r="F102" s="21">
        <f>IF($C102="","",IFERROR(INDEX(Insumos!$D$2:$D$151,MATCH($C102,Insumos!$A$2:$A$151,0)),""))</f>
        <v/>
      </c>
      <c r="G102" s="18" t="n"/>
      <c r="H102" s="19">
        <f>IF(OR($A102="",$C102=""),"",IFERROR(INDEX(Insumos!$M$2:$S$151,MATCH($C102,Insumos!$A$2:$A$151,0),WEEKDAY($A102,2)),""))</f>
        <v/>
      </c>
      <c r="I102" s="19">
        <f>IF(OR($G102="",$H102=""),"",MAX(0,$H102-$G102))</f>
        <v/>
      </c>
      <c r="J102" s="21">
        <f>IF($I102="","",IF($I102=0,"OK",IF($G102&lt;=0,"Sin stock: pedir ya","Pedir o producir")))</f>
        <v/>
      </c>
      <c r="K102" s="17" t="n"/>
      <c r="L102" s="17" t="n"/>
      <c r="M102" s="21">
        <f>IF(OR($A102="",$A102&lt;&gt;'Lista para pedir'!$C$3,N($I102)&lt;=0),"",COUNTIFS($A$2:$A102,$A102,$I$2:$I102,"&gt;0"))</f>
        <v/>
      </c>
    </row>
    <row r="103">
      <c r="A103" s="20" t="n"/>
      <c r="B103" s="21">
        <f>IF($A103="","",CHOOSE(WEEKDAY($A103,2),"Lunes","Martes","Miércoles","Jueves","Viernes","Sábado","Domingo"))</f>
        <v/>
      </c>
      <c r="C103" s="17" t="n"/>
      <c r="D103" s="21">
        <f>IF($C103="","",IFERROR(INDEX(Insumos!$B$2:$B$151,MATCH($C103,Insumos!$A$2:$A$151,0)),"Código no cargado"))</f>
        <v/>
      </c>
      <c r="E103" s="21">
        <f>IF($C103="","",IFERROR(INDEX(Insumos!$C$2:$C$151,MATCH($C103,Insumos!$A$2:$A$151,0)),""))</f>
        <v/>
      </c>
      <c r="F103" s="21">
        <f>IF($C103="","",IFERROR(INDEX(Insumos!$D$2:$D$151,MATCH($C103,Insumos!$A$2:$A$151,0)),""))</f>
        <v/>
      </c>
      <c r="G103" s="18" t="n"/>
      <c r="H103" s="19">
        <f>IF(OR($A103="",$C103=""),"",IFERROR(INDEX(Insumos!$M$2:$S$151,MATCH($C103,Insumos!$A$2:$A$151,0),WEEKDAY($A103,2)),""))</f>
        <v/>
      </c>
      <c r="I103" s="19">
        <f>IF(OR($G103="",$H103=""),"",MAX(0,$H103-$G103))</f>
        <v/>
      </c>
      <c r="J103" s="21">
        <f>IF($I103="","",IF($I103=0,"OK",IF($G103&lt;=0,"Sin stock: pedir ya","Pedir o producir")))</f>
        <v/>
      </c>
      <c r="K103" s="17" t="n"/>
      <c r="L103" s="17" t="n"/>
      <c r="M103" s="21">
        <f>IF(OR($A103="",$A103&lt;&gt;'Lista para pedir'!$C$3,N($I103)&lt;=0),"",COUNTIFS($A$2:$A103,$A103,$I$2:$I103,"&gt;0"))</f>
        <v/>
      </c>
    </row>
    <row r="104">
      <c r="A104" s="20" t="n"/>
      <c r="B104" s="21">
        <f>IF($A104="","",CHOOSE(WEEKDAY($A104,2),"Lunes","Martes","Miércoles","Jueves","Viernes","Sábado","Domingo"))</f>
        <v/>
      </c>
      <c r="C104" s="17" t="n"/>
      <c r="D104" s="21">
        <f>IF($C104="","",IFERROR(INDEX(Insumos!$B$2:$B$151,MATCH($C104,Insumos!$A$2:$A$151,0)),"Código no cargado"))</f>
        <v/>
      </c>
      <c r="E104" s="21">
        <f>IF($C104="","",IFERROR(INDEX(Insumos!$C$2:$C$151,MATCH($C104,Insumos!$A$2:$A$151,0)),""))</f>
        <v/>
      </c>
      <c r="F104" s="21">
        <f>IF($C104="","",IFERROR(INDEX(Insumos!$D$2:$D$151,MATCH($C104,Insumos!$A$2:$A$151,0)),""))</f>
        <v/>
      </c>
      <c r="G104" s="18" t="n"/>
      <c r="H104" s="19">
        <f>IF(OR($A104="",$C104=""),"",IFERROR(INDEX(Insumos!$M$2:$S$151,MATCH($C104,Insumos!$A$2:$A$151,0),WEEKDAY($A104,2)),""))</f>
        <v/>
      </c>
      <c r="I104" s="19">
        <f>IF(OR($G104="",$H104=""),"",MAX(0,$H104-$G104))</f>
        <v/>
      </c>
      <c r="J104" s="21">
        <f>IF($I104="","",IF($I104=0,"OK",IF($G104&lt;=0,"Sin stock: pedir ya","Pedir o producir")))</f>
        <v/>
      </c>
      <c r="K104" s="17" t="n"/>
      <c r="L104" s="17" t="n"/>
      <c r="M104" s="21">
        <f>IF(OR($A104="",$A104&lt;&gt;'Lista para pedir'!$C$3,N($I104)&lt;=0),"",COUNTIFS($A$2:$A104,$A104,$I$2:$I104,"&gt;0"))</f>
        <v/>
      </c>
    </row>
    <row r="105">
      <c r="A105" s="20" t="n"/>
      <c r="B105" s="21">
        <f>IF($A105="","",CHOOSE(WEEKDAY($A105,2),"Lunes","Martes","Miércoles","Jueves","Viernes","Sábado","Domingo"))</f>
        <v/>
      </c>
      <c r="C105" s="17" t="n"/>
      <c r="D105" s="21">
        <f>IF($C105="","",IFERROR(INDEX(Insumos!$B$2:$B$151,MATCH($C105,Insumos!$A$2:$A$151,0)),"Código no cargado"))</f>
        <v/>
      </c>
      <c r="E105" s="21">
        <f>IF($C105="","",IFERROR(INDEX(Insumos!$C$2:$C$151,MATCH($C105,Insumos!$A$2:$A$151,0)),""))</f>
        <v/>
      </c>
      <c r="F105" s="21">
        <f>IF($C105="","",IFERROR(INDEX(Insumos!$D$2:$D$151,MATCH($C105,Insumos!$A$2:$A$151,0)),""))</f>
        <v/>
      </c>
      <c r="G105" s="18" t="n"/>
      <c r="H105" s="19">
        <f>IF(OR($A105="",$C105=""),"",IFERROR(INDEX(Insumos!$M$2:$S$151,MATCH($C105,Insumos!$A$2:$A$151,0),WEEKDAY($A105,2)),""))</f>
        <v/>
      </c>
      <c r="I105" s="19">
        <f>IF(OR($G105="",$H105=""),"",MAX(0,$H105-$G105))</f>
        <v/>
      </c>
      <c r="J105" s="21">
        <f>IF($I105="","",IF($I105=0,"OK",IF($G105&lt;=0,"Sin stock: pedir ya","Pedir o producir")))</f>
        <v/>
      </c>
      <c r="K105" s="17" t="n"/>
      <c r="L105" s="17" t="n"/>
      <c r="M105" s="21">
        <f>IF(OR($A105="",$A105&lt;&gt;'Lista para pedir'!$C$3,N($I105)&lt;=0),"",COUNTIFS($A$2:$A105,$A105,$I$2:$I105,"&gt;0"))</f>
        <v/>
      </c>
    </row>
    <row r="106">
      <c r="A106" s="20" t="n"/>
      <c r="B106" s="21">
        <f>IF($A106="","",CHOOSE(WEEKDAY($A106,2),"Lunes","Martes","Miércoles","Jueves","Viernes","Sábado","Domingo"))</f>
        <v/>
      </c>
      <c r="C106" s="17" t="n"/>
      <c r="D106" s="21">
        <f>IF($C106="","",IFERROR(INDEX(Insumos!$B$2:$B$151,MATCH($C106,Insumos!$A$2:$A$151,0)),"Código no cargado"))</f>
        <v/>
      </c>
      <c r="E106" s="21">
        <f>IF($C106="","",IFERROR(INDEX(Insumos!$C$2:$C$151,MATCH($C106,Insumos!$A$2:$A$151,0)),""))</f>
        <v/>
      </c>
      <c r="F106" s="21">
        <f>IF($C106="","",IFERROR(INDEX(Insumos!$D$2:$D$151,MATCH($C106,Insumos!$A$2:$A$151,0)),""))</f>
        <v/>
      </c>
      <c r="G106" s="18" t="n"/>
      <c r="H106" s="19">
        <f>IF(OR($A106="",$C106=""),"",IFERROR(INDEX(Insumos!$M$2:$S$151,MATCH($C106,Insumos!$A$2:$A$151,0),WEEKDAY($A106,2)),""))</f>
        <v/>
      </c>
      <c r="I106" s="19">
        <f>IF(OR($G106="",$H106=""),"",MAX(0,$H106-$G106))</f>
        <v/>
      </c>
      <c r="J106" s="21">
        <f>IF($I106="","",IF($I106=0,"OK",IF($G106&lt;=0,"Sin stock: pedir ya","Pedir o producir")))</f>
        <v/>
      </c>
      <c r="K106" s="17" t="n"/>
      <c r="L106" s="17" t="n"/>
      <c r="M106" s="21">
        <f>IF(OR($A106="",$A106&lt;&gt;'Lista para pedir'!$C$3,N($I106)&lt;=0),"",COUNTIFS($A$2:$A106,$A106,$I$2:$I106,"&gt;0"))</f>
        <v/>
      </c>
    </row>
    <row r="107">
      <c r="A107" s="20" t="n"/>
      <c r="B107" s="21">
        <f>IF($A107="","",CHOOSE(WEEKDAY($A107,2),"Lunes","Martes","Miércoles","Jueves","Viernes","Sábado","Domingo"))</f>
        <v/>
      </c>
      <c r="C107" s="17" t="n"/>
      <c r="D107" s="21">
        <f>IF($C107="","",IFERROR(INDEX(Insumos!$B$2:$B$151,MATCH($C107,Insumos!$A$2:$A$151,0)),"Código no cargado"))</f>
        <v/>
      </c>
      <c r="E107" s="21">
        <f>IF($C107="","",IFERROR(INDEX(Insumos!$C$2:$C$151,MATCH($C107,Insumos!$A$2:$A$151,0)),""))</f>
        <v/>
      </c>
      <c r="F107" s="21">
        <f>IF($C107="","",IFERROR(INDEX(Insumos!$D$2:$D$151,MATCH($C107,Insumos!$A$2:$A$151,0)),""))</f>
        <v/>
      </c>
      <c r="G107" s="18" t="n"/>
      <c r="H107" s="19">
        <f>IF(OR($A107="",$C107=""),"",IFERROR(INDEX(Insumos!$M$2:$S$151,MATCH($C107,Insumos!$A$2:$A$151,0),WEEKDAY($A107,2)),""))</f>
        <v/>
      </c>
      <c r="I107" s="19">
        <f>IF(OR($G107="",$H107=""),"",MAX(0,$H107-$G107))</f>
        <v/>
      </c>
      <c r="J107" s="21">
        <f>IF($I107="","",IF($I107=0,"OK",IF($G107&lt;=0,"Sin stock: pedir ya","Pedir o producir")))</f>
        <v/>
      </c>
      <c r="K107" s="17" t="n"/>
      <c r="L107" s="17" t="n"/>
      <c r="M107" s="21">
        <f>IF(OR($A107="",$A107&lt;&gt;'Lista para pedir'!$C$3,N($I107)&lt;=0),"",COUNTIFS($A$2:$A107,$A107,$I$2:$I107,"&gt;0"))</f>
        <v/>
      </c>
    </row>
    <row r="108">
      <c r="A108" s="20" t="n"/>
      <c r="B108" s="21">
        <f>IF($A108="","",CHOOSE(WEEKDAY($A108,2),"Lunes","Martes","Miércoles","Jueves","Viernes","Sábado","Domingo"))</f>
        <v/>
      </c>
      <c r="C108" s="17" t="n"/>
      <c r="D108" s="21">
        <f>IF($C108="","",IFERROR(INDEX(Insumos!$B$2:$B$151,MATCH($C108,Insumos!$A$2:$A$151,0)),"Código no cargado"))</f>
        <v/>
      </c>
      <c r="E108" s="21">
        <f>IF($C108="","",IFERROR(INDEX(Insumos!$C$2:$C$151,MATCH($C108,Insumos!$A$2:$A$151,0)),""))</f>
        <v/>
      </c>
      <c r="F108" s="21">
        <f>IF($C108="","",IFERROR(INDEX(Insumos!$D$2:$D$151,MATCH($C108,Insumos!$A$2:$A$151,0)),""))</f>
        <v/>
      </c>
      <c r="G108" s="18" t="n"/>
      <c r="H108" s="19">
        <f>IF(OR($A108="",$C108=""),"",IFERROR(INDEX(Insumos!$M$2:$S$151,MATCH($C108,Insumos!$A$2:$A$151,0),WEEKDAY($A108,2)),""))</f>
        <v/>
      </c>
      <c r="I108" s="19">
        <f>IF(OR($G108="",$H108=""),"",MAX(0,$H108-$G108))</f>
        <v/>
      </c>
      <c r="J108" s="21">
        <f>IF($I108="","",IF($I108=0,"OK",IF($G108&lt;=0,"Sin stock: pedir ya","Pedir o producir")))</f>
        <v/>
      </c>
      <c r="K108" s="17" t="n"/>
      <c r="L108" s="17" t="n"/>
      <c r="M108" s="21">
        <f>IF(OR($A108="",$A108&lt;&gt;'Lista para pedir'!$C$3,N($I108)&lt;=0),"",COUNTIFS($A$2:$A108,$A108,$I$2:$I108,"&gt;0"))</f>
        <v/>
      </c>
    </row>
    <row r="109">
      <c r="A109" s="20" t="n"/>
      <c r="B109" s="21">
        <f>IF($A109="","",CHOOSE(WEEKDAY($A109,2),"Lunes","Martes","Miércoles","Jueves","Viernes","Sábado","Domingo"))</f>
        <v/>
      </c>
      <c r="C109" s="17" t="n"/>
      <c r="D109" s="21">
        <f>IF($C109="","",IFERROR(INDEX(Insumos!$B$2:$B$151,MATCH($C109,Insumos!$A$2:$A$151,0)),"Código no cargado"))</f>
        <v/>
      </c>
      <c r="E109" s="21">
        <f>IF($C109="","",IFERROR(INDEX(Insumos!$C$2:$C$151,MATCH($C109,Insumos!$A$2:$A$151,0)),""))</f>
        <v/>
      </c>
      <c r="F109" s="21">
        <f>IF($C109="","",IFERROR(INDEX(Insumos!$D$2:$D$151,MATCH($C109,Insumos!$A$2:$A$151,0)),""))</f>
        <v/>
      </c>
      <c r="G109" s="18" t="n"/>
      <c r="H109" s="19">
        <f>IF(OR($A109="",$C109=""),"",IFERROR(INDEX(Insumos!$M$2:$S$151,MATCH($C109,Insumos!$A$2:$A$151,0),WEEKDAY($A109,2)),""))</f>
        <v/>
      </c>
      <c r="I109" s="19">
        <f>IF(OR($G109="",$H109=""),"",MAX(0,$H109-$G109))</f>
        <v/>
      </c>
      <c r="J109" s="21">
        <f>IF($I109="","",IF($I109=0,"OK",IF($G109&lt;=0,"Sin stock: pedir ya","Pedir o producir")))</f>
        <v/>
      </c>
      <c r="K109" s="17" t="n"/>
      <c r="L109" s="17" t="n"/>
      <c r="M109" s="21">
        <f>IF(OR($A109="",$A109&lt;&gt;'Lista para pedir'!$C$3,N($I109)&lt;=0),"",COUNTIFS($A$2:$A109,$A109,$I$2:$I109,"&gt;0"))</f>
        <v/>
      </c>
    </row>
    <row r="110">
      <c r="A110" s="20" t="n"/>
      <c r="B110" s="21">
        <f>IF($A110="","",CHOOSE(WEEKDAY($A110,2),"Lunes","Martes","Miércoles","Jueves","Viernes","Sábado","Domingo"))</f>
        <v/>
      </c>
      <c r="C110" s="17" t="n"/>
      <c r="D110" s="21">
        <f>IF($C110="","",IFERROR(INDEX(Insumos!$B$2:$B$151,MATCH($C110,Insumos!$A$2:$A$151,0)),"Código no cargado"))</f>
        <v/>
      </c>
      <c r="E110" s="21">
        <f>IF($C110="","",IFERROR(INDEX(Insumos!$C$2:$C$151,MATCH($C110,Insumos!$A$2:$A$151,0)),""))</f>
        <v/>
      </c>
      <c r="F110" s="21">
        <f>IF($C110="","",IFERROR(INDEX(Insumos!$D$2:$D$151,MATCH($C110,Insumos!$A$2:$A$151,0)),""))</f>
        <v/>
      </c>
      <c r="G110" s="18" t="n"/>
      <c r="H110" s="19">
        <f>IF(OR($A110="",$C110=""),"",IFERROR(INDEX(Insumos!$M$2:$S$151,MATCH($C110,Insumos!$A$2:$A$151,0),WEEKDAY($A110,2)),""))</f>
        <v/>
      </c>
      <c r="I110" s="19">
        <f>IF(OR($G110="",$H110=""),"",MAX(0,$H110-$G110))</f>
        <v/>
      </c>
      <c r="J110" s="21">
        <f>IF($I110="","",IF($I110=0,"OK",IF($G110&lt;=0,"Sin stock: pedir ya","Pedir o producir")))</f>
        <v/>
      </c>
      <c r="K110" s="17" t="n"/>
      <c r="L110" s="17" t="n"/>
      <c r="M110" s="21">
        <f>IF(OR($A110="",$A110&lt;&gt;'Lista para pedir'!$C$3,N($I110)&lt;=0),"",COUNTIFS($A$2:$A110,$A110,$I$2:$I110,"&gt;0"))</f>
        <v/>
      </c>
    </row>
    <row r="111">
      <c r="A111" s="20" t="n"/>
      <c r="B111" s="21">
        <f>IF($A111="","",CHOOSE(WEEKDAY($A111,2),"Lunes","Martes","Miércoles","Jueves","Viernes","Sábado","Domingo"))</f>
        <v/>
      </c>
      <c r="C111" s="17" t="n"/>
      <c r="D111" s="21">
        <f>IF($C111="","",IFERROR(INDEX(Insumos!$B$2:$B$151,MATCH($C111,Insumos!$A$2:$A$151,0)),"Código no cargado"))</f>
        <v/>
      </c>
      <c r="E111" s="21">
        <f>IF($C111="","",IFERROR(INDEX(Insumos!$C$2:$C$151,MATCH($C111,Insumos!$A$2:$A$151,0)),""))</f>
        <v/>
      </c>
      <c r="F111" s="21">
        <f>IF($C111="","",IFERROR(INDEX(Insumos!$D$2:$D$151,MATCH($C111,Insumos!$A$2:$A$151,0)),""))</f>
        <v/>
      </c>
      <c r="G111" s="18" t="n"/>
      <c r="H111" s="19">
        <f>IF(OR($A111="",$C111=""),"",IFERROR(INDEX(Insumos!$M$2:$S$151,MATCH($C111,Insumos!$A$2:$A$151,0),WEEKDAY($A111,2)),""))</f>
        <v/>
      </c>
      <c r="I111" s="19">
        <f>IF(OR($G111="",$H111=""),"",MAX(0,$H111-$G111))</f>
        <v/>
      </c>
      <c r="J111" s="21">
        <f>IF($I111="","",IF($I111=0,"OK",IF($G111&lt;=0,"Sin stock: pedir ya","Pedir o producir")))</f>
        <v/>
      </c>
      <c r="K111" s="17" t="n"/>
      <c r="L111" s="17" t="n"/>
      <c r="M111" s="21">
        <f>IF(OR($A111="",$A111&lt;&gt;'Lista para pedir'!$C$3,N($I111)&lt;=0),"",COUNTIFS($A$2:$A111,$A111,$I$2:$I111,"&gt;0"))</f>
        <v/>
      </c>
    </row>
    <row r="112">
      <c r="A112" s="20" t="n"/>
      <c r="B112" s="21">
        <f>IF($A112="","",CHOOSE(WEEKDAY($A112,2),"Lunes","Martes","Miércoles","Jueves","Viernes","Sábado","Domingo"))</f>
        <v/>
      </c>
      <c r="C112" s="17" t="n"/>
      <c r="D112" s="21">
        <f>IF($C112="","",IFERROR(INDEX(Insumos!$B$2:$B$151,MATCH($C112,Insumos!$A$2:$A$151,0)),"Código no cargado"))</f>
        <v/>
      </c>
      <c r="E112" s="21">
        <f>IF($C112="","",IFERROR(INDEX(Insumos!$C$2:$C$151,MATCH($C112,Insumos!$A$2:$A$151,0)),""))</f>
        <v/>
      </c>
      <c r="F112" s="21">
        <f>IF($C112="","",IFERROR(INDEX(Insumos!$D$2:$D$151,MATCH($C112,Insumos!$A$2:$A$151,0)),""))</f>
        <v/>
      </c>
      <c r="G112" s="18" t="n"/>
      <c r="H112" s="19">
        <f>IF(OR($A112="",$C112=""),"",IFERROR(INDEX(Insumos!$M$2:$S$151,MATCH($C112,Insumos!$A$2:$A$151,0),WEEKDAY($A112,2)),""))</f>
        <v/>
      </c>
      <c r="I112" s="19">
        <f>IF(OR($G112="",$H112=""),"",MAX(0,$H112-$G112))</f>
        <v/>
      </c>
      <c r="J112" s="21">
        <f>IF($I112="","",IF($I112=0,"OK",IF($G112&lt;=0,"Sin stock: pedir ya","Pedir o producir")))</f>
        <v/>
      </c>
      <c r="K112" s="17" t="n"/>
      <c r="L112" s="17" t="n"/>
      <c r="M112" s="21">
        <f>IF(OR($A112="",$A112&lt;&gt;'Lista para pedir'!$C$3,N($I112)&lt;=0),"",COUNTIFS($A$2:$A112,$A112,$I$2:$I112,"&gt;0"))</f>
        <v/>
      </c>
    </row>
    <row r="113">
      <c r="A113" s="20" t="n"/>
      <c r="B113" s="21">
        <f>IF($A113="","",CHOOSE(WEEKDAY($A113,2),"Lunes","Martes","Miércoles","Jueves","Viernes","Sábado","Domingo"))</f>
        <v/>
      </c>
      <c r="C113" s="17" t="n"/>
      <c r="D113" s="21">
        <f>IF($C113="","",IFERROR(INDEX(Insumos!$B$2:$B$151,MATCH($C113,Insumos!$A$2:$A$151,0)),"Código no cargado"))</f>
        <v/>
      </c>
      <c r="E113" s="21">
        <f>IF($C113="","",IFERROR(INDEX(Insumos!$C$2:$C$151,MATCH($C113,Insumos!$A$2:$A$151,0)),""))</f>
        <v/>
      </c>
      <c r="F113" s="21">
        <f>IF($C113="","",IFERROR(INDEX(Insumos!$D$2:$D$151,MATCH($C113,Insumos!$A$2:$A$151,0)),""))</f>
        <v/>
      </c>
      <c r="G113" s="18" t="n"/>
      <c r="H113" s="19">
        <f>IF(OR($A113="",$C113=""),"",IFERROR(INDEX(Insumos!$M$2:$S$151,MATCH($C113,Insumos!$A$2:$A$151,0),WEEKDAY($A113,2)),""))</f>
        <v/>
      </c>
      <c r="I113" s="19">
        <f>IF(OR($G113="",$H113=""),"",MAX(0,$H113-$G113))</f>
        <v/>
      </c>
      <c r="J113" s="21">
        <f>IF($I113="","",IF($I113=0,"OK",IF($G113&lt;=0,"Sin stock: pedir ya","Pedir o producir")))</f>
        <v/>
      </c>
      <c r="K113" s="17" t="n"/>
      <c r="L113" s="17" t="n"/>
      <c r="M113" s="21">
        <f>IF(OR($A113="",$A113&lt;&gt;'Lista para pedir'!$C$3,N($I113)&lt;=0),"",COUNTIFS($A$2:$A113,$A113,$I$2:$I113,"&gt;0"))</f>
        <v/>
      </c>
    </row>
    <row r="114">
      <c r="A114" s="20" t="n"/>
      <c r="B114" s="21">
        <f>IF($A114="","",CHOOSE(WEEKDAY($A114,2),"Lunes","Martes","Miércoles","Jueves","Viernes","Sábado","Domingo"))</f>
        <v/>
      </c>
      <c r="C114" s="17" t="n"/>
      <c r="D114" s="21">
        <f>IF($C114="","",IFERROR(INDEX(Insumos!$B$2:$B$151,MATCH($C114,Insumos!$A$2:$A$151,0)),"Código no cargado"))</f>
        <v/>
      </c>
      <c r="E114" s="21">
        <f>IF($C114="","",IFERROR(INDEX(Insumos!$C$2:$C$151,MATCH($C114,Insumos!$A$2:$A$151,0)),""))</f>
        <v/>
      </c>
      <c r="F114" s="21">
        <f>IF($C114="","",IFERROR(INDEX(Insumos!$D$2:$D$151,MATCH($C114,Insumos!$A$2:$A$151,0)),""))</f>
        <v/>
      </c>
      <c r="G114" s="18" t="n"/>
      <c r="H114" s="19">
        <f>IF(OR($A114="",$C114=""),"",IFERROR(INDEX(Insumos!$M$2:$S$151,MATCH($C114,Insumos!$A$2:$A$151,0),WEEKDAY($A114,2)),""))</f>
        <v/>
      </c>
      <c r="I114" s="19">
        <f>IF(OR($G114="",$H114=""),"",MAX(0,$H114-$G114))</f>
        <v/>
      </c>
      <c r="J114" s="21">
        <f>IF($I114="","",IF($I114=0,"OK",IF($G114&lt;=0,"Sin stock: pedir ya","Pedir o producir")))</f>
        <v/>
      </c>
      <c r="K114" s="17" t="n"/>
      <c r="L114" s="17" t="n"/>
      <c r="M114" s="21">
        <f>IF(OR($A114="",$A114&lt;&gt;'Lista para pedir'!$C$3,N($I114)&lt;=0),"",COUNTIFS($A$2:$A114,$A114,$I$2:$I114,"&gt;0"))</f>
        <v/>
      </c>
    </row>
    <row r="115">
      <c r="A115" s="20" t="n"/>
      <c r="B115" s="21">
        <f>IF($A115="","",CHOOSE(WEEKDAY($A115,2),"Lunes","Martes","Miércoles","Jueves","Viernes","Sábado","Domingo"))</f>
        <v/>
      </c>
      <c r="C115" s="17" t="n"/>
      <c r="D115" s="21">
        <f>IF($C115="","",IFERROR(INDEX(Insumos!$B$2:$B$151,MATCH($C115,Insumos!$A$2:$A$151,0)),"Código no cargado"))</f>
        <v/>
      </c>
      <c r="E115" s="21">
        <f>IF($C115="","",IFERROR(INDEX(Insumos!$C$2:$C$151,MATCH($C115,Insumos!$A$2:$A$151,0)),""))</f>
        <v/>
      </c>
      <c r="F115" s="21">
        <f>IF($C115="","",IFERROR(INDEX(Insumos!$D$2:$D$151,MATCH($C115,Insumos!$A$2:$A$151,0)),""))</f>
        <v/>
      </c>
      <c r="G115" s="18" t="n"/>
      <c r="H115" s="19">
        <f>IF(OR($A115="",$C115=""),"",IFERROR(INDEX(Insumos!$M$2:$S$151,MATCH($C115,Insumos!$A$2:$A$151,0),WEEKDAY($A115,2)),""))</f>
        <v/>
      </c>
      <c r="I115" s="19">
        <f>IF(OR($G115="",$H115=""),"",MAX(0,$H115-$G115))</f>
        <v/>
      </c>
      <c r="J115" s="21">
        <f>IF($I115="","",IF($I115=0,"OK",IF($G115&lt;=0,"Sin stock: pedir ya","Pedir o producir")))</f>
        <v/>
      </c>
      <c r="K115" s="17" t="n"/>
      <c r="L115" s="17" t="n"/>
      <c r="M115" s="21">
        <f>IF(OR($A115="",$A115&lt;&gt;'Lista para pedir'!$C$3,N($I115)&lt;=0),"",COUNTIFS($A$2:$A115,$A115,$I$2:$I115,"&gt;0"))</f>
        <v/>
      </c>
    </row>
    <row r="116">
      <c r="A116" s="20" t="n"/>
      <c r="B116" s="21">
        <f>IF($A116="","",CHOOSE(WEEKDAY($A116,2),"Lunes","Martes","Miércoles","Jueves","Viernes","Sábado","Domingo"))</f>
        <v/>
      </c>
      <c r="C116" s="17" t="n"/>
      <c r="D116" s="21">
        <f>IF($C116="","",IFERROR(INDEX(Insumos!$B$2:$B$151,MATCH($C116,Insumos!$A$2:$A$151,0)),"Código no cargado"))</f>
        <v/>
      </c>
      <c r="E116" s="21">
        <f>IF($C116="","",IFERROR(INDEX(Insumos!$C$2:$C$151,MATCH($C116,Insumos!$A$2:$A$151,0)),""))</f>
        <v/>
      </c>
      <c r="F116" s="21">
        <f>IF($C116="","",IFERROR(INDEX(Insumos!$D$2:$D$151,MATCH($C116,Insumos!$A$2:$A$151,0)),""))</f>
        <v/>
      </c>
      <c r="G116" s="18" t="n"/>
      <c r="H116" s="19">
        <f>IF(OR($A116="",$C116=""),"",IFERROR(INDEX(Insumos!$M$2:$S$151,MATCH($C116,Insumos!$A$2:$A$151,0),WEEKDAY($A116,2)),""))</f>
        <v/>
      </c>
      <c r="I116" s="19">
        <f>IF(OR($G116="",$H116=""),"",MAX(0,$H116-$G116))</f>
        <v/>
      </c>
      <c r="J116" s="21">
        <f>IF($I116="","",IF($I116=0,"OK",IF($G116&lt;=0,"Sin stock: pedir ya","Pedir o producir")))</f>
        <v/>
      </c>
      <c r="K116" s="17" t="n"/>
      <c r="L116" s="17" t="n"/>
      <c r="M116" s="21">
        <f>IF(OR($A116="",$A116&lt;&gt;'Lista para pedir'!$C$3,N($I116)&lt;=0),"",COUNTIFS($A$2:$A116,$A116,$I$2:$I116,"&gt;0"))</f>
        <v/>
      </c>
    </row>
    <row r="117">
      <c r="A117" s="20" t="n"/>
      <c r="B117" s="21">
        <f>IF($A117="","",CHOOSE(WEEKDAY($A117,2),"Lunes","Martes","Miércoles","Jueves","Viernes","Sábado","Domingo"))</f>
        <v/>
      </c>
      <c r="C117" s="17" t="n"/>
      <c r="D117" s="21">
        <f>IF($C117="","",IFERROR(INDEX(Insumos!$B$2:$B$151,MATCH($C117,Insumos!$A$2:$A$151,0)),"Código no cargado"))</f>
        <v/>
      </c>
      <c r="E117" s="21">
        <f>IF($C117="","",IFERROR(INDEX(Insumos!$C$2:$C$151,MATCH($C117,Insumos!$A$2:$A$151,0)),""))</f>
        <v/>
      </c>
      <c r="F117" s="21">
        <f>IF($C117="","",IFERROR(INDEX(Insumos!$D$2:$D$151,MATCH($C117,Insumos!$A$2:$A$151,0)),""))</f>
        <v/>
      </c>
      <c r="G117" s="18" t="n"/>
      <c r="H117" s="19">
        <f>IF(OR($A117="",$C117=""),"",IFERROR(INDEX(Insumos!$M$2:$S$151,MATCH($C117,Insumos!$A$2:$A$151,0),WEEKDAY($A117,2)),""))</f>
        <v/>
      </c>
      <c r="I117" s="19">
        <f>IF(OR($G117="",$H117=""),"",MAX(0,$H117-$G117))</f>
        <v/>
      </c>
      <c r="J117" s="21">
        <f>IF($I117="","",IF($I117=0,"OK",IF($G117&lt;=0,"Sin stock: pedir ya","Pedir o producir")))</f>
        <v/>
      </c>
      <c r="K117" s="17" t="n"/>
      <c r="L117" s="17" t="n"/>
      <c r="M117" s="21">
        <f>IF(OR($A117="",$A117&lt;&gt;'Lista para pedir'!$C$3,N($I117)&lt;=0),"",COUNTIFS($A$2:$A117,$A117,$I$2:$I117,"&gt;0"))</f>
        <v/>
      </c>
    </row>
    <row r="118">
      <c r="A118" s="20" t="n"/>
      <c r="B118" s="21">
        <f>IF($A118="","",CHOOSE(WEEKDAY($A118,2),"Lunes","Martes","Miércoles","Jueves","Viernes","Sábado","Domingo"))</f>
        <v/>
      </c>
      <c r="C118" s="17" t="n"/>
      <c r="D118" s="21">
        <f>IF($C118="","",IFERROR(INDEX(Insumos!$B$2:$B$151,MATCH($C118,Insumos!$A$2:$A$151,0)),"Código no cargado"))</f>
        <v/>
      </c>
      <c r="E118" s="21">
        <f>IF($C118="","",IFERROR(INDEX(Insumos!$C$2:$C$151,MATCH($C118,Insumos!$A$2:$A$151,0)),""))</f>
        <v/>
      </c>
      <c r="F118" s="21">
        <f>IF($C118="","",IFERROR(INDEX(Insumos!$D$2:$D$151,MATCH($C118,Insumos!$A$2:$A$151,0)),""))</f>
        <v/>
      </c>
      <c r="G118" s="18" t="n"/>
      <c r="H118" s="19">
        <f>IF(OR($A118="",$C118=""),"",IFERROR(INDEX(Insumos!$M$2:$S$151,MATCH($C118,Insumos!$A$2:$A$151,0),WEEKDAY($A118,2)),""))</f>
        <v/>
      </c>
      <c r="I118" s="19">
        <f>IF(OR($G118="",$H118=""),"",MAX(0,$H118-$G118))</f>
        <v/>
      </c>
      <c r="J118" s="21">
        <f>IF($I118="","",IF($I118=0,"OK",IF($G118&lt;=0,"Sin stock: pedir ya","Pedir o producir")))</f>
        <v/>
      </c>
      <c r="K118" s="17" t="n"/>
      <c r="L118" s="17" t="n"/>
      <c r="M118" s="21">
        <f>IF(OR($A118="",$A118&lt;&gt;'Lista para pedir'!$C$3,N($I118)&lt;=0),"",COUNTIFS($A$2:$A118,$A118,$I$2:$I118,"&gt;0"))</f>
        <v/>
      </c>
    </row>
    <row r="119">
      <c r="A119" s="20" t="n"/>
      <c r="B119" s="21">
        <f>IF($A119="","",CHOOSE(WEEKDAY($A119,2),"Lunes","Martes","Miércoles","Jueves","Viernes","Sábado","Domingo"))</f>
        <v/>
      </c>
      <c r="C119" s="17" t="n"/>
      <c r="D119" s="21">
        <f>IF($C119="","",IFERROR(INDEX(Insumos!$B$2:$B$151,MATCH($C119,Insumos!$A$2:$A$151,0)),"Código no cargado"))</f>
        <v/>
      </c>
      <c r="E119" s="21">
        <f>IF($C119="","",IFERROR(INDEX(Insumos!$C$2:$C$151,MATCH($C119,Insumos!$A$2:$A$151,0)),""))</f>
        <v/>
      </c>
      <c r="F119" s="21">
        <f>IF($C119="","",IFERROR(INDEX(Insumos!$D$2:$D$151,MATCH($C119,Insumos!$A$2:$A$151,0)),""))</f>
        <v/>
      </c>
      <c r="G119" s="18" t="n"/>
      <c r="H119" s="19">
        <f>IF(OR($A119="",$C119=""),"",IFERROR(INDEX(Insumos!$M$2:$S$151,MATCH($C119,Insumos!$A$2:$A$151,0),WEEKDAY($A119,2)),""))</f>
        <v/>
      </c>
      <c r="I119" s="19">
        <f>IF(OR($G119="",$H119=""),"",MAX(0,$H119-$G119))</f>
        <v/>
      </c>
      <c r="J119" s="21">
        <f>IF($I119="","",IF($I119=0,"OK",IF($G119&lt;=0,"Sin stock: pedir ya","Pedir o producir")))</f>
        <v/>
      </c>
      <c r="K119" s="17" t="n"/>
      <c r="L119" s="17" t="n"/>
      <c r="M119" s="21">
        <f>IF(OR($A119="",$A119&lt;&gt;'Lista para pedir'!$C$3,N($I119)&lt;=0),"",COUNTIFS($A$2:$A119,$A119,$I$2:$I119,"&gt;0"))</f>
        <v/>
      </c>
    </row>
    <row r="120">
      <c r="A120" s="20" t="n"/>
      <c r="B120" s="21">
        <f>IF($A120="","",CHOOSE(WEEKDAY($A120,2),"Lunes","Martes","Miércoles","Jueves","Viernes","Sábado","Domingo"))</f>
        <v/>
      </c>
      <c r="C120" s="17" t="n"/>
      <c r="D120" s="21">
        <f>IF($C120="","",IFERROR(INDEX(Insumos!$B$2:$B$151,MATCH($C120,Insumos!$A$2:$A$151,0)),"Código no cargado"))</f>
        <v/>
      </c>
      <c r="E120" s="21">
        <f>IF($C120="","",IFERROR(INDEX(Insumos!$C$2:$C$151,MATCH($C120,Insumos!$A$2:$A$151,0)),""))</f>
        <v/>
      </c>
      <c r="F120" s="21">
        <f>IF($C120="","",IFERROR(INDEX(Insumos!$D$2:$D$151,MATCH($C120,Insumos!$A$2:$A$151,0)),""))</f>
        <v/>
      </c>
      <c r="G120" s="18" t="n"/>
      <c r="H120" s="19">
        <f>IF(OR($A120="",$C120=""),"",IFERROR(INDEX(Insumos!$M$2:$S$151,MATCH($C120,Insumos!$A$2:$A$151,0),WEEKDAY($A120,2)),""))</f>
        <v/>
      </c>
      <c r="I120" s="19">
        <f>IF(OR($G120="",$H120=""),"",MAX(0,$H120-$G120))</f>
        <v/>
      </c>
      <c r="J120" s="21">
        <f>IF($I120="","",IF($I120=0,"OK",IF($G120&lt;=0,"Sin stock: pedir ya","Pedir o producir")))</f>
        <v/>
      </c>
      <c r="K120" s="17" t="n"/>
      <c r="L120" s="17" t="n"/>
      <c r="M120" s="21">
        <f>IF(OR($A120="",$A120&lt;&gt;'Lista para pedir'!$C$3,N($I120)&lt;=0),"",COUNTIFS($A$2:$A120,$A120,$I$2:$I120,"&gt;0"))</f>
        <v/>
      </c>
    </row>
    <row r="121">
      <c r="A121" s="20" t="n"/>
      <c r="B121" s="21">
        <f>IF($A121="","",CHOOSE(WEEKDAY($A121,2),"Lunes","Martes","Miércoles","Jueves","Viernes","Sábado","Domingo"))</f>
        <v/>
      </c>
      <c r="C121" s="17" t="n"/>
      <c r="D121" s="21">
        <f>IF($C121="","",IFERROR(INDEX(Insumos!$B$2:$B$151,MATCH($C121,Insumos!$A$2:$A$151,0)),"Código no cargado"))</f>
        <v/>
      </c>
      <c r="E121" s="21">
        <f>IF($C121="","",IFERROR(INDEX(Insumos!$C$2:$C$151,MATCH($C121,Insumos!$A$2:$A$151,0)),""))</f>
        <v/>
      </c>
      <c r="F121" s="21">
        <f>IF($C121="","",IFERROR(INDEX(Insumos!$D$2:$D$151,MATCH($C121,Insumos!$A$2:$A$151,0)),""))</f>
        <v/>
      </c>
      <c r="G121" s="18" t="n"/>
      <c r="H121" s="19">
        <f>IF(OR($A121="",$C121=""),"",IFERROR(INDEX(Insumos!$M$2:$S$151,MATCH($C121,Insumos!$A$2:$A$151,0),WEEKDAY($A121,2)),""))</f>
        <v/>
      </c>
      <c r="I121" s="19">
        <f>IF(OR($G121="",$H121=""),"",MAX(0,$H121-$G121))</f>
        <v/>
      </c>
      <c r="J121" s="21">
        <f>IF($I121="","",IF($I121=0,"OK",IF($G121&lt;=0,"Sin stock: pedir ya","Pedir o producir")))</f>
        <v/>
      </c>
      <c r="K121" s="17" t="n"/>
      <c r="L121" s="17" t="n"/>
      <c r="M121" s="21">
        <f>IF(OR($A121="",$A121&lt;&gt;'Lista para pedir'!$C$3,N($I121)&lt;=0),"",COUNTIFS($A$2:$A121,$A121,$I$2:$I121,"&gt;0"))</f>
        <v/>
      </c>
    </row>
    <row r="122">
      <c r="A122" s="20" t="n"/>
      <c r="B122" s="21">
        <f>IF($A122="","",CHOOSE(WEEKDAY($A122,2),"Lunes","Martes","Miércoles","Jueves","Viernes","Sábado","Domingo"))</f>
        <v/>
      </c>
      <c r="C122" s="17" t="n"/>
      <c r="D122" s="21">
        <f>IF($C122="","",IFERROR(INDEX(Insumos!$B$2:$B$151,MATCH($C122,Insumos!$A$2:$A$151,0)),"Código no cargado"))</f>
        <v/>
      </c>
      <c r="E122" s="21">
        <f>IF($C122="","",IFERROR(INDEX(Insumos!$C$2:$C$151,MATCH($C122,Insumos!$A$2:$A$151,0)),""))</f>
        <v/>
      </c>
      <c r="F122" s="21">
        <f>IF($C122="","",IFERROR(INDEX(Insumos!$D$2:$D$151,MATCH($C122,Insumos!$A$2:$A$151,0)),""))</f>
        <v/>
      </c>
      <c r="G122" s="18" t="n"/>
      <c r="H122" s="19">
        <f>IF(OR($A122="",$C122=""),"",IFERROR(INDEX(Insumos!$M$2:$S$151,MATCH($C122,Insumos!$A$2:$A$151,0),WEEKDAY($A122,2)),""))</f>
        <v/>
      </c>
      <c r="I122" s="19">
        <f>IF(OR($G122="",$H122=""),"",MAX(0,$H122-$G122))</f>
        <v/>
      </c>
      <c r="J122" s="21">
        <f>IF($I122="","",IF($I122=0,"OK",IF($G122&lt;=0,"Sin stock: pedir ya","Pedir o producir")))</f>
        <v/>
      </c>
      <c r="K122" s="17" t="n"/>
      <c r="L122" s="17" t="n"/>
      <c r="M122" s="21">
        <f>IF(OR($A122="",$A122&lt;&gt;'Lista para pedir'!$C$3,N($I122)&lt;=0),"",COUNTIFS($A$2:$A122,$A122,$I$2:$I122,"&gt;0"))</f>
        <v/>
      </c>
    </row>
    <row r="123">
      <c r="A123" s="20" t="n"/>
      <c r="B123" s="21">
        <f>IF($A123="","",CHOOSE(WEEKDAY($A123,2),"Lunes","Martes","Miércoles","Jueves","Viernes","Sábado","Domingo"))</f>
        <v/>
      </c>
      <c r="C123" s="17" t="n"/>
      <c r="D123" s="21">
        <f>IF($C123="","",IFERROR(INDEX(Insumos!$B$2:$B$151,MATCH($C123,Insumos!$A$2:$A$151,0)),"Código no cargado"))</f>
        <v/>
      </c>
      <c r="E123" s="21">
        <f>IF($C123="","",IFERROR(INDEX(Insumos!$C$2:$C$151,MATCH($C123,Insumos!$A$2:$A$151,0)),""))</f>
        <v/>
      </c>
      <c r="F123" s="21">
        <f>IF($C123="","",IFERROR(INDEX(Insumos!$D$2:$D$151,MATCH($C123,Insumos!$A$2:$A$151,0)),""))</f>
        <v/>
      </c>
      <c r="G123" s="18" t="n"/>
      <c r="H123" s="19">
        <f>IF(OR($A123="",$C123=""),"",IFERROR(INDEX(Insumos!$M$2:$S$151,MATCH($C123,Insumos!$A$2:$A$151,0),WEEKDAY($A123,2)),""))</f>
        <v/>
      </c>
      <c r="I123" s="19">
        <f>IF(OR($G123="",$H123=""),"",MAX(0,$H123-$G123))</f>
        <v/>
      </c>
      <c r="J123" s="21">
        <f>IF($I123="","",IF($I123=0,"OK",IF($G123&lt;=0,"Sin stock: pedir ya","Pedir o producir")))</f>
        <v/>
      </c>
      <c r="K123" s="17" t="n"/>
      <c r="L123" s="17" t="n"/>
      <c r="M123" s="21">
        <f>IF(OR($A123="",$A123&lt;&gt;'Lista para pedir'!$C$3,N($I123)&lt;=0),"",COUNTIFS($A$2:$A123,$A123,$I$2:$I123,"&gt;0"))</f>
        <v/>
      </c>
    </row>
    <row r="124">
      <c r="A124" s="20" t="n"/>
      <c r="B124" s="21">
        <f>IF($A124="","",CHOOSE(WEEKDAY($A124,2),"Lunes","Martes","Miércoles","Jueves","Viernes","Sábado","Domingo"))</f>
        <v/>
      </c>
      <c r="C124" s="17" t="n"/>
      <c r="D124" s="21">
        <f>IF($C124="","",IFERROR(INDEX(Insumos!$B$2:$B$151,MATCH($C124,Insumos!$A$2:$A$151,0)),"Código no cargado"))</f>
        <v/>
      </c>
      <c r="E124" s="21">
        <f>IF($C124="","",IFERROR(INDEX(Insumos!$C$2:$C$151,MATCH($C124,Insumos!$A$2:$A$151,0)),""))</f>
        <v/>
      </c>
      <c r="F124" s="21">
        <f>IF($C124="","",IFERROR(INDEX(Insumos!$D$2:$D$151,MATCH($C124,Insumos!$A$2:$A$151,0)),""))</f>
        <v/>
      </c>
      <c r="G124" s="18" t="n"/>
      <c r="H124" s="19">
        <f>IF(OR($A124="",$C124=""),"",IFERROR(INDEX(Insumos!$M$2:$S$151,MATCH($C124,Insumos!$A$2:$A$151,0),WEEKDAY($A124,2)),""))</f>
        <v/>
      </c>
      <c r="I124" s="19">
        <f>IF(OR($G124="",$H124=""),"",MAX(0,$H124-$G124))</f>
        <v/>
      </c>
      <c r="J124" s="21">
        <f>IF($I124="","",IF($I124=0,"OK",IF($G124&lt;=0,"Sin stock: pedir ya","Pedir o producir")))</f>
        <v/>
      </c>
      <c r="K124" s="17" t="n"/>
      <c r="L124" s="17" t="n"/>
      <c r="M124" s="21">
        <f>IF(OR($A124="",$A124&lt;&gt;'Lista para pedir'!$C$3,N($I124)&lt;=0),"",COUNTIFS($A$2:$A124,$A124,$I$2:$I124,"&gt;0"))</f>
        <v/>
      </c>
    </row>
    <row r="125">
      <c r="A125" s="20" t="n"/>
      <c r="B125" s="21">
        <f>IF($A125="","",CHOOSE(WEEKDAY($A125,2),"Lunes","Martes","Miércoles","Jueves","Viernes","Sábado","Domingo"))</f>
        <v/>
      </c>
      <c r="C125" s="17" t="n"/>
      <c r="D125" s="21">
        <f>IF($C125="","",IFERROR(INDEX(Insumos!$B$2:$B$151,MATCH($C125,Insumos!$A$2:$A$151,0)),"Código no cargado"))</f>
        <v/>
      </c>
      <c r="E125" s="21">
        <f>IF($C125="","",IFERROR(INDEX(Insumos!$C$2:$C$151,MATCH($C125,Insumos!$A$2:$A$151,0)),""))</f>
        <v/>
      </c>
      <c r="F125" s="21">
        <f>IF($C125="","",IFERROR(INDEX(Insumos!$D$2:$D$151,MATCH($C125,Insumos!$A$2:$A$151,0)),""))</f>
        <v/>
      </c>
      <c r="G125" s="18" t="n"/>
      <c r="H125" s="19">
        <f>IF(OR($A125="",$C125=""),"",IFERROR(INDEX(Insumos!$M$2:$S$151,MATCH($C125,Insumos!$A$2:$A$151,0),WEEKDAY($A125,2)),""))</f>
        <v/>
      </c>
      <c r="I125" s="19">
        <f>IF(OR($G125="",$H125=""),"",MAX(0,$H125-$G125))</f>
        <v/>
      </c>
      <c r="J125" s="21">
        <f>IF($I125="","",IF($I125=0,"OK",IF($G125&lt;=0,"Sin stock: pedir ya","Pedir o producir")))</f>
        <v/>
      </c>
      <c r="K125" s="17" t="n"/>
      <c r="L125" s="17" t="n"/>
      <c r="M125" s="21">
        <f>IF(OR($A125="",$A125&lt;&gt;'Lista para pedir'!$C$3,N($I125)&lt;=0),"",COUNTIFS($A$2:$A125,$A125,$I$2:$I125,"&gt;0"))</f>
        <v/>
      </c>
    </row>
    <row r="126">
      <c r="A126" s="20" t="n"/>
      <c r="B126" s="21">
        <f>IF($A126="","",CHOOSE(WEEKDAY($A126,2),"Lunes","Martes","Miércoles","Jueves","Viernes","Sábado","Domingo"))</f>
        <v/>
      </c>
      <c r="C126" s="17" t="n"/>
      <c r="D126" s="21">
        <f>IF($C126="","",IFERROR(INDEX(Insumos!$B$2:$B$151,MATCH($C126,Insumos!$A$2:$A$151,0)),"Código no cargado"))</f>
        <v/>
      </c>
      <c r="E126" s="21">
        <f>IF($C126="","",IFERROR(INDEX(Insumos!$C$2:$C$151,MATCH($C126,Insumos!$A$2:$A$151,0)),""))</f>
        <v/>
      </c>
      <c r="F126" s="21">
        <f>IF($C126="","",IFERROR(INDEX(Insumos!$D$2:$D$151,MATCH($C126,Insumos!$A$2:$A$151,0)),""))</f>
        <v/>
      </c>
      <c r="G126" s="18" t="n"/>
      <c r="H126" s="19">
        <f>IF(OR($A126="",$C126=""),"",IFERROR(INDEX(Insumos!$M$2:$S$151,MATCH($C126,Insumos!$A$2:$A$151,0),WEEKDAY($A126,2)),""))</f>
        <v/>
      </c>
      <c r="I126" s="19">
        <f>IF(OR($G126="",$H126=""),"",MAX(0,$H126-$G126))</f>
        <v/>
      </c>
      <c r="J126" s="21">
        <f>IF($I126="","",IF($I126=0,"OK",IF($G126&lt;=0,"Sin stock: pedir ya","Pedir o producir")))</f>
        <v/>
      </c>
      <c r="K126" s="17" t="n"/>
      <c r="L126" s="17" t="n"/>
      <c r="M126" s="21">
        <f>IF(OR($A126="",$A126&lt;&gt;'Lista para pedir'!$C$3,N($I126)&lt;=0),"",COUNTIFS($A$2:$A126,$A126,$I$2:$I126,"&gt;0"))</f>
        <v/>
      </c>
    </row>
    <row r="127">
      <c r="A127" s="20" t="n"/>
      <c r="B127" s="21">
        <f>IF($A127="","",CHOOSE(WEEKDAY($A127,2),"Lunes","Martes","Miércoles","Jueves","Viernes","Sábado","Domingo"))</f>
        <v/>
      </c>
      <c r="C127" s="17" t="n"/>
      <c r="D127" s="21">
        <f>IF($C127="","",IFERROR(INDEX(Insumos!$B$2:$B$151,MATCH($C127,Insumos!$A$2:$A$151,0)),"Código no cargado"))</f>
        <v/>
      </c>
      <c r="E127" s="21">
        <f>IF($C127="","",IFERROR(INDEX(Insumos!$C$2:$C$151,MATCH($C127,Insumos!$A$2:$A$151,0)),""))</f>
        <v/>
      </c>
      <c r="F127" s="21">
        <f>IF($C127="","",IFERROR(INDEX(Insumos!$D$2:$D$151,MATCH($C127,Insumos!$A$2:$A$151,0)),""))</f>
        <v/>
      </c>
      <c r="G127" s="18" t="n"/>
      <c r="H127" s="19">
        <f>IF(OR($A127="",$C127=""),"",IFERROR(INDEX(Insumos!$M$2:$S$151,MATCH($C127,Insumos!$A$2:$A$151,0),WEEKDAY($A127,2)),""))</f>
        <v/>
      </c>
      <c r="I127" s="19">
        <f>IF(OR($G127="",$H127=""),"",MAX(0,$H127-$G127))</f>
        <v/>
      </c>
      <c r="J127" s="21">
        <f>IF($I127="","",IF($I127=0,"OK",IF($G127&lt;=0,"Sin stock: pedir ya","Pedir o producir")))</f>
        <v/>
      </c>
      <c r="K127" s="17" t="n"/>
      <c r="L127" s="17" t="n"/>
      <c r="M127" s="21">
        <f>IF(OR($A127="",$A127&lt;&gt;'Lista para pedir'!$C$3,N($I127)&lt;=0),"",COUNTIFS($A$2:$A127,$A127,$I$2:$I127,"&gt;0"))</f>
        <v/>
      </c>
    </row>
    <row r="128">
      <c r="A128" s="20" t="n"/>
      <c r="B128" s="21">
        <f>IF($A128="","",CHOOSE(WEEKDAY($A128,2),"Lunes","Martes","Miércoles","Jueves","Viernes","Sábado","Domingo"))</f>
        <v/>
      </c>
      <c r="C128" s="17" t="n"/>
      <c r="D128" s="21">
        <f>IF($C128="","",IFERROR(INDEX(Insumos!$B$2:$B$151,MATCH($C128,Insumos!$A$2:$A$151,0)),"Código no cargado"))</f>
        <v/>
      </c>
      <c r="E128" s="21">
        <f>IF($C128="","",IFERROR(INDEX(Insumos!$C$2:$C$151,MATCH($C128,Insumos!$A$2:$A$151,0)),""))</f>
        <v/>
      </c>
      <c r="F128" s="21">
        <f>IF($C128="","",IFERROR(INDEX(Insumos!$D$2:$D$151,MATCH($C128,Insumos!$A$2:$A$151,0)),""))</f>
        <v/>
      </c>
      <c r="G128" s="18" t="n"/>
      <c r="H128" s="19">
        <f>IF(OR($A128="",$C128=""),"",IFERROR(INDEX(Insumos!$M$2:$S$151,MATCH($C128,Insumos!$A$2:$A$151,0),WEEKDAY($A128,2)),""))</f>
        <v/>
      </c>
      <c r="I128" s="19">
        <f>IF(OR($G128="",$H128=""),"",MAX(0,$H128-$G128))</f>
        <v/>
      </c>
      <c r="J128" s="21">
        <f>IF($I128="","",IF($I128=0,"OK",IF($G128&lt;=0,"Sin stock: pedir ya","Pedir o producir")))</f>
        <v/>
      </c>
      <c r="K128" s="17" t="n"/>
      <c r="L128" s="17" t="n"/>
      <c r="M128" s="21">
        <f>IF(OR($A128="",$A128&lt;&gt;'Lista para pedir'!$C$3,N($I128)&lt;=0),"",COUNTIFS($A$2:$A128,$A128,$I$2:$I128,"&gt;0"))</f>
        <v/>
      </c>
    </row>
    <row r="129">
      <c r="A129" s="20" t="n"/>
      <c r="B129" s="21">
        <f>IF($A129="","",CHOOSE(WEEKDAY($A129,2),"Lunes","Martes","Miércoles","Jueves","Viernes","Sábado","Domingo"))</f>
        <v/>
      </c>
      <c r="C129" s="17" t="n"/>
      <c r="D129" s="21">
        <f>IF($C129="","",IFERROR(INDEX(Insumos!$B$2:$B$151,MATCH($C129,Insumos!$A$2:$A$151,0)),"Código no cargado"))</f>
        <v/>
      </c>
      <c r="E129" s="21">
        <f>IF($C129="","",IFERROR(INDEX(Insumos!$C$2:$C$151,MATCH($C129,Insumos!$A$2:$A$151,0)),""))</f>
        <v/>
      </c>
      <c r="F129" s="21">
        <f>IF($C129="","",IFERROR(INDEX(Insumos!$D$2:$D$151,MATCH($C129,Insumos!$A$2:$A$151,0)),""))</f>
        <v/>
      </c>
      <c r="G129" s="18" t="n"/>
      <c r="H129" s="19">
        <f>IF(OR($A129="",$C129=""),"",IFERROR(INDEX(Insumos!$M$2:$S$151,MATCH($C129,Insumos!$A$2:$A$151,0),WEEKDAY($A129,2)),""))</f>
        <v/>
      </c>
      <c r="I129" s="19">
        <f>IF(OR($G129="",$H129=""),"",MAX(0,$H129-$G129))</f>
        <v/>
      </c>
      <c r="J129" s="21">
        <f>IF($I129="","",IF($I129=0,"OK",IF($G129&lt;=0,"Sin stock: pedir ya","Pedir o producir")))</f>
        <v/>
      </c>
      <c r="K129" s="17" t="n"/>
      <c r="L129" s="17" t="n"/>
      <c r="M129" s="21">
        <f>IF(OR($A129="",$A129&lt;&gt;'Lista para pedir'!$C$3,N($I129)&lt;=0),"",COUNTIFS($A$2:$A129,$A129,$I$2:$I129,"&gt;0"))</f>
        <v/>
      </c>
    </row>
    <row r="130">
      <c r="A130" s="20" t="n"/>
      <c r="B130" s="21">
        <f>IF($A130="","",CHOOSE(WEEKDAY($A130,2),"Lunes","Martes","Miércoles","Jueves","Viernes","Sábado","Domingo"))</f>
        <v/>
      </c>
      <c r="C130" s="17" t="n"/>
      <c r="D130" s="21">
        <f>IF($C130="","",IFERROR(INDEX(Insumos!$B$2:$B$151,MATCH($C130,Insumos!$A$2:$A$151,0)),"Código no cargado"))</f>
        <v/>
      </c>
      <c r="E130" s="21">
        <f>IF($C130="","",IFERROR(INDEX(Insumos!$C$2:$C$151,MATCH($C130,Insumos!$A$2:$A$151,0)),""))</f>
        <v/>
      </c>
      <c r="F130" s="21">
        <f>IF($C130="","",IFERROR(INDEX(Insumos!$D$2:$D$151,MATCH($C130,Insumos!$A$2:$A$151,0)),""))</f>
        <v/>
      </c>
      <c r="G130" s="18" t="n"/>
      <c r="H130" s="19">
        <f>IF(OR($A130="",$C130=""),"",IFERROR(INDEX(Insumos!$M$2:$S$151,MATCH($C130,Insumos!$A$2:$A$151,0),WEEKDAY($A130,2)),""))</f>
        <v/>
      </c>
      <c r="I130" s="19">
        <f>IF(OR($G130="",$H130=""),"",MAX(0,$H130-$G130))</f>
        <v/>
      </c>
      <c r="J130" s="21">
        <f>IF($I130="","",IF($I130=0,"OK",IF($G130&lt;=0,"Sin stock: pedir ya","Pedir o producir")))</f>
        <v/>
      </c>
      <c r="K130" s="17" t="n"/>
      <c r="L130" s="17" t="n"/>
      <c r="M130" s="21">
        <f>IF(OR($A130="",$A130&lt;&gt;'Lista para pedir'!$C$3,N($I130)&lt;=0),"",COUNTIFS($A$2:$A130,$A130,$I$2:$I130,"&gt;0"))</f>
        <v/>
      </c>
    </row>
    <row r="131">
      <c r="A131" s="20" t="n"/>
      <c r="B131" s="21">
        <f>IF($A131="","",CHOOSE(WEEKDAY($A131,2),"Lunes","Martes","Miércoles","Jueves","Viernes","Sábado","Domingo"))</f>
        <v/>
      </c>
      <c r="C131" s="17" t="n"/>
      <c r="D131" s="21">
        <f>IF($C131="","",IFERROR(INDEX(Insumos!$B$2:$B$151,MATCH($C131,Insumos!$A$2:$A$151,0)),"Código no cargado"))</f>
        <v/>
      </c>
      <c r="E131" s="21">
        <f>IF($C131="","",IFERROR(INDEX(Insumos!$C$2:$C$151,MATCH($C131,Insumos!$A$2:$A$151,0)),""))</f>
        <v/>
      </c>
      <c r="F131" s="21">
        <f>IF($C131="","",IFERROR(INDEX(Insumos!$D$2:$D$151,MATCH($C131,Insumos!$A$2:$A$151,0)),""))</f>
        <v/>
      </c>
      <c r="G131" s="18" t="n"/>
      <c r="H131" s="19">
        <f>IF(OR($A131="",$C131=""),"",IFERROR(INDEX(Insumos!$M$2:$S$151,MATCH($C131,Insumos!$A$2:$A$151,0),WEEKDAY($A131,2)),""))</f>
        <v/>
      </c>
      <c r="I131" s="19">
        <f>IF(OR($G131="",$H131=""),"",MAX(0,$H131-$G131))</f>
        <v/>
      </c>
      <c r="J131" s="21">
        <f>IF($I131="","",IF($I131=0,"OK",IF($G131&lt;=0,"Sin stock: pedir ya","Pedir o producir")))</f>
        <v/>
      </c>
      <c r="K131" s="17" t="n"/>
      <c r="L131" s="17" t="n"/>
      <c r="M131" s="21">
        <f>IF(OR($A131="",$A131&lt;&gt;'Lista para pedir'!$C$3,N($I131)&lt;=0),"",COUNTIFS($A$2:$A131,$A131,$I$2:$I131,"&gt;0"))</f>
        <v/>
      </c>
    </row>
    <row r="132">
      <c r="A132" s="20" t="n"/>
      <c r="B132" s="21">
        <f>IF($A132="","",CHOOSE(WEEKDAY($A132,2),"Lunes","Martes","Miércoles","Jueves","Viernes","Sábado","Domingo"))</f>
        <v/>
      </c>
      <c r="C132" s="17" t="n"/>
      <c r="D132" s="21">
        <f>IF($C132="","",IFERROR(INDEX(Insumos!$B$2:$B$151,MATCH($C132,Insumos!$A$2:$A$151,0)),"Código no cargado"))</f>
        <v/>
      </c>
      <c r="E132" s="21">
        <f>IF($C132="","",IFERROR(INDEX(Insumos!$C$2:$C$151,MATCH($C132,Insumos!$A$2:$A$151,0)),""))</f>
        <v/>
      </c>
      <c r="F132" s="21">
        <f>IF($C132="","",IFERROR(INDEX(Insumos!$D$2:$D$151,MATCH($C132,Insumos!$A$2:$A$151,0)),""))</f>
        <v/>
      </c>
      <c r="G132" s="18" t="n"/>
      <c r="H132" s="19">
        <f>IF(OR($A132="",$C132=""),"",IFERROR(INDEX(Insumos!$M$2:$S$151,MATCH($C132,Insumos!$A$2:$A$151,0),WEEKDAY($A132,2)),""))</f>
        <v/>
      </c>
      <c r="I132" s="19">
        <f>IF(OR($G132="",$H132=""),"",MAX(0,$H132-$G132))</f>
        <v/>
      </c>
      <c r="J132" s="21">
        <f>IF($I132="","",IF($I132=0,"OK",IF($G132&lt;=0,"Sin stock: pedir ya","Pedir o producir")))</f>
        <v/>
      </c>
      <c r="K132" s="17" t="n"/>
      <c r="L132" s="17" t="n"/>
      <c r="M132" s="21">
        <f>IF(OR($A132="",$A132&lt;&gt;'Lista para pedir'!$C$3,N($I132)&lt;=0),"",COUNTIFS($A$2:$A132,$A132,$I$2:$I132,"&gt;0"))</f>
        <v/>
      </c>
    </row>
    <row r="133">
      <c r="A133" s="20" t="n"/>
      <c r="B133" s="21">
        <f>IF($A133="","",CHOOSE(WEEKDAY($A133,2),"Lunes","Martes","Miércoles","Jueves","Viernes","Sábado","Domingo"))</f>
        <v/>
      </c>
      <c r="C133" s="17" t="n"/>
      <c r="D133" s="21">
        <f>IF($C133="","",IFERROR(INDEX(Insumos!$B$2:$B$151,MATCH($C133,Insumos!$A$2:$A$151,0)),"Código no cargado"))</f>
        <v/>
      </c>
      <c r="E133" s="21">
        <f>IF($C133="","",IFERROR(INDEX(Insumos!$C$2:$C$151,MATCH($C133,Insumos!$A$2:$A$151,0)),""))</f>
        <v/>
      </c>
      <c r="F133" s="21">
        <f>IF($C133="","",IFERROR(INDEX(Insumos!$D$2:$D$151,MATCH($C133,Insumos!$A$2:$A$151,0)),""))</f>
        <v/>
      </c>
      <c r="G133" s="18" t="n"/>
      <c r="H133" s="19">
        <f>IF(OR($A133="",$C133=""),"",IFERROR(INDEX(Insumos!$M$2:$S$151,MATCH($C133,Insumos!$A$2:$A$151,0),WEEKDAY($A133,2)),""))</f>
        <v/>
      </c>
      <c r="I133" s="19">
        <f>IF(OR($G133="",$H133=""),"",MAX(0,$H133-$G133))</f>
        <v/>
      </c>
      <c r="J133" s="21">
        <f>IF($I133="","",IF($I133=0,"OK",IF($G133&lt;=0,"Sin stock: pedir ya","Pedir o producir")))</f>
        <v/>
      </c>
      <c r="K133" s="17" t="n"/>
      <c r="L133" s="17" t="n"/>
      <c r="M133" s="21">
        <f>IF(OR($A133="",$A133&lt;&gt;'Lista para pedir'!$C$3,N($I133)&lt;=0),"",COUNTIFS($A$2:$A133,$A133,$I$2:$I133,"&gt;0"))</f>
        <v/>
      </c>
    </row>
    <row r="134">
      <c r="A134" s="20" t="n"/>
      <c r="B134" s="21">
        <f>IF($A134="","",CHOOSE(WEEKDAY($A134,2),"Lunes","Martes","Miércoles","Jueves","Viernes","Sábado","Domingo"))</f>
        <v/>
      </c>
      <c r="C134" s="17" t="n"/>
      <c r="D134" s="21">
        <f>IF($C134="","",IFERROR(INDEX(Insumos!$B$2:$B$151,MATCH($C134,Insumos!$A$2:$A$151,0)),"Código no cargado"))</f>
        <v/>
      </c>
      <c r="E134" s="21">
        <f>IF($C134="","",IFERROR(INDEX(Insumos!$C$2:$C$151,MATCH($C134,Insumos!$A$2:$A$151,0)),""))</f>
        <v/>
      </c>
      <c r="F134" s="21">
        <f>IF($C134="","",IFERROR(INDEX(Insumos!$D$2:$D$151,MATCH($C134,Insumos!$A$2:$A$151,0)),""))</f>
        <v/>
      </c>
      <c r="G134" s="18" t="n"/>
      <c r="H134" s="19">
        <f>IF(OR($A134="",$C134=""),"",IFERROR(INDEX(Insumos!$M$2:$S$151,MATCH($C134,Insumos!$A$2:$A$151,0),WEEKDAY($A134,2)),""))</f>
        <v/>
      </c>
      <c r="I134" s="19">
        <f>IF(OR($G134="",$H134=""),"",MAX(0,$H134-$G134))</f>
        <v/>
      </c>
      <c r="J134" s="21">
        <f>IF($I134="","",IF($I134=0,"OK",IF($G134&lt;=0,"Sin stock: pedir ya","Pedir o producir")))</f>
        <v/>
      </c>
      <c r="K134" s="17" t="n"/>
      <c r="L134" s="17" t="n"/>
      <c r="M134" s="21">
        <f>IF(OR($A134="",$A134&lt;&gt;'Lista para pedir'!$C$3,N($I134)&lt;=0),"",COUNTIFS($A$2:$A134,$A134,$I$2:$I134,"&gt;0"))</f>
        <v/>
      </c>
    </row>
    <row r="135">
      <c r="A135" s="20" t="n"/>
      <c r="B135" s="21">
        <f>IF($A135="","",CHOOSE(WEEKDAY($A135,2),"Lunes","Martes","Miércoles","Jueves","Viernes","Sábado","Domingo"))</f>
        <v/>
      </c>
      <c r="C135" s="17" t="n"/>
      <c r="D135" s="21">
        <f>IF($C135="","",IFERROR(INDEX(Insumos!$B$2:$B$151,MATCH($C135,Insumos!$A$2:$A$151,0)),"Código no cargado"))</f>
        <v/>
      </c>
      <c r="E135" s="21">
        <f>IF($C135="","",IFERROR(INDEX(Insumos!$C$2:$C$151,MATCH($C135,Insumos!$A$2:$A$151,0)),""))</f>
        <v/>
      </c>
      <c r="F135" s="21">
        <f>IF($C135="","",IFERROR(INDEX(Insumos!$D$2:$D$151,MATCH($C135,Insumos!$A$2:$A$151,0)),""))</f>
        <v/>
      </c>
      <c r="G135" s="18" t="n"/>
      <c r="H135" s="19">
        <f>IF(OR($A135="",$C135=""),"",IFERROR(INDEX(Insumos!$M$2:$S$151,MATCH($C135,Insumos!$A$2:$A$151,0),WEEKDAY($A135,2)),""))</f>
        <v/>
      </c>
      <c r="I135" s="19">
        <f>IF(OR($G135="",$H135=""),"",MAX(0,$H135-$G135))</f>
        <v/>
      </c>
      <c r="J135" s="21">
        <f>IF($I135="","",IF($I135=0,"OK",IF($G135&lt;=0,"Sin stock: pedir ya","Pedir o producir")))</f>
        <v/>
      </c>
      <c r="K135" s="17" t="n"/>
      <c r="L135" s="17" t="n"/>
      <c r="M135" s="21">
        <f>IF(OR($A135="",$A135&lt;&gt;'Lista para pedir'!$C$3,N($I135)&lt;=0),"",COUNTIFS($A$2:$A135,$A135,$I$2:$I135,"&gt;0"))</f>
        <v/>
      </c>
    </row>
    <row r="136">
      <c r="A136" s="20" t="n"/>
      <c r="B136" s="21">
        <f>IF($A136="","",CHOOSE(WEEKDAY($A136,2),"Lunes","Martes","Miércoles","Jueves","Viernes","Sábado","Domingo"))</f>
        <v/>
      </c>
      <c r="C136" s="17" t="n"/>
      <c r="D136" s="21">
        <f>IF($C136="","",IFERROR(INDEX(Insumos!$B$2:$B$151,MATCH($C136,Insumos!$A$2:$A$151,0)),"Código no cargado"))</f>
        <v/>
      </c>
      <c r="E136" s="21">
        <f>IF($C136="","",IFERROR(INDEX(Insumos!$C$2:$C$151,MATCH($C136,Insumos!$A$2:$A$151,0)),""))</f>
        <v/>
      </c>
      <c r="F136" s="21">
        <f>IF($C136="","",IFERROR(INDEX(Insumos!$D$2:$D$151,MATCH($C136,Insumos!$A$2:$A$151,0)),""))</f>
        <v/>
      </c>
      <c r="G136" s="18" t="n"/>
      <c r="H136" s="19">
        <f>IF(OR($A136="",$C136=""),"",IFERROR(INDEX(Insumos!$M$2:$S$151,MATCH($C136,Insumos!$A$2:$A$151,0),WEEKDAY($A136,2)),""))</f>
        <v/>
      </c>
      <c r="I136" s="19">
        <f>IF(OR($G136="",$H136=""),"",MAX(0,$H136-$G136))</f>
        <v/>
      </c>
      <c r="J136" s="21">
        <f>IF($I136="","",IF($I136=0,"OK",IF($G136&lt;=0,"Sin stock: pedir ya","Pedir o producir")))</f>
        <v/>
      </c>
      <c r="K136" s="17" t="n"/>
      <c r="L136" s="17" t="n"/>
      <c r="M136" s="21">
        <f>IF(OR($A136="",$A136&lt;&gt;'Lista para pedir'!$C$3,N($I136)&lt;=0),"",COUNTIFS($A$2:$A136,$A136,$I$2:$I136,"&gt;0"))</f>
        <v/>
      </c>
    </row>
    <row r="137">
      <c r="A137" s="20" t="n"/>
      <c r="B137" s="21">
        <f>IF($A137="","",CHOOSE(WEEKDAY($A137,2),"Lunes","Martes","Miércoles","Jueves","Viernes","Sábado","Domingo"))</f>
        <v/>
      </c>
      <c r="C137" s="17" t="n"/>
      <c r="D137" s="21">
        <f>IF($C137="","",IFERROR(INDEX(Insumos!$B$2:$B$151,MATCH($C137,Insumos!$A$2:$A$151,0)),"Código no cargado"))</f>
        <v/>
      </c>
      <c r="E137" s="21">
        <f>IF($C137="","",IFERROR(INDEX(Insumos!$C$2:$C$151,MATCH($C137,Insumos!$A$2:$A$151,0)),""))</f>
        <v/>
      </c>
      <c r="F137" s="21">
        <f>IF($C137="","",IFERROR(INDEX(Insumos!$D$2:$D$151,MATCH($C137,Insumos!$A$2:$A$151,0)),""))</f>
        <v/>
      </c>
      <c r="G137" s="18" t="n"/>
      <c r="H137" s="19">
        <f>IF(OR($A137="",$C137=""),"",IFERROR(INDEX(Insumos!$M$2:$S$151,MATCH($C137,Insumos!$A$2:$A$151,0),WEEKDAY($A137,2)),""))</f>
        <v/>
      </c>
      <c r="I137" s="19">
        <f>IF(OR($G137="",$H137=""),"",MAX(0,$H137-$G137))</f>
        <v/>
      </c>
      <c r="J137" s="21">
        <f>IF($I137="","",IF($I137=0,"OK",IF($G137&lt;=0,"Sin stock: pedir ya","Pedir o producir")))</f>
        <v/>
      </c>
      <c r="K137" s="17" t="n"/>
      <c r="L137" s="17" t="n"/>
      <c r="M137" s="21">
        <f>IF(OR($A137="",$A137&lt;&gt;'Lista para pedir'!$C$3,N($I137)&lt;=0),"",COUNTIFS($A$2:$A137,$A137,$I$2:$I137,"&gt;0"))</f>
        <v/>
      </c>
    </row>
    <row r="138">
      <c r="A138" s="20" t="n"/>
      <c r="B138" s="21">
        <f>IF($A138="","",CHOOSE(WEEKDAY($A138,2),"Lunes","Martes","Miércoles","Jueves","Viernes","Sábado","Domingo"))</f>
        <v/>
      </c>
      <c r="C138" s="17" t="n"/>
      <c r="D138" s="21">
        <f>IF($C138="","",IFERROR(INDEX(Insumos!$B$2:$B$151,MATCH($C138,Insumos!$A$2:$A$151,0)),"Código no cargado"))</f>
        <v/>
      </c>
      <c r="E138" s="21">
        <f>IF($C138="","",IFERROR(INDEX(Insumos!$C$2:$C$151,MATCH($C138,Insumos!$A$2:$A$151,0)),""))</f>
        <v/>
      </c>
      <c r="F138" s="21">
        <f>IF($C138="","",IFERROR(INDEX(Insumos!$D$2:$D$151,MATCH($C138,Insumos!$A$2:$A$151,0)),""))</f>
        <v/>
      </c>
      <c r="G138" s="18" t="n"/>
      <c r="H138" s="19">
        <f>IF(OR($A138="",$C138=""),"",IFERROR(INDEX(Insumos!$M$2:$S$151,MATCH($C138,Insumos!$A$2:$A$151,0),WEEKDAY($A138,2)),""))</f>
        <v/>
      </c>
      <c r="I138" s="19">
        <f>IF(OR($G138="",$H138=""),"",MAX(0,$H138-$G138))</f>
        <v/>
      </c>
      <c r="J138" s="21">
        <f>IF($I138="","",IF($I138=0,"OK",IF($G138&lt;=0,"Sin stock: pedir ya","Pedir o producir")))</f>
        <v/>
      </c>
      <c r="K138" s="17" t="n"/>
      <c r="L138" s="17" t="n"/>
      <c r="M138" s="21">
        <f>IF(OR($A138="",$A138&lt;&gt;'Lista para pedir'!$C$3,N($I138)&lt;=0),"",COUNTIFS($A$2:$A138,$A138,$I$2:$I138,"&gt;0"))</f>
        <v/>
      </c>
    </row>
    <row r="139">
      <c r="A139" s="20" t="n"/>
      <c r="B139" s="21">
        <f>IF($A139="","",CHOOSE(WEEKDAY($A139,2),"Lunes","Martes","Miércoles","Jueves","Viernes","Sábado","Domingo"))</f>
        <v/>
      </c>
      <c r="C139" s="17" t="n"/>
      <c r="D139" s="21">
        <f>IF($C139="","",IFERROR(INDEX(Insumos!$B$2:$B$151,MATCH($C139,Insumos!$A$2:$A$151,0)),"Código no cargado"))</f>
        <v/>
      </c>
      <c r="E139" s="21">
        <f>IF($C139="","",IFERROR(INDEX(Insumos!$C$2:$C$151,MATCH($C139,Insumos!$A$2:$A$151,0)),""))</f>
        <v/>
      </c>
      <c r="F139" s="21">
        <f>IF($C139="","",IFERROR(INDEX(Insumos!$D$2:$D$151,MATCH($C139,Insumos!$A$2:$A$151,0)),""))</f>
        <v/>
      </c>
      <c r="G139" s="18" t="n"/>
      <c r="H139" s="19">
        <f>IF(OR($A139="",$C139=""),"",IFERROR(INDEX(Insumos!$M$2:$S$151,MATCH($C139,Insumos!$A$2:$A$151,0),WEEKDAY($A139,2)),""))</f>
        <v/>
      </c>
      <c r="I139" s="19">
        <f>IF(OR($G139="",$H139=""),"",MAX(0,$H139-$G139))</f>
        <v/>
      </c>
      <c r="J139" s="21">
        <f>IF($I139="","",IF($I139=0,"OK",IF($G139&lt;=0,"Sin stock: pedir ya","Pedir o producir")))</f>
        <v/>
      </c>
      <c r="K139" s="17" t="n"/>
      <c r="L139" s="17" t="n"/>
      <c r="M139" s="21">
        <f>IF(OR($A139="",$A139&lt;&gt;'Lista para pedir'!$C$3,N($I139)&lt;=0),"",COUNTIFS($A$2:$A139,$A139,$I$2:$I139,"&gt;0"))</f>
        <v/>
      </c>
    </row>
    <row r="140">
      <c r="A140" s="20" t="n"/>
      <c r="B140" s="21">
        <f>IF($A140="","",CHOOSE(WEEKDAY($A140,2),"Lunes","Martes","Miércoles","Jueves","Viernes","Sábado","Domingo"))</f>
        <v/>
      </c>
      <c r="C140" s="17" t="n"/>
      <c r="D140" s="21">
        <f>IF($C140="","",IFERROR(INDEX(Insumos!$B$2:$B$151,MATCH($C140,Insumos!$A$2:$A$151,0)),"Código no cargado"))</f>
        <v/>
      </c>
      <c r="E140" s="21">
        <f>IF($C140="","",IFERROR(INDEX(Insumos!$C$2:$C$151,MATCH($C140,Insumos!$A$2:$A$151,0)),""))</f>
        <v/>
      </c>
      <c r="F140" s="21">
        <f>IF($C140="","",IFERROR(INDEX(Insumos!$D$2:$D$151,MATCH($C140,Insumos!$A$2:$A$151,0)),""))</f>
        <v/>
      </c>
      <c r="G140" s="18" t="n"/>
      <c r="H140" s="19">
        <f>IF(OR($A140="",$C140=""),"",IFERROR(INDEX(Insumos!$M$2:$S$151,MATCH($C140,Insumos!$A$2:$A$151,0),WEEKDAY($A140,2)),""))</f>
        <v/>
      </c>
      <c r="I140" s="19">
        <f>IF(OR($G140="",$H140=""),"",MAX(0,$H140-$G140))</f>
        <v/>
      </c>
      <c r="J140" s="21">
        <f>IF($I140="","",IF($I140=0,"OK",IF($G140&lt;=0,"Sin stock: pedir ya","Pedir o producir")))</f>
        <v/>
      </c>
      <c r="K140" s="17" t="n"/>
      <c r="L140" s="17" t="n"/>
      <c r="M140" s="21">
        <f>IF(OR($A140="",$A140&lt;&gt;'Lista para pedir'!$C$3,N($I140)&lt;=0),"",COUNTIFS($A$2:$A140,$A140,$I$2:$I140,"&gt;0"))</f>
        <v/>
      </c>
    </row>
    <row r="141">
      <c r="A141" s="20" t="n"/>
      <c r="B141" s="21">
        <f>IF($A141="","",CHOOSE(WEEKDAY($A141,2),"Lunes","Martes","Miércoles","Jueves","Viernes","Sábado","Domingo"))</f>
        <v/>
      </c>
      <c r="C141" s="17" t="n"/>
      <c r="D141" s="21">
        <f>IF($C141="","",IFERROR(INDEX(Insumos!$B$2:$B$151,MATCH($C141,Insumos!$A$2:$A$151,0)),"Código no cargado"))</f>
        <v/>
      </c>
      <c r="E141" s="21">
        <f>IF($C141="","",IFERROR(INDEX(Insumos!$C$2:$C$151,MATCH($C141,Insumos!$A$2:$A$151,0)),""))</f>
        <v/>
      </c>
      <c r="F141" s="21">
        <f>IF($C141="","",IFERROR(INDEX(Insumos!$D$2:$D$151,MATCH($C141,Insumos!$A$2:$A$151,0)),""))</f>
        <v/>
      </c>
      <c r="G141" s="18" t="n"/>
      <c r="H141" s="19">
        <f>IF(OR($A141="",$C141=""),"",IFERROR(INDEX(Insumos!$M$2:$S$151,MATCH($C141,Insumos!$A$2:$A$151,0),WEEKDAY($A141,2)),""))</f>
        <v/>
      </c>
      <c r="I141" s="19">
        <f>IF(OR($G141="",$H141=""),"",MAX(0,$H141-$G141))</f>
        <v/>
      </c>
      <c r="J141" s="21">
        <f>IF($I141="","",IF($I141=0,"OK",IF($G141&lt;=0,"Sin stock: pedir ya","Pedir o producir")))</f>
        <v/>
      </c>
      <c r="K141" s="17" t="n"/>
      <c r="L141" s="17" t="n"/>
      <c r="M141" s="21">
        <f>IF(OR($A141="",$A141&lt;&gt;'Lista para pedir'!$C$3,N($I141)&lt;=0),"",COUNTIFS($A$2:$A141,$A141,$I$2:$I141,"&gt;0"))</f>
        <v/>
      </c>
    </row>
    <row r="142">
      <c r="A142" s="20" t="n"/>
      <c r="B142" s="21">
        <f>IF($A142="","",CHOOSE(WEEKDAY($A142,2),"Lunes","Martes","Miércoles","Jueves","Viernes","Sábado","Domingo"))</f>
        <v/>
      </c>
      <c r="C142" s="17" t="n"/>
      <c r="D142" s="21">
        <f>IF($C142="","",IFERROR(INDEX(Insumos!$B$2:$B$151,MATCH($C142,Insumos!$A$2:$A$151,0)),"Código no cargado"))</f>
        <v/>
      </c>
      <c r="E142" s="21">
        <f>IF($C142="","",IFERROR(INDEX(Insumos!$C$2:$C$151,MATCH($C142,Insumos!$A$2:$A$151,0)),""))</f>
        <v/>
      </c>
      <c r="F142" s="21">
        <f>IF($C142="","",IFERROR(INDEX(Insumos!$D$2:$D$151,MATCH($C142,Insumos!$A$2:$A$151,0)),""))</f>
        <v/>
      </c>
      <c r="G142" s="18" t="n"/>
      <c r="H142" s="19">
        <f>IF(OR($A142="",$C142=""),"",IFERROR(INDEX(Insumos!$M$2:$S$151,MATCH($C142,Insumos!$A$2:$A$151,0),WEEKDAY($A142,2)),""))</f>
        <v/>
      </c>
      <c r="I142" s="19">
        <f>IF(OR($G142="",$H142=""),"",MAX(0,$H142-$G142))</f>
        <v/>
      </c>
      <c r="J142" s="21">
        <f>IF($I142="","",IF($I142=0,"OK",IF($G142&lt;=0,"Sin stock: pedir ya","Pedir o producir")))</f>
        <v/>
      </c>
      <c r="K142" s="17" t="n"/>
      <c r="L142" s="17" t="n"/>
      <c r="M142" s="21">
        <f>IF(OR($A142="",$A142&lt;&gt;'Lista para pedir'!$C$3,N($I142)&lt;=0),"",COUNTIFS($A$2:$A142,$A142,$I$2:$I142,"&gt;0"))</f>
        <v/>
      </c>
    </row>
    <row r="143">
      <c r="A143" s="20" t="n"/>
      <c r="B143" s="21">
        <f>IF($A143="","",CHOOSE(WEEKDAY($A143,2),"Lunes","Martes","Miércoles","Jueves","Viernes","Sábado","Domingo"))</f>
        <v/>
      </c>
      <c r="C143" s="17" t="n"/>
      <c r="D143" s="21">
        <f>IF($C143="","",IFERROR(INDEX(Insumos!$B$2:$B$151,MATCH($C143,Insumos!$A$2:$A$151,0)),"Código no cargado"))</f>
        <v/>
      </c>
      <c r="E143" s="21">
        <f>IF($C143="","",IFERROR(INDEX(Insumos!$C$2:$C$151,MATCH($C143,Insumos!$A$2:$A$151,0)),""))</f>
        <v/>
      </c>
      <c r="F143" s="21">
        <f>IF($C143="","",IFERROR(INDEX(Insumos!$D$2:$D$151,MATCH($C143,Insumos!$A$2:$A$151,0)),""))</f>
        <v/>
      </c>
      <c r="G143" s="18" t="n"/>
      <c r="H143" s="19">
        <f>IF(OR($A143="",$C143=""),"",IFERROR(INDEX(Insumos!$M$2:$S$151,MATCH($C143,Insumos!$A$2:$A$151,0),WEEKDAY($A143,2)),""))</f>
        <v/>
      </c>
      <c r="I143" s="19">
        <f>IF(OR($G143="",$H143=""),"",MAX(0,$H143-$G143))</f>
        <v/>
      </c>
      <c r="J143" s="21">
        <f>IF($I143="","",IF($I143=0,"OK",IF($G143&lt;=0,"Sin stock: pedir ya","Pedir o producir")))</f>
        <v/>
      </c>
      <c r="K143" s="17" t="n"/>
      <c r="L143" s="17" t="n"/>
      <c r="M143" s="21">
        <f>IF(OR($A143="",$A143&lt;&gt;'Lista para pedir'!$C$3,N($I143)&lt;=0),"",COUNTIFS($A$2:$A143,$A143,$I$2:$I143,"&gt;0"))</f>
        <v/>
      </c>
    </row>
    <row r="144">
      <c r="A144" s="20" t="n"/>
      <c r="B144" s="21">
        <f>IF($A144="","",CHOOSE(WEEKDAY($A144,2),"Lunes","Martes","Miércoles","Jueves","Viernes","Sábado","Domingo"))</f>
        <v/>
      </c>
      <c r="C144" s="17" t="n"/>
      <c r="D144" s="21">
        <f>IF($C144="","",IFERROR(INDEX(Insumos!$B$2:$B$151,MATCH($C144,Insumos!$A$2:$A$151,0)),"Código no cargado"))</f>
        <v/>
      </c>
      <c r="E144" s="21">
        <f>IF($C144="","",IFERROR(INDEX(Insumos!$C$2:$C$151,MATCH($C144,Insumos!$A$2:$A$151,0)),""))</f>
        <v/>
      </c>
      <c r="F144" s="21">
        <f>IF($C144="","",IFERROR(INDEX(Insumos!$D$2:$D$151,MATCH($C144,Insumos!$A$2:$A$151,0)),""))</f>
        <v/>
      </c>
      <c r="G144" s="18" t="n"/>
      <c r="H144" s="19">
        <f>IF(OR($A144="",$C144=""),"",IFERROR(INDEX(Insumos!$M$2:$S$151,MATCH($C144,Insumos!$A$2:$A$151,0),WEEKDAY($A144,2)),""))</f>
        <v/>
      </c>
      <c r="I144" s="19">
        <f>IF(OR($G144="",$H144=""),"",MAX(0,$H144-$G144))</f>
        <v/>
      </c>
      <c r="J144" s="21">
        <f>IF($I144="","",IF($I144=0,"OK",IF($G144&lt;=0,"Sin stock: pedir ya","Pedir o producir")))</f>
        <v/>
      </c>
      <c r="K144" s="17" t="n"/>
      <c r="L144" s="17" t="n"/>
      <c r="M144" s="21">
        <f>IF(OR($A144="",$A144&lt;&gt;'Lista para pedir'!$C$3,N($I144)&lt;=0),"",COUNTIFS($A$2:$A144,$A144,$I$2:$I144,"&gt;0"))</f>
        <v/>
      </c>
    </row>
    <row r="145">
      <c r="A145" s="20" t="n"/>
      <c r="B145" s="21">
        <f>IF($A145="","",CHOOSE(WEEKDAY($A145,2),"Lunes","Martes","Miércoles","Jueves","Viernes","Sábado","Domingo"))</f>
        <v/>
      </c>
      <c r="C145" s="17" t="n"/>
      <c r="D145" s="21">
        <f>IF($C145="","",IFERROR(INDEX(Insumos!$B$2:$B$151,MATCH($C145,Insumos!$A$2:$A$151,0)),"Código no cargado"))</f>
        <v/>
      </c>
      <c r="E145" s="21">
        <f>IF($C145="","",IFERROR(INDEX(Insumos!$C$2:$C$151,MATCH($C145,Insumos!$A$2:$A$151,0)),""))</f>
        <v/>
      </c>
      <c r="F145" s="21">
        <f>IF($C145="","",IFERROR(INDEX(Insumos!$D$2:$D$151,MATCH($C145,Insumos!$A$2:$A$151,0)),""))</f>
        <v/>
      </c>
      <c r="G145" s="18" t="n"/>
      <c r="H145" s="19">
        <f>IF(OR($A145="",$C145=""),"",IFERROR(INDEX(Insumos!$M$2:$S$151,MATCH($C145,Insumos!$A$2:$A$151,0),WEEKDAY($A145,2)),""))</f>
        <v/>
      </c>
      <c r="I145" s="19">
        <f>IF(OR($G145="",$H145=""),"",MAX(0,$H145-$G145))</f>
        <v/>
      </c>
      <c r="J145" s="21">
        <f>IF($I145="","",IF($I145=0,"OK",IF($G145&lt;=0,"Sin stock: pedir ya","Pedir o producir")))</f>
        <v/>
      </c>
      <c r="K145" s="17" t="n"/>
      <c r="L145" s="17" t="n"/>
      <c r="M145" s="21">
        <f>IF(OR($A145="",$A145&lt;&gt;'Lista para pedir'!$C$3,N($I145)&lt;=0),"",COUNTIFS($A$2:$A145,$A145,$I$2:$I145,"&gt;0"))</f>
        <v/>
      </c>
    </row>
    <row r="146">
      <c r="A146" s="20" t="n"/>
      <c r="B146" s="21">
        <f>IF($A146="","",CHOOSE(WEEKDAY($A146,2),"Lunes","Martes","Miércoles","Jueves","Viernes","Sábado","Domingo"))</f>
        <v/>
      </c>
      <c r="C146" s="17" t="n"/>
      <c r="D146" s="21">
        <f>IF($C146="","",IFERROR(INDEX(Insumos!$B$2:$B$151,MATCH($C146,Insumos!$A$2:$A$151,0)),"Código no cargado"))</f>
        <v/>
      </c>
      <c r="E146" s="21">
        <f>IF($C146="","",IFERROR(INDEX(Insumos!$C$2:$C$151,MATCH($C146,Insumos!$A$2:$A$151,0)),""))</f>
        <v/>
      </c>
      <c r="F146" s="21">
        <f>IF($C146="","",IFERROR(INDEX(Insumos!$D$2:$D$151,MATCH($C146,Insumos!$A$2:$A$151,0)),""))</f>
        <v/>
      </c>
      <c r="G146" s="18" t="n"/>
      <c r="H146" s="19">
        <f>IF(OR($A146="",$C146=""),"",IFERROR(INDEX(Insumos!$M$2:$S$151,MATCH($C146,Insumos!$A$2:$A$151,0),WEEKDAY($A146,2)),""))</f>
        <v/>
      </c>
      <c r="I146" s="19">
        <f>IF(OR($G146="",$H146=""),"",MAX(0,$H146-$G146))</f>
        <v/>
      </c>
      <c r="J146" s="21">
        <f>IF($I146="","",IF($I146=0,"OK",IF($G146&lt;=0,"Sin stock: pedir ya","Pedir o producir")))</f>
        <v/>
      </c>
      <c r="K146" s="17" t="n"/>
      <c r="L146" s="17" t="n"/>
      <c r="M146" s="21">
        <f>IF(OR($A146="",$A146&lt;&gt;'Lista para pedir'!$C$3,N($I146)&lt;=0),"",COUNTIFS($A$2:$A146,$A146,$I$2:$I146,"&gt;0"))</f>
        <v/>
      </c>
    </row>
    <row r="147">
      <c r="A147" s="20" t="n"/>
      <c r="B147" s="21">
        <f>IF($A147="","",CHOOSE(WEEKDAY($A147,2),"Lunes","Martes","Miércoles","Jueves","Viernes","Sábado","Domingo"))</f>
        <v/>
      </c>
      <c r="C147" s="17" t="n"/>
      <c r="D147" s="21">
        <f>IF($C147="","",IFERROR(INDEX(Insumos!$B$2:$B$151,MATCH($C147,Insumos!$A$2:$A$151,0)),"Código no cargado"))</f>
        <v/>
      </c>
      <c r="E147" s="21">
        <f>IF($C147="","",IFERROR(INDEX(Insumos!$C$2:$C$151,MATCH($C147,Insumos!$A$2:$A$151,0)),""))</f>
        <v/>
      </c>
      <c r="F147" s="21">
        <f>IF($C147="","",IFERROR(INDEX(Insumos!$D$2:$D$151,MATCH($C147,Insumos!$A$2:$A$151,0)),""))</f>
        <v/>
      </c>
      <c r="G147" s="18" t="n"/>
      <c r="H147" s="19">
        <f>IF(OR($A147="",$C147=""),"",IFERROR(INDEX(Insumos!$M$2:$S$151,MATCH($C147,Insumos!$A$2:$A$151,0),WEEKDAY($A147,2)),""))</f>
        <v/>
      </c>
      <c r="I147" s="19">
        <f>IF(OR($G147="",$H147=""),"",MAX(0,$H147-$G147))</f>
        <v/>
      </c>
      <c r="J147" s="21">
        <f>IF($I147="","",IF($I147=0,"OK",IF($G147&lt;=0,"Sin stock: pedir ya","Pedir o producir")))</f>
        <v/>
      </c>
      <c r="K147" s="17" t="n"/>
      <c r="L147" s="17" t="n"/>
      <c r="M147" s="21">
        <f>IF(OR($A147="",$A147&lt;&gt;'Lista para pedir'!$C$3,N($I147)&lt;=0),"",COUNTIFS($A$2:$A147,$A147,$I$2:$I147,"&gt;0"))</f>
        <v/>
      </c>
    </row>
    <row r="148">
      <c r="A148" s="20" t="n"/>
      <c r="B148" s="21">
        <f>IF($A148="","",CHOOSE(WEEKDAY($A148,2),"Lunes","Martes","Miércoles","Jueves","Viernes","Sábado","Domingo"))</f>
        <v/>
      </c>
      <c r="C148" s="17" t="n"/>
      <c r="D148" s="21">
        <f>IF($C148="","",IFERROR(INDEX(Insumos!$B$2:$B$151,MATCH($C148,Insumos!$A$2:$A$151,0)),"Código no cargado"))</f>
        <v/>
      </c>
      <c r="E148" s="21">
        <f>IF($C148="","",IFERROR(INDEX(Insumos!$C$2:$C$151,MATCH($C148,Insumos!$A$2:$A$151,0)),""))</f>
        <v/>
      </c>
      <c r="F148" s="21">
        <f>IF($C148="","",IFERROR(INDEX(Insumos!$D$2:$D$151,MATCH($C148,Insumos!$A$2:$A$151,0)),""))</f>
        <v/>
      </c>
      <c r="G148" s="18" t="n"/>
      <c r="H148" s="19">
        <f>IF(OR($A148="",$C148=""),"",IFERROR(INDEX(Insumos!$M$2:$S$151,MATCH($C148,Insumos!$A$2:$A$151,0),WEEKDAY($A148,2)),""))</f>
        <v/>
      </c>
      <c r="I148" s="19">
        <f>IF(OR($G148="",$H148=""),"",MAX(0,$H148-$G148))</f>
        <v/>
      </c>
      <c r="J148" s="21">
        <f>IF($I148="","",IF($I148=0,"OK",IF($G148&lt;=0,"Sin stock: pedir ya","Pedir o producir")))</f>
        <v/>
      </c>
      <c r="K148" s="17" t="n"/>
      <c r="L148" s="17" t="n"/>
      <c r="M148" s="21">
        <f>IF(OR($A148="",$A148&lt;&gt;'Lista para pedir'!$C$3,N($I148)&lt;=0),"",COUNTIFS($A$2:$A148,$A148,$I$2:$I148,"&gt;0"))</f>
        <v/>
      </c>
    </row>
    <row r="149">
      <c r="A149" s="20" t="n"/>
      <c r="B149" s="21">
        <f>IF($A149="","",CHOOSE(WEEKDAY($A149,2),"Lunes","Martes","Miércoles","Jueves","Viernes","Sábado","Domingo"))</f>
        <v/>
      </c>
      <c r="C149" s="17" t="n"/>
      <c r="D149" s="21">
        <f>IF($C149="","",IFERROR(INDEX(Insumos!$B$2:$B$151,MATCH($C149,Insumos!$A$2:$A$151,0)),"Código no cargado"))</f>
        <v/>
      </c>
      <c r="E149" s="21">
        <f>IF($C149="","",IFERROR(INDEX(Insumos!$C$2:$C$151,MATCH($C149,Insumos!$A$2:$A$151,0)),""))</f>
        <v/>
      </c>
      <c r="F149" s="21">
        <f>IF($C149="","",IFERROR(INDEX(Insumos!$D$2:$D$151,MATCH($C149,Insumos!$A$2:$A$151,0)),""))</f>
        <v/>
      </c>
      <c r="G149" s="18" t="n"/>
      <c r="H149" s="19">
        <f>IF(OR($A149="",$C149=""),"",IFERROR(INDEX(Insumos!$M$2:$S$151,MATCH($C149,Insumos!$A$2:$A$151,0),WEEKDAY($A149,2)),""))</f>
        <v/>
      </c>
      <c r="I149" s="19">
        <f>IF(OR($G149="",$H149=""),"",MAX(0,$H149-$G149))</f>
        <v/>
      </c>
      <c r="J149" s="21">
        <f>IF($I149="","",IF($I149=0,"OK",IF($G149&lt;=0,"Sin stock: pedir ya","Pedir o producir")))</f>
        <v/>
      </c>
      <c r="K149" s="17" t="n"/>
      <c r="L149" s="17" t="n"/>
      <c r="M149" s="21">
        <f>IF(OR($A149="",$A149&lt;&gt;'Lista para pedir'!$C$3,N($I149)&lt;=0),"",COUNTIFS($A$2:$A149,$A149,$I$2:$I149,"&gt;0"))</f>
        <v/>
      </c>
    </row>
    <row r="150">
      <c r="A150" s="20" t="n"/>
      <c r="B150" s="21">
        <f>IF($A150="","",CHOOSE(WEEKDAY($A150,2),"Lunes","Martes","Miércoles","Jueves","Viernes","Sábado","Domingo"))</f>
        <v/>
      </c>
      <c r="C150" s="17" t="n"/>
      <c r="D150" s="21">
        <f>IF($C150="","",IFERROR(INDEX(Insumos!$B$2:$B$151,MATCH($C150,Insumos!$A$2:$A$151,0)),"Código no cargado"))</f>
        <v/>
      </c>
      <c r="E150" s="21">
        <f>IF($C150="","",IFERROR(INDEX(Insumos!$C$2:$C$151,MATCH($C150,Insumos!$A$2:$A$151,0)),""))</f>
        <v/>
      </c>
      <c r="F150" s="21">
        <f>IF($C150="","",IFERROR(INDEX(Insumos!$D$2:$D$151,MATCH($C150,Insumos!$A$2:$A$151,0)),""))</f>
        <v/>
      </c>
      <c r="G150" s="18" t="n"/>
      <c r="H150" s="19">
        <f>IF(OR($A150="",$C150=""),"",IFERROR(INDEX(Insumos!$M$2:$S$151,MATCH($C150,Insumos!$A$2:$A$151,0),WEEKDAY($A150,2)),""))</f>
        <v/>
      </c>
      <c r="I150" s="19">
        <f>IF(OR($G150="",$H150=""),"",MAX(0,$H150-$G150))</f>
        <v/>
      </c>
      <c r="J150" s="21">
        <f>IF($I150="","",IF($I150=0,"OK",IF($G150&lt;=0,"Sin stock: pedir ya","Pedir o producir")))</f>
        <v/>
      </c>
      <c r="K150" s="17" t="n"/>
      <c r="L150" s="17" t="n"/>
      <c r="M150" s="21">
        <f>IF(OR($A150="",$A150&lt;&gt;'Lista para pedir'!$C$3,N($I150)&lt;=0),"",COUNTIFS($A$2:$A150,$A150,$I$2:$I150,"&gt;0"))</f>
        <v/>
      </c>
    </row>
    <row r="151">
      <c r="A151" s="20" t="n"/>
      <c r="B151" s="21">
        <f>IF($A151="","",CHOOSE(WEEKDAY($A151,2),"Lunes","Martes","Miércoles","Jueves","Viernes","Sábado","Domingo"))</f>
        <v/>
      </c>
      <c r="C151" s="17" t="n"/>
      <c r="D151" s="21">
        <f>IF($C151="","",IFERROR(INDEX(Insumos!$B$2:$B$151,MATCH($C151,Insumos!$A$2:$A$151,0)),"Código no cargado"))</f>
        <v/>
      </c>
      <c r="E151" s="21">
        <f>IF($C151="","",IFERROR(INDEX(Insumos!$C$2:$C$151,MATCH($C151,Insumos!$A$2:$A$151,0)),""))</f>
        <v/>
      </c>
      <c r="F151" s="21">
        <f>IF($C151="","",IFERROR(INDEX(Insumos!$D$2:$D$151,MATCH($C151,Insumos!$A$2:$A$151,0)),""))</f>
        <v/>
      </c>
      <c r="G151" s="18" t="n"/>
      <c r="H151" s="19">
        <f>IF(OR($A151="",$C151=""),"",IFERROR(INDEX(Insumos!$M$2:$S$151,MATCH($C151,Insumos!$A$2:$A$151,0),WEEKDAY($A151,2)),""))</f>
        <v/>
      </c>
      <c r="I151" s="19">
        <f>IF(OR($G151="",$H151=""),"",MAX(0,$H151-$G151))</f>
        <v/>
      </c>
      <c r="J151" s="21">
        <f>IF($I151="","",IF($I151=0,"OK",IF($G151&lt;=0,"Sin stock: pedir ya","Pedir o producir")))</f>
        <v/>
      </c>
      <c r="K151" s="17" t="n"/>
      <c r="L151" s="17" t="n"/>
      <c r="M151" s="21">
        <f>IF(OR($A151="",$A151&lt;&gt;'Lista para pedir'!$C$3,N($I151)&lt;=0),"",COUNTIFS($A$2:$A151,$A151,$I$2:$I151,"&gt;0"))</f>
        <v/>
      </c>
    </row>
    <row r="152">
      <c r="A152" s="20" t="n"/>
      <c r="B152" s="21">
        <f>IF($A152="","",CHOOSE(WEEKDAY($A152,2),"Lunes","Martes","Miércoles","Jueves","Viernes","Sábado","Domingo"))</f>
        <v/>
      </c>
      <c r="C152" s="17" t="n"/>
      <c r="D152" s="21">
        <f>IF($C152="","",IFERROR(INDEX(Insumos!$B$2:$B$151,MATCH($C152,Insumos!$A$2:$A$151,0)),"Código no cargado"))</f>
        <v/>
      </c>
      <c r="E152" s="21">
        <f>IF($C152="","",IFERROR(INDEX(Insumos!$C$2:$C$151,MATCH($C152,Insumos!$A$2:$A$151,0)),""))</f>
        <v/>
      </c>
      <c r="F152" s="21">
        <f>IF($C152="","",IFERROR(INDEX(Insumos!$D$2:$D$151,MATCH($C152,Insumos!$A$2:$A$151,0)),""))</f>
        <v/>
      </c>
      <c r="G152" s="18" t="n"/>
      <c r="H152" s="19">
        <f>IF(OR($A152="",$C152=""),"",IFERROR(INDEX(Insumos!$M$2:$S$151,MATCH($C152,Insumos!$A$2:$A$151,0),WEEKDAY($A152,2)),""))</f>
        <v/>
      </c>
      <c r="I152" s="19">
        <f>IF(OR($G152="",$H152=""),"",MAX(0,$H152-$G152))</f>
        <v/>
      </c>
      <c r="J152" s="21">
        <f>IF($I152="","",IF($I152=0,"OK",IF($G152&lt;=0,"Sin stock: pedir ya","Pedir o producir")))</f>
        <v/>
      </c>
      <c r="K152" s="17" t="n"/>
      <c r="L152" s="17" t="n"/>
      <c r="M152" s="21">
        <f>IF(OR($A152="",$A152&lt;&gt;'Lista para pedir'!$C$3,N($I152)&lt;=0),"",COUNTIFS($A$2:$A152,$A152,$I$2:$I152,"&gt;0"))</f>
        <v/>
      </c>
    </row>
    <row r="153">
      <c r="A153" s="20" t="n"/>
      <c r="B153" s="21">
        <f>IF($A153="","",CHOOSE(WEEKDAY($A153,2),"Lunes","Martes","Miércoles","Jueves","Viernes","Sábado","Domingo"))</f>
        <v/>
      </c>
      <c r="C153" s="17" t="n"/>
      <c r="D153" s="21">
        <f>IF($C153="","",IFERROR(INDEX(Insumos!$B$2:$B$151,MATCH($C153,Insumos!$A$2:$A$151,0)),"Código no cargado"))</f>
        <v/>
      </c>
      <c r="E153" s="21">
        <f>IF($C153="","",IFERROR(INDEX(Insumos!$C$2:$C$151,MATCH($C153,Insumos!$A$2:$A$151,0)),""))</f>
        <v/>
      </c>
      <c r="F153" s="21">
        <f>IF($C153="","",IFERROR(INDEX(Insumos!$D$2:$D$151,MATCH($C153,Insumos!$A$2:$A$151,0)),""))</f>
        <v/>
      </c>
      <c r="G153" s="18" t="n"/>
      <c r="H153" s="19">
        <f>IF(OR($A153="",$C153=""),"",IFERROR(INDEX(Insumos!$M$2:$S$151,MATCH($C153,Insumos!$A$2:$A$151,0),WEEKDAY($A153,2)),""))</f>
        <v/>
      </c>
      <c r="I153" s="19">
        <f>IF(OR($G153="",$H153=""),"",MAX(0,$H153-$G153))</f>
        <v/>
      </c>
      <c r="J153" s="21">
        <f>IF($I153="","",IF($I153=0,"OK",IF($G153&lt;=0,"Sin stock: pedir ya","Pedir o producir")))</f>
        <v/>
      </c>
      <c r="K153" s="17" t="n"/>
      <c r="L153" s="17" t="n"/>
      <c r="M153" s="21">
        <f>IF(OR($A153="",$A153&lt;&gt;'Lista para pedir'!$C$3,N($I153)&lt;=0),"",COUNTIFS($A$2:$A153,$A153,$I$2:$I153,"&gt;0"))</f>
        <v/>
      </c>
    </row>
    <row r="154">
      <c r="A154" s="20" t="n"/>
      <c r="B154" s="21">
        <f>IF($A154="","",CHOOSE(WEEKDAY($A154,2),"Lunes","Martes","Miércoles","Jueves","Viernes","Sábado","Domingo"))</f>
        <v/>
      </c>
      <c r="C154" s="17" t="n"/>
      <c r="D154" s="21">
        <f>IF($C154="","",IFERROR(INDEX(Insumos!$B$2:$B$151,MATCH($C154,Insumos!$A$2:$A$151,0)),"Código no cargado"))</f>
        <v/>
      </c>
      <c r="E154" s="21">
        <f>IF($C154="","",IFERROR(INDEX(Insumos!$C$2:$C$151,MATCH($C154,Insumos!$A$2:$A$151,0)),""))</f>
        <v/>
      </c>
      <c r="F154" s="21">
        <f>IF($C154="","",IFERROR(INDEX(Insumos!$D$2:$D$151,MATCH($C154,Insumos!$A$2:$A$151,0)),""))</f>
        <v/>
      </c>
      <c r="G154" s="18" t="n"/>
      <c r="H154" s="19">
        <f>IF(OR($A154="",$C154=""),"",IFERROR(INDEX(Insumos!$M$2:$S$151,MATCH($C154,Insumos!$A$2:$A$151,0),WEEKDAY($A154,2)),""))</f>
        <v/>
      </c>
      <c r="I154" s="19">
        <f>IF(OR($G154="",$H154=""),"",MAX(0,$H154-$G154))</f>
        <v/>
      </c>
      <c r="J154" s="21">
        <f>IF($I154="","",IF($I154=0,"OK",IF($G154&lt;=0,"Sin stock: pedir ya","Pedir o producir")))</f>
        <v/>
      </c>
      <c r="K154" s="17" t="n"/>
      <c r="L154" s="17" t="n"/>
      <c r="M154" s="21">
        <f>IF(OR($A154="",$A154&lt;&gt;'Lista para pedir'!$C$3,N($I154)&lt;=0),"",COUNTIFS($A$2:$A154,$A154,$I$2:$I154,"&gt;0"))</f>
        <v/>
      </c>
    </row>
    <row r="155">
      <c r="A155" s="20" t="n"/>
      <c r="B155" s="21">
        <f>IF($A155="","",CHOOSE(WEEKDAY($A155,2),"Lunes","Martes","Miércoles","Jueves","Viernes","Sábado","Domingo"))</f>
        <v/>
      </c>
      <c r="C155" s="17" t="n"/>
      <c r="D155" s="21">
        <f>IF($C155="","",IFERROR(INDEX(Insumos!$B$2:$B$151,MATCH($C155,Insumos!$A$2:$A$151,0)),"Código no cargado"))</f>
        <v/>
      </c>
      <c r="E155" s="21">
        <f>IF($C155="","",IFERROR(INDEX(Insumos!$C$2:$C$151,MATCH($C155,Insumos!$A$2:$A$151,0)),""))</f>
        <v/>
      </c>
      <c r="F155" s="21">
        <f>IF($C155="","",IFERROR(INDEX(Insumos!$D$2:$D$151,MATCH($C155,Insumos!$A$2:$A$151,0)),""))</f>
        <v/>
      </c>
      <c r="G155" s="18" t="n"/>
      <c r="H155" s="19">
        <f>IF(OR($A155="",$C155=""),"",IFERROR(INDEX(Insumos!$M$2:$S$151,MATCH($C155,Insumos!$A$2:$A$151,0),WEEKDAY($A155,2)),""))</f>
        <v/>
      </c>
      <c r="I155" s="19">
        <f>IF(OR($G155="",$H155=""),"",MAX(0,$H155-$G155))</f>
        <v/>
      </c>
      <c r="J155" s="21">
        <f>IF($I155="","",IF($I155=0,"OK",IF($G155&lt;=0,"Sin stock: pedir ya","Pedir o producir")))</f>
        <v/>
      </c>
      <c r="K155" s="17" t="n"/>
      <c r="L155" s="17" t="n"/>
      <c r="M155" s="21">
        <f>IF(OR($A155="",$A155&lt;&gt;'Lista para pedir'!$C$3,N($I155)&lt;=0),"",COUNTIFS($A$2:$A155,$A155,$I$2:$I155,"&gt;0"))</f>
        <v/>
      </c>
    </row>
    <row r="156">
      <c r="A156" s="20" t="n"/>
      <c r="B156" s="21">
        <f>IF($A156="","",CHOOSE(WEEKDAY($A156,2),"Lunes","Martes","Miércoles","Jueves","Viernes","Sábado","Domingo"))</f>
        <v/>
      </c>
      <c r="C156" s="17" t="n"/>
      <c r="D156" s="21">
        <f>IF($C156="","",IFERROR(INDEX(Insumos!$B$2:$B$151,MATCH($C156,Insumos!$A$2:$A$151,0)),"Código no cargado"))</f>
        <v/>
      </c>
      <c r="E156" s="21">
        <f>IF($C156="","",IFERROR(INDEX(Insumos!$C$2:$C$151,MATCH($C156,Insumos!$A$2:$A$151,0)),""))</f>
        <v/>
      </c>
      <c r="F156" s="21">
        <f>IF($C156="","",IFERROR(INDEX(Insumos!$D$2:$D$151,MATCH($C156,Insumos!$A$2:$A$151,0)),""))</f>
        <v/>
      </c>
      <c r="G156" s="18" t="n"/>
      <c r="H156" s="19">
        <f>IF(OR($A156="",$C156=""),"",IFERROR(INDEX(Insumos!$M$2:$S$151,MATCH($C156,Insumos!$A$2:$A$151,0),WEEKDAY($A156,2)),""))</f>
        <v/>
      </c>
      <c r="I156" s="19">
        <f>IF(OR($G156="",$H156=""),"",MAX(0,$H156-$G156))</f>
        <v/>
      </c>
      <c r="J156" s="21">
        <f>IF($I156="","",IF($I156=0,"OK",IF($G156&lt;=0,"Sin stock: pedir ya","Pedir o producir")))</f>
        <v/>
      </c>
      <c r="K156" s="17" t="n"/>
      <c r="L156" s="17" t="n"/>
      <c r="M156" s="21">
        <f>IF(OR($A156="",$A156&lt;&gt;'Lista para pedir'!$C$3,N($I156)&lt;=0),"",COUNTIFS($A$2:$A156,$A156,$I$2:$I156,"&gt;0"))</f>
        <v/>
      </c>
    </row>
    <row r="157">
      <c r="A157" s="20" t="n"/>
      <c r="B157" s="21">
        <f>IF($A157="","",CHOOSE(WEEKDAY($A157,2),"Lunes","Martes","Miércoles","Jueves","Viernes","Sábado","Domingo"))</f>
        <v/>
      </c>
      <c r="C157" s="17" t="n"/>
      <c r="D157" s="21">
        <f>IF($C157="","",IFERROR(INDEX(Insumos!$B$2:$B$151,MATCH($C157,Insumos!$A$2:$A$151,0)),"Código no cargado"))</f>
        <v/>
      </c>
      <c r="E157" s="21">
        <f>IF($C157="","",IFERROR(INDEX(Insumos!$C$2:$C$151,MATCH($C157,Insumos!$A$2:$A$151,0)),""))</f>
        <v/>
      </c>
      <c r="F157" s="21">
        <f>IF($C157="","",IFERROR(INDEX(Insumos!$D$2:$D$151,MATCH($C157,Insumos!$A$2:$A$151,0)),""))</f>
        <v/>
      </c>
      <c r="G157" s="18" t="n"/>
      <c r="H157" s="19">
        <f>IF(OR($A157="",$C157=""),"",IFERROR(INDEX(Insumos!$M$2:$S$151,MATCH($C157,Insumos!$A$2:$A$151,0),WEEKDAY($A157,2)),""))</f>
        <v/>
      </c>
      <c r="I157" s="19">
        <f>IF(OR($G157="",$H157=""),"",MAX(0,$H157-$G157))</f>
        <v/>
      </c>
      <c r="J157" s="21">
        <f>IF($I157="","",IF($I157=0,"OK",IF($G157&lt;=0,"Sin stock: pedir ya","Pedir o producir")))</f>
        <v/>
      </c>
      <c r="K157" s="17" t="n"/>
      <c r="L157" s="17" t="n"/>
      <c r="M157" s="21">
        <f>IF(OR($A157="",$A157&lt;&gt;'Lista para pedir'!$C$3,N($I157)&lt;=0),"",COUNTIFS($A$2:$A157,$A157,$I$2:$I157,"&gt;0"))</f>
        <v/>
      </c>
    </row>
    <row r="158">
      <c r="A158" s="20" t="n"/>
      <c r="B158" s="21">
        <f>IF($A158="","",CHOOSE(WEEKDAY($A158,2),"Lunes","Martes","Miércoles","Jueves","Viernes","Sábado","Domingo"))</f>
        <v/>
      </c>
      <c r="C158" s="17" t="n"/>
      <c r="D158" s="21">
        <f>IF($C158="","",IFERROR(INDEX(Insumos!$B$2:$B$151,MATCH($C158,Insumos!$A$2:$A$151,0)),"Código no cargado"))</f>
        <v/>
      </c>
      <c r="E158" s="21">
        <f>IF($C158="","",IFERROR(INDEX(Insumos!$C$2:$C$151,MATCH($C158,Insumos!$A$2:$A$151,0)),""))</f>
        <v/>
      </c>
      <c r="F158" s="21">
        <f>IF($C158="","",IFERROR(INDEX(Insumos!$D$2:$D$151,MATCH($C158,Insumos!$A$2:$A$151,0)),""))</f>
        <v/>
      </c>
      <c r="G158" s="18" t="n"/>
      <c r="H158" s="19">
        <f>IF(OR($A158="",$C158=""),"",IFERROR(INDEX(Insumos!$M$2:$S$151,MATCH($C158,Insumos!$A$2:$A$151,0),WEEKDAY($A158,2)),""))</f>
        <v/>
      </c>
      <c r="I158" s="19">
        <f>IF(OR($G158="",$H158=""),"",MAX(0,$H158-$G158))</f>
        <v/>
      </c>
      <c r="J158" s="21">
        <f>IF($I158="","",IF($I158=0,"OK",IF($G158&lt;=0,"Sin stock: pedir ya","Pedir o producir")))</f>
        <v/>
      </c>
      <c r="K158" s="17" t="n"/>
      <c r="L158" s="17" t="n"/>
      <c r="M158" s="21">
        <f>IF(OR($A158="",$A158&lt;&gt;'Lista para pedir'!$C$3,N($I158)&lt;=0),"",COUNTIFS($A$2:$A158,$A158,$I$2:$I158,"&gt;0"))</f>
        <v/>
      </c>
    </row>
    <row r="159">
      <c r="A159" s="20" t="n"/>
      <c r="B159" s="21">
        <f>IF($A159="","",CHOOSE(WEEKDAY($A159,2),"Lunes","Martes","Miércoles","Jueves","Viernes","Sábado","Domingo"))</f>
        <v/>
      </c>
      <c r="C159" s="17" t="n"/>
      <c r="D159" s="21">
        <f>IF($C159="","",IFERROR(INDEX(Insumos!$B$2:$B$151,MATCH($C159,Insumos!$A$2:$A$151,0)),"Código no cargado"))</f>
        <v/>
      </c>
      <c r="E159" s="21">
        <f>IF($C159="","",IFERROR(INDEX(Insumos!$C$2:$C$151,MATCH($C159,Insumos!$A$2:$A$151,0)),""))</f>
        <v/>
      </c>
      <c r="F159" s="21">
        <f>IF($C159="","",IFERROR(INDEX(Insumos!$D$2:$D$151,MATCH($C159,Insumos!$A$2:$A$151,0)),""))</f>
        <v/>
      </c>
      <c r="G159" s="18" t="n"/>
      <c r="H159" s="19">
        <f>IF(OR($A159="",$C159=""),"",IFERROR(INDEX(Insumos!$M$2:$S$151,MATCH($C159,Insumos!$A$2:$A$151,0),WEEKDAY($A159,2)),""))</f>
        <v/>
      </c>
      <c r="I159" s="19">
        <f>IF(OR($G159="",$H159=""),"",MAX(0,$H159-$G159))</f>
        <v/>
      </c>
      <c r="J159" s="21">
        <f>IF($I159="","",IF($I159=0,"OK",IF($G159&lt;=0,"Sin stock: pedir ya","Pedir o producir")))</f>
        <v/>
      </c>
      <c r="K159" s="17" t="n"/>
      <c r="L159" s="17" t="n"/>
      <c r="M159" s="21">
        <f>IF(OR($A159="",$A159&lt;&gt;'Lista para pedir'!$C$3,N($I159)&lt;=0),"",COUNTIFS($A$2:$A159,$A159,$I$2:$I159,"&gt;0"))</f>
        <v/>
      </c>
    </row>
    <row r="160">
      <c r="A160" s="20" t="n"/>
      <c r="B160" s="21">
        <f>IF($A160="","",CHOOSE(WEEKDAY($A160,2),"Lunes","Martes","Miércoles","Jueves","Viernes","Sábado","Domingo"))</f>
        <v/>
      </c>
      <c r="C160" s="17" t="n"/>
      <c r="D160" s="21">
        <f>IF($C160="","",IFERROR(INDEX(Insumos!$B$2:$B$151,MATCH($C160,Insumos!$A$2:$A$151,0)),"Código no cargado"))</f>
        <v/>
      </c>
      <c r="E160" s="21">
        <f>IF($C160="","",IFERROR(INDEX(Insumos!$C$2:$C$151,MATCH($C160,Insumos!$A$2:$A$151,0)),""))</f>
        <v/>
      </c>
      <c r="F160" s="21">
        <f>IF($C160="","",IFERROR(INDEX(Insumos!$D$2:$D$151,MATCH($C160,Insumos!$A$2:$A$151,0)),""))</f>
        <v/>
      </c>
      <c r="G160" s="18" t="n"/>
      <c r="H160" s="19">
        <f>IF(OR($A160="",$C160=""),"",IFERROR(INDEX(Insumos!$M$2:$S$151,MATCH($C160,Insumos!$A$2:$A$151,0),WEEKDAY($A160,2)),""))</f>
        <v/>
      </c>
      <c r="I160" s="19">
        <f>IF(OR($G160="",$H160=""),"",MAX(0,$H160-$G160))</f>
        <v/>
      </c>
      <c r="J160" s="21">
        <f>IF($I160="","",IF($I160=0,"OK",IF($G160&lt;=0,"Sin stock: pedir ya","Pedir o producir")))</f>
        <v/>
      </c>
      <c r="K160" s="17" t="n"/>
      <c r="L160" s="17" t="n"/>
      <c r="M160" s="21">
        <f>IF(OR($A160="",$A160&lt;&gt;'Lista para pedir'!$C$3,N($I160)&lt;=0),"",COUNTIFS($A$2:$A160,$A160,$I$2:$I160,"&gt;0"))</f>
        <v/>
      </c>
    </row>
    <row r="161">
      <c r="A161" s="20" t="n"/>
      <c r="B161" s="21">
        <f>IF($A161="","",CHOOSE(WEEKDAY($A161,2),"Lunes","Martes","Miércoles","Jueves","Viernes","Sábado","Domingo"))</f>
        <v/>
      </c>
      <c r="C161" s="17" t="n"/>
      <c r="D161" s="21">
        <f>IF($C161="","",IFERROR(INDEX(Insumos!$B$2:$B$151,MATCH($C161,Insumos!$A$2:$A$151,0)),"Código no cargado"))</f>
        <v/>
      </c>
      <c r="E161" s="21">
        <f>IF($C161="","",IFERROR(INDEX(Insumos!$C$2:$C$151,MATCH($C161,Insumos!$A$2:$A$151,0)),""))</f>
        <v/>
      </c>
      <c r="F161" s="21">
        <f>IF($C161="","",IFERROR(INDEX(Insumos!$D$2:$D$151,MATCH($C161,Insumos!$A$2:$A$151,0)),""))</f>
        <v/>
      </c>
      <c r="G161" s="18" t="n"/>
      <c r="H161" s="19">
        <f>IF(OR($A161="",$C161=""),"",IFERROR(INDEX(Insumos!$M$2:$S$151,MATCH($C161,Insumos!$A$2:$A$151,0),WEEKDAY($A161,2)),""))</f>
        <v/>
      </c>
      <c r="I161" s="19">
        <f>IF(OR($G161="",$H161=""),"",MAX(0,$H161-$G161))</f>
        <v/>
      </c>
      <c r="J161" s="21">
        <f>IF($I161="","",IF($I161=0,"OK",IF($G161&lt;=0,"Sin stock: pedir ya","Pedir o producir")))</f>
        <v/>
      </c>
      <c r="K161" s="17" t="n"/>
      <c r="L161" s="17" t="n"/>
      <c r="M161" s="21">
        <f>IF(OR($A161="",$A161&lt;&gt;'Lista para pedir'!$C$3,N($I161)&lt;=0),"",COUNTIFS($A$2:$A161,$A161,$I$2:$I161,"&gt;0"))</f>
        <v/>
      </c>
    </row>
    <row r="162">
      <c r="A162" s="20" t="n"/>
      <c r="B162" s="21">
        <f>IF($A162="","",CHOOSE(WEEKDAY($A162,2),"Lunes","Martes","Miércoles","Jueves","Viernes","Sábado","Domingo"))</f>
        <v/>
      </c>
      <c r="C162" s="17" t="n"/>
      <c r="D162" s="21">
        <f>IF($C162="","",IFERROR(INDEX(Insumos!$B$2:$B$151,MATCH($C162,Insumos!$A$2:$A$151,0)),"Código no cargado"))</f>
        <v/>
      </c>
      <c r="E162" s="21">
        <f>IF($C162="","",IFERROR(INDEX(Insumos!$C$2:$C$151,MATCH($C162,Insumos!$A$2:$A$151,0)),""))</f>
        <v/>
      </c>
      <c r="F162" s="21">
        <f>IF($C162="","",IFERROR(INDEX(Insumos!$D$2:$D$151,MATCH($C162,Insumos!$A$2:$A$151,0)),""))</f>
        <v/>
      </c>
      <c r="G162" s="18" t="n"/>
      <c r="H162" s="19">
        <f>IF(OR($A162="",$C162=""),"",IFERROR(INDEX(Insumos!$M$2:$S$151,MATCH($C162,Insumos!$A$2:$A$151,0),WEEKDAY($A162,2)),""))</f>
        <v/>
      </c>
      <c r="I162" s="19">
        <f>IF(OR($G162="",$H162=""),"",MAX(0,$H162-$G162))</f>
        <v/>
      </c>
      <c r="J162" s="21">
        <f>IF($I162="","",IF($I162=0,"OK",IF($G162&lt;=0,"Sin stock: pedir ya","Pedir o producir")))</f>
        <v/>
      </c>
      <c r="K162" s="17" t="n"/>
      <c r="L162" s="17" t="n"/>
      <c r="M162" s="21">
        <f>IF(OR($A162="",$A162&lt;&gt;'Lista para pedir'!$C$3,N($I162)&lt;=0),"",COUNTIFS($A$2:$A162,$A162,$I$2:$I162,"&gt;0"))</f>
        <v/>
      </c>
    </row>
    <row r="163">
      <c r="A163" s="20" t="n"/>
      <c r="B163" s="21">
        <f>IF($A163="","",CHOOSE(WEEKDAY($A163,2),"Lunes","Martes","Miércoles","Jueves","Viernes","Sábado","Domingo"))</f>
        <v/>
      </c>
      <c r="C163" s="17" t="n"/>
      <c r="D163" s="21">
        <f>IF($C163="","",IFERROR(INDEX(Insumos!$B$2:$B$151,MATCH($C163,Insumos!$A$2:$A$151,0)),"Código no cargado"))</f>
        <v/>
      </c>
      <c r="E163" s="21">
        <f>IF($C163="","",IFERROR(INDEX(Insumos!$C$2:$C$151,MATCH($C163,Insumos!$A$2:$A$151,0)),""))</f>
        <v/>
      </c>
      <c r="F163" s="21">
        <f>IF($C163="","",IFERROR(INDEX(Insumos!$D$2:$D$151,MATCH($C163,Insumos!$A$2:$A$151,0)),""))</f>
        <v/>
      </c>
      <c r="G163" s="18" t="n"/>
      <c r="H163" s="19">
        <f>IF(OR($A163="",$C163=""),"",IFERROR(INDEX(Insumos!$M$2:$S$151,MATCH($C163,Insumos!$A$2:$A$151,0),WEEKDAY($A163,2)),""))</f>
        <v/>
      </c>
      <c r="I163" s="19">
        <f>IF(OR($G163="",$H163=""),"",MAX(0,$H163-$G163))</f>
        <v/>
      </c>
      <c r="J163" s="21">
        <f>IF($I163="","",IF($I163=0,"OK",IF($G163&lt;=0,"Sin stock: pedir ya","Pedir o producir")))</f>
        <v/>
      </c>
      <c r="K163" s="17" t="n"/>
      <c r="L163" s="17" t="n"/>
      <c r="M163" s="21">
        <f>IF(OR($A163="",$A163&lt;&gt;'Lista para pedir'!$C$3,N($I163)&lt;=0),"",COUNTIFS($A$2:$A163,$A163,$I$2:$I163,"&gt;0"))</f>
        <v/>
      </c>
    </row>
    <row r="164">
      <c r="A164" s="20" t="n"/>
      <c r="B164" s="21">
        <f>IF($A164="","",CHOOSE(WEEKDAY($A164,2),"Lunes","Martes","Miércoles","Jueves","Viernes","Sábado","Domingo"))</f>
        <v/>
      </c>
      <c r="C164" s="17" t="n"/>
      <c r="D164" s="21">
        <f>IF($C164="","",IFERROR(INDEX(Insumos!$B$2:$B$151,MATCH($C164,Insumos!$A$2:$A$151,0)),"Código no cargado"))</f>
        <v/>
      </c>
      <c r="E164" s="21">
        <f>IF($C164="","",IFERROR(INDEX(Insumos!$C$2:$C$151,MATCH($C164,Insumos!$A$2:$A$151,0)),""))</f>
        <v/>
      </c>
      <c r="F164" s="21">
        <f>IF($C164="","",IFERROR(INDEX(Insumos!$D$2:$D$151,MATCH($C164,Insumos!$A$2:$A$151,0)),""))</f>
        <v/>
      </c>
      <c r="G164" s="18" t="n"/>
      <c r="H164" s="19">
        <f>IF(OR($A164="",$C164=""),"",IFERROR(INDEX(Insumos!$M$2:$S$151,MATCH($C164,Insumos!$A$2:$A$151,0),WEEKDAY($A164,2)),""))</f>
        <v/>
      </c>
      <c r="I164" s="19">
        <f>IF(OR($G164="",$H164=""),"",MAX(0,$H164-$G164))</f>
        <v/>
      </c>
      <c r="J164" s="21">
        <f>IF($I164="","",IF($I164=0,"OK",IF($G164&lt;=0,"Sin stock: pedir ya","Pedir o producir")))</f>
        <v/>
      </c>
      <c r="K164" s="17" t="n"/>
      <c r="L164" s="17" t="n"/>
      <c r="M164" s="21">
        <f>IF(OR($A164="",$A164&lt;&gt;'Lista para pedir'!$C$3,N($I164)&lt;=0),"",COUNTIFS($A$2:$A164,$A164,$I$2:$I164,"&gt;0"))</f>
        <v/>
      </c>
    </row>
    <row r="165">
      <c r="A165" s="20" t="n"/>
      <c r="B165" s="21">
        <f>IF($A165="","",CHOOSE(WEEKDAY($A165,2),"Lunes","Martes","Miércoles","Jueves","Viernes","Sábado","Domingo"))</f>
        <v/>
      </c>
      <c r="C165" s="17" t="n"/>
      <c r="D165" s="21">
        <f>IF($C165="","",IFERROR(INDEX(Insumos!$B$2:$B$151,MATCH($C165,Insumos!$A$2:$A$151,0)),"Código no cargado"))</f>
        <v/>
      </c>
      <c r="E165" s="21">
        <f>IF($C165="","",IFERROR(INDEX(Insumos!$C$2:$C$151,MATCH($C165,Insumos!$A$2:$A$151,0)),""))</f>
        <v/>
      </c>
      <c r="F165" s="21">
        <f>IF($C165="","",IFERROR(INDEX(Insumos!$D$2:$D$151,MATCH($C165,Insumos!$A$2:$A$151,0)),""))</f>
        <v/>
      </c>
      <c r="G165" s="18" t="n"/>
      <c r="H165" s="19">
        <f>IF(OR($A165="",$C165=""),"",IFERROR(INDEX(Insumos!$M$2:$S$151,MATCH($C165,Insumos!$A$2:$A$151,0),WEEKDAY($A165,2)),""))</f>
        <v/>
      </c>
      <c r="I165" s="19">
        <f>IF(OR($G165="",$H165=""),"",MAX(0,$H165-$G165))</f>
        <v/>
      </c>
      <c r="J165" s="21">
        <f>IF($I165="","",IF($I165=0,"OK",IF($G165&lt;=0,"Sin stock: pedir ya","Pedir o producir")))</f>
        <v/>
      </c>
      <c r="K165" s="17" t="n"/>
      <c r="L165" s="17" t="n"/>
      <c r="M165" s="21">
        <f>IF(OR($A165="",$A165&lt;&gt;'Lista para pedir'!$C$3,N($I165)&lt;=0),"",COUNTIFS($A$2:$A165,$A165,$I$2:$I165,"&gt;0"))</f>
        <v/>
      </c>
    </row>
    <row r="166">
      <c r="A166" s="20" t="n"/>
      <c r="B166" s="21">
        <f>IF($A166="","",CHOOSE(WEEKDAY($A166,2),"Lunes","Martes","Miércoles","Jueves","Viernes","Sábado","Domingo"))</f>
        <v/>
      </c>
      <c r="C166" s="17" t="n"/>
      <c r="D166" s="21">
        <f>IF($C166="","",IFERROR(INDEX(Insumos!$B$2:$B$151,MATCH($C166,Insumos!$A$2:$A$151,0)),"Código no cargado"))</f>
        <v/>
      </c>
      <c r="E166" s="21">
        <f>IF($C166="","",IFERROR(INDEX(Insumos!$C$2:$C$151,MATCH($C166,Insumos!$A$2:$A$151,0)),""))</f>
        <v/>
      </c>
      <c r="F166" s="21">
        <f>IF($C166="","",IFERROR(INDEX(Insumos!$D$2:$D$151,MATCH($C166,Insumos!$A$2:$A$151,0)),""))</f>
        <v/>
      </c>
      <c r="G166" s="18" t="n"/>
      <c r="H166" s="19">
        <f>IF(OR($A166="",$C166=""),"",IFERROR(INDEX(Insumos!$M$2:$S$151,MATCH($C166,Insumos!$A$2:$A$151,0),WEEKDAY($A166,2)),""))</f>
        <v/>
      </c>
      <c r="I166" s="19">
        <f>IF(OR($G166="",$H166=""),"",MAX(0,$H166-$G166))</f>
        <v/>
      </c>
      <c r="J166" s="21">
        <f>IF($I166="","",IF($I166=0,"OK",IF($G166&lt;=0,"Sin stock: pedir ya","Pedir o producir")))</f>
        <v/>
      </c>
      <c r="K166" s="17" t="n"/>
      <c r="L166" s="17" t="n"/>
      <c r="M166" s="21">
        <f>IF(OR($A166="",$A166&lt;&gt;'Lista para pedir'!$C$3,N($I166)&lt;=0),"",COUNTIFS($A$2:$A166,$A166,$I$2:$I166,"&gt;0"))</f>
        <v/>
      </c>
    </row>
    <row r="167">
      <c r="A167" s="20" t="n"/>
      <c r="B167" s="21">
        <f>IF($A167="","",CHOOSE(WEEKDAY($A167,2),"Lunes","Martes","Miércoles","Jueves","Viernes","Sábado","Domingo"))</f>
        <v/>
      </c>
      <c r="C167" s="17" t="n"/>
      <c r="D167" s="21">
        <f>IF($C167="","",IFERROR(INDEX(Insumos!$B$2:$B$151,MATCH($C167,Insumos!$A$2:$A$151,0)),"Código no cargado"))</f>
        <v/>
      </c>
      <c r="E167" s="21">
        <f>IF($C167="","",IFERROR(INDEX(Insumos!$C$2:$C$151,MATCH($C167,Insumos!$A$2:$A$151,0)),""))</f>
        <v/>
      </c>
      <c r="F167" s="21">
        <f>IF($C167="","",IFERROR(INDEX(Insumos!$D$2:$D$151,MATCH($C167,Insumos!$A$2:$A$151,0)),""))</f>
        <v/>
      </c>
      <c r="G167" s="18" t="n"/>
      <c r="H167" s="19">
        <f>IF(OR($A167="",$C167=""),"",IFERROR(INDEX(Insumos!$M$2:$S$151,MATCH($C167,Insumos!$A$2:$A$151,0),WEEKDAY($A167,2)),""))</f>
        <v/>
      </c>
      <c r="I167" s="19">
        <f>IF(OR($G167="",$H167=""),"",MAX(0,$H167-$G167))</f>
        <v/>
      </c>
      <c r="J167" s="21">
        <f>IF($I167="","",IF($I167=0,"OK",IF($G167&lt;=0,"Sin stock: pedir ya","Pedir o producir")))</f>
        <v/>
      </c>
      <c r="K167" s="17" t="n"/>
      <c r="L167" s="17" t="n"/>
      <c r="M167" s="21">
        <f>IF(OR($A167="",$A167&lt;&gt;'Lista para pedir'!$C$3,N($I167)&lt;=0),"",COUNTIFS($A$2:$A167,$A167,$I$2:$I167,"&gt;0"))</f>
        <v/>
      </c>
    </row>
    <row r="168">
      <c r="A168" s="20" t="n"/>
      <c r="B168" s="21">
        <f>IF($A168="","",CHOOSE(WEEKDAY($A168,2),"Lunes","Martes","Miércoles","Jueves","Viernes","Sábado","Domingo"))</f>
        <v/>
      </c>
      <c r="C168" s="17" t="n"/>
      <c r="D168" s="21">
        <f>IF($C168="","",IFERROR(INDEX(Insumos!$B$2:$B$151,MATCH($C168,Insumos!$A$2:$A$151,0)),"Código no cargado"))</f>
        <v/>
      </c>
      <c r="E168" s="21">
        <f>IF($C168="","",IFERROR(INDEX(Insumos!$C$2:$C$151,MATCH($C168,Insumos!$A$2:$A$151,0)),""))</f>
        <v/>
      </c>
      <c r="F168" s="21">
        <f>IF($C168="","",IFERROR(INDEX(Insumos!$D$2:$D$151,MATCH($C168,Insumos!$A$2:$A$151,0)),""))</f>
        <v/>
      </c>
      <c r="G168" s="18" t="n"/>
      <c r="H168" s="19">
        <f>IF(OR($A168="",$C168=""),"",IFERROR(INDEX(Insumos!$M$2:$S$151,MATCH($C168,Insumos!$A$2:$A$151,0),WEEKDAY($A168,2)),""))</f>
        <v/>
      </c>
      <c r="I168" s="19">
        <f>IF(OR($G168="",$H168=""),"",MAX(0,$H168-$G168))</f>
        <v/>
      </c>
      <c r="J168" s="21">
        <f>IF($I168="","",IF($I168=0,"OK",IF($G168&lt;=0,"Sin stock: pedir ya","Pedir o producir")))</f>
        <v/>
      </c>
      <c r="K168" s="17" t="n"/>
      <c r="L168" s="17" t="n"/>
      <c r="M168" s="21">
        <f>IF(OR($A168="",$A168&lt;&gt;'Lista para pedir'!$C$3,N($I168)&lt;=0),"",COUNTIFS($A$2:$A168,$A168,$I$2:$I168,"&gt;0"))</f>
        <v/>
      </c>
    </row>
    <row r="169">
      <c r="A169" s="20" t="n"/>
      <c r="B169" s="21">
        <f>IF($A169="","",CHOOSE(WEEKDAY($A169,2),"Lunes","Martes","Miércoles","Jueves","Viernes","Sábado","Domingo"))</f>
        <v/>
      </c>
      <c r="C169" s="17" t="n"/>
      <c r="D169" s="21">
        <f>IF($C169="","",IFERROR(INDEX(Insumos!$B$2:$B$151,MATCH($C169,Insumos!$A$2:$A$151,0)),"Código no cargado"))</f>
        <v/>
      </c>
      <c r="E169" s="21">
        <f>IF($C169="","",IFERROR(INDEX(Insumos!$C$2:$C$151,MATCH($C169,Insumos!$A$2:$A$151,0)),""))</f>
        <v/>
      </c>
      <c r="F169" s="21">
        <f>IF($C169="","",IFERROR(INDEX(Insumos!$D$2:$D$151,MATCH($C169,Insumos!$A$2:$A$151,0)),""))</f>
        <v/>
      </c>
      <c r="G169" s="18" t="n"/>
      <c r="H169" s="19">
        <f>IF(OR($A169="",$C169=""),"",IFERROR(INDEX(Insumos!$M$2:$S$151,MATCH($C169,Insumos!$A$2:$A$151,0),WEEKDAY($A169,2)),""))</f>
        <v/>
      </c>
      <c r="I169" s="19">
        <f>IF(OR($G169="",$H169=""),"",MAX(0,$H169-$G169))</f>
        <v/>
      </c>
      <c r="J169" s="21">
        <f>IF($I169="","",IF($I169=0,"OK",IF($G169&lt;=0,"Sin stock: pedir ya","Pedir o producir")))</f>
        <v/>
      </c>
      <c r="K169" s="17" t="n"/>
      <c r="L169" s="17" t="n"/>
      <c r="M169" s="21">
        <f>IF(OR($A169="",$A169&lt;&gt;'Lista para pedir'!$C$3,N($I169)&lt;=0),"",COUNTIFS($A$2:$A169,$A169,$I$2:$I169,"&gt;0"))</f>
        <v/>
      </c>
    </row>
    <row r="170">
      <c r="A170" s="20" t="n"/>
      <c r="B170" s="21">
        <f>IF($A170="","",CHOOSE(WEEKDAY($A170,2),"Lunes","Martes","Miércoles","Jueves","Viernes","Sábado","Domingo"))</f>
        <v/>
      </c>
      <c r="C170" s="17" t="n"/>
      <c r="D170" s="21">
        <f>IF($C170="","",IFERROR(INDEX(Insumos!$B$2:$B$151,MATCH($C170,Insumos!$A$2:$A$151,0)),"Código no cargado"))</f>
        <v/>
      </c>
      <c r="E170" s="21">
        <f>IF($C170="","",IFERROR(INDEX(Insumos!$C$2:$C$151,MATCH($C170,Insumos!$A$2:$A$151,0)),""))</f>
        <v/>
      </c>
      <c r="F170" s="21">
        <f>IF($C170="","",IFERROR(INDEX(Insumos!$D$2:$D$151,MATCH($C170,Insumos!$A$2:$A$151,0)),""))</f>
        <v/>
      </c>
      <c r="G170" s="18" t="n"/>
      <c r="H170" s="19">
        <f>IF(OR($A170="",$C170=""),"",IFERROR(INDEX(Insumos!$M$2:$S$151,MATCH($C170,Insumos!$A$2:$A$151,0),WEEKDAY($A170,2)),""))</f>
        <v/>
      </c>
      <c r="I170" s="19">
        <f>IF(OR($G170="",$H170=""),"",MAX(0,$H170-$G170))</f>
        <v/>
      </c>
      <c r="J170" s="21">
        <f>IF($I170="","",IF($I170=0,"OK",IF($G170&lt;=0,"Sin stock: pedir ya","Pedir o producir")))</f>
        <v/>
      </c>
      <c r="K170" s="17" t="n"/>
      <c r="L170" s="17" t="n"/>
      <c r="M170" s="21">
        <f>IF(OR($A170="",$A170&lt;&gt;'Lista para pedir'!$C$3,N($I170)&lt;=0),"",COUNTIFS($A$2:$A170,$A170,$I$2:$I170,"&gt;0"))</f>
        <v/>
      </c>
    </row>
    <row r="171">
      <c r="A171" s="20" t="n"/>
      <c r="B171" s="21">
        <f>IF($A171="","",CHOOSE(WEEKDAY($A171,2),"Lunes","Martes","Miércoles","Jueves","Viernes","Sábado","Domingo"))</f>
        <v/>
      </c>
      <c r="C171" s="17" t="n"/>
      <c r="D171" s="21">
        <f>IF($C171="","",IFERROR(INDEX(Insumos!$B$2:$B$151,MATCH($C171,Insumos!$A$2:$A$151,0)),"Código no cargado"))</f>
        <v/>
      </c>
      <c r="E171" s="21">
        <f>IF($C171="","",IFERROR(INDEX(Insumos!$C$2:$C$151,MATCH($C171,Insumos!$A$2:$A$151,0)),""))</f>
        <v/>
      </c>
      <c r="F171" s="21">
        <f>IF($C171="","",IFERROR(INDEX(Insumos!$D$2:$D$151,MATCH($C171,Insumos!$A$2:$A$151,0)),""))</f>
        <v/>
      </c>
      <c r="G171" s="18" t="n"/>
      <c r="H171" s="19">
        <f>IF(OR($A171="",$C171=""),"",IFERROR(INDEX(Insumos!$M$2:$S$151,MATCH($C171,Insumos!$A$2:$A$151,0),WEEKDAY($A171,2)),""))</f>
        <v/>
      </c>
      <c r="I171" s="19">
        <f>IF(OR($G171="",$H171=""),"",MAX(0,$H171-$G171))</f>
        <v/>
      </c>
      <c r="J171" s="21">
        <f>IF($I171="","",IF($I171=0,"OK",IF($G171&lt;=0,"Sin stock: pedir ya","Pedir o producir")))</f>
        <v/>
      </c>
      <c r="K171" s="17" t="n"/>
      <c r="L171" s="17" t="n"/>
      <c r="M171" s="21">
        <f>IF(OR($A171="",$A171&lt;&gt;'Lista para pedir'!$C$3,N($I171)&lt;=0),"",COUNTIFS($A$2:$A171,$A171,$I$2:$I171,"&gt;0"))</f>
        <v/>
      </c>
    </row>
    <row r="172">
      <c r="A172" s="20" t="n"/>
      <c r="B172" s="21">
        <f>IF($A172="","",CHOOSE(WEEKDAY($A172,2),"Lunes","Martes","Miércoles","Jueves","Viernes","Sábado","Domingo"))</f>
        <v/>
      </c>
      <c r="C172" s="17" t="n"/>
      <c r="D172" s="21">
        <f>IF($C172="","",IFERROR(INDEX(Insumos!$B$2:$B$151,MATCH($C172,Insumos!$A$2:$A$151,0)),"Código no cargado"))</f>
        <v/>
      </c>
      <c r="E172" s="21">
        <f>IF($C172="","",IFERROR(INDEX(Insumos!$C$2:$C$151,MATCH($C172,Insumos!$A$2:$A$151,0)),""))</f>
        <v/>
      </c>
      <c r="F172" s="21">
        <f>IF($C172="","",IFERROR(INDEX(Insumos!$D$2:$D$151,MATCH($C172,Insumos!$A$2:$A$151,0)),""))</f>
        <v/>
      </c>
      <c r="G172" s="18" t="n"/>
      <c r="H172" s="19">
        <f>IF(OR($A172="",$C172=""),"",IFERROR(INDEX(Insumos!$M$2:$S$151,MATCH($C172,Insumos!$A$2:$A$151,0),WEEKDAY($A172,2)),""))</f>
        <v/>
      </c>
      <c r="I172" s="19">
        <f>IF(OR($G172="",$H172=""),"",MAX(0,$H172-$G172))</f>
        <v/>
      </c>
      <c r="J172" s="21">
        <f>IF($I172="","",IF($I172=0,"OK",IF($G172&lt;=0,"Sin stock: pedir ya","Pedir o producir")))</f>
        <v/>
      </c>
      <c r="K172" s="17" t="n"/>
      <c r="L172" s="17" t="n"/>
      <c r="M172" s="21">
        <f>IF(OR($A172="",$A172&lt;&gt;'Lista para pedir'!$C$3,N($I172)&lt;=0),"",COUNTIFS($A$2:$A172,$A172,$I$2:$I172,"&gt;0"))</f>
        <v/>
      </c>
    </row>
    <row r="173">
      <c r="A173" s="20" t="n"/>
      <c r="B173" s="21">
        <f>IF($A173="","",CHOOSE(WEEKDAY($A173,2),"Lunes","Martes","Miércoles","Jueves","Viernes","Sábado","Domingo"))</f>
        <v/>
      </c>
      <c r="C173" s="17" t="n"/>
      <c r="D173" s="21">
        <f>IF($C173="","",IFERROR(INDEX(Insumos!$B$2:$B$151,MATCH($C173,Insumos!$A$2:$A$151,0)),"Código no cargado"))</f>
        <v/>
      </c>
      <c r="E173" s="21">
        <f>IF($C173="","",IFERROR(INDEX(Insumos!$C$2:$C$151,MATCH($C173,Insumos!$A$2:$A$151,0)),""))</f>
        <v/>
      </c>
      <c r="F173" s="21">
        <f>IF($C173="","",IFERROR(INDEX(Insumos!$D$2:$D$151,MATCH($C173,Insumos!$A$2:$A$151,0)),""))</f>
        <v/>
      </c>
      <c r="G173" s="18" t="n"/>
      <c r="H173" s="19">
        <f>IF(OR($A173="",$C173=""),"",IFERROR(INDEX(Insumos!$M$2:$S$151,MATCH($C173,Insumos!$A$2:$A$151,0),WEEKDAY($A173,2)),""))</f>
        <v/>
      </c>
      <c r="I173" s="19">
        <f>IF(OR($G173="",$H173=""),"",MAX(0,$H173-$G173))</f>
        <v/>
      </c>
      <c r="J173" s="21">
        <f>IF($I173="","",IF($I173=0,"OK",IF($G173&lt;=0,"Sin stock: pedir ya","Pedir o producir")))</f>
        <v/>
      </c>
      <c r="K173" s="17" t="n"/>
      <c r="L173" s="17" t="n"/>
      <c r="M173" s="21">
        <f>IF(OR($A173="",$A173&lt;&gt;'Lista para pedir'!$C$3,N($I173)&lt;=0),"",COUNTIFS($A$2:$A173,$A173,$I$2:$I173,"&gt;0"))</f>
        <v/>
      </c>
    </row>
    <row r="174">
      <c r="A174" s="20" t="n"/>
      <c r="B174" s="21">
        <f>IF($A174="","",CHOOSE(WEEKDAY($A174,2),"Lunes","Martes","Miércoles","Jueves","Viernes","Sábado","Domingo"))</f>
        <v/>
      </c>
      <c r="C174" s="17" t="n"/>
      <c r="D174" s="21">
        <f>IF($C174="","",IFERROR(INDEX(Insumos!$B$2:$B$151,MATCH($C174,Insumos!$A$2:$A$151,0)),"Código no cargado"))</f>
        <v/>
      </c>
      <c r="E174" s="21">
        <f>IF($C174="","",IFERROR(INDEX(Insumos!$C$2:$C$151,MATCH($C174,Insumos!$A$2:$A$151,0)),""))</f>
        <v/>
      </c>
      <c r="F174" s="21">
        <f>IF($C174="","",IFERROR(INDEX(Insumos!$D$2:$D$151,MATCH($C174,Insumos!$A$2:$A$151,0)),""))</f>
        <v/>
      </c>
      <c r="G174" s="18" t="n"/>
      <c r="H174" s="19">
        <f>IF(OR($A174="",$C174=""),"",IFERROR(INDEX(Insumos!$M$2:$S$151,MATCH($C174,Insumos!$A$2:$A$151,0),WEEKDAY($A174,2)),""))</f>
        <v/>
      </c>
      <c r="I174" s="19">
        <f>IF(OR($G174="",$H174=""),"",MAX(0,$H174-$G174))</f>
        <v/>
      </c>
      <c r="J174" s="21">
        <f>IF($I174="","",IF($I174=0,"OK",IF($G174&lt;=0,"Sin stock: pedir ya","Pedir o producir")))</f>
        <v/>
      </c>
      <c r="K174" s="17" t="n"/>
      <c r="L174" s="17" t="n"/>
      <c r="M174" s="21">
        <f>IF(OR($A174="",$A174&lt;&gt;'Lista para pedir'!$C$3,N($I174)&lt;=0),"",COUNTIFS($A$2:$A174,$A174,$I$2:$I174,"&gt;0"))</f>
        <v/>
      </c>
    </row>
    <row r="175">
      <c r="A175" s="20" t="n"/>
      <c r="B175" s="21">
        <f>IF($A175="","",CHOOSE(WEEKDAY($A175,2),"Lunes","Martes","Miércoles","Jueves","Viernes","Sábado","Domingo"))</f>
        <v/>
      </c>
      <c r="C175" s="17" t="n"/>
      <c r="D175" s="21">
        <f>IF($C175="","",IFERROR(INDEX(Insumos!$B$2:$B$151,MATCH($C175,Insumos!$A$2:$A$151,0)),"Código no cargado"))</f>
        <v/>
      </c>
      <c r="E175" s="21">
        <f>IF($C175="","",IFERROR(INDEX(Insumos!$C$2:$C$151,MATCH($C175,Insumos!$A$2:$A$151,0)),""))</f>
        <v/>
      </c>
      <c r="F175" s="21">
        <f>IF($C175="","",IFERROR(INDEX(Insumos!$D$2:$D$151,MATCH($C175,Insumos!$A$2:$A$151,0)),""))</f>
        <v/>
      </c>
      <c r="G175" s="18" t="n"/>
      <c r="H175" s="19">
        <f>IF(OR($A175="",$C175=""),"",IFERROR(INDEX(Insumos!$M$2:$S$151,MATCH($C175,Insumos!$A$2:$A$151,0),WEEKDAY($A175,2)),""))</f>
        <v/>
      </c>
      <c r="I175" s="19">
        <f>IF(OR($G175="",$H175=""),"",MAX(0,$H175-$G175))</f>
        <v/>
      </c>
      <c r="J175" s="21">
        <f>IF($I175="","",IF($I175=0,"OK",IF($G175&lt;=0,"Sin stock: pedir ya","Pedir o producir")))</f>
        <v/>
      </c>
      <c r="K175" s="17" t="n"/>
      <c r="L175" s="17" t="n"/>
      <c r="M175" s="21">
        <f>IF(OR($A175="",$A175&lt;&gt;'Lista para pedir'!$C$3,N($I175)&lt;=0),"",COUNTIFS($A$2:$A175,$A175,$I$2:$I175,"&gt;0"))</f>
        <v/>
      </c>
    </row>
    <row r="176">
      <c r="A176" s="20" t="n"/>
      <c r="B176" s="21">
        <f>IF($A176="","",CHOOSE(WEEKDAY($A176,2),"Lunes","Martes","Miércoles","Jueves","Viernes","Sábado","Domingo"))</f>
        <v/>
      </c>
      <c r="C176" s="17" t="n"/>
      <c r="D176" s="21">
        <f>IF($C176="","",IFERROR(INDEX(Insumos!$B$2:$B$151,MATCH($C176,Insumos!$A$2:$A$151,0)),"Código no cargado"))</f>
        <v/>
      </c>
      <c r="E176" s="21">
        <f>IF($C176="","",IFERROR(INDEX(Insumos!$C$2:$C$151,MATCH($C176,Insumos!$A$2:$A$151,0)),""))</f>
        <v/>
      </c>
      <c r="F176" s="21">
        <f>IF($C176="","",IFERROR(INDEX(Insumos!$D$2:$D$151,MATCH($C176,Insumos!$A$2:$A$151,0)),""))</f>
        <v/>
      </c>
      <c r="G176" s="18" t="n"/>
      <c r="H176" s="19">
        <f>IF(OR($A176="",$C176=""),"",IFERROR(INDEX(Insumos!$M$2:$S$151,MATCH($C176,Insumos!$A$2:$A$151,0),WEEKDAY($A176,2)),""))</f>
        <v/>
      </c>
      <c r="I176" s="19">
        <f>IF(OR($G176="",$H176=""),"",MAX(0,$H176-$G176))</f>
        <v/>
      </c>
      <c r="J176" s="21">
        <f>IF($I176="","",IF($I176=0,"OK",IF($G176&lt;=0,"Sin stock: pedir ya","Pedir o producir")))</f>
        <v/>
      </c>
      <c r="K176" s="17" t="n"/>
      <c r="L176" s="17" t="n"/>
      <c r="M176" s="21">
        <f>IF(OR($A176="",$A176&lt;&gt;'Lista para pedir'!$C$3,N($I176)&lt;=0),"",COUNTIFS($A$2:$A176,$A176,$I$2:$I176,"&gt;0"))</f>
        <v/>
      </c>
    </row>
    <row r="177">
      <c r="A177" s="20" t="n"/>
      <c r="B177" s="21">
        <f>IF($A177="","",CHOOSE(WEEKDAY($A177,2),"Lunes","Martes","Miércoles","Jueves","Viernes","Sábado","Domingo"))</f>
        <v/>
      </c>
      <c r="C177" s="17" t="n"/>
      <c r="D177" s="21">
        <f>IF($C177="","",IFERROR(INDEX(Insumos!$B$2:$B$151,MATCH($C177,Insumos!$A$2:$A$151,0)),"Código no cargado"))</f>
        <v/>
      </c>
      <c r="E177" s="21">
        <f>IF($C177="","",IFERROR(INDEX(Insumos!$C$2:$C$151,MATCH($C177,Insumos!$A$2:$A$151,0)),""))</f>
        <v/>
      </c>
      <c r="F177" s="21">
        <f>IF($C177="","",IFERROR(INDEX(Insumos!$D$2:$D$151,MATCH($C177,Insumos!$A$2:$A$151,0)),""))</f>
        <v/>
      </c>
      <c r="G177" s="18" t="n"/>
      <c r="H177" s="19">
        <f>IF(OR($A177="",$C177=""),"",IFERROR(INDEX(Insumos!$M$2:$S$151,MATCH($C177,Insumos!$A$2:$A$151,0),WEEKDAY($A177,2)),""))</f>
        <v/>
      </c>
      <c r="I177" s="19">
        <f>IF(OR($G177="",$H177=""),"",MAX(0,$H177-$G177))</f>
        <v/>
      </c>
      <c r="J177" s="21">
        <f>IF($I177="","",IF($I177=0,"OK",IF($G177&lt;=0,"Sin stock: pedir ya","Pedir o producir")))</f>
        <v/>
      </c>
      <c r="K177" s="17" t="n"/>
      <c r="L177" s="17" t="n"/>
      <c r="M177" s="21">
        <f>IF(OR($A177="",$A177&lt;&gt;'Lista para pedir'!$C$3,N($I177)&lt;=0),"",COUNTIFS($A$2:$A177,$A177,$I$2:$I177,"&gt;0"))</f>
        <v/>
      </c>
    </row>
    <row r="178">
      <c r="A178" s="20" t="n"/>
      <c r="B178" s="21">
        <f>IF($A178="","",CHOOSE(WEEKDAY($A178,2),"Lunes","Martes","Miércoles","Jueves","Viernes","Sábado","Domingo"))</f>
        <v/>
      </c>
      <c r="C178" s="17" t="n"/>
      <c r="D178" s="21">
        <f>IF($C178="","",IFERROR(INDEX(Insumos!$B$2:$B$151,MATCH($C178,Insumos!$A$2:$A$151,0)),"Código no cargado"))</f>
        <v/>
      </c>
      <c r="E178" s="21">
        <f>IF($C178="","",IFERROR(INDEX(Insumos!$C$2:$C$151,MATCH($C178,Insumos!$A$2:$A$151,0)),""))</f>
        <v/>
      </c>
      <c r="F178" s="21">
        <f>IF($C178="","",IFERROR(INDEX(Insumos!$D$2:$D$151,MATCH($C178,Insumos!$A$2:$A$151,0)),""))</f>
        <v/>
      </c>
      <c r="G178" s="18" t="n"/>
      <c r="H178" s="19">
        <f>IF(OR($A178="",$C178=""),"",IFERROR(INDEX(Insumos!$M$2:$S$151,MATCH($C178,Insumos!$A$2:$A$151,0),WEEKDAY($A178,2)),""))</f>
        <v/>
      </c>
      <c r="I178" s="19">
        <f>IF(OR($G178="",$H178=""),"",MAX(0,$H178-$G178))</f>
        <v/>
      </c>
      <c r="J178" s="21">
        <f>IF($I178="","",IF($I178=0,"OK",IF($G178&lt;=0,"Sin stock: pedir ya","Pedir o producir")))</f>
        <v/>
      </c>
      <c r="K178" s="17" t="n"/>
      <c r="L178" s="17" t="n"/>
      <c r="M178" s="21">
        <f>IF(OR($A178="",$A178&lt;&gt;'Lista para pedir'!$C$3,N($I178)&lt;=0),"",COUNTIFS($A$2:$A178,$A178,$I$2:$I178,"&gt;0"))</f>
        <v/>
      </c>
    </row>
    <row r="179">
      <c r="A179" s="20" t="n"/>
      <c r="B179" s="21">
        <f>IF($A179="","",CHOOSE(WEEKDAY($A179,2),"Lunes","Martes","Miércoles","Jueves","Viernes","Sábado","Domingo"))</f>
        <v/>
      </c>
      <c r="C179" s="17" t="n"/>
      <c r="D179" s="21">
        <f>IF($C179="","",IFERROR(INDEX(Insumos!$B$2:$B$151,MATCH($C179,Insumos!$A$2:$A$151,0)),"Código no cargado"))</f>
        <v/>
      </c>
      <c r="E179" s="21">
        <f>IF($C179="","",IFERROR(INDEX(Insumos!$C$2:$C$151,MATCH($C179,Insumos!$A$2:$A$151,0)),""))</f>
        <v/>
      </c>
      <c r="F179" s="21">
        <f>IF($C179="","",IFERROR(INDEX(Insumos!$D$2:$D$151,MATCH($C179,Insumos!$A$2:$A$151,0)),""))</f>
        <v/>
      </c>
      <c r="G179" s="18" t="n"/>
      <c r="H179" s="19">
        <f>IF(OR($A179="",$C179=""),"",IFERROR(INDEX(Insumos!$M$2:$S$151,MATCH($C179,Insumos!$A$2:$A$151,0),WEEKDAY($A179,2)),""))</f>
        <v/>
      </c>
      <c r="I179" s="19">
        <f>IF(OR($G179="",$H179=""),"",MAX(0,$H179-$G179))</f>
        <v/>
      </c>
      <c r="J179" s="21">
        <f>IF($I179="","",IF($I179=0,"OK",IF($G179&lt;=0,"Sin stock: pedir ya","Pedir o producir")))</f>
        <v/>
      </c>
      <c r="K179" s="17" t="n"/>
      <c r="L179" s="17" t="n"/>
      <c r="M179" s="21">
        <f>IF(OR($A179="",$A179&lt;&gt;'Lista para pedir'!$C$3,N($I179)&lt;=0),"",COUNTIFS($A$2:$A179,$A179,$I$2:$I179,"&gt;0"))</f>
        <v/>
      </c>
    </row>
    <row r="180">
      <c r="A180" s="20" t="n"/>
      <c r="B180" s="21">
        <f>IF($A180="","",CHOOSE(WEEKDAY($A180,2),"Lunes","Martes","Miércoles","Jueves","Viernes","Sábado","Domingo"))</f>
        <v/>
      </c>
      <c r="C180" s="17" t="n"/>
      <c r="D180" s="21">
        <f>IF($C180="","",IFERROR(INDEX(Insumos!$B$2:$B$151,MATCH($C180,Insumos!$A$2:$A$151,0)),"Código no cargado"))</f>
        <v/>
      </c>
      <c r="E180" s="21">
        <f>IF($C180="","",IFERROR(INDEX(Insumos!$C$2:$C$151,MATCH($C180,Insumos!$A$2:$A$151,0)),""))</f>
        <v/>
      </c>
      <c r="F180" s="21">
        <f>IF($C180="","",IFERROR(INDEX(Insumos!$D$2:$D$151,MATCH($C180,Insumos!$A$2:$A$151,0)),""))</f>
        <v/>
      </c>
      <c r="G180" s="18" t="n"/>
      <c r="H180" s="19">
        <f>IF(OR($A180="",$C180=""),"",IFERROR(INDEX(Insumos!$M$2:$S$151,MATCH($C180,Insumos!$A$2:$A$151,0),WEEKDAY($A180,2)),""))</f>
        <v/>
      </c>
      <c r="I180" s="19">
        <f>IF(OR($G180="",$H180=""),"",MAX(0,$H180-$G180))</f>
        <v/>
      </c>
      <c r="J180" s="21">
        <f>IF($I180="","",IF($I180=0,"OK",IF($G180&lt;=0,"Sin stock: pedir ya","Pedir o producir")))</f>
        <v/>
      </c>
      <c r="K180" s="17" t="n"/>
      <c r="L180" s="17" t="n"/>
      <c r="M180" s="21">
        <f>IF(OR($A180="",$A180&lt;&gt;'Lista para pedir'!$C$3,N($I180)&lt;=0),"",COUNTIFS($A$2:$A180,$A180,$I$2:$I180,"&gt;0"))</f>
        <v/>
      </c>
    </row>
    <row r="181">
      <c r="A181" s="20" t="n"/>
      <c r="B181" s="21">
        <f>IF($A181="","",CHOOSE(WEEKDAY($A181,2),"Lunes","Martes","Miércoles","Jueves","Viernes","Sábado","Domingo"))</f>
        <v/>
      </c>
      <c r="C181" s="17" t="n"/>
      <c r="D181" s="21">
        <f>IF($C181="","",IFERROR(INDEX(Insumos!$B$2:$B$151,MATCH($C181,Insumos!$A$2:$A$151,0)),"Código no cargado"))</f>
        <v/>
      </c>
      <c r="E181" s="21">
        <f>IF($C181="","",IFERROR(INDEX(Insumos!$C$2:$C$151,MATCH($C181,Insumos!$A$2:$A$151,0)),""))</f>
        <v/>
      </c>
      <c r="F181" s="21">
        <f>IF($C181="","",IFERROR(INDEX(Insumos!$D$2:$D$151,MATCH($C181,Insumos!$A$2:$A$151,0)),""))</f>
        <v/>
      </c>
      <c r="G181" s="18" t="n"/>
      <c r="H181" s="19">
        <f>IF(OR($A181="",$C181=""),"",IFERROR(INDEX(Insumos!$M$2:$S$151,MATCH($C181,Insumos!$A$2:$A$151,0),WEEKDAY($A181,2)),""))</f>
        <v/>
      </c>
      <c r="I181" s="19">
        <f>IF(OR($G181="",$H181=""),"",MAX(0,$H181-$G181))</f>
        <v/>
      </c>
      <c r="J181" s="21">
        <f>IF($I181="","",IF($I181=0,"OK",IF($G181&lt;=0,"Sin stock: pedir ya","Pedir o producir")))</f>
        <v/>
      </c>
      <c r="K181" s="17" t="n"/>
      <c r="L181" s="17" t="n"/>
      <c r="M181" s="21">
        <f>IF(OR($A181="",$A181&lt;&gt;'Lista para pedir'!$C$3,N($I181)&lt;=0),"",COUNTIFS($A$2:$A181,$A181,$I$2:$I181,"&gt;0"))</f>
        <v/>
      </c>
    </row>
    <row r="182">
      <c r="A182" s="20" t="n"/>
      <c r="B182" s="21">
        <f>IF($A182="","",CHOOSE(WEEKDAY($A182,2),"Lunes","Martes","Miércoles","Jueves","Viernes","Sábado","Domingo"))</f>
        <v/>
      </c>
      <c r="C182" s="17" t="n"/>
      <c r="D182" s="21">
        <f>IF($C182="","",IFERROR(INDEX(Insumos!$B$2:$B$151,MATCH($C182,Insumos!$A$2:$A$151,0)),"Código no cargado"))</f>
        <v/>
      </c>
      <c r="E182" s="21">
        <f>IF($C182="","",IFERROR(INDEX(Insumos!$C$2:$C$151,MATCH($C182,Insumos!$A$2:$A$151,0)),""))</f>
        <v/>
      </c>
      <c r="F182" s="21">
        <f>IF($C182="","",IFERROR(INDEX(Insumos!$D$2:$D$151,MATCH($C182,Insumos!$A$2:$A$151,0)),""))</f>
        <v/>
      </c>
      <c r="G182" s="18" t="n"/>
      <c r="H182" s="19">
        <f>IF(OR($A182="",$C182=""),"",IFERROR(INDEX(Insumos!$M$2:$S$151,MATCH($C182,Insumos!$A$2:$A$151,0),WEEKDAY($A182,2)),""))</f>
        <v/>
      </c>
      <c r="I182" s="19">
        <f>IF(OR($G182="",$H182=""),"",MAX(0,$H182-$G182))</f>
        <v/>
      </c>
      <c r="J182" s="21">
        <f>IF($I182="","",IF($I182=0,"OK",IF($G182&lt;=0,"Sin stock: pedir ya","Pedir o producir")))</f>
        <v/>
      </c>
      <c r="K182" s="17" t="n"/>
      <c r="L182" s="17" t="n"/>
      <c r="M182" s="21">
        <f>IF(OR($A182="",$A182&lt;&gt;'Lista para pedir'!$C$3,N($I182)&lt;=0),"",COUNTIFS($A$2:$A182,$A182,$I$2:$I182,"&gt;0"))</f>
        <v/>
      </c>
    </row>
    <row r="183">
      <c r="A183" s="20" t="n"/>
      <c r="B183" s="21">
        <f>IF($A183="","",CHOOSE(WEEKDAY($A183,2),"Lunes","Martes","Miércoles","Jueves","Viernes","Sábado","Domingo"))</f>
        <v/>
      </c>
      <c r="C183" s="17" t="n"/>
      <c r="D183" s="21">
        <f>IF($C183="","",IFERROR(INDEX(Insumos!$B$2:$B$151,MATCH($C183,Insumos!$A$2:$A$151,0)),"Código no cargado"))</f>
        <v/>
      </c>
      <c r="E183" s="21">
        <f>IF($C183="","",IFERROR(INDEX(Insumos!$C$2:$C$151,MATCH($C183,Insumos!$A$2:$A$151,0)),""))</f>
        <v/>
      </c>
      <c r="F183" s="21">
        <f>IF($C183="","",IFERROR(INDEX(Insumos!$D$2:$D$151,MATCH($C183,Insumos!$A$2:$A$151,0)),""))</f>
        <v/>
      </c>
      <c r="G183" s="18" t="n"/>
      <c r="H183" s="19">
        <f>IF(OR($A183="",$C183=""),"",IFERROR(INDEX(Insumos!$M$2:$S$151,MATCH($C183,Insumos!$A$2:$A$151,0),WEEKDAY($A183,2)),""))</f>
        <v/>
      </c>
      <c r="I183" s="19">
        <f>IF(OR($G183="",$H183=""),"",MAX(0,$H183-$G183))</f>
        <v/>
      </c>
      <c r="J183" s="21">
        <f>IF($I183="","",IF($I183=0,"OK",IF($G183&lt;=0,"Sin stock: pedir ya","Pedir o producir")))</f>
        <v/>
      </c>
      <c r="K183" s="17" t="n"/>
      <c r="L183" s="17" t="n"/>
      <c r="M183" s="21">
        <f>IF(OR($A183="",$A183&lt;&gt;'Lista para pedir'!$C$3,N($I183)&lt;=0),"",COUNTIFS($A$2:$A183,$A183,$I$2:$I183,"&gt;0"))</f>
        <v/>
      </c>
    </row>
    <row r="184">
      <c r="A184" s="20" t="n"/>
      <c r="B184" s="21">
        <f>IF($A184="","",CHOOSE(WEEKDAY($A184,2),"Lunes","Martes","Miércoles","Jueves","Viernes","Sábado","Domingo"))</f>
        <v/>
      </c>
      <c r="C184" s="17" t="n"/>
      <c r="D184" s="21">
        <f>IF($C184="","",IFERROR(INDEX(Insumos!$B$2:$B$151,MATCH($C184,Insumos!$A$2:$A$151,0)),"Código no cargado"))</f>
        <v/>
      </c>
      <c r="E184" s="21">
        <f>IF($C184="","",IFERROR(INDEX(Insumos!$C$2:$C$151,MATCH($C184,Insumos!$A$2:$A$151,0)),""))</f>
        <v/>
      </c>
      <c r="F184" s="21">
        <f>IF($C184="","",IFERROR(INDEX(Insumos!$D$2:$D$151,MATCH($C184,Insumos!$A$2:$A$151,0)),""))</f>
        <v/>
      </c>
      <c r="G184" s="18" t="n"/>
      <c r="H184" s="19">
        <f>IF(OR($A184="",$C184=""),"",IFERROR(INDEX(Insumos!$M$2:$S$151,MATCH($C184,Insumos!$A$2:$A$151,0),WEEKDAY($A184,2)),""))</f>
        <v/>
      </c>
      <c r="I184" s="19">
        <f>IF(OR($G184="",$H184=""),"",MAX(0,$H184-$G184))</f>
        <v/>
      </c>
      <c r="J184" s="21">
        <f>IF($I184="","",IF($I184=0,"OK",IF($G184&lt;=0,"Sin stock: pedir ya","Pedir o producir")))</f>
        <v/>
      </c>
      <c r="K184" s="17" t="n"/>
      <c r="L184" s="17" t="n"/>
      <c r="M184" s="21">
        <f>IF(OR($A184="",$A184&lt;&gt;'Lista para pedir'!$C$3,N($I184)&lt;=0),"",COUNTIFS($A$2:$A184,$A184,$I$2:$I184,"&gt;0"))</f>
        <v/>
      </c>
    </row>
    <row r="185">
      <c r="A185" s="20" t="n"/>
      <c r="B185" s="21">
        <f>IF($A185="","",CHOOSE(WEEKDAY($A185,2),"Lunes","Martes","Miércoles","Jueves","Viernes","Sábado","Domingo"))</f>
        <v/>
      </c>
      <c r="C185" s="17" t="n"/>
      <c r="D185" s="21">
        <f>IF($C185="","",IFERROR(INDEX(Insumos!$B$2:$B$151,MATCH($C185,Insumos!$A$2:$A$151,0)),"Código no cargado"))</f>
        <v/>
      </c>
      <c r="E185" s="21">
        <f>IF($C185="","",IFERROR(INDEX(Insumos!$C$2:$C$151,MATCH($C185,Insumos!$A$2:$A$151,0)),""))</f>
        <v/>
      </c>
      <c r="F185" s="21">
        <f>IF($C185="","",IFERROR(INDEX(Insumos!$D$2:$D$151,MATCH($C185,Insumos!$A$2:$A$151,0)),""))</f>
        <v/>
      </c>
      <c r="G185" s="18" t="n"/>
      <c r="H185" s="19">
        <f>IF(OR($A185="",$C185=""),"",IFERROR(INDEX(Insumos!$M$2:$S$151,MATCH($C185,Insumos!$A$2:$A$151,0),WEEKDAY($A185,2)),""))</f>
        <v/>
      </c>
      <c r="I185" s="19">
        <f>IF(OR($G185="",$H185=""),"",MAX(0,$H185-$G185))</f>
        <v/>
      </c>
      <c r="J185" s="21">
        <f>IF($I185="","",IF($I185=0,"OK",IF($G185&lt;=0,"Sin stock: pedir ya","Pedir o producir")))</f>
        <v/>
      </c>
      <c r="K185" s="17" t="n"/>
      <c r="L185" s="17" t="n"/>
      <c r="M185" s="21">
        <f>IF(OR($A185="",$A185&lt;&gt;'Lista para pedir'!$C$3,N($I185)&lt;=0),"",COUNTIFS($A$2:$A185,$A185,$I$2:$I185,"&gt;0"))</f>
        <v/>
      </c>
    </row>
    <row r="186">
      <c r="A186" s="20" t="n"/>
      <c r="B186" s="21">
        <f>IF($A186="","",CHOOSE(WEEKDAY($A186,2),"Lunes","Martes","Miércoles","Jueves","Viernes","Sábado","Domingo"))</f>
        <v/>
      </c>
      <c r="C186" s="17" t="n"/>
      <c r="D186" s="21">
        <f>IF($C186="","",IFERROR(INDEX(Insumos!$B$2:$B$151,MATCH($C186,Insumos!$A$2:$A$151,0)),"Código no cargado"))</f>
        <v/>
      </c>
      <c r="E186" s="21">
        <f>IF($C186="","",IFERROR(INDEX(Insumos!$C$2:$C$151,MATCH($C186,Insumos!$A$2:$A$151,0)),""))</f>
        <v/>
      </c>
      <c r="F186" s="21">
        <f>IF($C186="","",IFERROR(INDEX(Insumos!$D$2:$D$151,MATCH($C186,Insumos!$A$2:$A$151,0)),""))</f>
        <v/>
      </c>
      <c r="G186" s="18" t="n"/>
      <c r="H186" s="19">
        <f>IF(OR($A186="",$C186=""),"",IFERROR(INDEX(Insumos!$M$2:$S$151,MATCH($C186,Insumos!$A$2:$A$151,0),WEEKDAY($A186,2)),""))</f>
        <v/>
      </c>
      <c r="I186" s="19">
        <f>IF(OR($G186="",$H186=""),"",MAX(0,$H186-$G186))</f>
        <v/>
      </c>
      <c r="J186" s="21">
        <f>IF($I186="","",IF($I186=0,"OK",IF($G186&lt;=0,"Sin stock: pedir ya","Pedir o producir")))</f>
        <v/>
      </c>
      <c r="K186" s="17" t="n"/>
      <c r="L186" s="17" t="n"/>
      <c r="M186" s="21">
        <f>IF(OR($A186="",$A186&lt;&gt;'Lista para pedir'!$C$3,N($I186)&lt;=0),"",COUNTIFS($A$2:$A186,$A186,$I$2:$I186,"&gt;0"))</f>
        <v/>
      </c>
    </row>
    <row r="187">
      <c r="A187" s="20" t="n"/>
      <c r="B187" s="21">
        <f>IF($A187="","",CHOOSE(WEEKDAY($A187,2),"Lunes","Martes","Miércoles","Jueves","Viernes","Sábado","Domingo"))</f>
        <v/>
      </c>
      <c r="C187" s="17" t="n"/>
      <c r="D187" s="21">
        <f>IF($C187="","",IFERROR(INDEX(Insumos!$B$2:$B$151,MATCH($C187,Insumos!$A$2:$A$151,0)),"Código no cargado"))</f>
        <v/>
      </c>
      <c r="E187" s="21">
        <f>IF($C187="","",IFERROR(INDEX(Insumos!$C$2:$C$151,MATCH($C187,Insumos!$A$2:$A$151,0)),""))</f>
        <v/>
      </c>
      <c r="F187" s="21">
        <f>IF($C187="","",IFERROR(INDEX(Insumos!$D$2:$D$151,MATCH($C187,Insumos!$A$2:$A$151,0)),""))</f>
        <v/>
      </c>
      <c r="G187" s="18" t="n"/>
      <c r="H187" s="19">
        <f>IF(OR($A187="",$C187=""),"",IFERROR(INDEX(Insumos!$M$2:$S$151,MATCH($C187,Insumos!$A$2:$A$151,0),WEEKDAY($A187,2)),""))</f>
        <v/>
      </c>
      <c r="I187" s="19">
        <f>IF(OR($G187="",$H187=""),"",MAX(0,$H187-$G187))</f>
        <v/>
      </c>
      <c r="J187" s="21">
        <f>IF($I187="","",IF($I187=0,"OK",IF($G187&lt;=0,"Sin stock: pedir ya","Pedir o producir")))</f>
        <v/>
      </c>
      <c r="K187" s="17" t="n"/>
      <c r="L187" s="17" t="n"/>
      <c r="M187" s="21">
        <f>IF(OR($A187="",$A187&lt;&gt;'Lista para pedir'!$C$3,N($I187)&lt;=0),"",COUNTIFS($A$2:$A187,$A187,$I$2:$I187,"&gt;0"))</f>
        <v/>
      </c>
    </row>
    <row r="188">
      <c r="A188" s="20" t="n"/>
      <c r="B188" s="21">
        <f>IF($A188="","",CHOOSE(WEEKDAY($A188,2),"Lunes","Martes","Miércoles","Jueves","Viernes","Sábado","Domingo"))</f>
        <v/>
      </c>
      <c r="C188" s="17" t="n"/>
      <c r="D188" s="21">
        <f>IF($C188="","",IFERROR(INDEX(Insumos!$B$2:$B$151,MATCH($C188,Insumos!$A$2:$A$151,0)),"Código no cargado"))</f>
        <v/>
      </c>
      <c r="E188" s="21">
        <f>IF($C188="","",IFERROR(INDEX(Insumos!$C$2:$C$151,MATCH($C188,Insumos!$A$2:$A$151,0)),""))</f>
        <v/>
      </c>
      <c r="F188" s="21">
        <f>IF($C188="","",IFERROR(INDEX(Insumos!$D$2:$D$151,MATCH($C188,Insumos!$A$2:$A$151,0)),""))</f>
        <v/>
      </c>
      <c r="G188" s="18" t="n"/>
      <c r="H188" s="19">
        <f>IF(OR($A188="",$C188=""),"",IFERROR(INDEX(Insumos!$M$2:$S$151,MATCH($C188,Insumos!$A$2:$A$151,0),WEEKDAY($A188,2)),""))</f>
        <v/>
      </c>
      <c r="I188" s="19">
        <f>IF(OR($G188="",$H188=""),"",MAX(0,$H188-$G188))</f>
        <v/>
      </c>
      <c r="J188" s="21">
        <f>IF($I188="","",IF($I188=0,"OK",IF($G188&lt;=0,"Sin stock: pedir ya","Pedir o producir")))</f>
        <v/>
      </c>
      <c r="K188" s="17" t="n"/>
      <c r="L188" s="17" t="n"/>
      <c r="M188" s="21">
        <f>IF(OR($A188="",$A188&lt;&gt;'Lista para pedir'!$C$3,N($I188)&lt;=0),"",COUNTIFS($A$2:$A188,$A188,$I$2:$I188,"&gt;0"))</f>
        <v/>
      </c>
    </row>
    <row r="189">
      <c r="A189" s="20" t="n"/>
      <c r="B189" s="21">
        <f>IF($A189="","",CHOOSE(WEEKDAY($A189,2),"Lunes","Martes","Miércoles","Jueves","Viernes","Sábado","Domingo"))</f>
        <v/>
      </c>
      <c r="C189" s="17" t="n"/>
      <c r="D189" s="21">
        <f>IF($C189="","",IFERROR(INDEX(Insumos!$B$2:$B$151,MATCH($C189,Insumos!$A$2:$A$151,0)),"Código no cargado"))</f>
        <v/>
      </c>
      <c r="E189" s="21">
        <f>IF($C189="","",IFERROR(INDEX(Insumos!$C$2:$C$151,MATCH($C189,Insumos!$A$2:$A$151,0)),""))</f>
        <v/>
      </c>
      <c r="F189" s="21">
        <f>IF($C189="","",IFERROR(INDEX(Insumos!$D$2:$D$151,MATCH($C189,Insumos!$A$2:$A$151,0)),""))</f>
        <v/>
      </c>
      <c r="G189" s="18" t="n"/>
      <c r="H189" s="19">
        <f>IF(OR($A189="",$C189=""),"",IFERROR(INDEX(Insumos!$M$2:$S$151,MATCH($C189,Insumos!$A$2:$A$151,0),WEEKDAY($A189,2)),""))</f>
        <v/>
      </c>
      <c r="I189" s="19">
        <f>IF(OR($G189="",$H189=""),"",MAX(0,$H189-$G189))</f>
        <v/>
      </c>
      <c r="J189" s="21">
        <f>IF($I189="","",IF($I189=0,"OK",IF($G189&lt;=0,"Sin stock: pedir ya","Pedir o producir")))</f>
        <v/>
      </c>
      <c r="K189" s="17" t="n"/>
      <c r="L189" s="17" t="n"/>
      <c r="M189" s="21">
        <f>IF(OR($A189="",$A189&lt;&gt;'Lista para pedir'!$C$3,N($I189)&lt;=0),"",COUNTIFS($A$2:$A189,$A189,$I$2:$I189,"&gt;0"))</f>
        <v/>
      </c>
    </row>
    <row r="190">
      <c r="A190" s="20" t="n"/>
      <c r="B190" s="21">
        <f>IF($A190="","",CHOOSE(WEEKDAY($A190,2),"Lunes","Martes","Miércoles","Jueves","Viernes","Sábado","Domingo"))</f>
        <v/>
      </c>
      <c r="C190" s="17" t="n"/>
      <c r="D190" s="21">
        <f>IF($C190="","",IFERROR(INDEX(Insumos!$B$2:$B$151,MATCH($C190,Insumos!$A$2:$A$151,0)),"Código no cargado"))</f>
        <v/>
      </c>
      <c r="E190" s="21">
        <f>IF($C190="","",IFERROR(INDEX(Insumos!$C$2:$C$151,MATCH($C190,Insumos!$A$2:$A$151,0)),""))</f>
        <v/>
      </c>
      <c r="F190" s="21">
        <f>IF($C190="","",IFERROR(INDEX(Insumos!$D$2:$D$151,MATCH($C190,Insumos!$A$2:$A$151,0)),""))</f>
        <v/>
      </c>
      <c r="G190" s="18" t="n"/>
      <c r="H190" s="19">
        <f>IF(OR($A190="",$C190=""),"",IFERROR(INDEX(Insumos!$M$2:$S$151,MATCH($C190,Insumos!$A$2:$A$151,0),WEEKDAY($A190,2)),""))</f>
        <v/>
      </c>
      <c r="I190" s="19">
        <f>IF(OR($G190="",$H190=""),"",MAX(0,$H190-$G190))</f>
        <v/>
      </c>
      <c r="J190" s="21">
        <f>IF($I190="","",IF($I190=0,"OK",IF($G190&lt;=0,"Sin stock: pedir ya","Pedir o producir")))</f>
        <v/>
      </c>
      <c r="K190" s="17" t="n"/>
      <c r="L190" s="17" t="n"/>
      <c r="M190" s="21">
        <f>IF(OR($A190="",$A190&lt;&gt;'Lista para pedir'!$C$3,N($I190)&lt;=0),"",COUNTIFS($A$2:$A190,$A190,$I$2:$I190,"&gt;0"))</f>
        <v/>
      </c>
    </row>
    <row r="191">
      <c r="A191" s="20" t="n"/>
      <c r="B191" s="21">
        <f>IF($A191="","",CHOOSE(WEEKDAY($A191,2),"Lunes","Martes","Miércoles","Jueves","Viernes","Sábado","Domingo"))</f>
        <v/>
      </c>
      <c r="C191" s="17" t="n"/>
      <c r="D191" s="21">
        <f>IF($C191="","",IFERROR(INDEX(Insumos!$B$2:$B$151,MATCH($C191,Insumos!$A$2:$A$151,0)),"Código no cargado"))</f>
        <v/>
      </c>
      <c r="E191" s="21">
        <f>IF($C191="","",IFERROR(INDEX(Insumos!$C$2:$C$151,MATCH($C191,Insumos!$A$2:$A$151,0)),""))</f>
        <v/>
      </c>
      <c r="F191" s="21">
        <f>IF($C191="","",IFERROR(INDEX(Insumos!$D$2:$D$151,MATCH($C191,Insumos!$A$2:$A$151,0)),""))</f>
        <v/>
      </c>
      <c r="G191" s="18" t="n"/>
      <c r="H191" s="19">
        <f>IF(OR($A191="",$C191=""),"",IFERROR(INDEX(Insumos!$M$2:$S$151,MATCH($C191,Insumos!$A$2:$A$151,0),WEEKDAY($A191,2)),""))</f>
        <v/>
      </c>
      <c r="I191" s="19">
        <f>IF(OR($G191="",$H191=""),"",MAX(0,$H191-$G191))</f>
        <v/>
      </c>
      <c r="J191" s="21">
        <f>IF($I191="","",IF($I191=0,"OK",IF($G191&lt;=0,"Sin stock: pedir ya","Pedir o producir")))</f>
        <v/>
      </c>
      <c r="K191" s="17" t="n"/>
      <c r="L191" s="17" t="n"/>
      <c r="M191" s="21">
        <f>IF(OR($A191="",$A191&lt;&gt;'Lista para pedir'!$C$3,N($I191)&lt;=0),"",COUNTIFS($A$2:$A191,$A191,$I$2:$I191,"&gt;0"))</f>
        <v/>
      </c>
    </row>
    <row r="192">
      <c r="A192" s="20" t="n"/>
      <c r="B192" s="21">
        <f>IF($A192="","",CHOOSE(WEEKDAY($A192,2),"Lunes","Martes","Miércoles","Jueves","Viernes","Sábado","Domingo"))</f>
        <v/>
      </c>
      <c r="C192" s="17" t="n"/>
      <c r="D192" s="21">
        <f>IF($C192="","",IFERROR(INDEX(Insumos!$B$2:$B$151,MATCH($C192,Insumos!$A$2:$A$151,0)),"Código no cargado"))</f>
        <v/>
      </c>
      <c r="E192" s="21">
        <f>IF($C192="","",IFERROR(INDEX(Insumos!$C$2:$C$151,MATCH($C192,Insumos!$A$2:$A$151,0)),""))</f>
        <v/>
      </c>
      <c r="F192" s="21">
        <f>IF($C192="","",IFERROR(INDEX(Insumos!$D$2:$D$151,MATCH($C192,Insumos!$A$2:$A$151,0)),""))</f>
        <v/>
      </c>
      <c r="G192" s="18" t="n"/>
      <c r="H192" s="19">
        <f>IF(OR($A192="",$C192=""),"",IFERROR(INDEX(Insumos!$M$2:$S$151,MATCH($C192,Insumos!$A$2:$A$151,0),WEEKDAY($A192,2)),""))</f>
        <v/>
      </c>
      <c r="I192" s="19">
        <f>IF(OR($G192="",$H192=""),"",MAX(0,$H192-$G192))</f>
        <v/>
      </c>
      <c r="J192" s="21">
        <f>IF($I192="","",IF($I192=0,"OK",IF($G192&lt;=0,"Sin stock: pedir ya","Pedir o producir")))</f>
        <v/>
      </c>
      <c r="K192" s="17" t="n"/>
      <c r="L192" s="17" t="n"/>
      <c r="M192" s="21">
        <f>IF(OR($A192="",$A192&lt;&gt;'Lista para pedir'!$C$3,N($I192)&lt;=0),"",COUNTIFS($A$2:$A192,$A192,$I$2:$I192,"&gt;0"))</f>
        <v/>
      </c>
    </row>
    <row r="193">
      <c r="A193" s="20" t="n"/>
      <c r="B193" s="21">
        <f>IF($A193="","",CHOOSE(WEEKDAY($A193,2),"Lunes","Martes","Miércoles","Jueves","Viernes","Sábado","Domingo"))</f>
        <v/>
      </c>
      <c r="C193" s="17" t="n"/>
      <c r="D193" s="21">
        <f>IF($C193="","",IFERROR(INDEX(Insumos!$B$2:$B$151,MATCH($C193,Insumos!$A$2:$A$151,0)),"Código no cargado"))</f>
        <v/>
      </c>
      <c r="E193" s="21">
        <f>IF($C193="","",IFERROR(INDEX(Insumos!$C$2:$C$151,MATCH($C193,Insumos!$A$2:$A$151,0)),""))</f>
        <v/>
      </c>
      <c r="F193" s="21">
        <f>IF($C193="","",IFERROR(INDEX(Insumos!$D$2:$D$151,MATCH($C193,Insumos!$A$2:$A$151,0)),""))</f>
        <v/>
      </c>
      <c r="G193" s="18" t="n"/>
      <c r="H193" s="19">
        <f>IF(OR($A193="",$C193=""),"",IFERROR(INDEX(Insumos!$M$2:$S$151,MATCH($C193,Insumos!$A$2:$A$151,0),WEEKDAY($A193,2)),""))</f>
        <v/>
      </c>
      <c r="I193" s="19">
        <f>IF(OR($G193="",$H193=""),"",MAX(0,$H193-$G193))</f>
        <v/>
      </c>
      <c r="J193" s="21">
        <f>IF($I193="","",IF($I193=0,"OK",IF($G193&lt;=0,"Sin stock: pedir ya","Pedir o producir")))</f>
        <v/>
      </c>
      <c r="K193" s="17" t="n"/>
      <c r="L193" s="17" t="n"/>
      <c r="M193" s="21">
        <f>IF(OR($A193="",$A193&lt;&gt;'Lista para pedir'!$C$3,N($I193)&lt;=0),"",COUNTIFS($A$2:$A193,$A193,$I$2:$I193,"&gt;0"))</f>
        <v/>
      </c>
    </row>
    <row r="194">
      <c r="A194" s="20" t="n"/>
      <c r="B194" s="21">
        <f>IF($A194="","",CHOOSE(WEEKDAY($A194,2),"Lunes","Martes","Miércoles","Jueves","Viernes","Sábado","Domingo"))</f>
        <v/>
      </c>
      <c r="C194" s="17" t="n"/>
      <c r="D194" s="21">
        <f>IF($C194="","",IFERROR(INDEX(Insumos!$B$2:$B$151,MATCH($C194,Insumos!$A$2:$A$151,0)),"Código no cargado"))</f>
        <v/>
      </c>
      <c r="E194" s="21">
        <f>IF($C194="","",IFERROR(INDEX(Insumos!$C$2:$C$151,MATCH($C194,Insumos!$A$2:$A$151,0)),""))</f>
        <v/>
      </c>
      <c r="F194" s="21">
        <f>IF($C194="","",IFERROR(INDEX(Insumos!$D$2:$D$151,MATCH($C194,Insumos!$A$2:$A$151,0)),""))</f>
        <v/>
      </c>
      <c r="G194" s="18" t="n"/>
      <c r="H194" s="19">
        <f>IF(OR($A194="",$C194=""),"",IFERROR(INDEX(Insumos!$M$2:$S$151,MATCH($C194,Insumos!$A$2:$A$151,0),WEEKDAY($A194,2)),""))</f>
        <v/>
      </c>
      <c r="I194" s="19">
        <f>IF(OR($G194="",$H194=""),"",MAX(0,$H194-$G194))</f>
        <v/>
      </c>
      <c r="J194" s="21">
        <f>IF($I194="","",IF($I194=0,"OK",IF($G194&lt;=0,"Sin stock: pedir ya","Pedir o producir")))</f>
        <v/>
      </c>
      <c r="K194" s="17" t="n"/>
      <c r="L194" s="17" t="n"/>
      <c r="M194" s="21">
        <f>IF(OR($A194="",$A194&lt;&gt;'Lista para pedir'!$C$3,N($I194)&lt;=0),"",COUNTIFS($A$2:$A194,$A194,$I$2:$I194,"&gt;0"))</f>
        <v/>
      </c>
    </row>
    <row r="195">
      <c r="A195" s="20" t="n"/>
      <c r="B195" s="21">
        <f>IF($A195="","",CHOOSE(WEEKDAY($A195,2),"Lunes","Martes","Miércoles","Jueves","Viernes","Sábado","Domingo"))</f>
        <v/>
      </c>
      <c r="C195" s="17" t="n"/>
      <c r="D195" s="21">
        <f>IF($C195="","",IFERROR(INDEX(Insumos!$B$2:$B$151,MATCH($C195,Insumos!$A$2:$A$151,0)),"Código no cargado"))</f>
        <v/>
      </c>
      <c r="E195" s="21">
        <f>IF($C195="","",IFERROR(INDEX(Insumos!$C$2:$C$151,MATCH($C195,Insumos!$A$2:$A$151,0)),""))</f>
        <v/>
      </c>
      <c r="F195" s="21">
        <f>IF($C195="","",IFERROR(INDEX(Insumos!$D$2:$D$151,MATCH($C195,Insumos!$A$2:$A$151,0)),""))</f>
        <v/>
      </c>
      <c r="G195" s="18" t="n"/>
      <c r="H195" s="19">
        <f>IF(OR($A195="",$C195=""),"",IFERROR(INDEX(Insumos!$M$2:$S$151,MATCH($C195,Insumos!$A$2:$A$151,0),WEEKDAY($A195,2)),""))</f>
        <v/>
      </c>
      <c r="I195" s="19">
        <f>IF(OR($G195="",$H195=""),"",MAX(0,$H195-$G195))</f>
        <v/>
      </c>
      <c r="J195" s="21">
        <f>IF($I195="","",IF($I195=0,"OK",IF($G195&lt;=0,"Sin stock: pedir ya","Pedir o producir")))</f>
        <v/>
      </c>
      <c r="K195" s="17" t="n"/>
      <c r="L195" s="17" t="n"/>
      <c r="M195" s="21">
        <f>IF(OR($A195="",$A195&lt;&gt;'Lista para pedir'!$C$3,N($I195)&lt;=0),"",COUNTIFS($A$2:$A195,$A195,$I$2:$I195,"&gt;0"))</f>
        <v/>
      </c>
    </row>
    <row r="196">
      <c r="A196" s="20" t="n"/>
      <c r="B196" s="21">
        <f>IF($A196="","",CHOOSE(WEEKDAY($A196,2),"Lunes","Martes","Miércoles","Jueves","Viernes","Sábado","Domingo"))</f>
        <v/>
      </c>
      <c r="C196" s="17" t="n"/>
      <c r="D196" s="21">
        <f>IF($C196="","",IFERROR(INDEX(Insumos!$B$2:$B$151,MATCH($C196,Insumos!$A$2:$A$151,0)),"Código no cargado"))</f>
        <v/>
      </c>
      <c r="E196" s="21">
        <f>IF($C196="","",IFERROR(INDEX(Insumos!$C$2:$C$151,MATCH($C196,Insumos!$A$2:$A$151,0)),""))</f>
        <v/>
      </c>
      <c r="F196" s="21">
        <f>IF($C196="","",IFERROR(INDEX(Insumos!$D$2:$D$151,MATCH($C196,Insumos!$A$2:$A$151,0)),""))</f>
        <v/>
      </c>
      <c r="G196" s="18" t="n"/>
      <c r="H196" s="19">
        <f>IF(OR($A196="",$C196=""),"",IFERROR(INDEX(Insumos!$M$2:$S$151,MATCH($C196,Insumos!$A$2:$A$151,0),WEEKDAY($A196,2)),""))</f>
        <v/>
      </c>
      <c r="I196" s="19">
        <f>IF(OR($G196="",$H196=""),"",MAX(0,$H196-$G196))</f>
        <v/>
      </c>
      <c r="J196" s="21">
        <f>IF($I196="","",IF($I196=0,"OK",IF($G196&lt;=0,"Sin stock: pedir ya","Pedir o producir")))</f>
        <v/>
      </c>
      <c r="K196" s="17" t="n"/>
      <c r="L196" s="17" t="n"/>
      <c r="M196" s="21">
        <f>IF(OR($A196="",$A196&lt;&gt;'Lista para pedir'!$C$3,N($I196)&lt;=0),"",COUNTIFS($A$2:$A196,$A196,$I$2:$I196,"&gt;0"))</f>
        <v/>
      </c>
    </row>
    <row r="197">
      <c r="A197" s="20" t="n"/>
      <c r="B197" s="21">
        <f>IF($A197="","",CHOOSE(WEEKDAY($A197,2),"Lunes","Martes","Miércoles","Jueves","Viernes","Sábado","Domingo"))</f>
        <v/>
      </c>
      <c r="C197" s="17" t="n"/>
      <c r="D197" s="21">
        <f>IF($C197="","",IFERROR(INDEX(Insumos!$B$2:$B$151,MATCH($C197,Insumos!$A$2:$A$151,0)),"Código no cargado"))</f>
        <v/>
      </c>
      <c r="E197" s="21">
        <f>IF($C197="","",IFERROR(INDEX(Insumos!$C$2:$C$151,MATCH($C197,Insumos!$A$2:$A$151,0)),""))</f>
        <v/>
      </c>
      <c r="F197" s="21">
        <f>IF($C197="","",IFERROR(INDEX(Insumos!$D$2:$D$151,MATCH($C197,Insumos!$A$2:$A$151,0)),""))</f>
        <v/>
      </c>
      <c r="G197" s="18" t="n"/>
      <c r="H197" s="19">
        <f>IF(OR($A197="",$C197=""),"",IFERROR(INDEX(Insumos!$M$2:$S$151,MATCH($C197,Insumos!$A$2:$A$151,0),WEEKDAY($A197,2)),""))</f>
        <v/>
      </c>
      <c r="I197" s="19">
        <f>IF(OR($G197="",$H197=""),"",MAX(0,$H197-$G197))</f>
        <v/>
      </c>
      <c r="J197" s="21">
        <f>IF($I197="","",IF($I197=0,"OK",IF($G197&lt;=0,"Sin stock: pedir ya","Pedir o producir")))</f>
        <v/>
      </c>
      <c r="K197" s="17" t="n"/>
      <c r="L197" s="17" t="n"/>
      <c r="M197" s="21">
        <f>IF(OR($A197="",$A197&lt;&gt;'Lista para pedir'!$C$3,N($I197)&lt;=0),"",COUNTIFS($A$2:$A197,$A197,$I$2:$I197,"&gt;0"))</f>
        <v/>
      </c>
    </row>
    <row r="198">
      <c r="A198" s="20" t="n"/>
      <c r="B198" s="21">
        <f>IF($A198="","",CHOOSE(WEEKDAY($A198,2),"Lunes","Martes","Miércoles","Jueves","Viernes","Sábado","Domingo"))</f>
        <v/>
      </c>
      <c r="C198" s="17" t="n"/>
      <c r="D198" s="21">
        <f>IF($C198="","",IFERROR(INDEX(Insumos!$B$2:$B$151,MATCH($C198,Insumos!$A$2:$A$151,0)),"Código no cargado"))</f>
        <v/>
      </c>
      <c r="E198" s="21">
        <f>IF($C198="","",IFERROR(INDEX(Insumos!$C$2:$C$151,MATCH($C198,Insumos!$A$2:$A$151,0)),""))</f>
        <v/>
      </c>
      <c r="F198" s="21">
        <f>IF($C198="","",IFERROR(INDEX(Insumos!$D$2:$D$151,MATCH($C198,Insumos!$A$2:$A$151,0)),""))</f>
        <v/>
      </c>
      <c r="G198" s="18" t="n"/>
      <c r="H198" s="19">
        <f>IF(OR($A198="",$C198=""),"",IFERROR(INDEX(Insumos!$M$2:$S$151,MATCH($C198,Insumos!$A$2:$A$151,0),WEEKDAY($A198,2)),""))</f>
        <v/>
      </c>
      <c r="I198" s="19">
        <f>IF(OR($G198="",$H198=""),"",MAX(0,$H198-$G198))</f>
        <v/>
      </c>
      <c r="J198" s="21">
        <f>IF($I198="","",IF($I198=0,"OK",IF($G198&lt;=0,"Sin stock: pedir ya","Pedir o producir")))</f>
        <v/>
      </c>
      <c r="K198" s="17" t="n"/>
      <c r="L198" s="17" t="n"/>
      <c r="M198" s="21">
        <f>IF(OR($A198="",$A198&lt;&gt;'Lista para pedir'!$C$3,N($I198)&lt;=0),"",COUNTIFS($A$2:$A198,$A198,$I$2:$I198,"&gt;0"))</f>
        <v/>
      </c>
    </row>
    <row r="199">
      <c r="A199" s="20" t="n"/>
      <c r="B199" s="21">
        <f>IF($A199="","",CHOOSE(WEEKDAY($A199,2),"Lunes","Martes","Miércoles","Jueves","Viernes","Sábado","Domingo"))</f>
        <v/>
      </c>
      <c r="C199" s="17" t="n"/>
      <c r="D199" s="21">
        <f>IF($C199="","",IFERROR(INDEX(Insumos!$B$2:$B$151,MATCH($C199,Insumos!$A$2:$A$151,0)),"Código no cargado"))</f>
        <v/>
      </c>
      <c r="E199" s="21">
        <f>IF($C199="","",IFERROR(INDEX(Insumos!$C$2:$C$151,MATCH($C199,Insumos!$A$2:$A$151,0)),""))</f>
        <v/>
      </c>
      <c r="F199" s="21">
        <f>IF($C199="","",IFERROR(INDEX(Insumos!$D$2:$D$151,MATCH($C199,Insumos!$A$2:$A$151,0)),""))</f>
        <v/>
      </c>
      <c r="G199" s="18" t="n"/>
      <c r="H199" s="19">
        <f>IF(OR($A199="",$C199=""),"",IFERROR(INDEX(Insumos!$M$2:$S$151,MATCH($C199,Insumos!$A$2:$A$151,0),WEEKDAY($A199,2)),""))</f>
        <v/>
      </c>
      <c r="I199" s="19">
        <f>IF(OR($G199="",$H199=""),"",MAX(0,$H199-$G199))</f>
        <v/>
      </c>
      <c r="J199" s="21">
        <f>IF($I199="","",IF($I199=0,"OK",IF($G199&lt;=0,"Sin stock: pedir ya","Pedir o producir")))</f>
        <v/>
      </c>
      <c r="K199" s="17" t="n"/>
      <c r="L199" s="17" t="n"/>
      <c r="M199" s="21">
        <f>IF(OR($A199="",$A199&lt;&gt;'Lista para pedir'!$C$3,N($I199)&lt;=0),"",COUNTIFS($A$2:$A199,$A199,$I$2:$I199,"&gt;0"))</f>
        <v/>
      </c>
    </row>
    <row r="200">
      <c r="A200" s="20" t="n"/>
      <c r="B200" s="21">
        <f>IF($A200="","",CHOOSE(WEEKDAY($A200,2),"Lunes","Martes","Miércoles","Jueves","Viernes","Sábado","Domingo"))</f>
        <v/>
      </c>
      <c r="C200" s="17" t="n"/>
      <c r="D200" s="21">
        <f>IF($C200="","",IFERROR(INDEX(Insumos!$B$2:$B$151,MATCH($C200,Insumos!$A$2:$A$151,0)),"Código no cargado"))</f>
        <v/>
      </c>
      <c r="E200" s="21">
        <f>IF($C200="","",IFERROR(INDEX(Insumos!$C$2:$C$151,MATCH($C200,Insumos!$A$2:$A$151,0)),""))</f>
        <v/>
      </c>
      <c r="F200" s="21">
        <f>IF($C200="","",IFERROR(INDEX(Insumos!$D$2:$D$151,MATCH($C200,Insumos!$A$2:$A$151,0)),""))</f>
        <v/>
      </c>
      <c r="G200" s="18" t="n"/>
      <c r="H200" s="19">
        <f>IF(OR($A200="",$C200=""),"",IFERROR(INDEX(Insumos!$M$2:$S$151,MATCH($C200,Insumos!$A$2:$A$151,0),WEEKDAY($A200,2)),""))</f>
        <v/>
      </c>
      <c r="I200" s="19">
        <f>IF(OR($G200="",$H200=""),"",MAX(0,$H200-$G200))</f>
        <v/>
      </c>
      <c r="J200" s="21">
        <f>IF($I200="","",IF($I200=0,"OK",IF($G200&lt;=0,"Sin stock: pedir ya","Pedir o producir")))</f>
        <v/>
      </c>
      <c r="K200" s="17" t="n"/>
      <c r="L200" s="17" t="n"/>
      <c r="M200" s="21">
        <f>IF(OR($A200="",$A200&lt;&gt;'Lista para pedir'!$C$3,N($I200)&lt;=0),"",COUNTIFS($A$2:$A200,$A200,$I$2:$I200,"&gt;0"))</f>
        <v/>
      </c>
    </row>
    <row r="201">
      <c r="A201" s="20" t="n"/>
      <c r="B201" s="21">
        <f>IF($A201="","",CHOOSE(WEEKDAY($A201,2),"Lunes","Martes","Miércoles","Jueves","Viernes","Sábado","Domingo"))</f>
        <v/>
      </c>
      <c r="C201" s="17" t="n"/>
      <c r="D201" s="21">
        <f>IF($C201="","",IFERROR(INDEX(Insumos!$B$2:$B$151,MATCH($C201,Insumos!$A$2:$A$151,0)),"Código no cargado"))</f>
        <v/>
      </c>
      <c r="E201" s="21">
        <f>IF($C201="","",IFERROR(INDEX(Insumos!$C$2:$C$151,MATCH($C201,Insumos!$A$2:$A$151,0)),""))</f>
        <v/>
      </c>
      <c r="F201" s="21">
        <f>IF($C201="","",IFERROR(INDEX(Insumos!$D$2:$D$151,MATCH($C201,Insumos!$A$2:$A$151,0)),""))</f>
        <v/>
      </c>
      <c r="G201" s="18" t="n"/>
      <c r="H201" s="19">
        <f>IF(OR($A201="",$C201=""),"",IFERROR(INDEX(Insumos!$M$2:$S$151,MATCH($C201,Insumos!$A$2:$A$151,0),WEEKDAY($A201,2)),""))</f>
        <v/>
      </c>
      <c r="I201" s="19">
        <f>IF(OR($G201="",$H201=""),"",MAX(0,$H201-$G201))</f>
        <v/>
      </c>
      <c r="J201" s="21">
        <f>IF($I201="","",IF($I201=0,"OK",IF($G201&lt;=0,"Sin stock: pedir ya","Pedir o producir")))</f>
        <v/>
      </c>
      <c r="K201" s="17" t="n"/>
      <c r="L201" s="17" t="n"/>
      <c r="M201" s="21">
        <f>IF(OR($A201="",$A201&lt;&gt;'Lista para pedir'!$C$3,N($I201)&lt;=0),"",COUNTIFS($A$2:$A201,$A201,$I$2:$I201,"&gt;0"))</f>
        <v/>
      </c>
    </row>
    <row r="202">
      <c r="A202" s="20" t="n"/>
      <c r="B202" s="21">
        <f>IF($A202="","",CHOOSE(WEEKDAY($A202,2),"Lunes","Martes","Miércoles","Jueves","Viernes","Sábado","Domingo"))</f>
        <v/>
      </c>
      <c r="C202" s="17" t="n"/>
      <c r="D202" s="21">
        <f>IF($C202="","",IFERROR(INDEX(Insumos!$B$2:$B$151,MATCH($C202,Insumos!$A$2:$A$151,0)),"Código no cargado"))</f>
        <v/>
      </c>
      <c r="E202" s="21">
        <f>IF($C202="","",IFERROR(INDEX(Insumos!$C$2:$C$151,MATCH($C202,Insumos!$A$2:$A$151,0)),""))</f>
        <v/>
      </c>
      <c r="F202" s="21">
        <f>IF($C202="","",IFERROR(INDEX(Insumos!$D$2:$D$151,MATCH($C202,Insumos!$A$2:$A$151,0)),""))</f>
        <v/>
      </c>
      <c r="G202" s="18" t="n"/>
      <c r="H202" s="19">
        <f>IF(OR($A202="",$C202=""),"",IFERROR(INDEX(Insumos!$M$2:$S$151,MATCH($C202,Insumos!$A$2:$A$151,0),WEEKDAY($A202,2)),""))</f>
        <v/>
      </c>
      <c r="I202" s="19">
        <f>IF(OR($G202="",$H202=""),"",MAX(0,$H202-$G202))</f>
        <v/>
      </c>
      <c r="J202" s="21">
        <f>IF($I202="","",IF($I202=0,"OK",IF($G202&lt;=0,"Sin stock: pedir ya","Pedir o producir")))</f>
        <v/>
      </c>
      <c r="K202" s="17" t="n"/>
      <c r="L202" s="17" t="n"/>
      <c r="M202" s="21">
        <f>IF(OR($A202="",$A202&lt;&gt;'Lista para pedir'!$C$3,N($I202)&lt;=0),"",COUNTIFS($A$2:$A202,$A202,$I$2:$I202,"&gt;0"))</f>
        <v/>
      </c>
    </row>
    <row r="203">
      <c r="A203" s="20" t="n"/>
      <c r="B203" s="21">
        <f>IF($A203="","",CHOOSE(WEEKDAY($A203,2),"Lunes","Martes","Miércoles","Jueves","Viernes","Sábado","Domingo"))</f>
        <v/>
      </c>
      <c r="C203" s="17" t="n"/>
      <c r="D203" s="21">
        <f>IF($C203="","",IFERROR(INDEX(Insumos!$B$2:$B$151,MATCH($C203,Insumos!$A$2:$A$151,0)),"Código no cargado"))</f>
        <v/>
      </c>
      <c r="E203" s="21">
        <f>IF($C203="","",IFERROR(INDEX(Insumos!$C$2:$C$151,MATCH($C203,Insumos!$A$2:$A$151,0)),""))</f>
        <v/>
      </c>
      <c r="F203" s="21">
        <f>IF($C203="","",IFERROR(INDEX(Insumos!$D$2:$D$151,MATCH($C203,Insumos!$A$2:$A$151,0)),""))</f>
        <v/>
      </c>
      <c r="G203" s="18" t="n"/>
      <c r="H203" s="19">
        <f>IF(OR($A203="",$C203=""),"",IFERROR(INDEX(Insumos!$M$2:$S$151,MATCH($C203,Insumos!$A$2:$A$151,0),WEEKDAY($A203,2)),""))</f>
        <v/>
      </c>
      <c r="I203" s="19">
        <f>IF(OR($G203="",$H203=""),"",MAX(0,$H203-$G203))</f>
        <v/>
      </c>
      <c r="J203" s="21">
        <f>IF($I203="","",IF($I203=0,"OK",IF($G203&lt;=0,"Sin stock: pedir ya","Pedir o producir")))</f>
        <v/>
      </c>
      <c r="K203" s="17" t="n"/>
      <c r="L203" s="17" t="n"/>
      <c r="M203" s="21">
        <f>IF(OR($A203="",$A203&lt;&gt;'Lista para pedir'!$C$3,N($I203)&lt;=0),"",COUNTIFS($A$2:$A203,$A203,$I$2:$I203,"&gt;0"))</f>
        <v/>
      </c>
    </row>
    <row r="204">
      <c r="A204" s="20" t="n"/>
      <c r="B204" s="21">
        <f>IF($A204="","",CHOOSE(WEEKDAY($A204,2),"Lunes","Martes","Miércoles","Jueves","Viernes","Sábado","Domingo"))</f>
        <v/>
      </c>
      <c r="C204" s="17" t="n"/>
      <c r="D204" s="21">
        <f>IF($C204="","",IFERROR(INDEX(Insumos!$B$2:$B$151,MATCH($C204,Insumos!$A$2:$A$151,0)),"Código no cargado"))</f>
        <v/>
      </c>
      <c r="E204" s="21">
        <f>IF($C204="","",IFERROR(INDEX(Insumos!$C$2:$C$151,MATCH($C204,Insumos!$A$2:$A$151,0)),""))</f>
        <v/>
      </c>
      <c r="F204" s="21">
        <f>IF($C204="","",IFERROR(INDEX(Insumos!$D$2:$D$151,MATCH($C204,Insumos!$A$2:$A$151,0)),""))</f>
        <v/>
      </c>
      <c r="G204" s="18" t="n"/>
      <c r="H204" s="19">
        <f>IF(OR($A204="",$C204=""),"",IFERROR(INDEX(Insumos!$M$2:$S$151,MATCH($C204,Insumos!$A$2:$A$151,0),WEEKDAY($A204,2)),""))</f>
        <v/>
      </c>
      <c r="I204" s="19">
        <f>IF(OR($G204="",$H204=""),"",MAX(0,$H204-$G204))</f>
        <v/>
      </c>
      <c r="J204" s="21">
        <f>IF($I204="","",IF($I204=0,"OK",IF($G204&lt;=0,"Sin stock: pedir ya","Pedir o producir")))</f>
        <v/>
      </c>
      <c r="K204" s="17" t="n"/>
      <c r="L204" s="17" t="n"/>
      <c r="M204" s="21">
        <f>IF(OR($A204="",$A204&lt;&gt;'Lista para pedir'!$C$3,N($I204)&lt;=0),"",COUNTIFS($A$2:$A204,$A204,$I$2:$I204,"&gt;0"))</f>
        <v/>
      </c>
    </row>
    <row r="205">
      <c r="A205" s="20" t="n"/>
      <c r="B205" s="21">
        <f>IF($A205="","",CHOOSE(WEEKDAY($A205,2),"Lunes","Martes","Miércoles","Jueves","Viernes","Sábado","Domingo"))</f>
        <v/>
      </c>
      <c r="C205" s="17" t="n"/>
      <c r="D205" s="21">
        <f>IF($C205="","",IFERROR(INDEX(Insumos!$B$2:$B$151,MATCH($C205,Insumos!$A$2:$A$151,0)),"Código no cargado"))</f>
        <v/>
      </c>
      <c r="E205" s="21">
        <f>IF($C205="","",IFERROR(INDEX(Insumos!$C$2:$C$151,MATCH($C205,Insumos!$A$2:$A$151,0)),""))</f>
        <v/>
      </c>
      <c r="F205" s="21">
        <f>IF($C205="","",IFERROR(INDEX(Insumos!$D$2:$D$151,MATCH($C205,Insumos!$A$2:$A$151,0)),""))</f>
        <v/>
      </c>
      <c r="G205" s="18" t="n"/>
      <c r="H205" s="19">
        <f>IF(OR($A205="",$C205=""),"",IFERROR(INDEX(Insumos!$M$2:$S$151,MATCH($C205,Insumos!$A$2:$A$151,0),WEEKDAY($A205,2)),""))</f>
        <v/>
      </c>
      <c r="I205" s="19">
        <f>IF(OR($G205="",$H205=""),"",MAX(0,$H205-$G205))</f>
        <v/>
      </c>
      <c r="J205" s="21">
        <f>IF($I205="","",IF($I205=0,"OK",IF($G205&lt;=0,"Sin stock: pedir ya","Pedir o producir")))</f>
        <v/>
      </c>
      <c r="K205" s="17" t="n"/>
      <c r="L205" s="17" t="n"/>
      <c r="M205" s="21">
        <f>IF(OR($A205="",$A205&lt;&gt;'Lista para pedir'!$C$3,N($I205)&lt;=0),"",COUNTIFS($A$2:$A205,$A205,$I$2:$I205,"&gt;0"))</f>
        <v/>
      </c>
    </row>
    <row r="206">
      <c r="A206" s="20" t="n"/>
      <c r="B206" s="21">
        <f>IF($A206="","",CHOOSE(WEEKDAY($A206,2),"Lunes","Martes","Miércoles","Jueves","Viernes","Sábado","Domingo"))</f>
        <v/>
      </c>
      <c r="C206" s="17" t="n"/>
      <c r="D206" s="21">
        <f>IF($C206="","",IFERROR(INDEX(Insumos!$B$2:$B$151,MATCH($C206,Insumos!$A$2:$A$151,0)),"Código no cargado"))</f>
        <v/>
      </c>
      <c r="E206" s="21">
        <f>IF($C206="","",IFERROR(INDEX(Insumos!$C$2:$C$151,MATCH($C206,Insumos!$A$2:$A$151,0)),""))</f>
        <v/>
      </c>
      <c r="F206" s="21">
        <f>IF($C206="","",IFERROR(INDEX(Insumos!$D$2:$D$151,MATCH($C206,Insumos!$A$2:$A$151,0)),""))</f>
        <v/>
      </c>
      <c r="G206" s="18" t="n"/>
      <c r="H206" s="19">
        <f>IF(OR($A206="",$C206=""),"",IFERROR(INDEX(Insumos!$M$2:$S$151,MATCH($C206,Insumos!$A$2:$A$151,0),WEEKDAY($A206,2)),""))</f>
        <v/>
      </c>
      <c r="I206" s="19">
        <f>IF(OR($G206="",$H206=""),"",MAX(0,$H206-$G206))</f>
        <v/>
      </c>
      <c r="J206" s="21">
        <f>IF($I206="","",IF($I206=0,"OK",IF($G206&lt;=0,"Sin stock: pedir ya","Pedir o producir")))</f>
        <v/>
      </c>
      <c r="K206" s="17" t="n"/>
      <c r="L206" s="17" t="n"/>
      <c r="M206" s="21">
        <f>IF(OR($A206="",$A206&lt;&gt;'Lista para pedir'!$C$3,N($I206)&lt;=0),"",COUNTIFS($A$2:$A206,$A206,$I$2:$I206,"&gt;0"))</f>
        <v/>
      </c>
    </row>
    <row r="207">
      <c r="A207" s="20" t="n"/>
      <c r="B207" s="21">
        <f>IF($A207="","",CHOOSE(WEEKDAY($A207,2),"Lunes","Martes","Miércoles","Jueves","Viernes","Sábado","Domingo"))</f>
        <v/>
      </c>
      <c r="C207" s="17" t="n"/>
      <c r="D207" s="21">
        <f>IF($C207="","",IFERROR(INDEX(Insumos!$B$2:$B$151,MATCH($C207,Insumos!$A$2:$A$151,0)),"Código no cargado"))</f>
        <v/>
      </c>
      <c r="E207" s="21">
        <f>IF($C207="","",IFERROR(INDEX(Insumos!$C$2:$C$151,MATCH($C207,Insumos!$A$2:$A$151,0)),""))</f>
        <v/>
      </c>
      <c r="F207" s="21">
        <f>IF($C207="","",IFERROR(INDEX(Insumos!$D$2:$D$151,MATCH($C207,Insumos!$A$2:$A$151,0)),""))</f>
        <v/>
      </c>
      <c r="G207" s="18" t="n"/>
      <c r="H207" s="19">
        <f>IF(OR($A207="",$C207=""),"",IFERROR(INDEX(Insumos!$M$2:$S$151,MATCH($C207,Insumos!$A$2:$A$151,0),WEEKDAY($A207,2)),""))</f>
        <v/>
      </c>
      <c r="I207" s="19">
        <f>IF(OR($G207="",$H207=""),"",MAX(0,$H207-$G207))</f>
        <v/>
      </c>
      <c r="J207" s="21">
        <f>IF($I207="","",IF($I207=0,"OK",IF($G207&lt;=0,"Sin stock: pedir ya","Pedir o producir")))</f>
        <v/>
      </c>
      <c r="K207" s="17" t="n"/>
      <c r="L207" s="17" t="n"/>
      <c r="M207" s="21">
        <f>IF(OR($A207="",$A207&lt;&gt;'Lista para pedir'!$C$3,N($I207)&lt;=0),"",COUNTIFS($A$2:$A207,$A207,$I$2:$I207,"&gt;0"))</f>
        <v/>
      </c>
    </row>
    <row r="208">
      <c r="A208" s="20" t="n"/>
      <c r="B208" s="21">
        <f>IF($A208="","",CHOOSE(WEEKDAY($A208,2),"Lunes","Martes","Miércoles","Jueves","Viernes","Sábado","Domingo"))</f>
        <v/>
      </c>
      <c r="C208" s="17" t="n"/>
      <c r="D208" s="21">
        <f>IF($C208="","",IFERROR(INDEX(Insumos!$B$2:$B$151,MATCH($C208,Insumos!$A$2:$A$151,0)),"Código no cargado"))</f>
        <v/>
      </c>
      <c r="E208" s="21">
        <f>IF($C208="","",IFERROR(INDEX(Insumos!$C$2:$C$151,MATCH($C208,Insumos!$A$2:$A$151,0)),""))</f>
        <v/>
      </c>
      <c r="F208" s="21">
        <f>IF($C208="","",IFERROR(INDEX(Insumos!$D$2:$D$151,MATCH($C208,Insumos!$A$2:$A$151,0)),""))</f>
        <v/>
      </c>
      <c r="G208" s="18" t="n"/>
      <c r="H208" s="19">
        <f>IF(OR($A208="",$C208=""),"",IFERROR(INDEX(Insumos!$M$2:$S$151,MATCH($C208,Insumos!$A$2:$A$151,0),WEEKDAY($A208,2)),""))</f>
        <v/>
      </c>
      <c r="I208" s="19">
        <f>IF(OR($G208="",$H208=""),"",MAX(0,$H208-$G208))</f>
        <v/>
      </c>
      <c r="J208" s="21">
        <f>IF($I208="","",IF($I208=0,"OK",IF($G208&lt;=0,"Sin stock: pedir ya","Pedir o producir")))</f>
        <v/>
      </c>
      <c r="K208" s="17" t="n"/>
      <c r="L208" s="17" t="n"/>
      <c r="M208" s="21">
        <f>IF(OR($A208="",$A208&lt;&gt;'Lista para pedir'!$C$3,N($I208)&lt;=0),"",COUNTIFS($A$2:$A208,$A208,$I$2:$I208,"&gt;0"))</f>
        <v/>
      </c>
    </row>
    <row r="209">
      <c r="A209" s="20" t="n"/>
      <c r="B209" s="21">
        <f>IF($A209="","",CHOOSE(WEEKDAY($A209,2),"Lunes","Martes","Miércoles","Jueves","Viernes","Sábado","Domingo"))</f>
        <v/>
      </c>
      <c r="C209" s="17" t="n"/>
      <c r="D209" s="21">
        <f>IF($C209="","",IFERROR(INDEX(Insumos!$B$2:$B$151,MATCH($C209,Insumos!$A$2:$A$151,0)),"Código no cargado"))</f>
        <v/>
      </c>
      <c r="E209" s="21">
        <f>IF($C209="","",IFERROR(INDEX(Insumos!$C$2:$C$151,MATCH($C209,Insumos!$A$2:$A$151,0)),""))</f>
        <v/>
      </c>
      <c r="F209" s="21">
        <f>IF($C209="","",IFERROR(INDEX(Insumos!$D$2:$D$151,MATCH($C209,Insumos!$A$2:$A$151,0)),""))</f>
        <v/>
      </c>
      <c r="G209" s="18" t="n"/>
      <c r="H209" s="19">
        <f>IF(OR($A209="",$C209=""),"",IFERROR(INDEX(Insumos!$M$2:$S$151,MATCH($C209,Insumos!$A$2:$A$151,0),WEEKDAY($A209,2)),""))</f>
        <v/>
      </c>
      <c r="I209" s="19">
        <f>IF(OR($G209="",$H209=""),"",MAX(0,$H209-$G209))</f>
        <v/>
      </c>
      <c r="J209" s="21">
        <f>IF($I209="","",IF($I209=0,"OK",IF($G209&lt;=0,"Sin stock: pedir ya","Pedir o producir")))</f>
        <v/>
      </c>
      <c r="K209" s="17" t="n"/>
      <c r="L209" s="17" t="n"/>
      <c r="M209" s="21">
        <f>IF(OR($A209="",$A209&lt;&gt;'Lista para pedir'!$C$3,N($I209)&lt;=0),"",COUNTIFS($A$2:$A209,$A209,$I$2:$I209,"&gt;0"))</f>
        <v/>
      </c>
    </row>
    <row r="210">
      <c r="A210" s="20" t="n"/>
      <c r="B210" s="21">
        <f>IF($A210="","",CHOOSE(WEEKDAY($A210,2),"Lunes","Martes","Miércoles","Jueves","Viernes","Sábado","Domingo"))</f>
        <v/>
      </c>
      <c r="C210" s="17" t="n"/>
      <c r="D210" s="21">
        <f>IF($C210="","",IFERROR(INDEX(Insumos!$B$2:$B$151,MATCH($C210,Insumos!$A$2:$A$151,0)),"Código no cargado"))</f>
        <v/>
      </c>
      <c r="E210" s="21">
        <f>IF($C210="","",IFERROR(INDEX(Insumos!$C$2:$C$151,MATCH($C210,Insumos!$A$2:$A$151,0)),""))</f>
        <v/>
      </c>
      <c r="F210" s="21">
        <f>IF($C210="","",IFERROR(INDEX(Insumos!$D$2:$D$151,MATCH($C210,Insumos!$A$2:$A$151,0)),""))</f>
        <v/>
      </c>
      <c r="G210" s="18" t="n"/>
      <c r="H210" s="19">
        <f>IF(OR($A210="",$C210=""),"",IFERROR(INDEX(Insumos!$M$2:$S$151,MATCH($C210,Insumos!$A$2:$A$151,0),WEEKDAY($A210,2)),""))</f>
        <v/>
      </c>
      <c r="I210" s="19">
        <f>IF(OR($G210="",$H210=""),"",MAX(0,$H210-$G210))</f>
        <v/>
      </c>
      <c r="J210" s="21">
        <f>IF($I210="","",IF($I210=0,"OK",IF($G210&lt;=0,"Sin stock: pedir ya","Pedir o producir")))</f>
        <v/>
      </c>
      <c r="K210" s="17" t="n"/>
      <c r="L210" s="17" t="n"/>
      <c r="M210" s="21">
        <f>IF(OR($A210="",$A210&lt;&gt;'Lista para pedir'!$C$3,N($I210)&lt;=0),"",COUNTIFS($A$2:$A210,$A210,$I$2:$I210,"&gt;0"))</f>
        <v/>
      </c>
    </row>
    <row r="211">
      <c r="A211" s="20" t="n"/>
      <c r="B211" s="21">
        <f>IF($A211="","",CHOOSE(WEEKDAY($A211,2),"Lunes","Martes","Miércoles","Jueves","Viernes","Sábado","Domingo"))</f>
        <v/>
      </c>
      <c r="C211" s="17" t="n"/>
      <c r="D211" s="21">
        <f>IF($C211="","",IFERROR(INDEX(Insumos!$B$2:$B$151,MATCH($C211,Insumos!$A$2:$A$151,0)),"Código no cargado"))</f>
        <v/>
      </c>
      <c r="E211" s="21">
        <f>IF($C211="","",IFERROR(INDEX(Insumos!$C$2:$C$151,MATCH($C211,Insumos!$A$2:$A$151,0)),""))</f>
        <v/>
      </c>
      <c r="F211" s="21">
        <f>IF($C211="","",IFERROR(INDEX(Insumos!$D$2:$D$151,MATCH($C211,Insumos!$A$2:$A$151,0)),""))</f>
        <v/>
      </c>
      <c r="G211" s="18" t="n"/>
      <c r="H211" s="19">
        <f>IF(OR($A211="",$C211=""),"",IFERROR(INDEX(Insumos!$M$2:$S$151,MATCH($C211,Insumos!$A$2:$A$151,0),WEEKDAY($A211,2)),""))</f>
        <v/>
      </c>
      <c r="I211" s="19">
        <f>IF(OR($G211="",$H211=""),"",MAX(0,$H211-$G211))</f>
        <v/>
      </c>
      <c r="J211" s="21">
        <f>IF($I211="","",IF($I211=0,"OK",IF($G211&lt;=0,"Sin stock: pedir ya","Pedir o producir")))</f>
        <v/>
      </c>
      <c r="K211" s="17" t="n"/>
      <c r="L211" s="17" t="n"/>
      <c r="M211" s="21">
        <f>IF(OR($A211="",$A211&lt;&gt;'Lista para pedir'!$C$3,N($I211)&lt;=0),"",COUNTIFS($A$2:$A211,$A211,$I$2:$I211,"&gt;0"))</f>
        <v/>
      </c>
    </row>
    <row r="212">
      <c r="A212" s="20" t="n"/>
      <c r="B212" s="21">
        <f>IF($A212="","",CHOOSE(WEEKDAY($A212,2),"Lunes","Martes","Miércoles","Jueves","Viernes","Sábado","Domingo"))</f>
        <v/>
      </c>
      <c r="C212" s="17" t="n"/>
      <c r="D212" s="21">
        <f>IF($C212="","",IFERROR(INDEX(Insumos!$B$2:$B$151,MATCH($C212,Insumos!$A$2:$A$151,0)),"Código no cargado"))</f>
        <v/>
      </c>
      <c r="E212" s="21">
        <f>IF($C212="","",IFERROR(INDEX(Insumos!$C$2:$C$151,MATCH($C212,Insumos!$A$2:$A$151,0)),""))</f>
        <v/>
      </c>
      <c r="F212" s="21">
        <f>IF($C212="","",IFERROR(INDEX(Insumos!$D$2:$D$151,MATCH($C212,Insumos!$A$2:$A$151,0)),""))</f>
        <v/>
      </c>
      <c r="G212" s="18" t="n"/>
      <c r="H212" s="19">
        <f>IF(OR($A212="",$C212=""),"",IFERROR(INDEX(Insumos!$M$2:$S$151,MATCH($C212,Insumos!$A$2:$A$151,0),WEEKDAY($A212,2)),""))</f>
        <v/>
      </c>
      <c r="I212" s="19">
        <f>IF(OR($G212="",$H212=""),"",MAX(0,$H212-$G212))</f>
        <v/>
      </c>
      <c r="J212" s="21">
        <f>IF($I212="","",IF($I212=0,"OK",IF($G212&lt;=0,"Sin stock: pedir ya","Pedir o producir")))</f>
        <v/>
      </c>
      <c r="K212" s="17" t="n"/>
      <c r="L212" s="17" t="n"/>
      <c r="M212" s="21">
        <f>IF(OR($A212="",$A212&lt;&gt;'Lista para pedir'!$C$3,N($I212)&lt;=0),"",COUNTIFS($A$2:$A212,$A212,$I$2:$I212,"&gt;0"))</f>
        <v/>
      </c>
    </row>
    <row r="213">
      <c r="A213" s="20" t="n"/>
      <c r="B213" s="21">
        <f>IF($A213="","",CHOOSE(WEEKDAY($A213,2),"Lunes","Martes","Miércoles","Jueves","Viernes","Sábado","Domingo"))</f>
        <v/>
      </c>
      <c r="C213" s="17" t="n"/>
      <c r="D213" s="21">
        <f>IF($C213="","",IFERROR(INDEX(Insumos!$B$2:$B$151,MATCH($C213,Insumos!$A$2:$A$151,0)),"Código no cargado"))</f>
        <v/>
      </c>
      <c r="E213" s="21">
        <f>IF($C213="","",IFERROR(INDEX(Insumos!$C$2:$C$151,MATCH($C213,Insumos!$A$2:$A$151,0)),""))</f>
        <v/>
      </c>
      <c r="F213" s="21">
        <f>IF($C213="","",IFERROR(INDEX(Insumos!$D$2:$D$151,MATCH($C213,Insumos!$A$2:$A$151,0)),""))</f>
        <v/>
      </c>
      <c r="G213" s="18" t="n"/>
      <c r="H213" s="19">
        <f>IF(OR($A213="",$C213=""),"",IFERROR(INDEX(Insumos!$M$2:$S$151,MATCH($C213,Insumos!$A$2:$A$151,0),WEEKDAY($A213,2)),""))</f>
        <v/>
      </c>
      <c r="I213" s="19">
        <f>IF(OR($G213="",$H213=""),"",MAX(0,$H213-$G213))</f>
        <v/>
      </c>
      <c r="J213" s="21">
        <f>IF($I213="","",IF($I213=0,"OK",IF($G213&lt;=0,"Sin stock: pedir ya","Pedir o producir")))</f>
        <v/>
      </c>
      <c r="K213" s="17" t="n"/>
      <c r="L213" s="17" t="n"/>
      <c r="M213" s="21">
        <f>IF(OR($A213="",$A213&lt;&gt;'Lista para pedir'!$C$3,N($I213)&lt;=0),"",COUNTIFS($A$2:$A213,$A213,$I$2:$I213,"&gt;0"))</f>
        <v/>
      </c>
    </row>
    <row r="214">
      <c r="A214" s="20" t="n"/>
      <c r="B214" s="21">
        <f>IF($A214="","",CHOOSE(WEEKDAY($A214,2),"Lunes","Martes","Miércoles","Jueves","Viernes","Sábado","Domingo"))</f>
        <v/>
      </c>
      <c r="C214" s="17" t="n"/>
      <c r="D214" s="21">
        <f>IF($C214="","",IFERROR(INDEX(Insumos!$B$2:$B$151,MATCH($C214,Insumos!$A$2:$A$151,0)),"Código no cargado"))</f>
        <v/>
      </c>
      <c r="E214" s="21">
        <f>IF($C214="","",IFERROR(INDEX(Insumos!$C$2:$C$151,MATCH($C214,Insumos!$A$2:$A$151,0)),""))</f>
        <v/>
      </c>
      <c r="F214" s="21">
        <f>IF($C214="","",IFERROR(INDEX(Insumos!$D$2:$D$151,MATCH($C214,Insumos!$A$2:$A$151,0)),""))</f>
        <v/>
      </c>
      <c r="G214" s="18" t="n"/>
      <c r="H214" s="19">
        <f>IF(OR($A214="",$C214=""),"",IFERROR(INDEX(Insumos!$M$2:$S$151,MATCH($C214,Insumos!$A$2:$A$151,0),WEEKDAY($A214,2)),""))</f>
        <v/>
      </c>
      <c r="I214" s="19">
        <f>IF(OR($G214="",$H214=""),"",MAX(0,$H214-$G214))</f>
        <v/>
      </c>
      <c r="J214" s="21">
        <f>IF($I214="","",IF($I214=0,"OK",IF($G214&lt;=0,"Sin stock: pedir ya","Pedir o producir")))</f>
        <v/>
      </c>
      <c r="K214" s="17" t="n"/>
      <c r="L214" s="17" t="n"/>
      <c r="M214" s="21">
        <f>IF(OR($A214="",$A214&lt;&gt;'Lista para pedir'!$C$3,N($I214)&lt;=0),"",COUNTIFS($A$2:$A214,$A214,$I$2:$I214,"&gt;0"))</f>
        <v/>
      </c>
    </row>
    <row r="215">
      <c r="A215" s="20" t="n"/>
      <c r="B215" s="21">
        <f>IF($A215="","",CHOOSE(WEEKDAY($A215,2),"Lunes","Martes","Miércoles","Jueves","Viernes","Sábado","Domingo"))</f>
        <v/>
      </c>
      <c r="C215" s="17" t="n"/>
      <c r="D215" s="21">
        <f>IF($C215="","",IFERROR(INDEX(Insumos!$B$2:$B$151,MATCH($C215,Insumos!$A$2:$A$151,0)),"Código no cargado"))</f>
        <v/>
      </c>
      <c r="E215" s="21">
        <f>IF($C215="","",IFERROR(INDEX(Insumos!$C$2:$C$151,MATCH($C215,Insumos!$A$2:$A$151,0)),""))</f>
        <v/>
      </c>
      <c r="F215" s="21">
        <f>IF($C215="","",IFERROR(INDEX(Insumos!$D$2:$D$151,MATCH($C215,Insumos!$A$2:$A$151,0)),""))</f>
        <v/>
      </c>
      <c r="G215" s="18" t="n"/>
      <c r="H215" s="19">
        <f>IF(OR($A215="",$C215=""),"",IFERROR(INDEX(Insumos!$M$2:$S$151,MATCH($C215,Insumos!$A$2:$A$151,0),WEEKDAY($A215,2)),""))</f>
        <v/>
      </c>
      <c r="I215" s="19">
        <f>IF(OR($G215="",$H215=""),"",MAX(0,$H215-$G215))</f>
        <v/>
      </c>
      <c r="J215" s="21">
        <f>IF($I215="","",IF($I215=0,"OK",IF($G215&lt;=0,"Sin stock: pedir ya","Pedir o producir")))</f>
        <v/>
      </c>
      <c r="K215" s="17" t="n"/>
      <c r="L215" s="17" t="n"/>
      <c r="M215" s="21">
        <f>IF(OR($A215="",$A215&lt;&gt;'Lista para pedir'!$C$3,N($I215)&lt;=0),"",COUNTIFS($A$2:$A215,$A215,$I$2:$I215,"&gt;0"))</f>
        <v/>
      </c>
    </row>
    <row r="216">
      <c r="A216" s="20" t="n"/>
      <c r="B216" s="21">
        <f>IF($A216="","",CHOOSE(WEEKDAY($A216,2),"Lunes","Martes","Miércoles","Jueves","Viernes","Sábado","Domingo"))</f>
        <v/>
      </c>
      <c r="C216" s="17" t="n"/>
      <c r="D216" s="21">
        <f>IF($C216="","",IFERROR(INDEX(Insumos!$B$2:$B$151,MATCH($C216,Insumos!$A$2:$A$151,0)),"Código no cargado"))</f>
        <v/>
      </c>
      <c r="E216" s="21">
        <f>IF($C216="","",IFERROR(INDEX(Insumos!$C$2:$C$151,MATCH($C216,Insumos!$A$2:$A$151,0)),""))</f>
        <v/>
      </c>
      <c r="F216" s="21">
        <f>IF($C216="","",IFERROR(INDEX(Insumos!$D$2:$D$151,MATCH($C216,Insumos!$A$2:$A$151,0)),""))</f>
        <v/>
      </c>
      <c r="G216" s="18" t="n"/>
      <c r="H216" s="19">
        <f>IF(OR($A216="",$C216=""),"",IFERROR(INDEX(Insumos!$M$2:$S$151,MATCH($C216,Insumos!$A$2:$A$151,0),WEEKDAY($A216,2)),""))</f>
        <v/>
      </c>
      <c r="I216" s="19">
        <f>IF(OR($G216="",$H216=""),"",MAX(0,$H216-$G216))</f>
        <v/>
      </c>
      <c r="J216" s="21">
        <f>IF($I216="","",IF($I216=0,"OK",IF($G216&lt;=0,"Sin stock: pedir ya","Pedir o producir")))</f>
        <v/>
      </c>
      <c r="K216" s="17" t="n"/>
      <c r="L216" s="17" t="n"/>
      <c r="M216" s="21">
        <f>IF(OR($A216="",$A216&lt;&gt;'Lista para pedir'!$C$3,N($I216)&lt;=0),"",COUNTIFS($A$2:$A216,$A216,$I$2:$I216,"&gt;0"))</f>
        <v/>
      </c>
    </row>
    <row r="217">
      <c r="A217" s="20" t="n"/>
      <c r="B217" s="21">
        <f>IF($A217="","",CHOOSE(WEEKDAY($A217,2),"Lunes","Martes","Miércoles","Jueves","Viernes","Sábado","Domingo"))</f>
        <v/>
      </c>
      <c r="C217" s="17" t="n"/>
      <c r="D217" s="21">
        <f>IF($C217="","",IFERROR(INDEX(Insumos!$B$2:$B$151,MATCH($C217,Insumos!$A$2:$A$151,0)),"Código no cargado"))</f>
        <v/>
      </c>
      <c r="E217" s="21">
        <f>IF($C217="","",IFERROR(INDEX(Insumos!$C$2:$C$151,MATCH($C217,Insumos!$A$2:$A$151,0)),""))</f>
        <v/>
      </c>
      <c r="F217" s="21">
        <f>IF($C217="","",IFERROR(INDEX(Insumos!$D$2:$D$151,MATCH($C217,Insumos!$A$2:$A$151,0)),""))</f>
        <v/>
      </c>
      <c r="G217" s="18" t="n"/>
      <c r="H217" s="19">
        <f>IF(OR($A217="",$C217=""),"",IFERROR(INDEX(Insumos!$M$2:$S$151,MATCH($C217,Insumos!$A$2:$A$151,0),WEEKDAY($A217,2)),""))</f>
        <v/>
      </c>
      <c r="I217" s="19">
        <f>IF(OR($G217="",$H217=""),"",MAX(0,$H217-$G217))</f>
        <v/>
      </c>
      <c r="J217" s="21">
        <f>IF($I217="","",IF($I217=0,"OK",IF($G217&lt;=0,"Sin stock: pedir ya","Pedir o producir")))</f>
        <v/>
      </c>
      <c r="K217" s="17" t="n"/>
      <c r="L217" s="17" t="n"/>
      <c r="M217" s="21">
        <f>IF(OR($A217="",$A217&lt;&gt;'Lista para pedir'!$C$3,N($I217)&lt;=0),"",COUNTIFS($A$2:$A217,$A217,$I$2:$I217,"&gt;0"))</f>
        <v/>
      </c>
    </row>
    <row r="218">
      <c r="A218" s="20" t="n"/>
      <c r="B218" s="21">
        <f>IF($A218="","",CHOOSE(WEEKDAY($A218,2),"Lunes","Martes","Miércoles","Jueves","Viernes","Sábado","Domingo"))</f>
        <v/>
      </c>
      <c r="C218" s="17" t="n"/>
      <c r="D218" s="21">
        <f>IF($C218="","",IFERROR(INDEX(Insumos!$B$2:$B$151,MATCH($C218,Insumos!$A$2:$A$151,0)),"Código no cargado"))</f>
        <v/>
      </c>
      <c r="E218" s="21">
        <f>IF($C218="","",IFERROR(INDEX(Insumos!$C$2:$C$151,MATCH($C218,Insumos!$A$2:$A$151,0)),""))</f>
        <v/>
      </c>
      <c r="F218" s="21">
        <f>IF($C218="","",IFERROR(INDEX(Insumos!$D$2:$D$151,MATCH($C218,Insumos!$A$2:$A$151,0)),""))</f>
        <v/>
      </c>
      <c r="G218" s="18" t="n"/>
      <c r="H218" s="19">
        <f>IF(OR($A218="",$C218=""),"",IFERROR(INDEX(Insumos!$M$2:$S$151,MATCH($C218,Insumos!$A$2:$A$151,0),WEEKDAY($A218,2)),""))</f>
        <v/>
      </c>
      <c r="I218" s="19">
        <f>IF(OR($G218="",$H218=""),"",MAX(0,$H218-$G218))</f>
        <v/>
      </c>
      <c r="J218" s="21">
        <f>IF($I218="","",IF($I218=0,"OK",IF($G218&lt;=0,"Sin stock: pedir ya","Pedir o producir")))</f>
        <v/>
      </c>
      <c r="K218" s="17" t="n"/>
      <c r="L218" s="17" t="n"/>
      <c r="M218" s="21">
        <f>IF(OR($A218="",$A218&lt;&gt;'Lista para pedir'!$C$3,N($I218)&lt;=0),"",COUNTIFS($A$2:$A218,$A218,$I$2:$I218,"&gt;0"))</f>
        <v/>
      </c>
    </row>
    <row r="219">
      <c r="A219" s="20" t="n"/>
      <c r="B219" s="21">
        <f>IF($A219="","",CHOOSE(WEEKDAY($A219,2),"Lunes","Martes","Miércoles","Jueves","Viernes","Sábado","Domingo"))</f>
        <v/>
      </c>
      <c r="C219" s="17" t="n"/>
      <c r="D219" s="21">
        <f>IF($C219="","",IFERROR(INDEX(Insumos!$B$2:$B$151,MATCH($C219,Insumos!$A$2:$A$151,0)),"Código no cargado"))</f>
        <v/>
      </c>
      <c r="E219" s="21">
        <f>IF($C219="","",IFERROR(INDEX(Insumos!$C$2:$C$151,MATCH($C219,Insumos!$A$2:$A$151,0)),""))</f>
        <v/>
      </c>
      <c r="F219" s="21">
        <f>IF($C219="","",IFERROR(INDEX(Insumos!$D$2:$D$151,MATCH($C219,Insumos!$A$2:$A$151,0)),""))</f>
        <v/>
      </c>
      <c r="G219" s="18" t="n"/>
      <c r="H219" s="19">
        <f>IF(OR($A219="",$C219=""),"",IFERROR(INDEX(Insumos!$M$2:$S$151,MATCH($C219,Insumos!$A$2:$A$151,0),WEEKDAY($A219,2)),""))</f>
        <v/>
      </c>
      <c r="I219" s="19">
        <f>IF(OR($G219="",$H219=""),"",MAX(0,$H219-$G219))</f>
        <v/>
      </c>
      <c r="J219" s="21">
        <f>IF($I219="","",IF($I219=0,"OK",IF($G219&lt;=0,"Sin stock: pedir ya","Pedir o producir")))</f>
        <v/>
      </c>
      <c r="K219" s="17" t="n"/>
      <c r="L219" s="17" t="n"/>
      <c r="M219" s="21">
        <f>IF(OR($A219="",$A219&lt;&gt;'Lista para pedir'!$C$3,N($I219)&lt;=0),"",COUNTIFS($A$2:$A219,$A219,$I$2:$I219,"&gt;0"))</f>
        <v/>
      </c>
    </row>
    <row r="220">
      <c r="A220" s="20" t="n"/>
      <c r="B220" s="21">
        <f>IF($A220="","",CHOOSE(WEEKDAY($A220,2),"Lunes","Martes","Miércoles","Jueves","Viernes","Sábado","Domingo"))</f>
        <v/>
      </c>
      <c r="C220" s="17" t="n"/>
      <c r="D220" s="21">
        <f>IF($C220="","",IFERROR(INDEX(Insumos!$B$2:$B$151,MATCH($C220,Insumos!$A$2:$A$151,0)),"Código no cargado"))</f>
        <v/>
      </c>
      <c r="E220" s="21">
        <f>IF($C220="","",IFERROR(INDEX(Insumos!$C$2:$C$151,MATCH($C220,Insumos!$A$2:$A$151,0)),""))</f>
        <v/>
      </c>
      <c r="F220" s="21">
        <f>IF($C220="","",IFERROR(INDEX(Insumos!$D$2:$D$151,MATCH($C220,Insumos!$A$2:$A$151,0)),""))</f>
        <v/>
      </c>
      <c r="G220" s="18" t="n"/>
      <c r="H220" s="19">
        <f>IF(OR($A220="",$C220=""),"",IFERROR(INDEX(Insumos!$M$2:$S$151,MATCH($C220,Insumos!$A$2:$A$151,0),WEEKDAY($A220,2)),""))</f>
        <v/>
      </c>
      <c r="I220" s="19">
        <f>IF(OR($G220="",$H220=""),"",MAX(0,$H220-$G220))</f>
        <v/>
      </c>
      <c r="J220" s="21">
        <f>IF($I220="","",IF($I220=0,"OK",IF($G220&lt;=0,"Sin stock: pedir ya","Pedir o producir")))</f>
        <v/>
      </c>
      <c r="K220" s="17" t="n"/>
      <c r="L220" s="17" t="n"/>
      <c r="M220" s="21">
        <f>IF(OR($A220="",$A220&lt;&gt;'Lista para pedir'!$C$3,N($I220)&lt;=0),"",COUNTIFS($A$2:$A220,$A220,$I$2:$I220,"&gt;0"))</f>
        <v/>
      </c>
    </row>
    <row r="221">
      <c r="A221" s="20" t="n"/>
      <c r="B221" s="21">
        <f>IF($A221="","",CHOOSE(WEEKDAY($A221,2),"Lunes","Martes","Miércoles","Jueves","Viernes","Sábado","Domingo"))</f>
        <v/>
      </c>
      <c r="C221" s="17" t="n"/>
      <c r="D221" s="21">
        <f>IF($C221="","",IFERROR(INDEX(Insumos!$B$2:$B$151,MATCH($C221,Insumos!$A$2:$A$151,0)),"Código no cargado"))</f>
        <v/>
      </c>
      <c r="E221" s="21">
        <f>IF($C221="","",IFERROR(INDEX(Insumos!$C$2:$C$151,MATCH($C221,Insumos!$A$2:$A$151,0)),""))</f>
        <v/>
      </c>
      <c r="F221" s="21">
        <f>IF($C221="","",IFERROR(INDEX(Insumos!$D$2:$D$151,MATCH($C221,Insumos!$A$2:$A$151,0)),""))</f>
        <v/>
      </c>
      <c r="G221" s="18" t="n"/>
      <c r="H221" s="19">
        <f>IF(OR($A221="",$C221=""),"",IFERROR(INDEX(Insumos!$M$2:$S$151,MATCH($C221,Insumos!$A$2:$A$151,0),WEEKDAY($A221,2)),""))</f>
        <v/>
      </c>
      <c r="I221" s="19">
        <f>IF(OR($G221="",$H221=""),"",MAX(0,$H221-$G221))</f>
        <v/>
      </c>
      <c r="J221" s="21">
        <f>IF($I221="","",IF($I221=0,"OK",IF($G221&lt;=0,"Sin stock: pedir ya","Pedir o producir")))</f>
        <v/>
      </c>
      <c r="K221" s="17" t="n"/>
      <c r="L221" s="17" t="n"/>
      <c r="M221" s="21">
        <f>IF(OR($A221="",$A221&lt;&gt;'Lista para pedir'!$C$3,N($I221)&lt;=0),"",COUNTIFS($A$2:$A221,$A221,$I$2:$I221,"&gt;0"))</f>
        <v/>
      </c>
    </row>
    <row r="222">
      <c r="A222" s="20" t="n"/>
      <c r="B222" s="21">
        <f>IF($A222="","",CHOOSE(WEEKDAY($A222,2),"Lunes","Martes","Miércoles","Jueves","Viernes","Sábado","Domingo"))</f>
        <v/>
      </c>
      <c r="C222" s="17" t="n"/>
      <c r="D222" s="21">
        <f>IF($C222="","",IFERROR(INDEX(Insumos!$B$2:$B$151,MATCH($C222,Insumos!$A$2:$A$151,0)),"Código no cargado"))</f>
        <v/>
      </c>
      <c r="E222" s="21">
        <f>IF($C222="","",IFERROR(INDEX(Insumos!$C$2:$C$151,MATCH($C222,Insumos!$A$2:$A$151,0)),""))</f>
        <v/>
      </c>
      <c r="F222" s="21">
        <f>IF($C222="","",IFERROR(INDEX(Insumos!$D$2:$D$151,MATCH($C222,Insumos!$A$2:$A$151,0)),""))</f>
        <v/>
      </c>
      <c r="G222" s="18" t="n"/>
      <c r="H222" s="19">
        <f>IF(OR($A222="",$C222=""),"",IFERROR(INDEX(Insumos!$M$2:$S$151,MATCH($C222,Insumos!$A$2:$A$151,0),WEEKDAY($A222,2)),""))</f>
        <v/>
      </c>
      <c r="I222" s="19">
        <f>IF(OR($G222="",$H222=""),"",MAX(0,$H222-$G222))</f>
        <v/>
      </c>
      <c r="J222" s="21">
        <f>IF($I222="","",IF($I222=0,"OK",IF($G222&lt;=0,"Sin stock: pedir ya","Pedir o producir")))</f>
        <v/>
      </c>
      <c r="K222" s="17" t="n"/>
      <c r="L222" s="17" t="n"/>
      <c r="M222" s="21">
        <f>IF(OR($A222="",$A222&lt;&gt;'Lista para pedir'!$C$3,N($I222)&lt;=0),"",COUNTIFS($A$2:$A222,$A222,$I$2:$I222,"&gt;0"))</f>
        <v/>
      </c>
    </row>
    <row r="223">
      <c r="A223" s="20" t="n"/>
      <c r="B223" s="21">
        <f>IF($A223="","",CHOOSE(WEEKDAY($A223,2),"Lunes","Martes","Miércoles","Jueves","Viernes","Sábado","Domingo"))</f>
        <v/>
      </c>
      <c r="C223" s="17" t="n"/>
      <c r="D223" s="21">
        <f>IF($C223="","",IFERROR(INDEX(Insumos!$B$2:$B$151,MATCH($C223,Insumos!$A$2:$A$151,0)),"Código no cargado"))</f>
        <v/>
      </c>
      <c r="E223" s="21">
        <f>IF($C223="","",IFERROR(INDEX(Insumos!$C$2:$C$151,MATCH($C223,Insumos!$A$2:$A$151,0)),""))</f>
        <v/>
      </c>
      <c r="F223" s="21">
        <f>IF($C223="","",IFERROR(INDEX(Insumos!$D$2:$D$151,MATCH($C223,Insumos!$A$2:$A$151,0)),""))</f>
        <v/>
      </c>
      <c r="G223" s="18" t="n"/>
      <c r="H223" s="19">
        <f>IF(OR($A223="",$C223=""),"",IFERROR(INDEX(Insumos!$M$2:$S$151,MATCH($C223,Insumos!$A$2:$A$151,0),WEEKDAY($A223,2)),""))</f>
        <v/>
      </c>
      <c r="I223" s="19">
        <f>IF(OR($G223="",$H223=""),"",MAX(0,$H223-$G223))</f>
        <v/>
      </c>
      <c r="J223" s="21">
        <f>IF($I223="","",IF($I223=0,"OK",IF($G223&lt;=0,"Sin stock: pedir ya","Pedir o producir")))</f>
        <v/>
      </c>
      <c r="K223" s="17" t="n"/>
      <c r="L223" s="17" t="n"/>
      <c r="M223" s="21">
        <f>IF(OR($A223="",$A223&lt;&gt;'Lista para pedir'!$C$3,N($I223)&lt;=0),"",COUNTIFS($A$2:$A223,$A223,$I$2:$I223,"&gt;0"))</f>
        <v/>
      </c>
    </row>
    <row r="224">
      <c r="A224" s="20" t="n"/>
      <c r="B224" s="21">
        <f>IF($A224="","",CHOOSE(WEEKDAY($A224,2),"Lunes","Martes","Miércoles","Jueves","Viernes","Sábado","Domingo"))</f>
        <v/>
      </c>
      <c r="C224" s="17" t="n"/>
      <c r="D224" s="21">
        <f>IF($C224="","",IFERROR(INDEX(Insumos!$B$2:$B$151,MATCH($C224,Insumos!$A$2:$A$151,0)),"Código no cargado"))</f>
        <v/>
      </c>
      <c r="E224" s="21">
        <f>IF($C224="","",IFERROR(INDEX(Insumos!$C$2:$C$151,MATCH($C224,Insumos!$A$2:$A$151,0)),""))</f>
        <v/>
      </c>
      <c r="F224" s="21">
        <f>IF($C224="","",IFERROR(INDEX(Insumos!$D$2:$D$151,MATCH($C224,Insumos!$A$2:$A$151,0)),""))</f>
        <v/>
      </c>
      <c r="G224" s="18" t="n"/>
      <c r="H224" s="19">
        <f>IF(OR($A224="",$C224=""),"",IFERROR(INDEX(Insumos!$M$2:$S$151,MATCH($C224,Insumos!$A$2:$A$151,0),WEEKDAY($A224,2)),""))</f>
        <v/>
      </c>
      <c r="I224" s="19">
        <f>IF(OR($G224="",$H224=""),"",MAX(0,$H224-$G224))</f>
        <v/>
      </c>
      <c r="J224" s="21">
        <f>IF($I224="","",IF($I224=0,"OK",IF($G224&lt;=0,"Sin stock: pedir ya","Pedir o producir")))</f>
        <v/>
      </c>
      <c r="K224" s="17" t="n"/>
      <c r="L224" s="17" t="n"/>
      <c r="M224" s="21">
        <f>IF(OR($A224="",$A224&lt;&gt;'Lista para pedir'!$C$3,N($I224)&lt;=0),"",COUNTIFS($A$2:$A224,$A224,$I$2:$I224,"&gt;0"))</f>
        <v/>
      </c>
    </row>
    <row r="225">
      <c r="A225" s="20" t="n"/>
      <c r="B225" s="21">
        <f>IF($A225="","",CHOOSE(WEEKDAY($A225,2),"Lunes","Martes","Miércoles","Jueves","Viernes","Sábado","Domingo"))</f>
        <v/>
      </c>
      <c r="C225" s="17" t="n"/>
      <c r="D225" s="21">
        <f>IF($C225="","",IFERROR(INDEX(Insumos!$B$2:$B$151,MATCH($C225,Insumos!$A$2:$A$151,0)),"Código no cargado"))</f>
        <v/>
      </c>
      <c r="E225" s="21">
        <f>IF($C225="","",IFERROR(INDEX(Insumos!$C$2:$C$151,MATCH($C225,Insumos!$A$2:$A$151,0)),""))</f>
        <v/>
      </c>
      <c r="F225" s="21">
        <f>IF($C225="","",IFERROR(INDEX(Insumos!$D$2:$D$151,MATCH($C225,Insumos!$A$2:$A$151,0)),""))</f>
        <v/>
      </c>
      <c r="G225" s="18" t="n"/>
      <c r="H225" s="19">
        <f>IF(OR($A225="",$C225=""),"",IFERROR(INDEX(Insumos!$M$2:$S$151,MATCH($C225,Insumos!$A$2:$A$151,0),WEEKDAY($A225,2)),""))</f>
        <v/>
      </c>
      <c r="I225" s="19">
        <f>IF(OR($G225="",$H225=""),"",MAX(0,$H225-$G225))</f>
        <v/>
      </c>
      <c r="J225" s="21">
        <f>IF($I225="","",IF($I225=0,"OK",IF($G225&lt;=0,"Sin stock: pedir ya","Pedir o producir")))</f>
        <v/>
      </c>
      <c r="K225" s="17" t="n"/>
      <c r="L225" s="17" t="n"/>
      <c r="M225" s="21">
        <f>IF(OR($A225="",$A225&lt;&gt;'Lista para pedir'!$C$3,N($I225)&lt;=0),"",COUNTIFS($A$2:$A225,$A225,$I$2:$I225,"&gt;0"))</f>
        <v/>
      </c>
    </row>
    <row r="226">
      <c r="A226" s="20" t="n"/>
      <c r="B226" s="21">
        <f>IF($A226="","",CHOOSE(WEEKDAY($A226,2),"Lunes","Martes","Miércoles","Jueves","Viernes","Sábado","Domingo"))</f>
        <v/>
      </c>
      <c r="C226" s="17" t="n"/>
      <c r="D226" s="21">
        <f>IF($C226="","",IFERROR(INDEX(Insumos!$B$2:$B$151,MATCH($C226,Insumos!$A$2:$A$151,0)),"Código no cargado"))</f>
        <v/>
      </c>
      <c r="E226" s="21">
        <f>IF($C226="","",IFERROR(INDEX(Insumos!$C$2:$C$151,MATCH($C226,Insumos!$A$2:$A$151,0)),""))</f>
        <v/>
      </c>
      <c r="F226" s="21">
        <f>IF($C226="","",IFERROR(INDEX(Insumos!$D$2:$D$151,MATCH($C226,Insumos!$A$2:$A$151,0)),""))</f>
        <v/>
      </c>
      <c r="G226" s="18" t="n"/>
      <c r="H226" s="19">
        <f>IF(OR($A226="",$C226=""),"",IFERROR(INDEX(Insumos!$M$2:$S$151,MATCH($C226,Insumos!$A$2:$A$151,0),WEEKDAY($A226,2)),""))</f>
        <v/>
      </c>
      <c r="I226" s="19">
        <f>IF(OR($G226="",$H226=""),"",MAX(0,$H226-$G226))</f>
        <v/>
      </c>
      <c r="J226" s="21">
        <f>IF($I226="","",IF($I226=0,"OK",IF($G226&lt;=0,"Sin stock: pedir ya","Pedir o producir")))</f>
        <v/>
      </c>
      <c r="K226" s="17" t="n"/>
      <c r="L226" s="17" t="n"/>
      <c r="M226" s="21">
        <f>IF(OR($A226="",$A226&lt;&gt;'Lista para pedir'!$C$3,N($I226)&lt;=0),"",COUNTIFS($A$2:$A226,$A226,$I$2:$I226,"&gt;0"))</f>
        <v/>
      </c>
    </row>
    <row r="227">
      <c r="A227" s="20" t="n"/>
      <c r="B227" s="21">
        <f>IF($A227="","",CHOOSE(WEEKDAY($A227,2),"Lunes","Martes","Miércoles","Jueves","Viernes","Sábado","Domingo"))</f>
        <v/>
      </c>
      <c r="C227" s="17" t="n"/>
      <c r="D227" s="21">
        <f>IF($C227="","",IFERROR(INDEX(Insumos!$B$2:$B$151,MATCH($C227,Insumos!$A$2:$A$151,0)),"Código no cargado"))</f>
        <v/>
      </c>
      <c r="E227" s="21">
        <f>IF($C227="","",IFERROR(INDEX(Insumos!$C$2:$C$151,MATCH($C227,Insumos!$A$2:$A$151,0)),""))</f>
        <v/>
      </c>
      <c r="F227" s="21">
        <f>IF($C227="","",IFERROR(INDEX(Insumos!$D$2:$D$151,MATCH($C227,Insumos!$A$2:$A$151,0)),""))</f>
        <v/>
      </c>
      <c r="G227" s="18" t="n"/>
      <c r="H227" s="19">
        <f>IF(OR($A227="",$C227=""),"",IFERROR(INDEX(Insumos!$M$2:$S$151,MATCH($C227,Insumos!$A$2:$A$151,0),WEEKDAY($A227,2)),""))</f>
        <v/>
      </c>
      <c r="I227" s="19">
        <f>IF(OR($G227="",$H227=""),"",MAX(0,$H227-$G227))</f>
        <v/>
      </c>
      <c r="J227" s="21">
        <f>IF($I227="","",IF($I227=0,"OK",IF($G227&lt;=0,"Sin stock: pedir ya","Pedir o producir")))</f>
        <v/>
      </c>
      <c r="K227" s="17" t="n"/>
      <c r="L227" s="17" t="n"/>
      <c r="M227" s="21">
        <f>IF(OR($A227="",$A227&lt;&gt;'Lista para pedir'!$C$3,N($I227)&lt;=0),"",COUNTIFS($A$2:$A227,$A227,$I$2:$I227,"&gt;0"))</f>
        <v/>
      </c>
    </row>
    <row r="228">
      <c r="A228" s="20" t="n"/>
      <c r="B228" s="21">
        <f>IF($A228="","",CHOOSE(WEEKDAY($A228,2),"Lunes","Martes","Miércoles","Jueves","Viernes","Sábado","Domingo"))</f>
        <v/>
      </c>
      <c r="C228" s="17" t="n"/>
      <c r="D228" s="21">
        <f>IF($C228="","",IFERROR(INDEX(Insumos!$B$2:$B$151,MATCH($C228,Insumos!$A$2:$A$151,0)),"Código no cargado"))</f>
        <v/>
      </c>
      <c r="E228" s="21">
        <f>IF($C228="","",IFERROR(INDEX(Insumos!$C$2:$C$151,MATCH($C228,Insumos!$A$2:$A$151,0)),""))</f>
        <v/>
      </c>
      <c r="F228" s="21">
        <f>IF($C228="","",IFERROR(INDEX(Insumos!$D$2:$D$151,MATCH($C228,Insumos!$A$2:$A$151,0)),""))</f>
        <v/>
      </c>
      <c r="G228" s="18" t="n"/>
      <c r="H228" s="19">
        <f>IF(OR($A228="",$C228=""),"",IFERROR(INDEX(Insumos!$M$2:$S$151,MATCH($C228,Insumos!$A$2:$A$151,0),WEEKDAY($A228,2)),""))</f>
        <v/>
      </c>
      <c r="I228" s="19">
        <f>IF(OR($G228="",$H228=""),"",MAX(0,$H228-$G228))</f>
        <v/>
      </c>
      <c r="J228" s="21">
        <f>IF($I228="","",IF($I228=0,"OK",IF($G228&lt;=0,"Sin stock: pedir ya","Pedir o producir")))</f>
        <v/>
      </c>
      <c r="K228" s="17" t="n"/>
      <c r="L228" s="17" t="n"/>
      <c r="M228" s="21">
        <f>IF(OR($A228="",$A228&lt;&gt;'Lista para pedir'!$C$3,N($I228)&lt;=0),"",COUNTIFS($A$2:$A228,$A228,$I$2:$I228,"&gt;0"))</f>
        <v/>
      </c>
    </row>
    <row r="229">
      <c r="A229" s="20" t="n"/>
      <c r="B229" s="21">
        <f>IF($A229="","",CHOOSE(WEEKDAY($A229,2),"Lunes","Martes","Miércoles","Jueves","Viernes","Sábado","Domingo"))</f>
        <v/>
      </c>
      <c r="C229" s="17" t="n"/>
      <c r="D229" s="21">
        <f>IF($C229="","",IFERROR(INDEX(Insumos!$B$2:$B$151,MATCH($C229,Insumos!$A$2:$A$151,0)),"Código no cargado"))</f>
        <v/>
      </c>
      <c r="E229" s="21">
        <f>IF($C229="","",IFERROR(INDEX(Insumos!$C$2:$C$151,MATCH($C229,Insumos!$A$2:$A$151,0)),""))</f>
        <v/>
      </c>
      <c r="F229" s="21">
        <f>IF($C229="","",IFERROR(INDEX(Insumos!$D$2:$D$151,MATCH($C229,Insumos!$A$2:$A$151,0)),""))</f>
        <v/>
      </c>
      <c r="G229" s="18" t="n"/>
      <c r="H229" s="19">
        <f>IF(OR($A229="",$C229=""),"",IFERROR(INDEX(Insumos!$M$2:$S$151,MATCH($C229,Insumos!$A$2:$A$151,0),WEEKDAY($A229,2)),""))</f>
        <v/>
      </c>
      <c r="I229" s="19">
        <f>IF(OR($G229="",$H229=""),"",MAX(0,$H229-$G229))</f>
        <v/>
      </c>
      <c r="J229" s="21">
        <f>IF($I229="","",IF($I229=0,"OK",IF($G229&lt;=0,"Sin stock: pedir ya","Pedir o producir")))</f>
        <v/>
      </c>
      <c r="K229" s="17" t="n"/>
      <c r="L229" s="17" t="n"/>
      <c r="M229" s="21">
        <f>IF(OR($A229="",$A229&lt;&gt;'Lista para pedir'!$C$3,N($I229)&lt;=0),"",COUNTIFS($A$2:$A229,$A229,$I$2:$I229,"&gt;0"))</f>
        <v/>
      </c>
    </row>
    <row r="230">
      <c r="A230" s="20" t="n"/>
      <c r="B230" s="21">
        <f>IF($A230="","",CHOOSE(WEEKDAY($A230,2),"Lunes","Martes","Miércoles","Jueves","Viernes","Sábado","Domingo"))</f>
        <v/>
      </c>
      <c r="C230" s="17" t="n"/>
      <c r="D230" s="21">
        <f>IF($C230="","",IFERROR(INDEX(Insumos!$B$2:$B$151,MATCH($C230,Insumos!$A$2:$A$151,0)),"Código no cargado"))</f>
        <v/>
      </c>
      <c r="E230" s="21">
        <f>IF($C230="","",IFERROR(INDEX(Insumos!$C$2:$C$151,MATCH($C230,Insumos!$A$2:$A$151,0)),""))</f>
        <v/>
      </c>
      <c r="F230" s="21">
        <f>IF($C230="","",IFERROR(INDEX(Insumos!$D$2:$D$151,MATCH($C230,Insumos!$A$2:$A$151,0)),""))</f>
        <v/>
      </c>
      <c r="G230" s="18" t="n"/>
      <c r="H230" s="19">
        <f>IF(OR($A230="",$C230=""),"",IFERROR(INDEX(Insumos!$M$2:$S$151,MATCH($C230,Insumos!$A$2:$A$151,0),WEEKDAY($A230,2)),""))</f>
        <v/>
      </c>
      <c r="I230" s="19">
        <f>IF(OR($G230="",$H230=""),"",MAX(0,$H230-$G230))</f>
        <v/>
      </c>
      <c r="J230" s="21">
        <f>IF($I230="","",IF($I230=0,"OK",IF($G230&lt;=0,"Sin stock: pedir ya","Pedir o producir")))</f>
        <v/>
      </c>
      <c r="K230" s="17" t="n"/>
      <c r="L230" s="17" t="n"/>
      <c r="M230" s="21">
        <f>IF(OR($A230="",$A230&lt;&gt;'Lista para pedir'!$C$3,N($I230)&lt;=0),"",COUNTIFS($A$2:$A230,$A230,$I$2:$I230,"&gt;0"))</f>
        <v/>
      </c>
    </row>
    <row r="231">
      <c r="A231" s="20" t="n"/>
      <c r="B231" s="21">
        <f>IF($A231="","",CHOOSE(WEEKDAY($A231,2),"Lunes","Martes","Miércoles","Jueves","Viernes","Sábado","Domingo"))</f>
        <v/>
      </c>
      <c r="C231" s="17" t="n"/>
      <c r="D231" s="21">
        <f>IF($C231="","",IFERROR(INDEX(Insumos!$B$2:$B$151,MATCH($C231,Insumos!$A$2:$A$151,0)),"Código no cargado"))</f>
        <v/>
      </c>
      <c r="E231" s="21">
        <f>IF($C231="","",IFERROR(INDEX(Insumos!$C$2:$C$151,MATCH($C231,Insumos!$A$2:$A$151,0)),""))</f>
        <v/>
      </c>
      <c r="F231" s="21">
        <f>IF($C231="","",IFERROR(INDEX(Insumos!$D$2:$D$151,MATCH($C231,Insumos!$A$2:$A$151,0)),""))</f>
        <v/>
      </c>
      <c r="G231" s="18" t="n"/>
      <c r="H231" s="19">
        <f>IF(OR($A231="",$C231=""),"",IFERROR(INDEX(Insumos!$M$2:$S$151,MATCH($C231,Insumos!$A$2:$A$151,0),WEEKDAY($A231,2)),""))</f>
        <v/>
      </c>
      <c r="I231" s="19">
        <f>IF(OR($G231="",$H231=""),"",MAX(0,$H231-$G231))</f>
        <v/>
      </c>
      <c r="J231" s="21">
        <f>IF($I231="","",IF($I231=0,"OK",IF($G231&lt;=0,"Sin stock: pedir ya","Pedir o producir")))</f>
        <v/>
      </c>
      <c r="K231" s="17" t="n"/>
      <c r="L231" s="17" t="n"/>
      <c r="M231" s="21">
        <f>IF(OR($A231="",$A231&lt;&gt;'Lista para pedir'!$C$3,N($I231)&lt;=0),"",COUNTIFS($A$2:$A231,$A231,$I$2:$I231,"&gt;0"))</f>
        <v/>
      </c>
    </row>
    <row r="232">
      <c r="A232" s="20" t="n"/>
      <c r="B232" s="21">
        <f>IF($A232="","",CHOOSE(WEEKDAY($A232,2),"Lunes","Martes","Miércoles","Jueves","Viernes","Sábado","Domingo"))</f>
        <v/>
      </c>
      <c r="C232" s="17" t="n"/>
      <c r="D232" s="21">
        <f>IF($C232="","",IFERROR(INDEX(Insumos!$B$2:$B$151,MATCH($C232,Insumos!$A$2:$A$151,0)),"Código no cargado"))</f>
        <v/>
      </c>
      <c r="E232" s="21">
        <f>IF($C232="","",IFERROR(INDEX(Insumos!$C$2:$C$151,MATCH($C232,Insumos!$A$2:$A$151,0)),""))</f>
        <v/>
      </c>
      <c r="F232" s="21">
        <f>IF($C232="","",IFERROR(INDEX(Insumos!$D$2:$D$151,MATCH($C232,Insumos!$A$2:$A$151,0)),""))</f>
        <v/>
      </c>
      <c r="G232" s="18" t="n"/>
      <c r="H232" s="19">
        <f>IF(OR($A232="",$C232=""),"",IFERROR(INDEX(Insumos!$M$2:$S$151,MATCH($C232,Insumos!$A$2:$A$151,0),WEEKDAY($A232,2)),""))</f>
        <v/>
      </c>
      <c r="I232" s="19">
        <f>IF(OR($G232="",$H232=""),"",MAX(0,$H232-$G232))</f>
        <v/>
      </c>
      <c r="J232" s="21">
        <f>IF($I232="","",IF($I232=0,"OK",IF($G232&lt;=0,"Sin stock: pedir ya","Pedir o producir")))</f>
        <v/>
      </c>
      <c r="K232" s="17" t="n"/>
      <c r="L232" s="17" t="n"/>
      <c r="M232" s="21">
        <f>IF(OR($A232="",$A232&lt;&gt;'Lista para pedir'!$C$3,N($I232)&lt;=0),"",COUNTIFS($A$2:$A232,$A232,$I$2:$I232,"&gt;0"))</f>
        <v/>
      </c>
    </row>
    <row r="233">
      <c r="A233" s="20" t="n"/>
      <c r="B233" s="21">
        <f>IF($A233="","",CHOOSE(WEEKDAY($A233,2),"Lunes","Martes","Miércoles","Jueves","Viernes","Sábado","Domingo"))</f>
        <v/>
      </c>
      <c r="C233" s="17" t="n"/>
      <c r="D233" s="21">
        <f>IF($C233="","",IFERROR(INDEX(Insumos!$B$2:$B$151,MATCH($C233,Insumos!$A$2:$A$151,0)),"Código no cargado"))</f>
        <v/>
      </c>
      <c r="E233" s="21">
        <f>IF($C233="","",IFERROR(INDEX(Insumos!$C$2:$C$151,MATCH($C233,Insumos!$A$2:$A$151,0)),""))</f>
        <v/>
      </c>
      <c r="F233" s="21">
        <f>IF($C233="","",IFERROR(INDEX(Insumos!$D$2:$D$151,MATCH($C233,Insumos!$A$2:$A$151,0)),""))</f>
        <v/>
      </c>
      <c r="G233" s="18" t="n"/>
      <c r="H233" s="19">
        <f>IF(OR($A233="",$C233=""),"",IFERROR(INDEX(Insumos!$M$2:$S$151,MATCH($C233,Insumos!$A$2:$A$151,0),WEEKDAY($A233,2)),""))</f>
        <v/>
      </c>
      <c r="I233" s="19">
        <f>IF(OR($G233="",$H233=""),"",MAX(0,$H233-$G233))</f>
        <v/>
      </c>
      <c r="J233" s="21">
        <f>IF($I233="","",IF($I233=0,"OK",IF($G233&lt;=0,"Sin stock: pedir ya","Pedir o producir")))</f>
        <v/>
      </c>
      <c r="K233" s="17" t="n"/>
      <c r="L233" s="17" t="n"/>
      <c r="M233" s="21">
        <f>IF(OR($A233="",$A233&lt;&gt;'Lista para pedir'!$C$3,N($I233)&lt;=0),"",COUNTIFS($A$2:$A233,$A233,$I$2:$I233,"&gt;0"))</f>
        <v/>
      </c>
    </row>
    <row r="234">
      <c r="A234" s="20" t="n"/>
      <c r="B234" s="21">
        <f>IF($A234="","",CHOOSE(WEEKDAY($A234,2),"Lunes","Martes","Miércoles","Jueves","Viernes","Sábado","Domingo"))</f>
        <v/>
      </c>
      <c r="C234" s="17" t="n"/>
      <c r="D234" s="21">
        <f>IF($C234="","",IFERROR(INDEX(Insumos!$B$2:$B$151,MATCH($C234,Insumos!$A$2:$A$151,0)),"Código no cargado"))</f>
        <v/>
      </c>
      <c r="E234" s="21">
        <f>IF($C234="","",IFERROR(INDEX(Insumos!$C$2:$C$151,MATCH($C234,Insumos!$A$2:$A$151,0)),""))</f>
        <v/>
      </c>
      <c r="F234" s="21">
        <f>IF($C234="","",IFERROR(INDEX(Insumos!$D$2:$D$151,MATCH($C234,Insumos!$A$2:$A$151,0)),""))</f>
        <v/>
      </c>
      <c r="G234" s="18" t="n"/>
      <c r="H234" s="19">
        <f>IF(OR($A234="",$C234=""),"",IFERROR(INDEX(Insumos!$M$2:$S$151,MATCH($C234,Insumos!$A$2:$A$151,0),WEEKDAY($A234,2)),""))</f>
        <v/>
      </c>
      <c r="I234" s="19">
        <f>IF(OR($G234="",$H234=""),"",MAX(0,$H234-$G234))</f>
        <v/>
      </c>
      <c r="J234" s="21">
        <f>IF($I234="","",IF($I234=0,"OK",IF($G234&lt;=0,"Sin stock: pedir ya","Pedir o producir")))</f>
        <v/>
      </c>
      <c r="K234" s="17" t="n"/>
      <c r="L234" s="17" t="n"/>
      <c r="M234" s="21">
        <f>IF(OR($A234="",$A234&lt;&gt;'Lista para pedir'!$C$3,N($I234)&lt;=0),"",COUNTIFS($A$2:$A234,$A234,$I$2:$I234,"&gt;0"))</f>
        <v/>
      </c>
    </row>
    <row r="235">
      <c r="A235" s="20" t="n"/>
      <c r="B235" s="21">
        <f>IF($A235="","",CHOOSE(WEEKDAY($A235,2),"Lunes","Martes","Miércoles","Jueves","Viernes","Sábado","Domingo"))</f>
        <v/>
      </c>
      <c r="C235" s="17" t="n"/>
      <c r="D235" s="21">
        <f>IF($C235="","",IFERROR(INDEX(Insumos!$B$2:$B$151,MATCH($C235,Insumos!$A$2:$A$151,0)),"Código no cargado"))</f>
        <v/>
      </c>
      <c r="E235" s="21">
        <f>IF($C235="","",IFERROR(INDEX(Insumos!$C$2:$C$151,MATCH($C235,Insumos!$A$2:$A$151,0)),""))</f>
        <v/>
      </c>
      <c r="F235" s="21">
        <f>IF($C235="","",IFERROR(INDEX(Insumos!$D$2:$D$151,MATCH($C235,Insumos!$A$2:$A$151,0)),""))</f>
        <v/>
      </c>
      <c r="G235" s="18" t="n"/>
      <c r="H235" s="19">
        <f>IF(OR($A235="",$C235=""),"",IFERROR(INDEX(Insumos!$M$2:$S$151,MATCH($C235,Insumos!$A$2:$A$151,0),WEEKDAY($A235,2)),""))</f>
        <v/>
      </c>
      <c r="I235" s="19">
        <f>IF(OR($G235="",$H235=""),"",MAX(0,$H235-$G235))</f>
        <v/>
      </c>
      <c r="J235" s="21">
        <f>IF($I235="","",IF($I235=0,"OK",IF($G235&lt;=0,"Sin stock: pedir ya","Pedir o producir")))</f>
        <v/>
      </c>
      <c r="K235" s="17" t="n"/>
      <c r="L235" s="17" t="n"/>
      <c r="M235" s="21">
        <f>IF(OR($A235="",$A235&lt;&gt;'Lista para pedir'!$C$3,N($I235)&lt;=0),"",COUNTIFS($A$2:$A235,$A235,$I$2:$I235,"&gt;0"))</f>
        <v/>
      </c>
    </row>
    <row r="236">
      <c r="A236" s="20" t="n"/>
      <c r="B236" s="21">
        <f>IF($A236="","",CHOOSE(WEEKDAY($A236,2),"Lunes","Martes","Miércoles","Jueves","Viernes","Sábado","Domingo"))</f>
        <v/>
      </c>
      <c r="C236" s="17" t="n"/>
      <c r="D236" s="21">
        <f>IF($C236="","",IFERROR(INDEX(Insumos!$B$2:$B$151,MATCH($C236,Insumos!$A$2:$A$151,0)),"Código no cargado"))</f>
        <v/>
      </c>
      <c r="E236" s="21">
        <f>IF($C236="","",IFERROR(INDEX(Insumos!$C$2:$C$151,MATCH($C236,Insumos!$A$2:$A$151,0)),""))</f>
        <v/>
      </c>
      <c r="F236" s="21">
        <f>IF($C236="","",IFERROR(INDEX(Insumos!$D$2:$D$151,MATCH($C236,Insumos!$A$2:$A$151,0)),""))</f>
        <v/>
      </c>
      <c r="G236" s="18" t="n"/>
      <c r="H236" s="19">
        <f>IF(OR($A236="",$C236=""),"",IFERROR(INDEX(Insumos!$M$2:$S$151,MATCH($C236,Insumos!$A$2:$A$151,0),WEEKDAY($A236,2)),""))</f>
        <v/>
      </c>
      <c r="I236" s="19">
        <f>IF(OR($G236="",$H236=""),"",MAX(0,$H236-$G236))</f>
        <v/>
      </c>
      <c r="J236" s="21">
        <f>IF($I236="","",IF($I236=0,"OK",IF($G236&lt;=0,"Sin stock: pedir ya","Pedir o producir")))</f>
        <v/>
      </c>
      <c r="K236" s="17" t="n"/>
      <c r="L236" s="17" t="n"/>
      <c r="M236" s="21">
        <f>IF(OR($A236="",$A236&lt;&gt;'Lista para pedir'!$C$3,N($I236)&lt;=0),"",COUNTIFS($A$2:$A236,$A236,$I$2:$I236,"&gt;0"))</f>
        <v/>
      </c>
    </row>
    <row r="237">
      <c r="A237" s="20" t="n"/>
      <c r="B237" s="21">
        <f>IF($A237="","",CHOOSE(WEEKDAY($A237,2),"Lunes","Martes","Miércoles","Jueves","Viernes","Sábado","Domingo"))</f>
        <v/>
      </c>
      <c r="C237" s="17" t="n"/>
      <c r="D237" s="21">
        <f>IF($C237="","",IFERROR(INDEX(Insumos!$B$2:$B$151,MATCH($C237,Insumos!$A$2:$A$151,0)),"Código no cargado"))</f>
        <v/>
      </c>
      <c r="E237" s="21">
        <f>IF($C237="","",IFERROR(INDEX(Insumos!$C$2:$C$151,MATCH($C237,Insumos!$A$2:$A$151,0)),""))</f>
        <v/>
      </c>
      <c r="F237" s="21">
        <f>IF($C237="","",IFERROR(INDEX(Insumos!$D$2:$D$151,MATCH($C237,Insumos!$A$2:$A$151,0)),""))</f>
        <v/>
      </c>
      <c r="G237" s="18" t="n"/>
      <c r="H237" s="19">
        <f>IF(OR($A237="",$C237=""),"",IFERROR(INDEX(Insumos!$M$2:$S$151,MATCH($C237,Insumos!$A$2:$A$151,0),WEEKDAY($A237,2)),""))</f>
        <v/>
      </c>
      <c r="I237" s="19">
        <f>IF(OR($G237="",$H237=""),"",MAX(0,$H237-$G237))</f>
        <v/>
      </c>
      <c r="J237" s="21">
        <f>IF($I237="","",IF($I237=0,"OK",IF($G237&lt;=0,"Sin stock: pedir ya","Pedir o producir")))</f>
        <v/>
      </c>
      <c r="K237" s="17" t="n"/>
      <c r="L237" s="17" t="n"/>
      <c r="M237" s="21">
        <f>IF(OR($A237="",$A237&lt;&gt;'Lista para pedir'!$C$3,N($I237)&lt;=0),"",COUNTIFS($A$2:$A237,$A237,$I$2:$I237,"&gt;0"))</f>
        <v/>
      </c>
    </row>
    <row r="238">
      <c r="A238" s="20" t="n"/>
      <c r="B238" s="21">
        <f>IF($A238="","",CHOOSE(WEEKDAY($A238,2),"Lunes","Martes","Miércoles","Jueves","Viernes","Sábado","Domingo"))</f>
        <v/>
      </c>
      <c r="C238" s="17" t="n"/>
      <c r="D238" s="21">
        <f>IF($C238="","",IFERROR(INDEX(Insumos!$B$2:$B$151,MATCH($C238,Insumos!$A$2:$A$151,0)),"Código no cargado"))</f>
        <v/>
      </c>
      <c r="E238" s="21">
        <f>IF($C238="","",IFERROR(INDEX(Insumos!$C$2:$C$151,MATCH($C238,Insumos!$A$2:$A$151,0)),""))</f>
        <v/>
      </c>
      <c r="F238" s="21">
        <f>IF($C238="","",IFERROR(INDEX(Insumos!$D$2:$D$151,MATCH($C238,Insumos!$A$2:$A$151,0)),""))</f>
        <v/>
      </c>
      <c r="G238" s="18" t="n"/>
      <c r="H238" s="19">
        <f>IF(OR($A238="",$C238=""),"",IFERROR(INDEX(Insumos!$M$2:$S$151,MATCH($C238,Insumos!$A$2:$A$151,0),WEEKDAY($A238,2)),""))</f>
        <v/>
      </c>
      <c r="I238" s="19">
        <f>IF(OR($G238="",$H238=""),"",MAX(0,$H238-$G238))</f>
        <v/>
      </c>
      <c r="J238" s="21">
        <f>IF($I238="","",IF($I238=0,"OK",IF($G238&lt;=0,"Sin stock: pedir ya","Pedir o producir")))</f>
        <v/>
      </c>
      <c r="K238" s="17" t="n"/>
      <c r="L238" s="17" t="n"/>
      <c r="M238" s="21">
        <f>IF(OR($A238="",$A238&lt;&gt;'Lista para pedir'!$C$3,N($I238)&lt;=0),"",COUNTIFS($A$2:$A238,$A238,$I$2:$I238,"&gt;0"))</f>
        <v/>
      </c>
    </row>
    <row r="239">
      <c r="A239" s="20" t="n"/>
      <c r="B239" s="21">
        <f>IF($A239="","",CHOOSE(WEEKDAY($A239,2),"Lunes","Martes","Miércoles","Jueves","Viernes","Sábado","Domingo"))</f>
        <v/>
      </c>
      <c r="C239" s="17" t="n"/>
      <c r="D239" s="21">
        <f>IF($C239="","",IFERROR(INDEX(Insumos!$B$2:$B$151,MATCH($C239,Insumos!$A$2:$A$151,0)),"Código no cargado"))</f>
        <v/>
      </c>
      <c r="E239" s="21">
        <f>IF($C239="","",IFERROR(INDEX(Insumos!$C$2:$C$151,MATCH($C239,Insumos!$A$2:$A$151,0)),""))</f>
        <v/>
      </c>
      <c r="F239" s="21">
        <f>IF($C239="","",IFERROR(INDEX(Insumos!$D$2:$D$151,MATCH($C239,Insumos!$A$2:$A$151,0)),""))</f>
        <v/>
      </c>
      <c r="G239" s="18" t="n"/>
      <c r="H239" s="19">
        <f>IF(OR($A239="",$C239=""),"",IFERROR(INDEX(Insumos!$M$2:$S$151,MATCH($C239,Insumos!$A$2:$A$151,0),WEEKDAY($A239,2)),""))</f>
        <v/>
      </c>
      <c r="I239" s="19">
        <f>IF(OR($G239="",$H239=""),"",MAX(0,$H239-$G239))</f>
        <v/>
      </c>
      <c r="J239" s="21">
        <f>IF($I239="","",IF($I239=0,"OK",IF($G239&lt;=0,"Sin stock: pedir ya","Pedir o producir")))</f>
        <v/>
      </c>
      <c r="K239" s="17" t="n"/>
      <c r="L239" s="17" t="n"/>
      <c r="M239" s="21">
        <f>IF(OR($A239="",$A239&lt;&gt;'Lista para pedir'!$C$3,N($I239)&lt;=0),"",COUNTIFS($A$2:$A239,$A239,$I$2:$I239,"&gt;0"))</f>
        <v/>
      </c>
    </row>
    <row r="240">
      <c r="A240" s="20" t="n"/>
      <c r="B240" s="21">
        <f>IF($A240="","",CHOOSE(WEEKDAY($A240,2),"Lunes","Martes","Miércoles","Jueves","Viernes","Sábado","Domingo"))</f>
        <v/>
      </c>
      <c r="C240" s="17" t="n"/>
      <c r="D240" s="21">
        <f>IF($C240="","",IFERROR(INDEX(Insumos!$B$2:$B$151,MATCH($C240,Insumos!$A$2:$A$151,0)),"Código no cargado"))</f>
        <v/>
      </c>
      <c r="E240" s="21">
        <f>IF($C240="","",IFERROR(INDEX(Insumos!$C$2:$C$151,MATCH($C240,Insumos!$A$2:$A$151,0)),""))</f>
        <v/>
      </c>
      <c r="F240" s="21">
        <f>IF($C240="","",IFERROR(INDEX(Insumos!$D$2:$D$151,MATCH($C240,Insumos!$A$2:$A$151,0)),""))</f>
        <v/>
      </c>
      <c r="G240" s="18" t="n"/>
      <c r="H240" s="19">
        <f>IF(OR($A240="",$C240=""),"",IFERROR(INDEX(Insumos!$M$2:$S$151,MATCH($C240,Insumos!$A$2:$A$151,0),WEEKDAY($A240,2)),""))</f>
        <v/>
      </c>
      <c r="I240" s="19">
        <f>IF(OR($G240="",$H240=""),"",MAX(0,$H240-$G240))</f>
        <v/>
      </c>
      <c r="J240" s="21">
        <f>IF($I240="","",IF($I240=0,"OK",IF($G240&lt;=0,"Sin stock: pedir ya","Pedir o producir")))</f>
        <v/>
      </c>
      <c r="K240" s="17" t="n"/>
      <c r="L240" s="17" t="n"/>
      <c r="M240" s="21">
        <f>IF(OR($A240="",$A240&lt;&gt;'Lista para pedir'!$C$3,N($I240)&lt;=0),"",COUNTIFS($A$2:$A240,$A240,$I$2:$I240,"&gt;0"))</f>
        <v/>
      </c>
    </row>
    <row r="241">
      <c r="A241" s="20" t="n"/>
      <c r="B241" s="21">
        <f>IF($A241="","",CHOOSE(WEEKDAY($A241,2),"Lunes","Martes","Miércoles","Jueves","Viernes","Sábado","Domingo"))</f>
        <v/>
      </c>
      <c r="C241" s="17" t="n"/>
      <c r="D241" s="21">
        <f>IF($C241="","",IFERROR(INDEX(Insumos!$B$2:$B$151,MATCH($C241,Insumos!$A$2:$A$151,0)),"Código no cargado"))</f>
        <v/>
      </c>
      <c r="E241" s="21">
        <f>IF($C241="","",IFERROR(INDEX(Insumos!$C$2:$C$151,MATCH($C241,Insumos!$A$2:$A$151,0)),""))</f>
        <v/>
      </c>
      <c r="F241" s="21">
        <f>IF($C241="","",IFERROR(INDEX(Insumos!$D$2:$D$151,MATCH($C241,Insumos!$A$2:$A$151,0)),""))</f>
        <v/>
      </c>
      <c r="G241" s="18" t="n"/>
      <c r="H241" s="19">
        <f>IF(OR($A241="",$C241=""),"",IFERROR(INDEX(Insumos!$M$2:$S$151,MATCH($C241,Insumos!$A$2:$A$151,0),WEEKDAY($A241,2)),""))</f>
        <v/>
      </c>
      <c r="I241" s="19">
        <f>IF(OR($G241="",$H241=""),"",MAX(0,$H241-$G241))</f>
        <v/>
      </c>
      <c r="J241" s="21">
        <f>IF($I241="","",IF($I241=0,"OK",IF($G241&lt;=0,"Sin stock: pedir ya","Pedir o producir")))</f>
        <v/>
      </c>
      <c r="K241" s="17" t="n"/>
      <c r="L241" s="17" t="n"/>
      <c r="M241" s="21">
        <f>IF(OR($A241="",$A241&lt;&gt;'Lista para pedir'!$C$3,N($I241)&lt;=0),"",COUNTIFS($A$2:$A241,$A241,$I$2:$I241,"&gt;0"))</f>
        <v/>
      </c>
    </row>
    <row r="242">
      <c r="A242" s="20" t="n"/>
      <c r="B242" s="21">
        <f>IF($A242="","",CHOOSE(WEEKDAY($A242,2),"Lunes","Martes","Miércoles","Jueves","Viernes","Sábado","Domingo"))</f>
        <v/>
      </c>
      <c r="C242" s="17" t="n"/>
      <c r="D242" s="21">
        <f>IF($C242="","",IFERROR(INDEX(Insumos!$B$2:$B$151,MATCH($C242,Insumos!$A$2:$A$151,0)),"Código no cargado"))</f>
        <v/>
      </c>
      <c r="E242" s="21">
        <f>IF($C242="","",IFERROR(INDEX(Insumos!$C$2:$C$151,MATCH($C242,Insumos!$A$2:$A$151,0)),""))</f>
        <v/>
      </c>
      <c r="F242" s="21">
        <f>IF($C242="","",IFERROR(INDEX(Insumos!$D$2:$D$151,MATCH($C242,Insumos!$A$2:$A$151,0)),""))</f>
        <v/>
      </c>
      <c r="G242" s="18" t="n"/>
      <c r="H242" s="19">
        <f>IF(OR($A242="",$C242=""),"",IFERROR(INDEX(Insumos!$M$2:$S$151,MATCH($C242,Insumos!$A$2:$A$151,0),WEEKDAY($A242,2)),""))</f>
        <v/>
      </c>
      <c r="I242" s="19">
        <f>IF(OR($G242="",$H242=""),"",MAX(0,$H242-$G242))</f>
        <v/>
      </c>
      <c r="J242" s="21">
        <f>IF($I242="","",IF($I242=0,"OK",IF($G242&lt;=0,"Sin stock: pedir ya","Pedir o producir")))</f>
        <v/>
      </c>
      <c r="K242" s="17" t="n"/>
      <c r="L242" s="17" t="n"/>
      <c r="M242" s="21">
        <f>IF(OR($A242="",$A242&lt;&gt;'Lista para pedir'!$C$3,N($I242)&lt;=0),"",COUNTIFS($A$2:$A242,$A242,$I$2:$I242,"&gt;0"))</f>
        <v/>
      </c>
    </row>
    <row r="243">
      <c r="A243" s="20" t="n"/>
      <c r="B243" s="21">
        <f>IF($A243="","",CHOOSE(WEEKDAY($A243,2),"Lunes","Martes","Miércoles","Jueves","Viernes","Sábado","Domingo"))</f>
        <v/>
      </c>
      <c r="C243" s="17" t="n"/>
      <c r="D243" s="21">
        <f>IF($C243="","",IFERROR(INDEX(Insumos!$B$2:$B$151,MATCH($C243,Insumos!$A$2:$A$151,0)),"Código no cargado"))</f>
        <v/>
      </c>
      <c r="E243" s="21">
        <f>IF($C243="","",IFERROR(INDEX(Insumos!$C$2:$C$151,MATCH($C243,Insumos!$A$2:$A$151,0)),""))</f>
        <v/>
      </c>
      <c r="F243" s="21">
        <f>IF($C243="","",IFERROR(INDEX(Insumos!$D$2:$D$151,MATCH($C243,Insumos!$A$2:$A$151,0)),""))</f>
        <v/>
      </c>
      <c r="G243" s="18" t="n"/>
      <c r="H243" s="19">
        <f>IF(OR($A243="",$C243=""),"",IFERROR(INDEX(Insumos!$M$2:$S$151,MATCH($C243,Insumos!$A$2:$A$151,0),WEEKDAY($A243,2)),""))</f>
        <v/>
      </c>
      <c r="I243" s="19">
        <f>IF(OR($G243="",$H243=""),"",MAX(0,$H243-$G243))</f>
        <v/>
      </c>
      <c r="J243" s="21">
        <f>IF($I243="","",IF($I243=0,"OK",IF($G243&lt;=0,"Sin stock: pedir ya","Pedir o producir")))</f>
        <v/>
      </c>
      <c r="K243" s="17" t="n"/>
      <c r="L243" s="17" t="n"/>
      <c r="M243" s="21">
        <f>IF(OR($A243="",$A243&lt;&gt;'Lista para pedir'!$C$3,N($I243)&lt;=0),"",COUNTIFS($A$2:$A243,$A243,$I$2:$I243,"&gt;0"))</f>
        <v/>
      </c>
    </row>
    <row r="244">
      <c r="A244" s="20" t="n"/>
      <c r="B244" s="21">
        <f>IF($A244="","",CHOOSE(WEEKDAY($A244,2),"Lunes","Martes","Miércoles","Jueves","Viernes","Sábado","Domingo"))</f>
        <v/>
      </c>
      <c r="C244" s="17" t="n"/>
      <c r="D244" s="21">
        <f>IF($C244="","",IFERROR(INDEX(Insumos!$B$2:$B$151,MATCH($C244,Insumos!$A$2:$A$151,0)),"Código no cargado"))</f>
        <v/>
      </c>
      <c r="E244" s="21">
        <f>IF($C244="","",IFERROR(INDEX(Insumos!$C$2:$C$151,MATCH($C244,Insumos!$A$2:$A$151,0)),""))</f>
        <v/>
      </c>
      <c r="F244" s="21">
        <f>IF($C244="","",IFERROR(INDEX(Insumos!$D$2:$D$151,MATCH($C244,Insumos!$A$2:$A$151,0)),""))</f>
        <v/>
      </c>
      <c r="G244" s="18" t="n"/>
      <c r="H244" s="19">
        <f>IF(OR($A244="",$C244=""),"",IFERROR(INDEX(Insumos!$M$2:$S$151,MATCH($C244,Insumos!$A$2:$A$151,0),WEEKDAY($A244,2)),""))</f>
        <v/>
      </c>
      <c r="I244" s="19">
        <f>IF(OR($G244="",$H244=""),"",MAX(0,$H244-$G244))</f>
        <v/>
      </c>
      <c r="J244" s="21">
        <f>IF($I244="","",IF($I244=0,"OK",IF($G244&lt;=0,"Sin stock: pedir ya","Pedir o producir")))</f>
        <v/>
      </c>
      <c r="K244" s="17" t="n"/>
      <c r="L244" s="17" t="n"/>
      <c r="M244" s="21">
        <f>IF(OR($A244="",$A244&lt;&gt;'Lista para pedir'!$C$3,N($I244)&lt;=0),"",COUNTIFS($A$2:$A244,$A244,$I$2:$I244,"&gt;0"))</f>
        <v/>
      </c>
    </row>
    <row r="245">
      <c r="A245" s="20" t="n"/>
      <c r="B245" s="21">
        <f>IF($A245="","",CHOOSE(WEEKDAY($A245,2),"Lunes","Martes","Miércoles","Jueves","Viernes","Sábado","Domingo"))</f>
        <v/>
      </c>
      <c r="C245" s="17" t="n"/>
      <c r="D245" s="21">
        <f>IF($C245="","",IFERROR(INDEX(Insumos!$B$2:$B$151,MATCH($C245,Insumos!$A$2:$A$151,0)),"Código no cargado"))</f>
        <v/>
      </c>
      <c r="E245" s="21">
        <f>IF($C245="","",IFERROR(INDEX(Insumos!$C$2:$C$151,MATCH($C245,Insumos!$A$2:$A$151,0)),""))</f>
        <v/>
      </c>
      <c r="F245" s="21">
        <f>IF($C245="","",IFERROR(INDEX(Insumos!$D$2:$D$151,MATCH($C245,Insumos!$A$2:$A$151,0)),""))</f>
        <v/>
      </c>
      <c r="G245" s="18" t="n"/>
      <c r="H245" s="19">
        <f>IF(OR($A245="",$C245=""),"",IFERROR(INDEX(Insumos!$M$2:$S$151,MATCH($C245,Insumos!$A$2:$A$151,0),WEEKDAY($A245,2)),""))</f>
        <v/>
      </c>
      <c r="I245" s="19">
        <f>IF(OR($G245="",$H245=""),"",MAX(0,$H245-$G245))</f>
        <v/>
      </c>
      <c r="J245" s="21">
        <f>IF($I245="","",IF($I245=0,"OK",IF($G245&lt;=0,"Sin stock: pedir ya","Pedir o producir")))</f>
        <v/>
      </c>
      <c r="K245" s="17" t="n"/>
      <c r="L245" s="17" t="n"/>
      <c r="M245" s="21">
        <f>IF(OR($A245="",$A245&lt;&gt;'Lista para pedir'!$C$3,N($I245)&lt;=0),"",COUNTIFS($A$2:$A245,$A245,$I$2:$I245,"&gt;0"))</f>
        <v/>
      </c>
    </row>
    <row r="246">
      <c r="A246" s="20" t="n"/>
      <c r="B246" s="21">
        <f>IF($A246="","",CHOOSE(WEEKDAY($A246,2),"Lunes","Martes","Miércoles","Jueves","Viernes","Sábado","Domingo"))</f>
        <v/>
      </c>
      <c r="C246" s="17" t="n"/>
      <c r="D246" s="21">
        <f>IF($C246="","",IFERROR(INDEX(Insumos!$B$2:$B$151,MATCH($C246,Insumos!$A$2:$A$151,0)),"Código no cargado"))</f>
        <v/>
      </c>
      <c r="E246" s="21">
        <f>IF($C246="","",IFERROR(INDEX(Insumos!$C$2:$C$151,MATCH($C246,Insumos!$A$2:$A$151,0)),""))</f>
        <v/>
      </c>
      <c r="F246" s="21">
        <f>IF($C246="","",IFERROR(INDEX(Insumos!$D$2:$D$151,MATCH($C246,Insumos!$A$2:$A$151,0)),""))</f>
        <v/>
      </c>
      <c r="G246" s="18" t="n"/>
      <c r="H246" s="19">
        <f>IF(OR($A246="",$C246=""),"",IFERROR(INDEX(Insumos!$M$2:$S$151,MATCH($C246,Insumos!$A$2:$A$151,0),WEEKDAY($A246,2)),""))</f>
        <v/>
      </c>
      <c r="I246" s="19">
        <f>IF(OR($G246="",$H246=""),"",MAX(0,$H246-$G246))</f>
        <v/>
      </c>
      <c r="J246" s="21">
        <f>IF($I246="","",IF($I246=0,"OK",IF($G246&lt;=0,"Sin stock: pedir ya","Pedir o producir")))</f>
        <v/>
      </c>
      <c r="K246" s="17" t="n"/>
      <c r="L246" s="17" t="n"/>
      <c r="M246" s="21">
        <f>IF(OR($A246="",$A246&lt;&gt;'Lista para pedir'!$C$3,N($I246)&lt;=0),"",COUNTIFS($A$2:$A246,$A246,$I$2:$I246,"&gt;0"))</f>
        <v/>
      </c>
    </row>
    <row r="247">
      <c r="A247" s="20" t="n"/>
      <c r="B247" s="21">
        <f>IF($A247="","",CHOOSE(WEEKDAY($A247,2),"Lunes","Martes","Miércoles","Jueves","Viernes","Sábado","Domingo"))</f>
        <v/>
      </c>
      <c r="C247" s="17" t="n"/>
      <c r="D247" s="21">
        <f>IF($C247="","",IFERROR(INDEX(Insumos!$B$2:$B$151,MATCH($C247,Insumos!$A$2:$A$151,0)),"Código no cargado"))</f>
        <v/>
      </c>
      <c r="E247" s="21">
        <f>IF($C247="","",IFERROR(INDEX(Insumos!$C$2:$C$151,MATCH($C247,Insumos!$A$2:$A$151,0)),""))</f>
        <v/>
      </c>
      <c r="F247" s="21">
        <f>IF($C247="","",IFERROR(INDEX(Insumos!$D$2:$D$151,MATCH($C247,Insumos!$A$2:$A$151,0)),""))</f>
        <v/>
      </c>
      <c r="G247" s="18" t="n"/>
      <c r="H247" s="19">
        <f>IF(OR($A247="",$C247=""),"",IFERROR(INDEX(Insumos!$M$2:$S$151,MATCH($C247,Insumos!$A$2:$A$151,0),WEEKDAY($A247,2)),""))</f>
        <v/>
      </c>
      <c r="I247" s="19">
        <f>IF(OR($G247="",$H247=""),"",MAX(0,$H247-$G247))</f>
        <v/>
      </c>
      <c r="J247" s="21">
        <f>IF($I247="","",IF($I247=0,"OK",IF($G247&lt;=0,"Sin stock: pedir ya","Pedir o producir")))</f>
        <v/>
      </c>
      <c r="K247" s="17" t="n"/>
      <c r="L247" s="17" t="n"/>
      <c r="M247" s="21">
        <f>IF(OR($A247="",$A247&lt;&gt;'Lista para pedir'!$C$3,N($I247)&lt;=0),"",COUNTIFS($A$2:$A247,$A247,$I$2:$I247,"&gt;0"))</f>
        <v/>
      </c>
    </row>
    <row r="248">
      <c r="A248" s="20" t="n"/>
      <c r="B248" s="21">
        <f>IF($A248="","",CHOOSE(WEEKDAY($A248,2),"Lunes","Martes","Miércoles","Jueves","Viernes","Sábado","Domingo"))</f>
        <v/>
      </c>
      <c r="C248" s="17" t="n"/>
      <c r="D248" s="21">
        <f>IF($C248="","",IFERROR(INDEX(Insumos!$B$2:$B$151,MATCH($C248,Insumos!$A$2:$A$151,0)),"Código no cargado"))</f>
        <v/>
      </c>
      <c r="E248" s="21">
        <f>IF($C248="","",IFERROR(INDEX(Insumos!$C$2:$C$151,MATCH($C248,Insumos!$A$2:$A$151,0)),""))</f>
        <v/>
      </c>
      <c r="F248" s="21">
        <f>IF($C248="","",IFERROR(INDEX(Insumos!$D$2:$D$151,MATCH($C248,Insumos!$A$2:$A$151,0)),""))</f>
        <v/>
      </c>
      <c r="G248" s="18" t="n"/>
      <c r="H248" s="19">
        <f>IF(OR($A248="",$C248=""),"",IFERROR(INDEX(Insumos!$M$2:$S$151,MATCH($C248,Insumos!$A$2:$A$151,0),WEEKDAY($A248,2)),""))</f>
        <v/>
      </c>
      <c r="I248" s="19">
        <f>IF(OR($G248="",$H248=""),"",MAX(0,$H248-$G248))</f>
        <v/>
      </c>
      <c r="J248" s="21">
        <f>IF($I248="","",IF($I248=0,"OK",IF($G248&lt;=0,"Sin stock: pedir ya","Pedir o producir")))</f>
        <v/>
      </c>
      <c r="K248" s="17" t="n"/>
      <c r="L248" s="17" t="n"/>
      <c r="M248" s="21">
        <f>IF(OR($A248="",$A248&lt;&gt;'Lista para pedir'!$C$3,N($I248)&lt;=0),"",COUNTIFS($A$2:$A248,$A248,$I$2:$I248,"&gt;0"))</f>
        <v/>
      </c>
    </row>
    <row r="249">
      <c r="A249" s="20" t="n"/>
      <c r="B249" s="21">
        <f>IF($A249="","",CHOOSE(WEEKDAY($A249,2),"Lunes","Martes","Miércoles","Jueves","Viernes","Sábado","Domingo"))</f>
        <v/>
      </c>
      <c r="C249" s="17" t="n"/>
      <c r="D249" s="21">
        <f>IF($C249="","",IFERROR(INDEX(Insumos!$B$2:$B$151,MATCH($C249,Insumos!$A$2:$A$151,0)),"Código no cargado"))</f>
        <v/>
      </c>
      <c r="E249" s="21">
        <f>IF($C249="","",IFERROR(INDEX(Insumos!$C$2:$C$151,MATCH($C249,Insumos!$A$2:$A$151,0)),""))</f>
        <v/>
      </c>
      <c r="F249" s="21">
        <f>IF($C249="","",IFERROR(INDEX(Insumos!$D$2:$D$151,MATCH($C249,Insumos!$A$2:$A$151,0)),""))</f>
        <v/>
      </c>
      <c r="G249" s="18" t="n"/>
      <c r="H249" s="19">
        <f>IF(OR($A249="",$C249=""),"",IFERROR(INDEX(Insumos!$M$2:$S$151,MATCH($C249,Insumos!$A$2:$A$151,0),WEEKDAY($A249,2)),""))</f>
        <v/>
      </c>
      <c r="I249" s="19">
        <f>IF(OR($G249="",$H249=""),"",MAX(0,$H249-$G249))</f>
        <v/>
      </c>
      <c r="J249" s="21">
        <f>IF($I249="","",IF($I249=0,"OK",IF($G249&lt;=0,"Sin stock: pedir ya","Pedir o producir")))</f>
        <v/>
      </c>
      <c r="K249" s="17" t="n"/>
      <c r="L249" s="17" t="n"/>
      <c r="M249" s="21">
        <f>IF(OR($A249="",$A249&lt;&gt;'Lista para pedir'!$C$3,N($I249)&lt;=0),"",COUNTIFS($A$2:$A249,$A249,$I$2:$I249,"&gt;0"))</f>
        <v/>
      </c>
    </row>
    <row r="250">
      <c r="A250" s="20" t="n"/>
      <c r="B250" s="21">
        <f>IF($A250="","",CHOOSE(WEEKDAY($A250,2),"Lunes","Martes","Miércoles","Jueves","Viernes","Sábado","Domingo"))</f>
        <v/>
      </c>
      <c r="C250" s="17" t="n"/>
      <c r="D250" s="21">
        <f>IF($C250="","",IFERROR(INDEX(Insumos!$B$2:$B$151,MATCH($C250,Insumos!$A$2:$A$151,0)),"Código no cargado"))</f>
        <v/>
      </c>
      <c r="E250" s="21">
        <f>IF($C250="","",IFERROR(INDEX(Insumos!$C$2:$C$151,MATCH($C250,Insumos!$A$2:$A$151,0)),""))</f>
        <v/>
      </c>
      <c r="F250" s="21">
        <f>IF($C250="","",IFERROR(INDEX(Insumos!$D$2:$D$151,MATCH($C250,Insumos!$A$2:$A$151,0)),""))</f>
        <v/>
      </c>
      <c r="G250" s="18" t="n"/>
      <c r="H250" s="19">
        <f>IF(OR($A250="",$C250=""),"",IFERROR(INDEX(Insumos!$M$2:$S$151,MATCH($C250,Insumos!$A$2:$A$151,0),WEEKDAY($A250,2)),""))</f>
        <v/>
      </c>
      <c r="I250" s="19">
        <f>IF(OR($G250="",$H250=""),"",MAX(0,$H250-$G250))</f>
        <v/>
      </c>
      <c r="J250" s="21">
        <f>IF($I250="","",IF($I250=0,"OK",IF($G250&lt;=0,"Sin stock: pedir ya","Pedir o producir")))</f>
        <v/>
      </c>
      <c r="K250" s="17" t="n"/>
      <c r="L250" s="17" t="n"/>
      <c r="M250" s="21">
        <f>IF(OR($A250="",$A250&lt;&gt;'Lista para pedir'!$C$3,N($I250)&lt;=0),"",COUNTIFS($A$2:$A250,$A250,$I$2:$I250,"&gt;0"))</f>
        <v/>
      </c>
    </row>
    <row r="251">
      <c r="A251" s="20" t="n"/>
      <c r="B251" s="21">
        <f>IF($A251="","",CHOOSE(WEEKDAY($A251,2),"Lunes","Martes","Miércoles","Jueves","Viernes","Sábado","Domingo"))</f>
        <v/>
      </c>
      <c r="C251" s="17" t="n"/>
      <c r="D251" s="21">
        <f>IF($C251="","",IFERROR(INDEX(Insumos!$B$2:$B$151,MATCH($C251,Insumos!$A$2:$A$151,0)),"Código no cargado"))</f>
        <v/>
      </c>
      <c r="E251" s="21">
        <f>IF($C251="","",IFERROR(INDEX(Insumos!$C$2:$C$151,MATCH($C251,Insumos!$A$2:$A$151,0)),""))</f>
        <v/>
      </c>
      <c r="F251" s="21">
        <f>IF($C251="","",IFERROR(INDEX(Insumos!$D$2:$D$151,MATCH($C251,Insumos!$A$2:$A$151,0)),""))</f>
        <v/>
      </c>
      <c r="G251" s="18" t="n"/>
      <c r="H251" s="19">
        <f>IF(OR($A251="",$C251=""),"",IFERROR(INDEX(Insumos!$M$2:$S$151,MATCH($C251,Insumos!$A$2:$A$151,0),WEEKDAY($A251,2)),""))</f>
        <v/>
      </c>
      <c r="I251" s="19">
        <f>IF(OR($G251="",$H251=""),"",MAX(0,$H251-$G251))</f>
        <v/>
      </c>
      <c r="J251" s="21">
        <f>IF($I251="","",IF($I251=0,"OK",IF($G251&lt;=0,"Sin stock: pedir ya","Pedir o producir")))</f>
        <v/>
      </c>
      <c r="K251" s="17" t="n"/>
      <c r="L251" s="17" t="n"/>
      <c r="M251" s="21">
        <f>IF(OR($A251="",$A251&lt;&gt;'Lista para pedir'!$C$3,N($I251)&lt;=0),"",COUNTIFS($A$2:$A251,$A251,$I$2:$I251,"&gt;0"))</f>
        <v/>
      </c>
    </row>
    <row r="252">
      <c r="A252" s="20" t="n"/>
      <c r="B252" s="21">
        <f>IF($A252="","",CHOOSE(WEEKDAY($A252,2),"Lunes","Martes","Miércoles","Jueves","Viernes","Sábado","Domingo"))</f>
        <v/>
      </c>
      <c r="C252" s="17" t="n"/>
      <c r="D252" s="21">
        <f>IF($C252="","",IFERROR(INDEX(Insumos!$B$2:$B$151,MATCH($C252,Insumos!$A$2:$A$151,0)),"Código no cargado"))</f>
        <v/>
      </c>
      <c r="E252" s="21">
        <f>IF($C252="","",IFERROR(INDEX(Insumos!$C$2:$C$151,MATCH($C252,Insumos!$A$2:$A$151,0)),""))</f>
        <v/>
      </c>
      <c r="F252" s="21">
        <f>IF($C252="","",IFERROR(INDEX(Insumos!$D$2:$D$151,MATCH($C252,Insumos!$A$2:$A$151,0)),""))</f>
        <v/>
      </c>
      <c r="G252" s="18" t="n"/>
      <c r="H252" s="19">
        <f>IF(OR($A252="",$C252=""),"",IFERROR(INDEX(Insumos!$M$2:$S$151,MATCH($C252,Insumos!$A$2:$A$151,0),WEEKDAY($A252,2)),""))</f>
        <v/>
      </c>
      <c r="I252" s="19">
        <f>IF(OR($G252="",$H252=""),"",MAX(0,$H252-$G252))</f>
        <v/>
      </c>
      <c r="J252" s="21">
        <f>IF($I252="","",IF($I252=0,"OK",IF($G252&lt;=0,"Sin stock: pedir ya","Pedir o producir")))</f>
        <v/>
      </c>
      <c r="K252" s="17" t="n"/>
      <c r="L252" s="17" t="n"/>
      <c r="M252" s="21">
        <f>IF(OR($A252="",$A252&lt;&gt;'Lista para pedir'!$C$3,N($I252)&lt;=0),"",COUNTIFS($A$2:$A252,$A252,$I$2:$I252,"&gt;0"))</f>
        <v/>
      </c>
    </row>
    <row r="253">
      <c r="A253" s="20" t="n"/>
      <c r="B253" s="21">
        <f>IF($A253="","",CHOOSE(WEEKDAY($A253,2),"Lunes","Martes","Miércoles","Jueves","Viernes","Sábado","Domingo"))</f>
        <v/>
      </c>
      <c r="C253" s="17" t="n"/>
      <c r="D253" s="21">
        <f>IF($C253="","",IFERROR(INDEX(Insumos!$B$2:$B$151,MATCH($C253,Insumos!$A$2:$A$151,0)),"Código no cargado"))</f>
        <v/>
      </c>
      <c r="E253" s="21">
        <f>IF($C253="","",IFERROR(INDEX(Insumos!$C$2:$C$151,MATCH($C253,Insumos!$A$2:$A$151,0)),""))</f>
        <v/>
      </c>
      <c r="F253" s="21">
        <f>IF($C253="","",IFERROR(INDEX(Insumos!$D$2:$D$151,MATCH($C253,Insumos!$A$2:$A$151,0)),""))</f>
        <v/>
      </c>
      <c r="G253" s="18" t="n"/>
      <c r="H253" s="19">
        <f>IF(OR($A253="",$C253=""),"",IFERROR(INDEX(Insumos!$M$2:$S$151,MATCH($C253,Insumos!$A$2:$A$151,0),WEEKDAY($A253,2)),""))</f>
        <v/>
      </c>
      <c r="I253" s="19">
        <f>IF(OR($G253="",$H253=""),"",MAX(0,$H253-$G253))</f>
        <v/>
      </c>
      <c r="J253" s="21">
        <f>IF($I253="","",IF($I253=0,"OK",IF($G253&lt;=0,"Sin stock: pedir ya","Pedir o producir")))</f>
        <v/>
      </c>
      <c r="K253" s="17" t="n"/>
      <c r="L253" s="17" t="n"/>
      <c r="M253" s="21">
        <f>IF(OR($A253="",$A253&lt;&gt;'Lista para pedir'!$C$3,N($I253)&lt;=0),"",COUNTIFS($A$2:$A253,$A253,$I$2:$I253,"&gt;0"))</f>
        <v/>
      </c>
    </row>
    <row r="254">
      <c r="A254" s="20" t="n"/>
      <c r="B254" s="21">
        <f>IF($A254="","",CHOOSE(WEEKDAY($A254,2),"Lunes","Martes","Miércoles","Jueves","Viernes","Sábado","Domingo"))</f>
        <v/>
      </c>
      <c r="C254" s="17" t="n"/>
      <c r="D254" s="21">
        <f>IF($C254="","",IFERROR(INDEX(Insumos!$B$2:$B$151,MATCH($C254,Insumos!$A$2:$A$151,0)),"Código no cargado"))</f>
        <v/>
      </c>
      <c r="E254" s="21">
        <f>IF($C254="","",IFERROR(INDEX(Insumos!$C$2:$C$151,MATCH($C254,Insumos!$A$2:$A$151,0)),""))</f>
        <v/>
      </c>
      <c r="F254" s="21">
        <f>IF($C254="","",IFERROR(INDEX(Insumos!$D$2:$D$151,MATCH($C254,Insumos!$A$2:$A$151,0)),""))</f>
        <v/>
      </c>
      <c r="G254" s="18" t="n"/>
      <c r="H254" s="19">
        <f>IF(OR($A254="",$C254=""),"",IFERROR(INDEX(Insumos!$M$2:$S$151,MATCH($C254,Insumos!$A$2:$A$151,0),WEEKDAY($A254,2)),""))</f>
        <v/>
      </c>
      <c r="I254" s="19">
        <f>IF(OR($G254="",$H254=""),"",MAX(0,$H254-$G254))</f>
        <v/>
      </c>
      <c r="J254" s="21">
        <f>IF($I254="","",IF($I254=0,"OK",IF($G254&lt;=0,"Sin stock: pedir ya","Pedir o producir")))</f>
        <v/>
      </c>
      <c r="K254" s="17" t="n"/>
      <c r="L254" s="17" t="n"/>
      <c r="M254" s="21">
        <f>IF(OR($A254="",$A254&lt;&gt;'Lista para pedir'!$C$3,N($I254)&lt;=0),"",COUNTIFS($A$2:$A254,$A254,$I$2:$I254,"&gt;0"))</f>
        <v/>
      </c>
    </row>
    <row r="255">
      <c r="A255" s="20" t="n"/>
      <c r="B255" s="21">
        <f>IF($A255="","",CHOOSE(WEEKDAY($A255,2),"Lunes","Martes","Miércoles","Jueves","Viernes","Sábado","Domingo"))</f>
        <v/>
      </c>
      <c r="C255" s="17" t="n"/>
      <c r="D255" s="21">
        <f>IF($C255="","",IFERROR(INDEX(Insumos!$B$2:$B$151,MATCH($C255,Insumos!$A$2:$A$151,0)),"Código no cargado"))</f>
        <v/>
      </c>
      <c r="E255" s="21">
        <f>IF($C255="","",IFERROR(INDEX(Insumos!$C$2:$C$151,MATCH($C255,Insumos!$A$2:$A$151,0)),""))</f>
        <v/>
      </c>
      <c r="F255" s="21">
        <f>IF($C255="","",IFERROR(INDEX(Insumos!$D$2:$D$151,MATCH($C255,Insumos!$A$2:$A$151,0)),""))</f>
        <v/>
      </c>
      <c r="G255" s="18" t="n"/>
      <c r="H255" s="19">
        <f>IF(OR($A255="",$C255=""),"",IFERROR(INDEX(Insumos!$M$2:$S$151,MATCH($C255,Insumos!$A$2:$A$151,0),WEEKDAY($A255,2)),""))</f>
        <v/>
      </c>
      <c r="I255" s="19">
        <f>IF(OR($G255="",$H255=""),"",MAX(0,$H255-$G255))</f>
        <v/>
      </c>
      <c r="J255" s="21">
        <f>IF($I255="","",IF($I255=0,"OK",IF($G255&lt;=0,"Sin stock: pedir ya","Pedir o producir")))</f>
        <v/>
      </c>
      <c r="K255" s="17" t="n"/>
      <c r="L255" s="17" t="n"/>
      <c r="M255" s="21">
        <f>IF(OR($A255="",$A255&lt;&gt;'Lista para pedir'!$C$3,N($I255)&lt;=0),"",COUNTIFS($A$2:$A255,$A255,$I$2:$I255,"&gt;0"))</f>
        <v/>
      </c>
    </row>
    <row r="256">
      <c r="A256" s="20" t="n"/>
      <c r="B256" s="21">
        <f>IF($A256="","",CHOOSE(WEEKDAY($A256,2),"Lunes","Martes","Miércoles","Jueves","Viernes","Sábado","Domingo"))</f>
        <v/>
      </c>
      <c r="C256" s="17" t="n"/>
      <c r="D256" s="21">
        <f>IF($C256="","",IFERROR(INDEX(Insumos!$B$2:$B$151,MATCH($C256,Insumos!$A$2:$A$151,0)),"Código no cargado"))</f>
        <v/>
      </c>
      <c r="E256" s="21">
        <f>IF($C256="","",IFERROR(INDEX(Insumos!$C$2:$C$151,MATCH($C256,Insumos!$A$2:$A$151,0)),""))</f>
        <v/>
      </c>
      <c r="F256" s="21">
        <f>IF($C256="","",IFERROR(INDEX(Insumos!$D$2:$D$151,MATCH($C256,Insumos!$A$2:$A$151,0)),""))</f>
        <v/>
      </c>
      <c r="G256" s="18" t="n"/>
      <c r="H256" s="19">
        <f>IF(OR($A256="",$C256=""),"",IFERROR(INDEX(Insumos!$M$2:$S$151,MATCH($C256,Insumos!$A$2:$A$151,0),WEEKDAY($A256,2)),""))</f>
        <v/>
      </c>
      <c r="I256" s="19">
        <f>IF(OR($G256="",$H256=""),"",MAX(0,$H256-$G256))</f>
        <v/>
      </c>
      <c r="J256" s="21">
        <f>IF($I256="","",IF($I256=0,"OK",IF($G256&lt;=0,"Sin stock: pedir ya","Pedir o producir")))</f>
        <v/>
      </c>
      <c r="K256" s="17" t="n"/>
      <c r="L256" s="17" t="n"/>
      <c r="M256" s="21">
        <f>IF(OR($A256="",$A256&lt;&gt;'Lista para pedir'!$C$3,N($I256)&lt;=0),"",COUNTIFS($A$2:$A256,$A256,$I$2:$I256,"&gt;0"))</f>
        <v/>
      </c>
    </row>
    <row r="257">
      <c r="A257" s="20" t="n"/>
      <c r="B257" s="21">
        <f>IF($A257="","",CHOOSE(WEEKDAY($A257,2),"Lunes","Martes","Miércoles","Jueves","Viernes","Sábado","Domingo"))</f>
        <v/>
      </c>
      <c r="C257" s="17" t="n"/>
      <c r="D257" s="21">
        <f>IF($C257="","",IFERROR(INDEX(Insumos!$B$2:$B$151,MATCH($C257,Insumos!$A$2:$A$151,0)),"Código no cargado"))</f>
        <v/>
      </c>
      <c r="E257" s="21">
        <f>IF($C257="","",IFERROR(INDEX(Insumos!$C$2:$C$151,MATCH($C257,Insumos!$A$2:$A$151,0)),""))</f>
        <v/>
      </c>
      <c r="F257" s="21">
        <f>IF($C257="","",IFERROR(INDEX(Insumos!$D$2:$D$151,MATCH($C257,Insumos!$A$2:$A$151,0)),""))</f>
        <v/>
      </c>
      <c r="G257" s="18" t="n"/>
      <c r="H257" s="19">
        <f>IF(OR($A257="",$C257=""),"",IFERROR(INDEX(Insumos!$M$2:$S$151,MATCH($C257,Insumos!$A$2:$A$151,0),WEEKDAY($A257,2)),""))</f>
        <v/>
      </c>
      <c r="I257" s="19">
        <f>IF(OR($G257="",$H257=""),"",MAX(0,$H257-$G257))</f>
        <v/>
      </c>
      <c r="J257" s="21">
        <f>IF($I257="","",IF($I257=0,"OK",IF($G257&lt;=0,"Sin stock: pedir ya","Pedir o producir")))</f>
        <v/>
      </c>
      <c r="K257" s="17" t="n"/>
      <c r="L257" s="17" t="n"/>
      <c r="M257" s="21">
        <f>IF(OR($A257="",$A257&lt;&gt;'Lista para pedir'!$C$3,N($I257)&lt;=0),"",COUNTIFS($A$2:$A257,$A257,$I$2:$I257,"&gt;0"))</f>
        <v/>
      </c>
    </row>
    <row r="258">
      <c r="A258" s="20" t="n"/>
      <c r="B258" s="21">
        <f>IF($A258="","",CHOOSE(WEEKDAY($A258,2),"Lunes","Martes","Miércoles","Jueves","Viernes","Sábado","Domingo"))</f>
        <v/>
      </c>
      <c r="C258" s="17" t="n"/>
      <c r="D258" s="21">
        <f>IF($C258="","",IFERROR(INDEX(Insumos!$B$2:$B$151,MATCH($C258,Insumos!$A$2:$A$151,0)),"Código no cargado"))</f>
        <v/>
      </c>
      <c r="E258" s="21">
        <f>IF($C258="","",IFERROR(INDEX(Insumos!$C$2:$C$151,MATCH($C258,Insumos!$A$2:$A$151,0)),""))</f>
        <v/>
      </c>
      <c r="F258" s="21">
        <f>IF($C258="","",IFERROR(INDEX(Insumos!$D$2:$D$151,MATCH($C258,Insumos!$A$2:$A$151,0)),""))</f>
        <v/>
      </c>
      <c r="G258" s="18" t="n"/>
      <c r="H258" s="19">
        <f>IF(OR($A258="",$C258=""),"",IFERROR(INDEX(Insumos!$M$2:$S$151,MATCH($C258,Insumos!$A$2:$A$151,0),WEEKDAY($A258,2)),""))</f>
        <v/>
      </c>
      <c r="I258" s="19">
        <f>IF(OR($G258="",$H258=""),"",MAX(0,$H258-$G258))</f>
        <v/>
      </c>
      <c r="J258" s="21">
        <f>IF($I258="","",IF($I258=0,"OK",IF($G258&lt;=0,"Sin stock: pedir ya","Pedir o producir")))</f>
        <v/>
      </c>
      <c r="K258" s="17" t="n"/>
      <c r="L258" s="17" t="n"/>
      <c r="M258" s="21">
        <f>IF(OR($A258="",$A258&lt;&gt;'Lista para pedir'!$C$3,N($I258)&lt;=0),"",COUNTIFS($A$2:$A258,$A258,$I$2:$I258,"&gt;0"))</f>
        <v/>
      </c>
    </row>
    <row r="259">
      <c r="A259" s="20" t="n"/>
      <c r="B259" s="21">
        <f>IF($A259="","",CHOOSE(WEEKDAY($A259,2),"Lunes","Martes","Miércoles","Jueves","Viernes","Sábado","Domingo"))</f>
        <v/>
      </c>
      <c r="C259" s="17" t="n"/>
      <c r="D259" s="21">
        <f>IF($C259="","",IFERROR(INDEX(Insumos!$B$2:$B$151,MATCH($C259,Insumos!$A$2:$A$151,0)),"Código no cargado"))</f>
        <v/>
      </c>
      <c r="E259" s="21">
        <f>IF($C259="","",IFERROR(INDEX(Insumos!$C$2:$C$151,MATCH($C259,Insumos!$A$2:$A$151,0)),""))</f>
        <v/>
      </c>
      <c r="F259" s="21">
        <f>IF($C259="","",IFERROR(INDEX(Insumos!$D$2:$D$151,MATCH($C259,Insumos!$A$2:$A$151,0)),""))</f>
        <v/>
      </c>
      <c r="G259" s="18" t="n"/>
      <c r="H259" s="19">
        <f>IF(OR($A259="",$C259=""),"",IFERROR(INDEX(Insumos!$M$2:$S$151,MATCH($C259,Insumos!$A$2:$A$151,0),WEEKDAY($A259,2)),""))</f>
        <v/>
      </c>
      <c r="I259" s="19">
        <f>IF(OR($G259="",$H259=""),"",MAX(0,$H259-$G259))</f>
        <v/>
      </c>
      <c r="J259" s="21">
        <f>IF($I259="","",IF($I259=0,"OK",IF($G259&lt;=0,"Sin stock: pedir ya","Pedir o producir")))</f>
        <v/>
      </c>
      <c r="K259" s="17" t="n"/>
      <c r="L259" s="17" t="n"/>
      <c r="M259" s="21">
        <f>IF(OR($A259="",$A259&lt;&gt;'Lista para pedir'!$C$3,N($I259)&lt;=0),"",COUNTIFS($A$2:$A259,$A259,$I$2:$I259,"&gt;0"))</f>
        <v/>
      </c>
    </row>
    <row r="260">
      <c r="A260" s="20" t="n"/>
      <c r="B260" s="21">
        <f>IF($A260="","",CHOOSE(WEEKDAY($A260,2),"Lunes","Martes","Miércoles","Jueves","Viernes","Sábado","Domingo"))</f>
        <v/>
      </c>
      <c r="C260" s="17" t="n"/>
      <c r="D260" s="21">
        <f>IF($C260="","",IFERROR(INDEX(Insumos!$B$2:$B$151,MATCH($C260,Insumos!$A$2:$A$151,0)),"Código no cargado"))</f>
        <v/>
      </c>
      <c r="E260" s="21">
        <f>IF($C260="","",IFERROR(INDEX(Insumos!$C$2:$C$151,MATCH($C260,Insumos!$A$2:$A$151,0)),""))</f>
        <v/>
      </c>
      <c r="F260" s="21">
        <f>IF($C260="","",IFERROR(INDEX(Insumos!$D$2:$D$151,MATCH($C260,Insumos!$A$2:$A$151,0)),""))</f>
        <v/>
      </c>
      <c r="G260" s="18" t="n"/>
      <c r="H260" s="19">
        <f>IF(OR($A260="",$C260=""),"",IFERROR(INDEX(Insumos!$M$2:$S$151,MATCH($C260,Insumos!$A$2:$A$151,0),WEEKDAY($A260,2)),""))</f>
        <v/>
      </c>
      <c r="I260" s="19">
        <f>IF(OR($G260="",$H260=""),"",MAX(0,$H260-$G260))</f>
        <v/>
      </c>
      <c r="J260" s="21">
        <f>IF($I260="","",IF($I260=0,"OK",IF($G260&lt;=0,"Sin stock: pedir ya","Pedir o producir")))</f>
        <v/>
      </c>
      <c r="K260" s="17" t="n"/>
      <c r="L260" s="17" t="n"/>
      <c r="M260" s="21">
        <f>IF(OR($A260="",$A260&lt;&gt;'Lista para pedir'!$C$3,N($I260)&lt;=0),"",COUNTIFS($A$2:$A260,$A260,$I$2:$I260,"&gt;0"))</f>
        <v/>
      </c>
    </row>
    <row r="261">
      <c r="A261" s="20" t="n"/>
      <c r="B261" s="21">
        <f>IF($A261="","",CHOOSE(WEEKDAY($A261,2),"Lunes","Martes","Miércoles","Jueves","Viernes","Sábado","Domingo"))</f>
        <v/>
      </c>
      <c r="C261" s="17" t="n"/>
      <c r="D261" s="21">
        <f>IF($C261="","",IFERROR(INDEX(Insumos!$B$2:$B$151,MATCH($C261,Insumos!$A$2:$A$151,0)),"Código no cargado"))</f>
        <v/>
      </c>
      <c r="E261" s="21">
        <f>IF($C261="","",IFERROR(INDEX(Insumos!$C$2:$C$151,MATCH($C261,Insumos!$A$2:$A$151,0)),""))</f>
        <v/>
      </c>
      <c r="F261" s="21">
        <f>IF($C261="","",IFERROR(INDEX(Insumos!$D$2:$D$151,MATCH($C261,Insumos!$A$2:$A$151,0)),""))</f>
        <v/>
      </c>
      <c r="G261" s="18" t="n"/>
      <c r="H261" s="19">
        <f>IF(OR($A261="",$C261=""),"",IFERROR(INDEX(Insumos!$M$2:$S$151,MATCH($C261,Insumos!$A$2:$A$151,0),WEEKDAY($A261,2)),""))</f>
        <v/>
      </c>
      <c r="I261" s="19">
        <f>IF(OR($G261="",$H261=""),"",MAX(0,$H261-$G261))</f>
        <v/>
      </c>
      <c r="J261" s="21">
        <f>IF($I261="","",IF($I261=0,"OK",IF($G261&lt;=0,"Sin stock: pedir ya","Pedir o producir")))</f>
        <v/>
      </c>
      <c r="K261" s="17" t="n"/>
      <c r="L261" s="17" t="n"/>
      <c r="M261" s="21">
        <f>IF(OR($A261="",$A261&lt;&gt;'Lista para pedir'!$C$3,N($I261)&lt;=0),"",COUNTIFS($A$2:$A261,$A261,$I$2:$I261,"&gt;0"))</f>
        <v/>
      </c>
    </row>
    <row r="262">
      <c r="A262" s="20" t="n"/>
      <c r="B262" s="21">
        <f>IF($A262="","",CHOOSE(WEEKDAY($A262,2),"Lunes","Martes","Miércoles","Jueves","Viernes","Sábado","Domingo"))</f>
        <v/>
      </c>
      <c r="C262" s="17" t="n"/>
      <c r="D262" s="21">
        <f>IF($C262="","",IFERROR(INDEX(Insumos!$B$2:$B$151,MATCH($C262,Insumos!$A$2:$A$151,0)),"Código no cargado"))</f>
        <v/>
      </c>
      <c r="E262" s="21">
        <f>IF($C262="","",IFERROR(INDEX(Insumos!$C$2:$C$151,MATCH($C262,Insumos!$A$2:$A$151,0)),""))</f>
        <v/>
      </c>
      <c r="F262" s="21">
        <f>IF($C262="","",IFERROR(INDEX(Insumos!$D$2:$D$151,MATCH($C262,Insumos!$A$2:$A$151,0)),""))</f>
        <v/>
      </c>
      <c r="G262" s="18" t="n"/>
      <c r="H262" s="19">
        <f>IF(OR($A262="",$C262=""),"",IFERROR(INDEX(Insumos!$M$2:$S$151,MATCH($C262,Insumos!$A$2:$A$151,0),WEEKDAY($A262,2)),""))</f>
        <v/>
      </c>
      <c r="I262" s="19">
        <f>IF(OR($G262="",$H262=""),"",MAX(0,$H262-$G262))</f>
        <v/>
      </c>
      <c r="J262" s="21">
        <f>IF($I262="","",IF($I262=0,"OK",IF($G262&lt;=0,"Sin stock: pedir ya","Pedir o producir")))</f>
        <v/>
      </c>
      <c r="K262" s="17" t="n"/>
      <c r="L262" s="17" t="n"/>
      <c r="M262" s="21">
        <f>IF(OR($A262="",$A262&lt;&gt;'Lista para pedir'!$C$3,N($I262)&lt;=0),"",COUNTIFS($A$2:$A262,$A262,$I$2:$I262,"&gt;0"))</f>
        <v/>
      </c>
    </row>
    <row r="263">
      <c r="A263" s="20" t="n"/>
      <c r="B263" s="21">
        <f>IF($A263="","",CHOOSE(WEEKDAY($A263,2),"Lunes","Martes","Miércoles","Jueves","Viernes","Sábado","Domingo"))</f>
        <v/>
      </c>
      <c r="C263" s="17" t="n"/>
      <c r="D263" s="21">
        <f>IF($C263="","",IFERROR(INDEX(Insumos!$B$2:$B$151,MATCH($C263,Insumos!$A$2:$A$151,0)),"Código no cargado"))</f>
        <v/>
      </c>
      <c r="E263" s="21">
        <f>IF($C263="","",IFERROR(INDEX(Insumos!$C$2:$C$151,MATCH($C263,Insumos!$A$2:$A$151,0)),""))</f>
        <v/>
      </c>
      <c r="F263" s="21">
        <f>IF($C263="","",IFERROR(INDEX(Insumos!$D$2:$D$151,MATCH($C263,Insumos!$A$2:$A$151,0)),""))</f>
        <v/>
      </c>
      <c r="G263" s="18" t="n"/>
      <c r="H263" s="19">
        <f>IF(OR($A263="",$C263=""),"",IFERROR(INDEX(Insumos!$M$2:$S$151,MATCH($C263,Insumos!$A$2:$A$151,0),WEEKDAY($A263,2)),""))</f>
        <v/>
      </c>
      <c r="I263" s="19">
        <f>IF(OR($G263="",$H263=""),"",MAX(0,$H263-$G263))</f>
        <v/>
      </c>
      <c r="J263" s="21">
        <f>IF($I263="","",IF($I263=0,"OK",IF($G263&lt;=0,"Sin stock: pedir ya","Pedir o producir")))</f>
        <v/>
      </c>
      <c r="K263" s="17" t="n"/>
      <c r="L263" s="17" t="n"/>
      <c r="M263" s="21">
        <f>IF(OR($A263="",$A263&lt;&gt;'Lista para pedir'!$C$3,N($I263)&lt;=0),"",COUNTIFS($A$2:$A263,$A263,$I$2:$I263,"&gt;0"))</f>
        <v/>
      </c>
    </row>
    <row r="264">
      <c r="A264" s="20" t="n"/>
      <c r="B264" s="21">
        <f>IF($A264="","",CHOOSE(WEEKDAY($A264,2),"Lunes","Martes","Miércoles","Jueves","Viernes","Sábado","Domingo"))</f>
        <v/>
      </c>
      <c r="C264" s="17" t="n"/>
      <c r="D264" s="21">
        <f>IF($C264="","",IFERROR(INDEX(Insumos!$B$2:$B$151,MATCH($C264,Insumos!$A$2:$A$151,0)),"Código no cargado"))</f>
        <v/>
      </c>
      <c r="E264" s="21">
        <f>IF($C264="","",IFERROR(INDEX(Insumos!$C$2:$C$151,MATCH($C264,Insumos!$A$2:$A$151,0)),""))</f>
        <v/>
      </c>
      <c r="F264" s="21">
        <f>IF($C264="","",IFERROR(INDEX(Insumos!$D$2:$D$151,MATCH($C264,Insumos!$A$2:$A$151,0)),""))</f>
        <v/>
      </c>
      <c r="G264" s="18" t="n"/>
      <c r="H264" s="19">
        <f>IF(OR($A264="",$C264=""),"",IFERROR(INDEX(Insumos!$M$2:$S$151,MATCH($C264,Insumos!$A$2:$A$151,0),WEEKDAY($A264,2)),""))</f>
        <v/>
      </c>
      <c r="I264" s="19">
        <f>IF(OR($G264="",$H264=""),"",MAX(0,$H264-$G264))</f>
        <v/>
      </c>
      <c r="J264" s="21">
        <f>IF($I264="","",IF($I264=0,"OK",IF($G264&lt;=0,"Sin stock: pedir ya","Pedir o producir")))</f>
        <v/>
      </c>
      <c r="K264" s="17" t="n"/>
      <c r="L264" s="17" t="n"/>
      <c r="M264" s="21">
        <f>IF(OR($A264="",$A264&lt;&gt;'Lista para pedir'!$C$3,N($I264)&lt;=0),"",COUNTIFS($A$2:$A264,$A264,$I$2:$I264,"&gt;0"))</f>
        <v/>
      </c>
    </row>
    <row r="265">
      <c r="A265" s="20" t="n"/>
      <c r="B265" s="21">
        <f>IF($A265="","",CHOOSE(WEEKDAY($A265,2),"Lunes","Martes","Miércoles","Jueves","Viernes","Sábado","Domingo"))</f>
        <v/>
      </c>
      <c r="C265" s="17" t="n"/>
      <c r="D265" s="21">
        <f>IF($C265="","",IFERROR(INDEX(Insumos!$B$2:$B$151,MATCH($C265,Insumos!$A$2:$A$151,0)),"Código no cargado"))</f>
        <v/>
      </c>
      <c r="E265" s="21">
        <f>IF($C265="","",IFERROR(INDEX(Insumos!$C$2:$C$151,MATCH($C265,Insumos!$A$2:$A$151,0)),""))</f>
        <v/>
      </c>
      <c r="F265" s="21">
        <f>IF($C265="","",IFERROR(INDEX(Insumos!$D$2:$D$151,MATCH($C265,Insumos!$A$2:$A$151,0)),""))</f>
        <v/>
      </c>
      <c r="G265" s="18" t="n"/>
      <c r="H265" s="19">
        <f>IF(OR($A265="",$C265=""),"",IFERROR(INDEX(Insumos!$M$2:$S$151,MATCH($C265,Insumos!$A$2:$A$151,0),WEEKDAY($A265,2)),""))</f>
        <v/>
      </c>
      <c r="I265" s="19">
        <f>IF(OR($G265="",$H265=""),"",MAX(0,$H265-$G265))</f>
        <v/>
      </c>
      <c r="J265" s="21">
        <f>IF($I265="","",IF($I265=0,"OK",IF($G265&lt;=0,"Sin stock: pedir ya","Pedir o producir")))</f>
        <v/>
      </c>
      <c r="K265" s="17" t="n"/>
      <c r="L265" s="17" t="n"/>
      <c r="M265" s="21">
        <f>IF(OR($A265="",$A265&lt;&gt;'Lista para pedir'!$C$3,N($I265)&lt;=0),"",COUNTIFS($A$2:$A265,$A265,$I$2:$I265,"&gt;0"))</f>
        <v/>
      </c>
    </row>
    <row r="266">
      <c r="A266" s="20" t="n"/>
      <c r="B266" s="21">
        <f>IF($A266="","",CHOOSE(WEEKDAY($A266,2),"Lunes","Martes","Miércoles","Jueves","Viernes","Sábado","Domingo"))</f>
        <v/>
      </c>
      <c r="C266" s="17" t="n"/>
      <c r="D266" s="21">
        <f>IF($C266="","",IFERROR(INDEX(Insumos!$B$2:$B$151,MATCH($C266,Insumos!$A$2:$A$151,0)),"Código no cargado"))</f>
        <v/>
      </c>
      <c r="E266" s="21">
        <f>IF($C266="","",IFERROR(INDEX(Insumos!$C$2:$C$151,MATCH($C266,Insumos!$A$2:$A$151,0)),""))</f>
        <v/>
      </c>
      <c r="F266" s="21">
        <f>IF($C266="","",IFERROR(INDEX(Insumos!$D$2:$D$151,MATCH($C266,Insumos!$A$2:$A$151,0)),""))</f>
        <v/>
      </c>
      <c r="G266" s="18" t="n"/>
      <c r="H266" s="19">
        <f>IF(OR($A266="",$C266=""),"",IFERROR(INDEX(Insumos!$M$2:$S$151,MATCH($C266,Insumos!$A$2:$A$151,0),WEEKDAY($A266,2)),""))</f>
        <v/>
      </c>
      <c r="I266" s="19">
        <f>IF(OR($G266="",$H266=""),"",MAX(0,$H266-$G266))</f>
        <v/>
      </c>
      <c r="J266" s="21">
        <f>IF($I266="","",IF($I266=0,"OK",IF($G266&lt;=0,"Sin stock: pedir ya","Pedir o producir")))</f>
        <v/>
      </c>
      <c r="K266" s="17" t="n"/>
      <c r="L266" s="17" t="n"/>
      <c r="M266" s="21">
        <f>IF(OR($A266="",$A266&lt;&gt;'Lista para pedir'!$C$3,N($I266)&lt;=0),"",COUNTIFS($A$2:$A266,$A266,$I$2:$I266,"&gt;0"))</f>
        <v/>
      </c>
    </row>
    <row r="267">
      <c r="A267" s="20" t="n"/>
      <c r="B267" s="21">
        <f>IF($A267="","",CHOOSE(WEEKDAY($A267,2),"Lunes","Martes","Miércoles","Jueves","Viernes","Sábado","Domingo"))</f>
        <v/>
      </c>
      <c r="C267" s="17" t="n"/>
      <c r="D267" s="21">
        <f>IF($C267="","",IFERROR(INDEX(Insumos!$B$2:$B$151,MATCH($C267,Insumos!$A$2:$A$151,0)),"Código no cargado"))</f>
        <v/>
      </c>
      <c r="E267" s="21">
        <f>IF($C267="","",IFERROR(INDEX(Insumos!$C$2:$C$151,MATCH($C267,Insumos!$A$2:$A$151,0)),""))</f>
        <v/>
      </c>
      <c r="F267" s="21">
        <f>IF($C267="","",IFERROR(INDEX(Insumos!$D$2:$D$151,MATCH($C267,Insumos!$A$2:$A$151,0)),""))</f>
        <v/>
      </c>
      <c r="G267" s="18" t="n"/>
      <c r="H267" s="19">
        <f>IF(OR($A267="",$C267=""),"",IFERROR(INDEX(Insumos!$M$2:$S$151,MATCH($C267,Insumos!$A$2:$A$151,0),WEEKDAY($A267,2)),""))</f>
        <v/>
      </c>
      <c r="I267" s="19">
        <f>IF(OR($G267="",$H267=""),"",MAX(0,$H267-$G267))</f>
        <v/>
      </c>
      <c r="J267" s="21">
        <f>IF($I267="","",IF($I267=0,"OK",IF($G267&lt;=0,"Sin stock: pedir ya","Pedir o producir")))</f>
        <v/>
      </c>
      <c r="K267" s="17" t="n"/>
      <c r="L267" s="17" t="n"/>
      <c r="M267" s="21">
        <f>IF(OR($A267="",$A267&lt;&gt;'Lista para pedir'!$C$3,N($I267)&lt;=0),"",COUNTIFS($A$2:$A267,$A267,$I$2:$I267,"&gt;0"))</f>
        <v/>
      </c>
    </row>
    <row r="268">
      <c r="A268" s="20" t="n"/>
      <c r="B268" s="21">
        <f>IF($A268="","",CHOOSE(WEEKDAY($A268,2),"Lunes","Martes","Miércoles","Jueves","Viernes","Sábado","Domingo"))</f>
        <v/>
      </c>
      <c r="C268" s="17" t="n"/>
      <c r="D268" s="21">
        <f>IF($C268="","",IFERROR(INDEX(Insumos!$B$2:$B$151,MATCH($C268,Insumos!$A$2:$A$151,0)),"Código no cargado"))</f>
        <v/>
      </c>
      <c r="E268" s="21">
        <f>IF($C268="","",IFERROR(INDEX(Insumos!$C$2:$C$151,MATCH($C268,Insumos!$A$2:$A$151,0)),""))</f>
        <v/>
      </c>
      <c r="F268" s="21">
        <f>IF($C268="","",IFERROR(INDEX(Insumos!$D$2:$D$151,MATCH($C268,Insumos!$A$2:$A$151,0)),""))</f>
        <v/>
      </c>
      <c r="G268" s="18" t="n"/>
      <c r="H268" s="19">
        <f>IF(OR($A268="",$C268=""),"",IFERROR(INDEX(Insumos!$M$2:$S$151,MATCH($C268,Insumos!$A$2:$A$151,0),WEEKDAY($A268,2)),""))</f>
        <v/>
      </c>
      <c r="I268" s="19">
        <f>IF(OR($G268="",$H268=""),"",MAX(0,$H268-$G268))</f>
        <v/>
      </c>
      <c r="J268" s="21">
        <f>IF($I268="","",IF($I268=0,"OK",IF($G268&lt;=0,"Sin stock: pedir ya","Pedir o producir")))</f>
        <v/>
      </c>
      <c r="K268" s="17" t="n"/>
      <c r="L268" s="17" t="n"/>
      <c r="M268" s="21">
        <f>IF(OR($A268="",$A268&lt;&gt;'Lista para pedir'!$C$3,N($I268)&lt;=0),"",COUNTIFS($A$2:$A268,$A268,$I$2:$I268,"&gt;0"))</f>
        <v/>
      </c>
    </row>
    <row r="269">
      <c r="A269" s="20" t="n"/>
      <c r="B269" s="21">
        <f>IF($A269="","",CHOOSE(WEEKDAY($A269,2),"Lunes","Martes","Miércoles","Jueves","Viernes","Sábado","Domingo"))</f>
        <v/>
      </c>
      <c r="C269" s="17" t="n"/>
      <c r="D269" s="21">
        <f>IF($C269="","",IFERROR(INDEX(Insumos!$B$2:$B$151,MATCH($C269,Insumos!$A$2:$A$151,0)),"Código no cargado"))</f>
        <v/>
      </c>
      <c r="E269" s="21">
        <f>IF($C269="","",IFERROR(INDEX(Insumos!$C$2:$C$151,MATCH($C269,Insumos!$A$2:$A$151,0)),""))</f>
        <v/>
      </c>
      <c r="F269" s="21">
        <f>IF($C269="","",IFERROR(INDEX(Insumos!$D$2:$D$151,MATCH($C269,Insumos!$A$2:$A$151,0)),""))</f>
        <v/>
      </c>
      <c r="G269" s="18" t="n"/>
      <c r="H269" s="19">
        <f>IF(OR($A269="",$C269=""),"",IFERROR(INDEX(Insumos!$M$2:$S$151,MATCH($C269,Insumos!$A$2:$A$151,0),WEEKDAY($A269,2)),""))</f>
        <v/>
      </c>
      <c r="I269" s="19">
        <f>IF(OR($G269="",$H269=""),"",MAX(0,$H269-$G269))</f>
        <v/>
      </c>
      <c r="J269" s="21">
        <f>IF($I269="","",IF($I269=0,"OK",IF($G269&lt;=0,"Sin stock: pedir ya","Pedir o producir")))</f>
        <v/>
      </c>
      <c r="K269" s="17" t="n"/>
      <c r="L269" s="17" t="n"/>
      <c r="M269" s="21">
        <f>IF(OR($A269="",$A269&lt;&gt;'Lista para pedir'!$C$3,N($I269)&lt;=0),"",COUNTIFS($A$2:$A269,$A269,$I$2:$I269,"&gt;0"))</f>
        <v/>
      </c>
    </row>
    <row r="270">
      <c r="A270" s="20" t="n"/>
      <c r="B270" s="21">
        <f>IF($A270="","",CHOOSE(WEEKDAY($A270,2),"Lunes","Martes","Miércoles","Jueves","Viernes","Sábado","Domingo"))</f>
        <v/>
      </c>
      <c r="C270" s="17" t="n"/>
      <c r="D270" s="21">
        <f>IF($C270="","",IFERROR(INDEX(Insumos!$B$2:$B$151,MATCH($C270,Insumos!$A$2:$A$151,0)),"Código no cargado"))</f>
        <v/>
      </c>
      <c r="E270" s="21">
        <f>IF($C270="","",IFERROR(INDEX(Insumos!$C$2:$C$151,MATCH($C270,Insumos!$A$2:$A$151,0)),""))</f>
        <v/>
      </c>
      <c r="F270" s="21">
        <f>IF($C270="","",IFERROR(INDEX(Insumos!$D$2:$D$151,MATCH($C270,Insumos!$A$2:$A$151,0)),""))</f>
        <v/>
      </c>
      <c r="G270" s="18" t="n"/>
      <c r="H270" s="19">
        <f>IF(OR($A270="",$C270=""),"",IFERROR(INDEX(Insumos!$M$2:$S$151,MATCH($C270,Insumos!$A$2:$A$151,0),WEEKDAY($A270,2)),""))</f>
        <v/>
      </c>
      <c r="I270" s="19">
        <f>IF(OR($G270="",$H270=""),"",MAX(0,$H270-$G270))</f>
        <v/>
      </c>
      <c r="J270" s="21">
        <f>IF($I270="","",IF($I270=0,"OK",IF($G270&lt;=0,"Sin stock: pedir ya","Pedir o producir")))</f>
        <v/>
      </c>
      <c r="K270" s="17" t="n"/>
      <c r="L270" s="17" t="n"/>
      <c r="M270" s="21">
        <f>IF(OR($A270="",$A270&lt;&gt;'Lista para pedir'!$C$3,N($I270)&lt;=0),"",COUNTIFS($A$2:$A270,$A270,$I$2:$I270,"&gt;0"))</f>
        <v/>
      </c>
    </row>
    <row r="271">
      <c r="A271" s="20" t="n"/>
      <c r="B271" s="21">
        <f>IF($A271="","",CHOOSE(WEEKDAY($A271,2),"Lunes","Martes","Miércoles","Jueves","Viernes","Sábado","Domingo"))</f>
        <v/>
      </c>
      <c r="C271" s="17" t="n"/>
      <c r="D271" s="21">
        <f>IF($C271="","",IFERROR(INDEX(Insumos!$B$2:$B$151,MATCH($C271,Insumos!$A$2:$A$151,0)),"Código no cargado"))</f>
        <v/>
      </c>
      <c r="E271" s="21">
        <f>IF($C271="","",IFERROR(INDEX(Insumos!$C$2:$C$151,MATCH($C271,Insumos!$A$2:$A$151,0)),""))</f>
        <v/>
      </c>
      <c r="F271" s="21">
        <f>IF($C271="","",IFERROR(INDEX(Insumos!$D$2:$D$151,MATCH($C271,Insumos!$A$2:$A$151,0)),""))</f>
        <v/>
      </c>
      <c r="G271" s="18" t="n"/>
      <c r="H271" s="19">
        <f>IF(OR($A271="",$C271=""),"",IFERROR(INDEX(Insumos!$M$2:$S$151,MATCH($C271,Insumos!$A$2:$A$151,0),WEEKDAY($A271,2)),""))</f>
        <v/>
      </c>
      <c r="I271" s="19">
        <f>IF(OR($G271="",$H271=""),"",MAX(0,$H271-$G271))</f>
        <v/>
      </c>
      <c r="J271" s="21">
        <f>IF($I271="","",IF($I271=0,"OK",IF($G271&lt;=0,"Sin stock: pedir ya","Pedir o producir")))</f>
        <v/>
      </c>
      <c r="K271" s="17" t="n"/>
      <c r="L271" s="17" t="n"/>
      <c r="M271" s="21">
        <f>IF(OR($A271="",$A271&lt;&gt;'Lista para pedir'!$C$3,N($I271)&lt;=0),"",COUNTIFS($A$2:$A271,$A271,$I$2:$I271,"&gt;0"))</f>
        <v/>
      </c>
    </row>
    <row r="272">
      <c r="A272" s="20" t="n"/>
      <c r="B272" s="21">
        <f>IF($A272="","",CHOOSE(WEEKDAY($A272,2),"Lunes","Martes","Miércoles","Jueves","Viernes","Sábado","Domingo"))</f>
        <v/>
      </c>
      <c r="C272" s="17" t="n"/>
      <c r="D272" s="21">
        <f>IF($C272="","",IFERROR(INDEX(Insumos!$B$2:$B$151,MATCH($C272,Insumos!$A$2:$A$151,0)),"Código no cargado"))</f>
        <v/>
      </c>
      <c r="E272" s="21">
        <f>IF($C272="","",IFERROR(INDEX(Insumos!$C$2:$C$151,MATCH($C272,Insumos!$A$2:$A$151,0)),""))</f>
        <v/>
      </c>
      <c r="F272" s="21">
        <f>IF($C272="","",IFERROR(INDEX(Insumos!$D$2:$D$151,MATCH($C272,Insumos!$A$2:$A$151,0)),""))</f>
        <v/>
      </c>
      <c r="G272" s="18" t="n"/>
      <c r="H272" s="19">
        <f>IF(OR($A272="",$C272=""),"",IFERROR(INDEX(Insumos!$M$2:$S$151,MATCH($C272,Insumos!$A$2:$A$151,0),WEEKDAY($A272,2)),""))</f>
        <v/>
      </c>
      <c r="I272" s="19">
        <f>IF(OR($G272="",$H272=""),"",MAX(0,$H272-$G272))</f>
        <v/>
      </c>
      <c r="J272" s="21">
        <f>IF($I272="","",IF($I272=0,"OK",IF($G272&lt;=0,"Sin stock: pedir ya","Pedir o producir")))</f>
        <v/>
      </c>
      <c r="K272" s="17" t="n"/>
      <c r="L272" s="17" t="n"/>
      <c r="M272" s="21">
        <f>IF(OR($A272="",$A272&lt;&gt;'Lista para pedir'!$C$3,N($I272)&lt;=0),"",COUNTIFS($A$2:$A272,$A272,$I$2:$I272,"&gt;0"))</f>
        <v/>
      </c>
    </row>
    <row r="273">
      <c r="A273" s="20" t="n"/>
      <c r="B273" s="21">
        <f>IF($A273="","",CHOOSE(WEEKDAY($A273,2),"Lunes","Martes","Miércoles","Jueves","Viernes","Sábado","Domingo"))</f>
        <v/>
      </c>
      <c r="C273" s="17" t="n"/>
      <c r="D273" s="21">
        <f>IF($C273="","",IFERROR(INDEX(Insumos!$B$2:$B$151,MATCH($C273,Insumos!$A$2:$A$151,0)),"Código no cargado"))</f>
        <v/>
      </c>
      <c r="E273" s="21">
        <f>IF($C273="","",IFERROR(INDEX(Insumos!$C$2:$C$151,MATCH($C273,Insumos!$A$2:$A$151,0)),""))</f>
        <v/>
      </c>
      <c r="F273" s="21">
        <f>IF($C273="","",IFERROR(INDEX(Insumos!$D$2:$D$151,MATCH($C273,Insumos!$A$2:$A$151,0)),""))</f>
        <v/>
      </c>
      <c r="G273" s="18" t="n"/>
      <c r="H273" s="19">
        <f>IF(OR($A273="",$C273=""),"",IFERROR(INDEX(Insumos!$M$2:$S$151,MATCH($C273,Insumos!$A$2:$A$151,0),WEEKDAY($A273,2)),""))</f>
        <v/>
      </c>
      <c r="I273" s="19">
        <f>IF(OR($G273="",$H273=""),"",MAX(0,$H273-$G273))</f>
        <v/>
      </c>
      <c r="J273" s="21">
        <f>IF($I273="","",IF($I273=0,"OK",IF($G273&lt;=0,"Sin stock: pedir ya","Pedir o producir")))</f>
        <v/>
      </c>
      <c r="K273" s="17" t="n"/>
      <c r="L273" s="17" t="n"/>
      <c r="M273" s="21">
        <f>IF(OR($A273="",$A273&lt;&gt;'Lista para pedir'!$C$3,N($I273)&lt;=0),"",COUNTIFS($A$2:$A273,$A273,$I$2:$I273,"&gt;0"))</f>
        <v/>
      </c>
    </row>
    <row r="274">
      <c r="A274" s="20" t="n"/>
      <c r="B274" s="21">
        <f>IF($A274="","",CHOOSE(WEEKDAY($A274,2),"Lunes","Martes","Miércoles","Jueves","Viernes","Sábado","Domingo"))</f>
        <v/>
      </c>
      <c r="C274" s="17" t="n"/>
      <c r="D274" s="21">
        <f>IF($C274="","",IFERROR(INDEX(Insumos!$B$2:$B$151,MATCH($C274,Insumos!$A$2:$A$151,0)),"Código no cargado"))</f>
        <v/>
      </c>
      <c r="E274" s="21">
        <f>IF($C274="","",IFERROR(INDEX(Insumos!$C$2:$C$151,MATCH($C274,Insumos!$A$2:$A$151,0)),""))</f>
        <v/>
      </c>
      <c r="F274" s="21">
        <f>IF($C274="","",IFERROR(INDEX(Insumos!$D$2:$D$151,MATCH($C274,Insumos!$A$2:$A$151,0)),""))</f>
        <v/>
      </c>
      <c r="G274" s="18" t="n"/>
      <c r="H274" s="19">
        <f>IF(OR($A274="",$C274=""),"",IFERROR(INDEX(Insumos!$M$2:$S$151,MATCH($C274,Insumos!$A$2:$A$151,0),WEEKDAY($A274,2)),""))</f>
        <v/>
      </c>
      <c r="I274" s="19">
        <f>IF(OR($G274="",$H274=""),"",MAX(0,$H274-$G274))</f>
        <v/>
      </c>
      <c r="J274" s="21">
        <f>IF($I274="","",IF($I274=0,"OK",IF($G274&lt;=0,"Sin stock: pedir ya","Pedir o producir")))</f>
        <v/>
      </c>
      <c r="K274" s="17" t="n"/>
      <c r="L274" s="17" t="n"/>
      <c r="M274" s="21">
        <f>IF(OR($A274="",$A274&lt;&gt;'Lista para pedir'!$C$3,N($I274)&lt;=0),"",COUNTIFS($A$2:$A274,$A274,$I$2:$I274,"&gt;0"))</f>
        <v/>
      </c>
    </row>
    <row r="275">
      <c r="A275" s="20" t="n"/>
      <c r="B275" s="21">
        <f>IF($A275="","",CHOOSE(WEEKDAY($A275,2),"Lunes","Martes","Miércoles","Jueves","Viernes","Sábado","Domingo"))</f>
        <v/>
      </c>
      <c r="C275" s="17" t="n"/>
      <c r="D275" s="21">
        <f>IF($C275="","",IFERROR(INDEX(Insumos!$B$2:$B$151,MATCH($C275,Insumos!$A$2:$A$151,0)),"Código no cargado"))</f>
        <v/>
      </c>
      <c r="E275" s="21">
        <f>IF($C275="","",IFERROR(INDEX(Insumos!$C$2:$C$151,MATCH($C275,Insumos!$A$2:$A$151,0)),""))</f>
        <v/>
      </c>
      <c r="F275" s="21">
        <f>IF($C275="","",IFERROR(INDEX(Insumos!$D$2:$D$151,MATCH($C275,Insumos!$A$2:$A$151,0)),""))</f>
        <v/>
      </c>
      <c r="G275" s="18" t="n"/>
      <c r="H275" s="19">
        <f>IF(OR($A275="",$C275=""),"",IFERROR(INDEX(Insumos!$M$2:$S$151,MATCH($C275,Insumos!$A$2:$A$151,0),WEEKDAY($A275,2)),""))</f>
        <v/>
      </c>
      <c r="I275" s="19">
        <f>IF(OR($G275="",$H275=""),"",MAX(0,$H275-$G275))</f>
        <v/>
      </c>
      <c r="J275" s="21">
        <f>IF($I275="","",IF($I275=0,"OK",IF($G275&lt;=0,"Sin stock: pedir ya","Pedir o producir")))</f>
        <v/>
      </c>
      <c r="K275" s="17" t="n"/>
      <c r="L275" s="17" t="n"/>
      <c r="M275" s="21">
        <f>IF(OR($A275="",$A275&lt;&gt;'Lista para pedir'!$C$3,N($I275)&lt;=0),"",COUNTIFS($A$2:$A275,$A275,$I$2:$I275,"&gt;0"))</f>
        <v/>
      </c>
    </row>
    <row r="276">
      <c r="A276" s="20" t="n"/>
      <c r="B276" s="21">
        <f>IF($A276="","",CHOOSE(WEEKDAY($A276,2),"Lunes","Martes","Miércoles","Jueves","Viernes","Sábado","Domingo"))</f>
        <v/>
      </c>
      <c r="C276" s="17" t="n"/>
      <c r="D276" s="21">
        <f>IF($C276="","",IFERROR(INDEX(Insumos!$B$2:$B$151,MATCH($C276,Insumos!$A$2:$A$151,0)),"Código no cargado"))</f>
        <v/>
      </c>
      <c r="E276" s="21">
        <f>IF($C276="","",IFERROR(INDEX(Insumos!$C$2:$C$151,MATCH($C276,Insumos!$A$2:$A$151,0)),""))</f>
        <v/>
      </c>
      <c r="F276" s="21">
        <f>IF($C276="","",IFERROR(INDEX(Insumos!$D$2:$D$151,MATCH($C276,Insumos!$A$2:$A$151,0)),""))</f>
        <v/>
      </c>
      <c r="G276" s="18" t="n"/>
      <c r="H276" s="19">
        <f>IF(OR($A276="",$C276=""),"",IFERROR(INDEX(Insumos!$M$2:$S$151,MATCH($C276,Insumos!$A$2:$A$151,0),WEEKDAY($A276,2)),""))</f>
        <v/>
      </c>
      <c r="I276" s="19">
        <f>IF(OR($G276="",$H276=""),"",MAX(0,$H276-$G276))</f>
        <v/>
      </c>
      <c r="J276" s="21">
        <f>IF($I276="","",IF($I276=0,"OK",IF($G276&lt;=0,"Sin stock: pedir ya","Pedir o producir")))</f>
        <v/>
      </c>
      <c r="K276" s="17" t="n"/>
      <c r="L276" s="17" t="n"/>
      <c r="M276" s="21">
        <f>IF(OR($A276="",$A276&lt;&gt;'Lista para pedir'!$C$3,N($I276)&lt;=0),"",COUNTIFS($A$2:$A276,$A276,$I$2:$I276,"&gt;0"))</f>
        <v/>
      </c>
    </row>
    <row r="277">
      <c r="A277" s="20" t="n"/>
      <c r="B277" s="21">
        <f>IF($A277="","",CHOOSE(WEEKDAY($A277,2),"Lunes","Martes","Miércoles","Jueves","Viernes","Sábado","Domingo"))</f>
        <v/>
      </c>
      <c r="C277" s="17" t="n"/>
      <c r="D277" s="21">
        <f>IF($C277="","",IFERROR(INDEX(Insumos!$B$2:$B$151,MATCH($C277,Insumos!$A$2:$A$151,0)),"Código no cargado"))</f>
        <v/>
      </c>
      <c r="E277" s="21">
        <f>IF($C277="","",IFERROR(INDEX(Insumos!$C$2:$C$151,MATCH($C277,Insumos!$A$2:$A$151,0)),""))</f>
        <v/>
      </c>
      <c r="F277" s="21">
        <f>IF($C277="","",IFERROR(INDEX(Insumos!$D$2:$D$151,MATCH($C277,Insumos!$A$2:$A$151,0)),""))</f>
        <v/>
      </c>
      <c r="G277" s="18" t="n"/>
      <c r="H277" s="19">
        <f>IF(OR($A277="",$C277=""),"",IFERROR(INDEX(Insumos!$M$2:$S$151,MATCH($C277,Insumos!$A$2:$A$151,0),WEEKDAY($A277,2)),""))</f>
        <v/>
      </c>
      <c r="I277" s="19">
        <f>IF(OR($G277="",$H277=""),"",MAX(0,$H277-$G277))</f>
        <v/>
      </c>
      <c r="J277" s="21">
        <f>IF($I277="","",IF($I277=0,"OK",IF($G277&lt;=0,"Sin stock: pedir ya","Pedir o producir")))</f>
        <v/>
      </c>
      <c r="K277" s="17" t="n"/>
      <c r="L277" s="17" t="n"/>
      <c r="M277" s="21">
        <f>IF(OR($A277="",$A277&lt;&gt;'Lista para pedir'!$C$3,N($I277)&lt;=0),"",COUNTIFS($A$2:$A277,$A277,$I$2:$I277,"&gt;0"))</f>
        <v/>
      </c>
    </row>
    <row r="278">
      <c r="A278" s="20" t="n"/>
      <c r="B278" s="21">
        <f>IF($A278="","",CHOOSE(WEEKDAY($A278,2),"Lunes","Martes","Miércoles","Jueves","Viernes","Sábado","Domingo"))</f>
        <v/>
      </c>
      <c r="C278" s="17" t="n"/>
      <c r="D278" s="21">
        <f>IF($C278="","",IFERROR(INDEX(Insumos!$B$2:$B$151,MATCH($C278,Insumos!$A$2:$A$151,0)),"Código no cargado"))</f>
        <v/>
      </c>
      <c r="E278" s="21">
        <f>IF($C278="","",IFERROR(INDEX(Insumos!$C$2:$C$151,MATCH($C278,Insumos!$A$2:$A$151,0)),""))</f>
        <v/>
      </c>
      <c r="F278" s="21">
        <f>IF($C278="","",IFERROR(INDEX(Insumos!$D$2:$D$151,MATCH($C278,Insumos!$A$2:$A$151,0)),""))</f>
        <v/>
      </c>
      <c r="G278" s="18" t="n"/>
      <c r="H278" s="19">
        <f>IF(OR($A278="",$C278=""),"",IFERROR(INDEX(Insumos!$M$2:$S$151,MATCH($C278,Insumos!$A$2:$A$151,0),WEEKDAY($A278,2)),""))</f>
        <v/>
      </c>
      <c r="I278" s="19">
        <f>IF(OR($G278="",$H278=""),"",MAX(0,$H278-$G278))</f>
        <v/>
      </c>
      <c r="J278" s="21">
        <f>IF($I278="","",IF($I278=0,"OK",IF($G278&lt;=0,"Sin stock: pedir ya","Pedir o producir")))</f>
        <v/>
      </c>
      <c r="K278" s="17" t="n"/>
      <c r="L278" s="17" t="n"/>
      <c r="M278" s="21">
        <f>IF(OR($A278="",$A278&lt;&gt;'Lista para pedir'!$C$3,N($I278)&lt;=0),"",COUNTIFS($A$2:$A278,$A278,$I$2:$I278,"&gt;0"))</f>
        <v/>
      </c>
    </row>
    <row r="279">
      <c r="A279" s="20" t="n"/>
      <c r="B279" s="21">
        <f>IF($A279="","",CHOOSE(WEEKDAY($A279,2),"Lunes","Martes","Miércoles","Jueves","Viernes","Sábado","Domingo"))</f>
        <v/>
      </c>
      <c r="C279" s="17" t="n"/>
      <c r="D279" s="21">
        <f>IF($C279="","",IFERROR(INDEX(Insumos!$B$2:$B$151,MATCH($C279,Insumos!$A$2:$A$151,0)),"Código no cargado"))</f>
        <v/>
      </c>
      <c r="E279" s="21">
        <f>IF($C279="","",IFERROR(INDEX(Insumos!$C$2:$C$151,MATCH($C279,Insumos!$A$2:$A$151,0)),""))</f>
        <v/>
      </c>
      <c r="F279" s="21">
        <f>IF($C279="","",IFERROR(INDEX(Insumos!$D$2:$D$151,MATCH($C279,Insumos!$A$2:$A$151,0)),""))</f>
        <v/>
      </c>
      <c r="G279" s="18" t="n"/>
      <c r="H279" s="19">
        <f>IF(OR($A279="",$C279=""),"",IFERROR(INDEX(Insumos!$M$2:$S$151,MATCH($C279,Insumos!$A$2:$A$151,0),WEEKDAY($A279,2)),""))</f>
        <v/>
      </c>
      <c r="I279" s="19">
        <f>IF(OR($G279="",$H279=""),"",MAX(0,$H279-$G279))</f>
        <v/>
      </c>
      <c r="J279" s="21">
        <f>IF($I279="","",IF($I279=0,"OK",IF($G279&lt;=0,"Sin stock: pedir ya","Pedir o producir")))</f>
        <v/>
      </c>
      <c r="K279" s="17" t="n"/>
      <c r="L279" s="17" t="n"/>
      <c r="M279" s="21">
        <f>IF(OR($A279="",$A279&lt;&gt;'Lista para pedir'!$C$3,N($I279)&lt;=0),"",COUNTIFS($A$2:$A279,$A279,$I$2:$I279,"&gt;0"))</f>
        <v/>
      </c>
    </row>
    <row r="280">
      <c r="A280" s="20" t="n"/>
      <c r="B280" s="21">
        <f>IF($A280="","",CHOOSE(WEEKDAY($A280,2),"Lunes","Martes","Miércoles","Jueves","Viernes","Sábado","Domingo"))</f>
        <v/>
      </c>
      <c r="C280" s="17" t="n"/>
      <c r="D280" s="21">
        <f>IF($C280="","",IFERROR(INDEX(Insumos!$B$2:$B$151,MATCH($C280,Insumos!$A$2:$A$151,0)),"Código no cargado"))</f>
        <v/>
      </c>
      <c r="E280" s="21">
        <f>IF($C280="","",IFERROR(INDEX(Insumos!$C$2:$C$151,MATCH($C280,Insumos!$A$2:$A$151,0)),""))</f>
        <v/>
      </c>
      <c r="F280" s="21">
        <f>IF($C280="","",IFERROR(INDEX(Insumos!$D$2:$D$151,MATCH($C280,Insumos!$A$2:$A$151,0)),""))</f>
        <v/>
      </c>
      <c r="G280" s="18" t="n"/>
      <c r="H280" s="19">
        <f>IF(OR($A280="",$C280=""),"",IFERROR(INDEX(Insumos!$M$2:$S$151,MATCH($C280,Insumos!$A$2:$A$151,0),WEEKDAY($A280,2)),""))</f>
        <v/>
      </c>
      <c r="I280" s="19">
        <f>IF(OR($G280="",$H280=""),"",MAX(0,$H280-$G280))</f>
        <v/>
      </c>
      <c r="J280" s="21">
        <f>IF($I280="","",IF($I280=0,"OK",IF($G280&lt;=0,"Sin stock: pedir ya","Pedir o producir")))</f>
        <v/>
      </c>
      <c r="K280" s="17" t="n"/>
      <c r="L280" s="17" t="n"/>
      <c r="M280" s="21">
        <f>IF(OR($A280="",$A280&lt;&gt;'Lista para pedir'!$C$3,N($I280)&lt;=0),"",COUNTIFS($A$2:$A280,$A280,$I$2:$I280,"&gt;0"))</f>
        <v/>
      </c>
    </row>
    <row r="281">
      <c r="A281" s="20" t="n"/>
      <c r="B281" s="21">
        <f>IF($A281="","",CHOOSE(WEEKDAY($A281,2),"Lunes","Martes","Miércoles","Jueves","Viernes","Sábado","Domingo"))</f>
        <v/>
      </c>
      <c r="C281" s="17" t="n"/>
      <c r="D281" s="21">
        <f>IF($C281="","",IFERROR(INDEX(Insumos!$B$2:$B$151,MATCH($C281,Insumos!$A$2:$A$151,0)),"Código no cargado"))</f>
        <v/>
      </c>
      <c r="E281" s="21">
        <f>IF($C281="","",IFERROR(INDEX(Insumos!$C$2:$C$151,MATCH($C281,Insumos!$A$2:$A$151,0)),""))</f>
        <v/>
      </c>
      <c r="F281" s="21">
        <f>IF($C281="","",IFERROR(INDEX(Insumos!$D$2:$D$151,MATCH($C281,Insumos!$A$2:$A$151,0)),""))</f>
        <v/>
      </c>
      <c r="G281" s="18" t="n"/>
      <c r="H281" s="19">
        <f>IF(OR($A281="",$C281=""),"",IFERROR(INDEX(Insumos!$M$2:$S$151,MATCH($C281,Insumos!$A$2:$A$151,0),WEEKDAY($A281,2)),""))</f>
        <v/>
      </c>
      <c r="I281" s="19">
        <f>IF(OR($G281="",$H281=""),"",MAX(0,$H281-$G281))</f>
        <v/>
      </c>
      <c r="J281" s="21">
        <f>IF($I281="","",IF($I281=0,"OK",IF($G281&lt;=0,"Sin stock: pedir ya","Pedir o producir")))</f>
        <v/>
      </c>
      <c r="K281" s="17" t="n"/>
      <c r="L281" s="17" t="n"/>
      <c r="M281" s="21">
        <f>IF(OR($A281="",$A281&lt;&gt;'Lista para pedir'!$C$3,N($I281)&lt;=0),"",COUNTIFS($A$2:$A281,$A281,$I$2:$I281,"&gt;0"))</f>
        <v/>
      </c>
    </row>
    <row r="282">
      <c r="A282" s="20" t="n"/>
      <c r="B282" s="21">
        <f>IF($A282="","",CHOOSE(WEEKDAY($A282,2),"Lunes","Martes","Miércoles","Jueves","Viernes","Sábado","Domingo"))</f>
        <v/>
      </c>
      <c r="C282" s="17" t="n"/>
      <c r="D282" s="21">
        <f>IF($C282="","",IFERROR(INDEX(Insumos!$B$2:$B$151,MATCH($C282,Insumos!$A$2:$A$151,0)),"Código no cargado"))</f>
        <v/>
      </c>
      <c r="E282" s="21">
        <f>IF($C282="","",IFERROR(INDEX(Insumos!$C$2:$C$151,MATCH($C282,Insumos!$A$2:$A$151,0)),""))</f>
        <v/>
      </c>
      <c r="F282" s="21">
        <f>IF($C282="","",IFERROR(INDEX(Insumos!$D$2:$D$151,MATCH($C282,Insumos!$A$2:$A$151,0)),""))</f>
        <v/>
      </c>
      <c r="G282" s="18" t="n"/>
      <c r="H282" s="19">
        <f>IF(OR($A282="",$C282=""),"",IFERROR(INDEX(Insumos!$M$2:$S$151,MATCH($C282,Insumos!$A$2:$A$151,0),WEEKDAY($A282,2)),""))</f>
        <v/>
      </c>
      <c r="I282" s="19">
        <f>IF(OR($G282="",$H282=""),"",MAX(0,$H282-$G282))</f>
        <v/>
      </c>
      <c r="J282" s="21">
        <f>IF($I282="","",IF($I282=0,"OK",IF($G282&lt;=0,"Sin stock: pedir ya","Pedir o producir")))</f>
        <v/>
      </c>
      <c r="K282" s="17" t="n"/>
      <c r="L282" s="17" t="n"/>
      <c r="M282" s="21">
        <f>IF(OR($A282="",$A282&lt;&gt;'Lista para pedir'!$C$3,N($I282)&lt;=0),"",COUNTIFS($A$2:$A282,$A282,$I$2:$I282,"&gt;0"))</f>
        <v/>
      </c>
    </row>
    <row r="283">
      <c r="A283" s="20" t="n"/>
      <c r="B283" s="21">
        <f>IF($A283="","",CHOOSE(WEEKDAY($A283,2),"Lunes","Martes","Miércoles","Jueves","Viernes","Sábado","Domingo"))</f>
        <v/>
      </c>
      <c r="C283" s="17" t="n"/>
      <c r="D283" s="21">
        <f>IF($C283="","",IFERROR(INDEX(Insumos!$B$2:$B$151,MATCH($C283,Insumos!$A$2:$A$151,0)),"Código no cargado"))</f>
        <v/>
      </c>
      <c r="E283" s="21">
        <f>IF($C283="","",IFERROR(INDEX(Insumos!$C$2:$C$151,MATCH($C283,Insumos!$A$2:$A$151,0)),""))</f>
        <v/>
      </c>
      <c r="F283" s="21">
        <f>IF($C283="","",IFERROR(INDEX(Insumos!$D$2:$D$151,MATCH($C283,Insumos!$A$2:$A$151,0)),""))</f>
        <v/>
      </c>
      <c r="G283" s="18" t="n"/>
      <c r="H283" s="19">
        <f>IF(OR($A283="",$C283=""),"",IFERROR(INDEX(Insumos!$M$2:$S$151,MATCH($C283,Insumos!$A$2:$A$151,0),WEEKDAY($A283,2)),""))</f>
        <v/>
      </c>
      <c r="I283" s="19">
        <f>IF(OR($G283="",$H283=""),"",MAX(0,$H283-$G283))</f>
        <v/>
      </c>
      <c r="J283" s="21">
        <f>IF($I283="","",IF($I283=0,"OK",IF($G283&lt;=0,"Sin stock: pedir ya","Pedir o producir")))</f>
        <v/>
      </c>
      <c r="K283" s="17" t="n"/>
      <c r="L283" s="17" t="n"/>
      <c r="M283" s="21">
        <f>IF(OR($A283="",$A283&lt;&gt;'Lista para pedir'!$C$3,N($I283)&lt;=0),"",COUNTIFS($A$2:$A283,$A283,$I$2:$I283,"&gt;0"))</f>
        <v/>
      </c>
    </row>
    <row r="284">
      <c r="A284" s="20" t="n"/>
      <c r="B284" s="21">
        <f>IF($A284="","",CHOOSE(WEEKDAY($A284,2),"Lunes","Martes","Miércoles","Jueves","Viernes","Sábado","Domingo"))</f>
        <v/>
      </c>
      <c r="C284" s="17" t="n"/>
      <c r="D284" s="21">
        <f>IF($C284="","",IFERROR(INDEX(Insumos!$B$2:$B$151,MATCH($C284,Insumos!$A$2:$A$151,0)),"Código no cargado"))</f>
        <v/>
      </c>
      <c r="E284" s="21">
        <f>IF($C284="","",IFERROR(INDEX(Insumos!$C$2:$C$151,MATCH($C284,Insumos!$A$2:$A$151,0)),""))</f>
        <v/>
      </c>
      <c r="F284" s="21">
        <f>IF($C284="","",IFERROR(INDEX(Insumos!$D$2:$D$151,MATCH($C284,Insumos!$A$2:$A$151,0)),""))</f>
        <v/>
      </c>
      <c r="G284" s="18" t="n"/>
      <c r="H284" s="19">
        <f>IF(OR($A284="",$C284=""),"",IFERROR(INDEX(Insumos!$M$2:$S$151,MATCH($C284,Insumos!$A$2:$A$151,0),WEEKDAY($A284,2)),""))</f>
        <v/>
      </c>
      <c r="I284" s="19">
        <f>IF(OR($G284="",$H284=""),"",MAX(0,$H284-$G284))</f>
        <v/>
      </c>
      <c r="J284" s="21">
        <f>IF($I284="","",IF($I284=0,"OK",IF($G284&lt;=0,"Sin stock: pedir ya","Pedir o producir")))</f>
        <v/>
      </c>
      <c r="K284" s="17" t="n"/>
      <c r="L284" s="17" t="n"/>
      <c r="M284" s="21">
        <f>IF(OR($A284="",$A284&lt;&gt;'Lista para pedir'!$C$3,N($I284)&lt;=0),"",COUNTIFS($A$2:$A284,$A284,$I$2:$I284,"&gt;0"))</f>
        <v/>
      </c>
    </row>
    <row r="285">
      <c r="A285" s="20" t="n"/>
      <c r="B285" s="21">
        <f>IF($A285="","",CHOOSE(WEEKDAY($A285,2),"Lunes","Martes","Miércoles","Jueves","Viernes","Sábado","Domingo"))</f>
        <v/>
      </c>
      <c r="C285" s="17" t="n"/>
      <c r="D285" s="21">
        <f>IF($C285="","",IFERROR(INDEX(Insumos!$B$2:$B$151,MATCH($C285,Insumos!$A$2:$A$151,0)),"Código no cargado"))</f>
        <v/>
      </c>
      <c r="E285" s="21">
        <f>IF($C285="","",IFERROR(INDEX(Insumos!$C$2:$C$151,MATCH($C285,Insumos!$A$2:$A$151,0)),""))</f>
        <v/>
      </c>
      <c r="F285" s="21">
        <f>IF($C285="","",IFERROR(INDEX(Insumos!$D$2:$D$151,MATCH($C285,Insumos!$A$2:$A$151,0)),""))</f>
        <v/>
      </c>
      <c r="G285" s="18" t="n"/>
      <c r="H285" s="19">
        <f>IF(OR($A285="",$C285=""),"",IFERROR(INDEX(Insumos!$M$2:$S$151,MATCH($C285,Insumos!$A$2:$A$151,0),WEEKDAY($A285,2)),""))</f>
        <v/>
      </c>
      <c r="I285" s="19">
        <f>IF(OR($G285="",$H285=""),"",MAX(0,$H285-$G285))</f>
        <v/>
      </c>
      <c r="J285" s="21">
        <f>IF($I285="","",IF($I285=0,"OK",IF($G285&lt;=0,"Sin stock: pedir ya","Pedir o producir")))</f>
        <v/>
      </c>
      <c r="K285" s="17" t="n"/>
      <c r="L285" s="17" t="n"/>
      <c r="M285" s="21">
        <f>IF(OR($A285="",$A285&lt;&gt;'Lista para pedir'!$C$3,N($I285)&lt;=0),"",COUNTIFS($A$2:$A285,$A285,$I$2:$I285,"&gt;0"))</f>
        <v/>
      </c>
    </row>
    <row r="286">
      <c r="A286" s="20" t="n"/>
      <c r="B286" s="21">
        <f>IF($A286="","",CHOOSE(WEEKDAY($A286,2),"Lunes","Martes","Miércoles","Jueves","Viernes","Sábado","Domingo"))</f>
        <v/>
      </c>
      <c r="C286" s="17" t="n"/>
      <c r="D286" s="21">
        <f>IF($C286="","",IFERROR(INDEX(Insumos!$B$2:$B$151,MATCH($C286,Insumos!$A$2:$A$151,0)),"Código no cargado"))</f>
        <v/>
      </c>
      <c r="E286" s="21">
        <f>IF($C286="","",IFERROR(INDEX(Insumos!$C$2:$C$151,MATCH($C286,Insumos!$A$2:$A$151,0)),""))</f>
        <v/>
      </c>
      <c r="F286" s="21">
        <f>IF($C286="","",IFERROR(INDEX(Insumos!$D$2:$D$151,MATCH($C286,Insumos!$A$2:$A$151,0)),""))</f>
        <v/>
      </c>
      <c r="G286" s="18" t="n"/>
      <c r="H286" s="19">
        <f>IF(OR($A286="",$C286=""),"",IFERROR(INDEX(Insumos!$M$2:$S$151,MATCH($C286,Insumos!$A$2:$A$151,0),WEEKDAY($A286,2)),""))</f>
        <v/>
      </c>
      <c r="I286" s="19">
        <f>IF(OR($G286="",$H286=""),"",MAX(0,$H286-$G286))</f>
        <v/>
      </c>
      <c r="J286" s="21">
        <f>IF($I286="","",IF($I286=0,"OK",IF($G286&lt;=0,"Sin stock: pedir ya","Pedir o producir")))</f>
        <v/>
      </c>
      <c r="K286" s="17" t="n"/>
      <c r="L286" s="17" t="n"/>
      <c r="M286" s="21">
        <f>IF(OR($A286="",$A286&lt;&gt;'Lista para pedir'!$C$3,N($I286)&lt;=0),"",COUNTIFS($A$2:$A286,$A286,$I$2:$I286,"&gt;0"))</f>
        <v/>
      </c>
    </row>
    <row r="287">
      <c r="A287" s="20" t="n"/>
      <c r="B287" s="21">
        <f>IF($A287="","",CHOOSE(WEEKDAY($A287,2),"Lunes","Martes","Miércoles","Jueves","Viernes","Sábado","Domingo"))</f>
        <v/>
      </c>
      <c r="C287" s="17" t="n"/>
      <c r="D287" s="21">
        <f>IF($C287="","",IFERROR(INDEX(Insumos!$B$2:$B$151,MATCH($C287,Insumos!$A$2:$A$151,0)),"Código no cargado"))</f>
        <v/>
      </c>
      <c r="E287" s="21">
        <f>IF($C287="","",IFERROR(INDEX(Insumos!$C$2:$C$151,MATCH($C287,Insumos!$A$2:$A$151,0)),""))</f>
        <v/>
      </c>
      <c r="F287" s="21">
        <f>IF($C287="","",IFERROR(INDEX(Insumos!$D$2:$D$151,MATCH($C287,Insumos!$A$2:$A$151,0)),""))</f>
        <v/>
      </c>
      <c r="G287" s="18" t="n"/>
      <c r="H287" s="19">
        <f>IF(OR($A287="",$C287=""),"",IFERROR(INDEX(Insumos!$M$2:$S$151,MATCH($C287,Insumos!$A$2:$A$151,0),WEEKDAY($A287,2)),""))</f>
        <v/>
      </c>
      <c r="I287" s="19">
        <f>IF(OR($G287="",$H287=""),"",MAX(0,$H287-$G287))</f>
        <v/>
      </c>
      <c r="J287" s="21">
        <f>IF($I287="","",IF($I287=0,"OK",IF($G287&lt;=0,"Sin stock: pedir ya","Pedir o producir")))</f>
        <v/>
      </c>
      <c r="K287" s="17" t="n"/>
      <c r="L287" s="17" t="n"/>
      <c r="M287" s="21">
        <f>IF(OR($A287="",$A287&lt;&gt;'Lista para pedir'!$C$3,N($I287)&lt;=0),"",COUNTIFS($A$2:$A287,$A287,$I$2:$I287,"&gt;0"))</f>
        <v/>
      </c>
    </row>
    <row r="288">
      <c r="A288" s="20" t="n"/>
      <c r="B288" s="21">
        <f>IF($A288="","",CHOOSE(WEEKDAY($A288,2),"Lunes","Martes","Miércoles","Jueves","Viernes","Sábado","Domingo"))</f>
        <v/>
      </c>
      <c r="C288" s="17" t="n"/>
      <c r="D288" s="21">
        <f>IF($C288="","",IFERROR(INDEX(Insumos!$B$2:$B$151,MATCH($C288,Insumos!$A$2:$A$151,0)),"Código no cargado"))</f>
        <v/>
      </c>
      <c r="E288" s="21">
        <f>IF($C288="","",IFERROR(INDEX(Insumos!$C$2:$C$151,MATCH($C288,Insumos!$A$2:$A$151,0)),""))</f>
        <v/>
      </c>
      <c r="F288" s="21">
        <f>IF($C288="","",IFERROR(INDEX(Insumos!$D$2:$D$151,MATCH($C288,Insumos!$A$2:$A$151,0)),""))</f>
        <v/>
      </c>
      <c r="G288" s="18" t="n"/>
      <c r="H288" s="19">
        <f>IF(OR($A288="",$C288=""),"",IFERROR(INDEX(Insumos!$M$2:$S$151,MATCH($C288,Insumos!$A$2:$A$151,0),WEEKDAY($A288,2)),""))</f>
        <v/>
      </c>
      <c r="I288" s="19">
        <f>IF(OR($G288="",$H288=""),"",MAX(0,$H288-$G288))</f>
        <v/>
      </c>
      <c r="J288" s="21">
        <f>IF($I288="","",IF($I288=0,"OK",IF($G288&lt;=0,"Sin stock: pedir ya","Pedir o producir")))</f>
        <v/>
      </c>
      <c r="K288" s="17" t="n"/>
      <c r="L288" s="17" t="n"/>
      <c r="M288" s="21">
        <f>IF(OR($A288="",$A288&lt;&gt;'Lista para pedir'!$C$3,N($I288)&lt;=0),"",COUNTIFS($A$2:$A288,$A288,$I$2:$I288,"&gt;0"))</f>
        <v/>
      </c>
    </row>
    <row r="289">
      <c r="A289" s="20" t="n"/>
      <c r="B289" s="21">
        <f>IF($A289="","",CHOOSE(WEEKDAY($A289,2),"Lunes","Martes","Miércoles","Jueves","Viernes","Sábado","Domingo"))</f>
        <v/>
      </c>
      <c r="C289" s="17" t="n"/>
      <c r="D289" s="21">
        <f>IF($C289="","",IFERROR(INDEX(Insumos!$B$2:$B$151,MATCH($C289,Insumos!$A$2:$A$151,0)),"Código no cargado"))</f>
        <v/>
      </c>
      <c r="E289" s="21">
        <f>IF($C289="","",IFERROR(INDEX(Insumos!$C$2:$C$151,MATCH($C289,Insumos!$A$2:$A$151,0)),""))</f>
        <v/>
      </c>
      <c r="F289" s="21">
        <f>IF($C289="","",IFERROR(INDEX(Insumos!$D$2:$D$151,MATCH($C289,Insumos!$A$2:$A$151,0)),""))</f>
        <v/>
      </c>
      <c r="G289" s="18" t="n"/>
      <c r="H289" s="19">
        <f>IF(OR($A289="",$C289=""),"",IFERROR(INDEX(Insumos!$M$2:$S$151,MATCH($C289,Insumos!$A$2:$A$151,0),WEEKDAY($A289,2)),""))</f>
        <v/>
      </c>
      <c r="I289" s="19">
        <f>IF(OR($G289="",$H289=""),"",MAX(0,$H289-$G289))</f>
        <v/>
      </c>
      <c r="J289" s="21">
        <f>IF($I289="","",IF($I289=0,"OK",IF($G289&lt;=0,"Sin stock: pedir ya","Pedir o producir")))</f>
        <v/>
      </c>
      <c r="K289" s="17" t="n"/>
      <c r="L289" s="17" t="n"/>
      <c r="M289" s="21">
        <f>IF(OR($A289="",$A289&lt;&gt;'Lista para pedir'!$C$3,N($I289)&lt;=0),"",COUNTIFS($A$2:$A289,$A289,$I$2:$I289,"&gt;0"))</f>
        <v/>
      </c>
    </row>
    <row r="290">
      <c r="A290" s="20" t="n"/>
      <c r="B290" s="21">
        <f>IF($A290="","",CHOOSE(WEEKDAY($A290,2),"Lunes","Martes","Miércoles","Jueves","Viernes","Sábado","Domingo"))</f>
        <v/>
      </c>
      <c r="C290" s="17" t="n"/>
      <c r="D290" s="21">
        <f>IF($C290="","",IFERROR(INDEX(Insumos!$B$2:$B$151,MATCH($C290,Insumos!$A$2:$A$151,0)),"Código no cargado"))</f>
        <v/>
      </c>
      <c r="E290" s="21">
        <f>IF($C290="","",IFERROR(INDEX(Insumos!$C$2:$C$151,MATCH($C290,Insumos!$A$2:$A$151,0)),""))</f>
        <v/>
      </c>
      <c r="F290" s="21">
        <f>IF($C290="","",IFERROR(INDEX(Insumos!$D$2:$D$151,MATCH($C290,Insumos!$A$2:$A$151,0)),""))</f>
        <v/>
      </c>
      <c r="G290" s="18" t="n"/>
      <c r="H290" s="19">
        <f>IF(OR($A290="",$C290=""),"",IFERROR(INDEX(Insumos!$M$2:$S$151,MATCH($C290,Insumos!$A$2:$A$151,0),WEEKDAY($A290,2)),""))</f>
        <v/>
      </c>
      <c r="I290" s="19">
        <f>IF(OR($G290="",$H290=""),"",MAX(0,$H290-$G290))</f>
        <v/>
      </c>
      <c r="J290" s="21">
        <f>IF($I290="","",IF($I290=0,"OK",IF($G290&lt;=0,"Sin stock: pedir ya","Pedir o producir")))</f>
        <v/>
      </c>
      <c r="K290" s="17" t="n"/>
      <c r="L290" s="17" t="n"/>
      <c r="M290" s="21">
        <f>IF(OR($A290="",$A290&lt;&gt;'Lista para pedir'!$C$3,N($I290)&lt;=0),"",COUNTIFS($A$2:$A290,$A290,$I$2:$I290,"&gt;0"))</f>
        <v/>
      </c>
    </row>
    <row r="291">
      <c r="A291" s="20" t="n"/>
      <c r="B291" s="21">
        <f>IF($A291="","",CHOOSE(WEEKDAY($A291,2),"Lunes","Martes","Miércoles","Jueves","Viernes","Sábado","Domingo"))</f>
        <v/>
      </c>
      <c r="C291" s="17" t="n"/>
      <c r="D291" s="21">
        <f>IF($C291="","",IFERROR(INDEX(Insumos!$B$2:$B$151,MATCH($C291,Insumos!$A$2:$A$151,0)),"Código no cargado"))</f>
        <v/>
      </c>
      <c r="E291" s="21">
        <f>IF($C291="","",IFERROR(INDEX(Insumos!$C$2:$C$151,MATCH($C291,Insumos!$A$2:$A$151,0)),""))</f>
        <v/>
      </c>
      <c r="F291" s="21">
        <f>IF($C291="","",IFERROR(INDEX(Insumos!$D$2:$D$151,MATCH($C291,Insumos!$A$2:$A$151,0)),""))</f>
        <v/>
      </c>
      <c r="G291" s="18" t="n"/>
      <c r="H291" s="19">
        <f>IF(OR($A291="",$C291=""),"",IFERROR(INDEX(Insumos!$M$2:$S$151,MATCH($C291,Insumos!$A$2:$A$151,0),WEEKDAY($A291,2)),""))</f>
        <v/>
      </c>
      <c r="I291" s="19">
        <f>IF(OR($G291="",$H291=""),"",MAX(0,$H291-$G291))</f>
        <v/>
      </c>
      <c r="J291" s="21">
        <f>IF($I291="","",IF($I291=0,"OK",IF($G291&lt;=0,"Sin stock: pedir ya","Pedir o producir")))</f>
        <v/>
      </c>
      <c r="K291" s="17" t="n"/>
      <c r="L291" s="17" t="n"/>
      <c r="M291" s="21">
        <f>IF(OR($A291="",$A291&lt;&gt;'Lista para pedir'!$C$3,N($I291)&lt;=0),"",COUNTIFS($A$2:$A291,$A291,$I$2:$I291,"&gt;0"))</f>
        <v/>
      </c>
    </row>
    <row r="292">
      <c r="A292" s="20" t="n"/>
      <c r="B292" s="21">
        <f>IF($A292="","",CHOOSE(WEEKDAY($A292,2),"Lunes","Martes","Miércoles","Jueves","Viernes","Sábado","Domingo"))</f>
        <v/>
      </c>
      <c r="C292" s="17" t="n"/>
      <c r="D292" s="21">
        <f>IF($C292="","",IFERROR(INDEX(Insumos!$B$2:$B$151,MATCH($C292,Insumos!$A$2:$A$151,0)),"Código no cargado"))</f>
        <v/>
      </c>
      <c r="E292" s="21">
        <f>IF($C292="","",IFERROR(INDEX(Insumos!$C$2:$C$151,MATCH($C292,Insumos!$A$2:$A$151,0)),""))</f>
        <v/>
      </c>
      <c r="F292" s="21">
        <f>IF($C292="","",IFERROR(INDEX(Insumos!$D$2:$D$151,MATCH($C292,Insumos!$A$2:$A$151,0)),""))</f>
        <v/>
      </c>
      <c r="G292" s="18" t="n"/>
      <c r="H292" s="19">
        <f>IF(OR($A292="",$C292=""),"",IFERROR(INDEX(Insumos!$M$2:$S$151,MATCH($C292,Insumos!$A$2:$A$151,0),WEEKDAY($A292,2)),""))</f>
        <v/>
      </c>
      <c r="I292" s="19">
        <f>IF(OR($G292="",$H292=""),"",MAX(0,$H292-$G292))</f>
        <v/>
      </c>
      <c r="J292" s="21">
        <f>IF($I292="","",IF($I292=0,"OK",IF($G292&lt;=0,"Sin stock: pedir ya","Pedir o producir")))</f>
        <v/>
      </c>
      <c r="K292" s="17" t="n"/>
      <c r="L292" s="17" t="n"/>
      <c r="M292" s="21">
        <f>IF(OR($A292="",$A292&lt;&gt;'Lista para pedir'!$C$3,N($I292)&lt;=0),"",COUNTIFS($A$2:$A292,$A292,$I$2:$I292,"&gt;0"))</f>
        <v/>
      </c>
    </row>
    <row r="293">
      <c r="A293" s="20" t="n"/>
      <c r="B293" s="21">
        <f>IF($A293="","",CHOOSE(WEEKDAY($A293,2),"Lunes","Martes","Miércoles","Jueves","Viernes","Sábado","Domingo"))</f>
        <v/>
      </c>
      <c r="C293" s="17" t="n"/>
      <c r="D293" s="21">
        <f>IF($C293="","",IFERROR(INDEX(Insumos!$B$2:$B$151,MATCH($C293,Insumos!$A$2:$A$151,0)),"Código no cargado"))</f>
        <v/>
      </c>
      <c r="E293" s="21">
        <f>IF($C293="","",IFERROR(INDEX(Insumos!$C$2:$C$151,MATCH($C293,Insumos!$A$2:$A$151,0)),""))</f>
        <v/>
      </c>
      <c r="F293" s="21">
        <f>IF($C293="","",IFERROR(INDEX(Insumos!$D$2:$D$151,MATCH($C293,Insumos!$A$2:$A$151,0)),""))</f>
        <v/>
      </c>
      <c r="G293" s="18" t="n"/>
      <c r="H293" s="19">
        <f>IF(OR($A293="",$C293=""),"",IFERROR(INDEX(Insumos!$M$2:$S$151,MATCH($C293,Insumos!$A$2:$A$151,0),WEEKDAY($A293,2)),""))</f>
        <v/>
      </c>
      <c r="I293" s="19">
        <f>IF(OR($G293="",$H293=""),"",MAX(0,$H293-$G293))</f>
        <v/>
      </c>
      <c r="J293" s="21">
        <f>IF($I293="","",IF($I293=0,"OK",IF($G293&lt;=0,"Sin stock: pedir ya","Pedir o producir")))</f>
        <v/>
      </c>
      <c r="K293" s="17" t="n"/>
      <c r="L293" s="17" t="n"/>
      <c r="M293" s="21">
        <f>IF(OR($A293="",$A293&lt;&gt;'Lista para pedir'!$C$3,N($I293)&lt;=0),"",COUNTIFS($A$2:$A293,$A293,$I$2:$I293,"&gt;0"))</f>
        <v/>
      </c>
    </row>
    <row r="294">
      <c r="A294" s="20" t="n"/>
      <c r="B294" s="21">
        <f>IF($A294="","",CHOOSE(WEEKDAY($A294,2),"Lunes","Martes","Miércoles","Jueves","Viernes","Sábado","Domingo"))</f>
        <v/>
      </c>
      <c r="C294" s="17" t="n"/>
      <c r="D294" s="21">
        <f>IF($C294="","",IFERROR(INDEX(Insumos!$B$2:$B$151,MATCH($C294,Insumos!$A$2:$A$151,0)),"Código no cargado"))</f>
        <v/>
      </c>
      <c r="E294" s="21">
        <f>IF($C294="","",IFERROR(INDEX(Insumos!$C$2:$C$151,MATCH($C294,Insumos!$A$2:$A$151,0)),""))</f>
        <v/>
      </c>
      <c r="F294" s="21">
        <f>IF($C294="","",IFERROR(INDEX(Insumos!$D$2:$D$151,MATCH($C294,Insumos!$A$2:$A$151,0)),""))</f>
        <v/>
      </c>
      <c r="G294" s="18" t="n"/>
      <c r="H294" s="19">
        <f>IF(OR($A294="",$C294=""),"",IFERROR(INDEX(Insumos!$M$2:$S$151,MATCH($C294,Insumos!$A$2:$A$151,0),WEEKDAY($A294,2)),""))</f>
        <v/>
      </c>
      <c r="I294" s="19">
        <f>IF(OR($G294="",$H294=""),"",MAX(0,$H294-$G294))</f>
        <v/>
      </c>
      <c r="J294" s="21">
        <f>IF($I294="","",IF($I294=0,"OK",IF($G294&lt;=0,"Sin stock: pedir ya","Pedir o producir")))</f>
        <v/>
      </c>
      <c r="K294" s="17" t="n"/>
      <c r="L294" s="17" t="n"/>
      <c r="M294" s="21">
        <f>IF(OR($A294="",$A294&lt;&gt;'Lista para pedir'!$C$3,N($I294)&lt;=0),"",COUNTIFS($A$2:$A294,$A294,$I$2:$I294,"&gt;0"))</f>
        <v/>
      </c>
    </row>
    <row r="295">
      <c r="A295" s="20" t="n"/>
      <c r="B295" s="21">
        <f>IF($A295="","",CHOOSE(WEEKDAY($A295,2),"Lunes","Martes","Miércoles","Jueves","Viernes","Sábado","Domingo"))</f>
        <v/>
      </c>
      <c r="C295" s="17" t="n"/>
      <c r="D295" s="21">
        <f>IF($C295="","",IFERROR(INDEX(Insumos!$B$2:$B$151,MATCH($C295,Insumos!$A$2:$A$151,0)),"Código no cargado"))</f>
        <v/>
      </c>
      <c r="E295" s="21">
        <f>IF($C295="","",IFERROR(INDEX(Insumos!$C$2:$C$151,MATCH($C295,Insumos!$A$2:$A$151,0)),""))</f>
        <v/>
      </c>
      <c r="F295" s="21">
        <f>IF($C295="","",IFERROR(INDEX(Insumos!$D$2:$D$151,MATCH($C295,Insumos!$A$2:$A$151,0)),""))</f>
        <v/>
      </c>
      <c r="G295" s="18" t="n"/>
      <c r="H295" s="19">
        <f>IF(OR($A295="",$C295=""),"",IFERROR(INDEX(Insumos!$M$2:$S$151,MATCH($C295,Insumos!$A$2:$A$151,0),WEEKDAY($A295,2)),""))</f>
        <v/>
      </c>
      <c r="I295" s="19">
        <f>IF(OR($G295="",$H295=""),"",MAX(0,$H295-$G295))</f>
        <v/>
      </c>
      <c r="J295" s="21">
        <f>IF($I295="","",IF($I295=0,"OK",IF($G295&lt;=0,"Sin stock: pedir ya","Pedir o producir")))</f>
        <v/>
      </c>
      <c r="K295" s="17" t="n"/>
      <c r="L295" s="17" t="n"/>
      <c r="M295" s="21">
        <f>IF(OR($A295="",$A295&lt;&gt;'Lista para pedir'!$C$3,N($I295)&lt;=0),"",COUNTIFS($A$2:$A295,$A295,$I$2:$I295,"&gt;0"))</f>
        <v/>
      </c>
    </row>
    <row r="296">
      <c r="A296" s="20" t="n"/>
      <c r="B296" s="21">
        <f>IF($A296="","",CHOOSE(WEEKDAY($A296,2),"Lunes","Martes","Miércoles","Jueves","Viernes","Sábado","Domingo"))</f>
        <v/>
      </c>
      <c r="C296" s="17" t="n"/>
      <c r="D296" s="21">
        <f>IF($C296="","",IFERROR(INDEX(Insumos!$B$2:$B$151,MATCH($C296,Insumos!$A$2:$A$151,0)),"Código no cargado"))</f>
        <v/>
      </c>
      <c r="E296" s="21">
        <f>IF($C296="","",IFERROR(INDEX(Insumos!$C$2:$C$151,MATCH($C296,Insumos!$A$2:$A$151,0)),""))</f>
        <v/>
      </c>
      <c r="F296" s="21">
        <f>IF($C296="","",IFERROR(INDEX(Insumos!$D$2:$D$151,MATCH($C296,Insumos!$A$2:$A$151,0)),""))</f>
        <v/>
      </c>
      <c r="G296" s="18" t="n"/>
      <c r="H296" s="19">
        <f>IF(OR($A296="",$C296=""),"",IFERROR(INDEX(Insumos!$M$2:$S$151,MATCH($C296,Insumos!$A$2:$A$151,0),WEEKDAY($A296,2)),""))</f>
        <v/>
      </c>
      <c r="I296" s="19">
        <f>IF(OR($G296="",$H296=""),"",MAX(0,$H296-$G296))</f>
        <v/>
      </c>
      <c r="J296" s="21">
        <f>IF($I296="","",IF($I296=0,"OK",IF($G296&lt;=0,"Sin stock: pedir ya","Pedir o producir")))</f>
        <v/>
      </c>
      <c r="K296" s="17" t="n"/>
      <c r="L296" s="17" t="n"/>
      <c r="M296" s="21">
        <f>IF(OR($A296="",$A296&lt;&gt;'Lista para pedir'!$C$3,N($I296)&lt;=0),"",COUNTIFS($A$2:$A296,$A296,$I$2:$I296,"&gt;0"))</f>
        <v/>
      </c>
    </row>
    <row r="297">
      <c r="A297" s="20" t="n"/>
      <c r="B297" s="21">
        <f>IF($A297="","",CHOOSE(WEEKDAY($A297,2),"Lunes","Martes","Miércoles","Jueves","Viernes","Sábado","Domingo"))</f>
        <v/>
      </c>
      <c r="C297" s="17" t="n"/>
      <c r="D297" s="21">
        <f>IF($C297="","",IFERROR(INDEX(Insumos!$B$2:$B$151,MATCH($C297,Insumos!$A$2:$A$151,0)),"Código no cargado"))</f>
        <v/>
      </c>
      <c r="E297" s="21">
        <f>IF($C297="","",IFERROR(INDEX(Insumos!$C$2:$C$151,MATCH($C297,Insumos!$A$2:$A$151,0)),""))</f>
        <v/>
      </c>
      <c r="F297" s="21">
        <f>IF($C297="","",IFERROR(INDEX(Insumos!$D$2:$D$151,MATCH($C297,Insumos!$A$2:$A$151,0)),""))</f>
        <v/>
      </c>
      <c r="G297" s="18" t="n"/>
      <c r="H297" s="19">
        <f>IF(OR($A297="",$C297=""),"",IFERROR(INDEX(Insumos!$M$2:$S$151,MATCH($C297,Insumos!$A$2:$A$151,0),WEEKDAY($A297,2)),""))</f>
        <v/>
      </c>
      <c r="I297" s="19">
        <f>IF(OR($G297="",$H297=""),"",MAX(0,$H297-$G297))</f>
        <v/>
      </c>
      <c r="J297" s="21">
        <f>IF($I297="","",IF($I297=0,"OK",IF($G297&lt;=0,"Sin stock: pedir ya","Pedir o producir")))</f>
        <v/>
      </c>
      <c r="K297" s="17" t="n"/>
      <c r="L297" s="17" t="n"/>
      <c r="M297" s="21">
        <f>IF(OR($A297="",$A297&lt;&gt;'Lista para pedir'!$C$3,N($I297)&lt;=0),"",COUNTIFS($A$2:$A297,$A297,$I$2:$I297,"&gt;0"))</f>
        <v/>
      </c>
    </row>
    <row r="298">
      <c r="A298" s="20" t="n"/>
      <c r="B298" s="21">
        <f>IF($A298="","",CHOOSE(WEEKDAY($A298,2),"Lunes","Martes","Miércoles","Jueves","Viernes","Sábado","Domingo"))</f>
        <v/>
      </c>
      <c r="C298" s="17" t="n"/>
      <c r="D298" s="21">
        <f>IF($C298="","",IFERROR(INDEX(Insumos!$B$2:$B$151,MATCH($C298,Insumos!$A$2:$A$151,0)),"Código no cargado"))</f>
        <v/>
      </c>
      <c r="E298" s="21">
        <f>IF($C298="","",IFERROR(INDEX(Insumos!$C$2:$C$151,MATCH($C298,Insumos!$A$2:$A$151,0)),""))</f>
        <v/>
      </c>
      <c r="F298" s="21">
        <f>IF($C298="","",IFERROR(INDEX(Insumos!$D$2:$D$151,MATCH($C298,Insumos!$A$2:$A$151,0)),""))</f>
        <v/>
      </c>
      <c r="G298" s="18" t="n"/>
      <c r="H298" s="19">
        <f>IF(OR($A298="",$C298=""),"",IFERROR(INDEX(Insumos!$M$2:$S$151,MATCH($C298,Insumos!$A$2:$A$151,0),WEEKDAY($A298,2)),""))</f>
        <v/>
      </c>
      <c r="I298" s="19">
        <f>IF(OR($G298="",$H298=""),"",MAX(0,$H298-$G298))</f>
        <v/>
      </c>
      <c r="J298" s="21">
        <f>IF($I298="","",IF($I298=0,"OK",IF($G298&lt;=0,"Sin stock: pedir ya","Pedir o producir")))</f>
        <v/>
      </c>
      <c r="K298" s="17" t="n"/>
      <c r="L298" s="17" t="n"/>
      <c r="M298" s="21">
        <f>IF(OR($A298="",$A298&lt;&gt;'Lista para pedir'!$C$3,N($I298)&lt;=0),"",COUNTIFS($A$2:$A298,$A298,$I$2:$I298,"&gt;0"))</f>
        <v/>
      </c>
    </row>
    <row r="299">
      <c r="A299" s="20" t="n"/>
      <c r="B299" s="21">
        <f>IF($A299="","",CHOOSE(WEEKDAY($A299,2),"Lunes","Martes","Miércoles","Jueves","Viernes","Sábado","Domingo"))</f>
        <v/>
      </c>
      <c r="C299" s="17" t="n"/>
      <c r="D299" s="21">
        <f>IF($C299="","",IFERROR(INDEX(Insumos!$B$2:$B$151,MATCH($C299,Insumos!$A$2:$A$151,0)),"Código no cargado"))</f>
        <v/>
      </c>
      <c r="E299" s="21">
        <f>IF($C299="","",IFERROR(INDEX(Insumos!$C$2:$C$151,MATCH($C299,Insumos!$A$2:$A$151,0)),""))</f>
        <v/>
      </c>
      <c r="F299" s="21">
        <f>IF($C299="","",IFERROR(INDEX(Insumos!$D$2:$D$151,MATCH($C299,Insumos!$A$2:$A$151,0)),""))</f>
        <v/>
      </c>
      <c r="G299" s="18" t="n"/>
      <c r="H299" s="19">
        <f>IF(OR($A299="",$C299=""),"",IFERROR(INDEX(Insumos!$M$2:$S$151,MATCH($C299,Insumos!$A$2:$A$151,0),WEEKDAY($A299,2)),""))</f>
        <v/>
      </c>
      <c r="I299" s="19">
        <f>IF(OR($G299="",$H299=""),"",MAX(0,$H299-$G299))</f>
        <v/>
      </c>
      <c r="J299" s="21">
        <f>IF($I299="","",IF($I299=0,"OK",IF($G299&lt;=0,"Sin stock: pedir ya","Pedir o producir")))</f>
        <v/>
      </c>
      <c r="K299" s="17" t="n"/>
      <c r="L299" s="17" t="n"/>
      <c r="M299" s="21">
        <f>IF(OR($A299="",$A299&lt;&gt;'Lista para pedir'!$C$3,N($I299)&lt;=0),"",COUNTIFS($A$2:$A299,$A299,$I$2:$I299,"&gt;0"))</f>
        <v/>
      </c>
    </row>
    <row r="300">
      <c r="A300" s="20" t="n"/>
      <c r="B300" s="21">
        <f>IF($A300="","",CHOOSE(WEEKDAY($A300,2),"Lunes","Martes","Miércoles","Jueves","Viernes","Sábado","Domingo"))</f>
        <v/>
      </c>
      <c r="C300" s="17" t="n"/>
      <c r="D300" s="21">
        <f>IF($C300="","",IFERROR(INDEX(Insumos!$B$2:$B$151,MATCH($C300,Insumos!$A$2:$A$151,0)),"Código no cargado"))</f>
        <v/>
      </c>
      <c r="E300" s="21">
        <f>IF($C300="","",IFERROR(INDEX(Insumos!$C$2:$C$151,MATCH($C300,Insumos!$A$2:$A$151,0)),""))</f>
        <v/>
      </c>
      <c r="F300" s="21">
        <f>IF($C300="","",IFERROR(INDEX(Insumos!$D$2:$D$151,MATCH($C300,Insumos!$A$2:$A$151,0)),""))</f>
        <v/>
      </c>
      <c r="G300" s="18" t="n"/>
      <c r="H300" s="19">
        <f>IF(OR($A300="",$C300=""),"",IFERROR(INDEX(Insumos!$M$2:$S$151,MATCH($C300,Insumos!$A$2:$A$151,0),WEEKDAY($A300,2)),""))</f>
        <v/>
      </c>
      <c r="I300" s="19">
        <f>IF(OR($G300="",$H300=""),"",MAX(0,$H300-$G300))</f>
        <v/>
      </c>
      <c r="J300" s="21">
        <f>IF($I300="","",IF($I300=0,"OK",IF($G300&lt;=0,"Sin stock: pedir ya","Pedir o producir")))</f>
        <v/>
      </c>
      <c r="K300" s="17" t="n"/>
      <c r="L300" s="17" t="n"/>
      <c r="M300" s="21">
        <f>IF(OR($A300="",$A300&lt;&gt;'Lista para pedir'!$C$3,N($I300)&lt;=0),"",COUNTIFS($A$2:$A300,$A300,$I$2:$I300,"&gt;0"))</f>
        <v/>
      </c>
    </row>
    <row r="301">
      <c r="A301" s="20" t="n"/>
      <c r="B301" s="21">
        <f>IF($A301="","",CHOOSE(WEEKDAY($A301,2),"Lunes","Martes","Miércoles","Jueves","Viernes","Sábado","Domingo"))</f>
        <v/>
      </c>
      <c r="C301" s="17" t="n"/>
      <c r="D301" s="21">
        <f>IF($C301="","",IFERROR(INDEX(Insumos!$B$2:$B$151,MATCH($C301,Insumos!$A$2:$A$151,0)),"Código no cargado"))</f>
        <v/>
      </c>
      <c r="E301" s="21">
        <f>IF($C301="","",IFERROR(INDEX(Insumos!$C$2:$C$151,MATCH($C301,Insumos!$A$2:$A$151,0)),""))</f>
        <v/>
      </c>
      <c r="F301" s="21">
        <f>IF($C301="","",IFERROR(INDEX(Insumos!$D$2:$D$151,MATCH($C301,Insumos!$A$2:$A$151,0)),""))</f>
        <v/>
      </c>
      <c r="G301" s="18" t="n"/>
      <c r="H301" s="19">
        <f>IF(OR($A301="",$C301=""),"",IFERROR(INDEX(Insumos!$M$2:$S$151,MATCH($C301,Insumos!$A$2:$A$151,0),WEEKDAY($A301,2)),""))</f>
        <v/>
      </c>
      <c r="I301" s="19">
        <f>IF(OR($G301="",$H301=""),"",MAX(0,$H301-$G301))</f>
        <v/>
      </c>
      <c r="J301" s="21">
        <f>IF($I301="","",IF($I301=0,"OK",IF($G301&lt;=0,"Sin stock: pedir ya","Pedir o producir")))</f>
        <v/>
      </c>
      <c r="K301" s="17" t="n"/>
      <c r="L301" s="17" t="n"/>
      <c r="M301" s="21">
        <f>IF(OR($A301="",$A301&lt;&gt;'Lista para pedir'!$C$3,N($I301)&lt;=0),"",COUNTIFS($A$2:$A301,$A301,$I$2:$I301,"&gt;0"))</f>
        <v/>
      </c>
    </row>
    <row r="302">
      <c r="A302" s="20" t="n"/>
      <c r="B302" s="21">
        <f>IF($A302="","",CHOOSE(WEEKDAY($A302,2),"Lunes","Martes","Miércoles","Jueves","Viernes","Sábado","Domingo"))</f>
        <v/>
      </c>
      <c r="C302" s="17" t="n"/>
      <c r="D302" s="21">
        <f>IF($C302="","",IFERROR(INDEX(Insumos!$B$2:$B$151,MATCH($C302,Insumos!$A$2:$A$151,0)),"Código no cargado"))</f>
        <v/>
      </c>
      <c r="E302" s="21">
        <f>IF($C302="","",IFERROR(INDEX(Insumos!$C$2:$C$151,MATCH($C302,Insumos!$A$2:$A$151,0)),""))</f>
        <v/>
      </c>
      <c r="F302" s="21">
        <f>IF($C302="","",IFERROR(INDEX(Insumos!$D$2:$D$151,MATCH($C302,Insumos!$A$2:$A$151,0)),""))</f>
        <v/>
      </c>
      <c r="G302" s="18" t="n"/>
      <c r="H302" s="19">
        <f>IF(OR($A302="",$C302=""),"",IFERROR(INDEX(Insumos!$M$2:$S$151,MATCH($C302,Insumos!$A$2:$A$151,0),WEEKDAY($A302,2)),""))</f>
        <v/>
      </c>
      <c r="I302" s="19">
        <f>IF(OR($G302="",$H302=""),"",MAX(0,$H302-$G302))</f>
        <v/>
      </c>
      <c r="J302" s="21">
        <f>IF($I302="","",IF($I302=0,"OK",IF($G302&lt;=0,"Sin stock: pedir ya","Pedir o producir")))</f>
        <v/>
      </c>
      <c r="K302" s="17" t="n"/>
      <c r="L302" s="17" t="n"/>
      <c r="M302" s="21">
        <f>IF(OR($A302="",$A302&lt;&gt;'Lista para pedir'!$C$3,N($I302)&lt;=0),"",COUNTIFS($A$2:$A302,$A302,$I$2:$I302,"&gt;0"))</f>
        <v/>
      </c>
    </row>
    <row r="303">
      <c r="A303" s="20" t="n"/>
      <c r="B303" s="21">
        <f>IF($A303="","",CHOOSE(WEEKDAY($A303,2),"Lunes","Martes","Miércoles","Jueves","Viernes","Sábado","Domingo"))</f>
        <v/>
      </c>
      <c r="C303" s="17" t="n"/>
      <c r="D303" s="21">
        <f>IF($C303="","",IFERROR(INDEX(Insumos!$B$2:$B$151,MATCH($C303,Insumos!$A$2:$A$151,0)),"Código no cargado"))</f>
        <v/>
      </c>
      <c r="E303" s="21">
        <f>IF($C303="","",IFERROR(INDEX(Insumos!$C$2:$C$151,MATCH($C303,Insumos!$A$2:$A$151,0)),""))</f>
        <v/>
      </c>
      <c r="F303" s="21">
        <f>IF($C303="","",IFERROR(INDEX(Insumos!$D$2:$D$151,MATCH($C303,Insumos!$A$2:$A$151,0)),""))</f>
        <v/>
      </c>
      <c r="G303" s="18" t="n"/>
      <c r="H303" s="19">
        <f>IF(OR($A303="",$C303=""),"",IFERROR(INDEX(Insumos!$M$2:$S$151,MATCH($C303,Insumos!$A$2:$A$151,0),WEEKDAY($A303,2)),""))</f>
        <v/>
      </c>
      <c r="I303" s="19">
        <f>IF(OR($G303="",$H303=""),"",MAX(0,$H303-$G303))</f>
        <v/>
      </c>
      <c r="J303" s="21">
        <f>IF($I303="","",IF($I303=0,"OK",IF($G303&lt;=0,"Sin stock: pedir ya","Pedir o producir")))</f>
        <v/>
      </c>
      <c r="K303" s="17" t="n"/>
      <c r="L303" s="17" t="n"/>
      <c r="M303" s="21">
        <f>IF(OR($A303="",$A303&lt;&gt;'Lista para pedir'!$C$3,N($I303)&lt;=0),"",COUNTIFS($A$2:$A303,$A303,$I$2:$I303,"&gt;0"))</f>
        <v/>
      </c>
    </row>
    <row r="304">
      <c r="A304" s="20" t="n"/>
      <c r="B304" s="21">
        <f>IF($A304="","",CHOOSE(WEEKDAY($A304,2),"Lunes","Martes","Miércoles","Jueves","Viernes","Sábado","Domingo"))</f>
        <v/>
      </c>
      <c r="C304" s="17" t="n"/>
      <c r="D304" s="21">
        <f>IF($C304="","",IFERROR(INDEX(Insumos!$B$2:$B$151,MATCH($C304,Insumos!$A$2:$A$151,0)),"Código no cargado"))</f>
        <v/>
      </c>
      <c r="E304" s="21">
        <f>IF($C304="","",IFERROR(INDEX(Insumos!$C$2:$C$151,MATCH($C304,Insumos!$A$2:$A$151,0)),""))</f>
        <v/>
      </c>
      <c r="F304" s="21">
        <f>IF($C304="","",IFERROR(INDEX(Insumos!$D$2:$D$151,MATCH($C304,Insumos!$A$2:$A$151,0)),""))</f>
        <v/>
      </c>
      <c r="G304" s="18" t="n"/>
      <c r="H304" s="19">
        <f>IF(OR($A304="",$C304=""),"",IFERROR(INDEX(Insumos!$M$2:$S$151,MATCH($C304,Insumos!$A$2:$A$151,0),WEEKDAY($A304,2)),""))</f>
        <v/>
      </c>
      <c r="I304" s="19">
        <f>IF(OR($G304="",$H304=""),"",MAX(0,$H304-$G304))</f>
        <v/>
      </c>
      <c r="J304" s="21">
        <f>IF($I304="","",IF($I304=0,"OK",IF($G304&lt;=0,"Sin stock: pedir ya","Pedir o producir")))</f>
        <v/>
      </c>
      <c r="K304" s="17" t="n"/>
      <c r="L304" s="17" t="n"/>
      <c r="M304" s="21">
        <f>IF(OR($A304="",$A304&lt;&gt;'Lista para pedir'!$C$3,N($I304)&lt;=0),"",COUNTIFS($A$2:$A304,$A304,$I$2:$I304,"&gt;0"))</f>
        <v/>
      </c>
    </row>
    <row r="305">
      <c r="A305" s="20" t="n"/>
      <c r="B305" s="21">
        <f>IF($A305="","",CHOOSE(WEEKDAY($A305,2),"Lunes","Martes","Miércoles","Jueves","Viernes","Sábado","Domingo"))</f>
        <v/>
      </c>
      <c r="C305" s="17" t="n"/>
      <c r="D305" s="21">
        <f>IF($C305="","",IFERROR(INDEX(Insumos!$B$2:$B$151,MATCH($C305,Insumos!$A$2:$A$151,0)),"Código no cargado"))</f>
        <v/>
      </c>
      <c r="E305" s="21">
        <f>IF($C305="","",IFERROR(INDEX(Insumos!$C$2:$C$151,MATCH($C305,Insumos!$A$2:$A$151,0)),""))</f>
        <v/>
      </c>
      <c r="F305" s="21">
        <f>IF($C305="","",IFERROR(INDEX(Insumos!$D$2:$D$151,MATCH($C305,Insumos!$A$2:$A$151,0)),""))</f>
        <v/>
      </c>
      <c r="G305" s="18" t="n"/>
      <c r="H305" s="19">
        <f>IF(OR($A305="",$C305=""),"",IFERROR(INDEX(Insumos!$M$2:$S$151,MATCH($C305,Insumos!$A$2:$A$151,0),WEEKDAY($A305,2)),""))</f>
        <v/>
      </c>
      <c r="I305" s="19">
        <f>IF(OR($G305="",$H305=""),"",MAX(0,$H305-$G305))</f>
        <v/>
      </c>
      <c r="J305" s="21">
        <f>IF($I305="","",IF($I305=0,"OK",IF($G305&lt;=0,"Sin stock: pedir ya","Pedir o producir")))</f>
        <v/>
      </c>
      <c r="K305" s="17" t="n"/>
      <c r="L305" s="17" t="n"/>
      <c r="M305" s="21">
        <f>IF(OR($A305="",$A305&lt;&gt;'Lista para pedir'!$C$3,N($I305)&lt;=0),"",COUNTIFS($A$2:$A305,$A305,$I$2:$I305,"&gt;0"))</f>
        <v/>
      </c>
    </row>
    <row r="306">
      <c r="A306" s="20" t="n"/>
      <c r="B306" s="21">
        <f>IF($A306="","",CHOOSE(WEEKDAY($A306,2),"Lunes","Martes","Miércoles","Jueves","Viernes","Sábado","Domingo"))</f>
        <v/>
      </c>
      <c r="C306" s="17" t="n"/>
      <c r="D306" s="21">
        <f>IF($C306="","",IFERROR(INDEX(Insumos!$B$2:$B$151,MATCH($C306,Insumos!$A$2:$A$151,0)),"Código no cargado"))</f>
        <v/>
      </c>
      <c r="E306" s="21">
        <f>IF($C306="","",IFERROR(INDEX(Insumos!$C$2:$C$151,MATCH($C306,Insumos!$A$2:$A$151,0)),""))</f>
        <v/>
      </c>
      <c r="F306" s="21">
        <f>IF($C306="","",IFERROR(INDEX(Insumos!$D$2:$D$151,MATCH($C306,Insumos!$A$2:$A$151,0)),""))</f>
        <v/>
      </c>
      <c r="G306" s="18" t="n"/>
      <c r="H306" s="19">
        <f>IF(OR($A306="",$C306=""),"",IFERROR(INDEX(Insumos!$M$2:$S$151,MATCH($C306,Insumos!$A$2:$A$151,0),WEEKDAY($A306,2)),""))</f>
        <v/>
      </c>
      <c r="I306" s="19">
        <f>IF(OR($G306="",$H306=""),"",MAX(0,$H306-$G306))</f>
        <v/>
      </c>
      <c r="J306" s="21">
        <f>IF($I306="","",IF($I306=0,"OK",IF($G306&lt;=0,"Sin stock: pedir ya","Pedir o producir")))</f>
        <v/>
      </c>
      <c r="K306" s="17" t="n"/>
      <c r="L306" s="17" t="n"/>
      <c r="M306" s="21">
        <f>IF(OR($A306="",$A306&lt;&gt;'Lista para pedir'!$C$3,N($I306)&lt;=0),"",COUNTIFS($A$2:$A306,$A306,$I$2:$I306,"&gt;0"))</f>
        <v/>
      </c>
    </row>
    <row r="307">
      <c r="A307" s="20" t="n"/>
      <c r="B307" s="21">
        <f>IF($A307="","",CHOOSE(WEEKDAY($A307,2),"Lunes","Martes","Miércoles","Jueves","Viernes","Sábado","Domingo"))</f>
        <v/>
      </c>
      <c r="C307" s="17" t="n"/>
      <c r="D307" s="21">
        <f>IF($C307="","",IFERROR(INDEX(Insumos!$B$2:$B$151,MATCH($C307,Insumos!$A$2:$A$151,0)),"Código no cargado"))</f>
        <v/>
      </c>
      <c r="E307" s="21">
        <f>IF($C307="","",IFERROR(INDEX(Insumos!$C$2:$C$151,MATCH($C307,Insumos!$A$2:$A$151,0)),""))</f>
        <v/>
      </c>
      <c r="F307" s="21">
        <f>IF($C307="","",IFERROR(INDEX(Insumos!$D$2:$D$151,MATCH($C307,Insumos!$A$2:$A$151,0)),""))</f>
        <v/>
      </c>
      <c r="G307" s="18" t="n"/>
      <c r="H307" s="19">
        <f>IF(OR($A307="",$C307=""),"",IFERROR(INDEX(Insumos!$M$2:$S$151,MATCH($C307,Insumos!$A$2:$A$151,0),WEEKDAY($A307,2)),""))</f>
        <v/>
      </c>
      <c r="I307" s="19">
        <f>IF(OR($G307="",$H307=""),"",MAX(0,$H307-$G307))</f>
        <v/>
      </c>
      <c r="J307" s="21">
        <f>IF($I307="","",IF($I307=0,"OK",IF($G307&lt;=0,"Sin stock: pedir ya","Pedir o producir")))</f>
        <v/>
      </c>
      <c r="K307" s="17" t="n"/>
      <c r="L307" s="17" t="n"/>
      <c r="M307" s="21">
        <f>IF(OR($A307="",$A307&lt;&gt;'Lista para pedir'!$C$3,N($I307)&lt;=0),"",COUNTIFS($A$2:$A307,$A307,$I$2:$I307,"&gt;0"))</f>
        <v/>
      </c>
    </row>
    <row r="308">
      <c r="A308" s="20" t="n"/>
      <c r="B308" s="21">
        <f>IF($A308="","",CHOOSE(WEEKDAY($A308,2),"Lunes","Martes","Miércoles","Jueves","Viernes","Sábado","Domingo"))</f>
        <v/>
      </c>
      <c r="C308" s="17" t="n"/>
      <c r="D308" s="21">
        <f>IF($C308="","",IFERROR(INDEX(Insumos!$B$2:$B$151,MATCH($C308,Insumos!$A$2:$A$151,0)),"Código no cargado"))</f>
        <v/>
      </c>
      <c r="E308" s="21">
        <f>IF($C308="","",IFERROR(INDEX(Insumos!$C$2:$C$151,MATCH($C308,Insumos!$A$2:$A$151,0)),""))</f>
        <v/>
      </c>
      <c r="F308" s="21">
        <f>IF($C308="","",IFERROR(INDEX(Insumos!$D$2:$D$151,MATCH($C308,Insumos!$A$2:$A$151,0)),""))</f>
        <v/>
      </c>
      <c r="G308" s="18" t="n"/>
      <c r="H308" s="19">
        <f>IF(OR($A308="",$C308=""),"",IFERROR(INDEX(Insumos!$M$2:$S$151,MATCH($C308,Insumos!$A$2:$A$151,0),WEEKDAY($A308,2)),""))</f>
        <v/>
      </c>
      <c r="I308" s="19">
        <f>IF(OR($G308="",$H308=""),"",MAX(0,$H308-$G308))</f>
        <v/>
      </c>
      <c r="J308" s="21">
        <f>IF($I308="","",IF($I308=0,"OK",IF($G308&lt;=0,"Sin stock: pedir ya","Pedir o producir")))</f>
        <v/>
      </c>
      <c r="K308" s="17" t="n"/>
      <c r="L308" s="17" t="n"/>
      <c r="M308" s="21">
        <f>IF(OR($A308="",$A308&lt;&gt;'Lista para pedir'!$C$3,N($I308)&lt;=0),"",COUNTIFS($A$2:$A308,$A308,$I$2:$I308,"&gt;0"))</f>
        <v/>
      </c>
    </row>
    <row r="309">
      <c r="A309" s="20" t="n"/>
      <c r="B309" s="21">
        <f>IF($A309="","",CHOOSE(WEEKDAY($A309,2),"Lunes","Martes","Miércoles","Jueves","Viernes","Sábado","Domingo"))</f>
        <v/>
      </c>
      <c r="C309" s="17" t="n"/>
      <c r="D309" s="21">
        <f>IF($C309="","",IFERROR(INDEX(Insumos!$B$2:$B$151,MATCH($C309,Insumos!$A$2:$A$151,0)),"Código no cargado"))</f>
        <v/>
      </c>
      <c r="E309" s="21">
        <f>IF($C309="","",IFERROR(INDEX(Insumos!$C$2:$C$151,MATCH($C309,Insumos!$A$2:$A$151,0)),""))</f>
        <v/>
      </c>
      <c r="F309" s="21">
        <f>IF($C309="","",IFERROR(INDEX(Insumos!$D$2:$D$151,MATCH($C309,Insumos!$A$2:$A$151,0)),""))</f>
        <v/>
      </c>
      <c r="G309" s="18" t="n"/>
      <c r="H309" s="19">
        <f>IF(OR($A309="",$C309=""),"",IFERROR(INDEX(Insumos!$M$2:$S$151,MATCH($C309,Insumos!$A$2:$A$151,0),WEEKDAY($A309,2)),""))</f>
        <v/>
      </c>
      <c r="I309" s="19">
        <f>IF(OR($G309="",$H309=""),"",MAX(0,$H309-$G309))</f>
        <v/>
      </c>
      <c r="J309" s="21">
        <f>IF($I309="","",IF($I309=0,"OK",IF($G309&lt;=0,"Sin stock: pedir ya","Pedir o producir")))</f>
        <v/>
      </c>
      <c r="K309" s="17" t="n"/>
      <c r="L309" s="17" t="n"/>
      <c r="M309" s="21">
        <f>IF(OR($A309="",$A309&lt;&gt;'Lista para pedir'!$C$3,N($I309)&lt;=0),"",COUNTIFS($A$2:$A309,$A309,$I$2:$I309,"&gt;0"))</f>
        <v/>
      </c>
    </row>
    <row r="310">
      <c r="A310" s="20" t="n"/>
      <c r="B310" s="21">
        <f>IF($A310="","",CHOOSE(WEEKDAY($A310,2),"Lunes","Martes","Miércoles","Jueves","Viernes","Sábado","Domingo"))</f>
        <v/>
      </c>
      <c r="C310" s="17" t="n"/>
      <c r="D310" s="21">
        <f>IF($C310="","",IFERROR(INDEX(Insumos!$B$2:$B$151,MATCH($C310,Insumos!$A$2:$A$151,0)),"Código no cargado"))</f>
        <v/>
      </c>
      <c r="E310" s="21">
        <f>IF($C310="","",IFERROR(INDEX(Insumos!$C$2:$C$151,MATCH($C310,Insumos!$A$2:$A$151,0)),""))</f>
        <v/>
      </c>
      <c r="F310" s="21">
        <f>IF($C310="","",IFERROR(INDEX(Insumos!$D$2:$D$151,MATCH($C310,Insumos!$A$2:$A$151,0)),""))</f>
        <v/>
      </c>
      <c r="G310" s="18" t="n"/>
      <c r="H310" s="19">
        <f>IF(OR($A310="",$C310=""),"",IFERROR(INDEX(Insumos!$M$2:$S$151,MATCH($C310,Insumos!$A$2:$A$151,0),WEEKDAY($A310,2)),""))</f>
        <v/>
      </c>
      <c r="I310" s="19">
        <f>IF(OR($G310="",$H310=""),"",MAX(0,$H310-$G310))</f>
        <v/>
      </c>
      <c r="J310" s="21">
        <f>IF($I310="","",IF($I310=0,"OK",IF($G310&lt;=0,"Sin stock: pedir ya","Pedir o producir")))</f>
        <v/>
      </c>
      <c r="K310" s="17" t="n"/>
      <c r="L310" s="17" t="n"/>
      <c r="M310" s="21">
        <f>IF(OR($A310="",$A310&lt;&gt;'Lista para pedir'!$C$3,N($I310)&lt;=0),"",COUNTIFS($A$2:$A310,$A310,$I$2:$I310,"&gt;0"))</f>
        <v/>
      </c>
    </row>
    <row r="311">
      <c r="A311" s="20" t="n"/>
      <c r="B311" s="21">
        <f>IF($A311="","",CHOOSE(WEEKDAY($A311,2),"Lunes","Martes","Miércoles","Jueves","Viernes","Sábado","Domingo"))</f>
        <v/>
      </c>
      <c r="C311" s="17" t="n"/>
      <c r="D311" s="21">
        <f>IF($C311="","",IFERROR(INDEX(Insumos!$B$2:$B$151,MATCH($C311,Insumos!$A$2:$A$151,0)),"Código no cargado"))</f>
        <v/>
      </c>
      <c r="E311" s="21">
        <f>IF($C311="","",IFERROR(INDEX(Insumos!$C$2:$C$151,MATCH($C311,Insumos!$A$2:$A$151,0)),""))</f>
        <v/>
      </c>
      <c r="F311" s="21">
        <f>IF($C311="","",IFERROR(INDEX(Insumos!$D$2:$D$151,MATCH($C311,Insumos!$A$2:$A$151,0)),""))</f>
        <v/>
      </c>
      <c r="G311" s="18" t="n"/>
      <c r="H311" s="19">
        <f>IF(OR($A311="",$C311=""),"",IFERROR(INDEX(Insumos!$M$2:$S$151,MATCH($C311,Insumos!$A$2:$A$151,0),WEEKDAY($A311,2)),""))</f>
        <v/>
      </c>
      <c r="I311" s="19">
        <f>IF(OR($G311="",$H311=""),"",MAX(0,$H311-$G311))</f>
        <v/>
      </c>
      <c r="J311" s="21">
        <f>IF($I311="","",IF($I311=0,"OK",IF($G311&lt;=0,"Sin stock: pedir ya","Pedir o producir")))</f>
        <v/>
      </c>
      <c r="K311" s="17" t="n"/>
      <c r="L311" s="17" t="n"/>
      <c r="M311" s="21">
        <f>IF(OR($A311="",$A311&lt;&gt;'Lista para pedir'!$C$3,N($I311)&lt;=0),"",COUNTIFS($A$2:$A311,$A311,$I$2:$I311,"&gt;0"))</f>
        <v/>
      </c>
    </row>
    <row r="312">
      <c r="A312" s="20" t="n"/>
      <c r="B312" s="21">
        <f>IF($A312="","",CHOOSE(WEEKDAY($A312,2),"Lunes","Martes","Miércoles","Jueves","Viernes","Sábado","Domingo"))</f>
        <v/>
      </c>
      <c r="C312" s="17" t="n"/>
      <c r="D312" s="21">
        <f>IF($C312="","",IFERROR(INDEX(Insumos!$B$2:$B$151,MATCH($C312,Insumos!$A$2:$A$151,0)),"Código no cargado"))</f>
        <v/>
      </c>
      <c r="E312" s="21">
        <f>IF($C312="","",IFERROR(INDEX(Insumos!$C$2:$C$151,MATCH($C312,Insumos!$A$2:$A$151,0)),""))</f>
        <v/>
      </c>
      <c r="F312" s="21">
        <f>IF($C312="","",IFERROR(INDEX(Insumos!$D$2:$D$151,MATCH($C312,Insumos!$A$2:$A$151,0)),""))</f>
        <v/>
      </c>
      <c r="G312" s="18" t="n"/>
      <c r="H312" s="19">
        <f>IF(OR($A312="",$C312=""),"",IFERROR(INDEX(Insumos!$M$2:$S$151,MATCH($C312,Insumos!$A$2:$A$151,0),WEEKDAY($A312,2)),""))</f>
        <v/>
      </c>
      <c r="I312" s="19">
        <f>IF(OR($G312="",$H312=""),"",MAX(0,$H312-$G312))</f>
        <v/>
      </c>
      <c r="J312" s="21">
        <f>IF($I312="","",IF($I312=0,"OK",IF($G312&lt;=0,"Sin stock: pedir ya","Pedir o producir")))</f>
        <v/>
      </c>
      <c r="K312" s="17" t="n"/>
      <c r="L312" s="17" t="n"/>
      <c r="M312" s="21">
        <f>IF(OR($A312="",$A312&lt;&gt;'Lista para pedir'!$C$3,N($I312)&lt;=0),"",COUNTIFS($A$2:$A312,$A312,$I$2:$I312,"&gt;0"))</f>
        <v/>
      </c>
    </row>
    <row r="313">
      <c r="A313" s="20" t="n"/>
      <c r="B313" s="21">
        <f>IF($A313="","",CHOOSE(WEEKDAY($A313,2),"Lunes","Martes","Miércoles","Jueves","Viernes","Sábado","Domingo"))</f>
        <v/>
      </c>
      <c r="C313" s="17" t="n"/>
      <c r="D313" s="21">
        <f>IF($C313="","",IFERROR(INDEX(Insumos!$B$2:$B$151,MATCH($C313,Insumos!$A$2:$A$151,0)),"Código no cargado"))</f>
        <v/>
      </c>
      <c r="E313" s="21">
        <f>IF($C313="","",IFERROR(INDEX(Insumos!$C$2:$C$151,MATCH($C313,Insumos!$A$2:$A$151,0)),""))</f>
        <v/>
      </c>
      <c r="F313" s="21">
        <f>IF($C313="","",IFERROR(INDEX(Insumos!$D$2:$D$151,MATCH($C313,Insumos!$A$2:$A$151,0)),""))</f>
        <v/>
      </c>
      <c r="G313" s="18" t="n"/>
      <c r="H313" s="19">
        <f>IF(OR($A313="",$C313=""),"",IFERROR(INDEX(Insumos!$M$2:$S$151,MATCH($C313,Insumos!$A$2:$A$151,0),WEEKDAY($A313,2)),""))</f>
        <v/>
      </c>
      <c r="I313" s="19">
        <f>IF(OR($G313="",$H313=""),"",MAX(0,$H313-$G313))</f>
        <v/>
      </c>
      <c r="J313" s="21">
        <f>IF($I313="","",IF($I313=0,"OK",IF($G313&lt;=0,"Sin stock: pedir ya","Pedir o producir")))</f>
        <v/>
      </c>
      <c r="K313" s="17" t="n"/>
      <c r="L313" s="17" t="n"/>
      <c r="M313" s="21">
        <f>IF(OR($A313="",$A313&lt;&gt;'Lista para pedir'!$C$3,N($I313)&lt;=0),"",COUNTIFS($A$2:$A313,$A313,$I$2:$I313,"&gt;0"))</f>
        <v/>
      </c>
    </row>
    <row r="314">
      <c r="A314" s="20" t="n"/>
      <c r="B314" s="21">
        <f>IF($A314="","",CHOOSE(WEEKDAY($A314,2),"Lunes","Martes","Miércoles","Jueves","Viernes","Sábado","Domingo"))</f>
        <v/>
      </c>
      <c r="C314" s="17" t="n"/>
      <c r="D314" s="21">
        <f>IF($C314="","",IFERROR(INDEX(Insumos!$B$2:$B$151,MATCH($C314,Insumos!$A$2:$A$151,0)),"Código no cargado"))</f>
        <v/>
      </c>
      <c r="E314" s="21">
        <f>IF($C314="","",IFERROR(INDEX(Insumos!$C$2:$C$151,MATCH($C314,Insumos!$A$2:$A$151,0)),""))</f>
        <v/>
      </c>
      <c r="F314" s="21">
        <f>IF($C314="","",IFERROR(INDEX(Insumos!$D$2:$D$151,MATCH($C314,Insumos!$A$2:$A$151,0)),""))</f>
        <v/>
      </c>
      <c r="G314" s="18" t="n"/>
      <c r="H314" s="19">
        <f>IF(OR($A314="",$C314=""),"",IFERROR(INDEX(Insumos!$M$2:$S$151,MATCH($C314,Insumos!$A$2:$A$151,0),WEEKDAY($A314,2)),""))</f>
        <v/>
      </c>
      <c r="I314" s="19">
        <f>IF(OR($G314="",$H314=""),"",MAX(0,$H314-$G314))</f>
        <v/>
      </c>
      <c r="J314" s="21">
        <f>IF($I314="","",IF($I314=0,"OK",IF($G314&lt;=0,"Sin stock: pedir ya","Pedir o producir")))</f>
        <v/>
      </c>
      <c r="K314" s="17" t="n"/>
      <c r="L314" s="17" t="n"/>
      <c r="M314" s="21">
        <f>IF(OR($A314="",$A314&lt;&gt;'Lista para pedir'!$C$3,N($I314)&lt;=0),"",COUNTIFS($A$2:$A314,$A314,$I$2:$I314,"&gt;0"))</f>
        <v/>
      </c>
    </row>
    <row r="315">
      <c r="A315" s="20" t="n"/>
      <c r="B315" s="21">
        <f>IF($A315="","",CHOOSE(WEEKDAY($A315,2),"Lunes","Martes","Miércoles","Jueves","Viernes","Sábado","Domingo"))</f>
        <v/>
      </c>
      <c r="C315" s="17" t="n"/>
      <c r="D315" s="21">
        <f>IF($C315="","",IFERROR(INDEX(Insumos!$B$2:$B$151,MATCH($C315,Insumos!$A$2:$A$151,0)),"Código no cargado"))</f>
        <v/>
      </c>
      <c r="E315" s="21">
        <f>IF($C315="","",IFERROR(INDEX(Insumos!$C$2:$C$151,MATCH($C315,Insumos!$A$2:$A$151,0)),""))</f>
        <v/>
      </c>
      <c r="F315" s="21">
        <f>IF($C315="","",IFERROR(INDEX(Insumos!$D$2:$D$151,MATCH($C315,Insumos!$A$2:$A$151,0)),""))</f>
        <v/>
      </c>
      <c r="G315" s="18" t="n"/>
      <c r="H315" s="19">
        <f>IF(OR($A315="",$C315=""),"",IFERROR(INDEX(Insumos!$M$2:$S$151,MATCH($C315,Insumos!$A$2:$A$151,0),WEEKDAY($A315,2)),""))</f>
        <v/>
      </c>
      <c r="I315" s="19">
        <f>IF(OR($G315="",$H315=""),"",MAX(0,$H315-$G315))</f>
        <v/>
      </c>
      <c r="J315" s="21">
        <f>IF($I315="","",IF($I315=0,"OK",IF($G315&lt;=0,"Sin stock: pedir ya","Pedir o producir")))</f>
        <v/>
      </c>
      <c r="K315" s="17" t="n"/>
      <c r="L315" s="17" t="n"/>
      <c r="M315" s="21">
        <f>IF(OR($A315="",$A315&lt;&gt;'Lista para pedir'!$C$3,N($I315)&lt;=0),"",COUNTIFS($A$2:$A315,$A315,$I$2:$I315,"&gt;0"))</f>
        <v/>
      </c>
    </row>
    <row r="316">
      <c r="A316" s="20" t="n"/>
      <c r="B316" s="21">
        <f>IF($A316="","",CHOOSE(WEEKDAY($A316,2),"Lunes","Martes","Miércoles","Jueves","Viernes","Sábado","Domingo"))</f>
        <v/>
      </c>
      <c r="C316" s="17" t="n"/>
      <c r="D316" s="21">
        <f>IF($C316="","",IFERROR(INDEX(Insumos!$B$2:$B$151,MATCH($C316,Insumos!$A$2:$A$151,0)),"Código no cargado"))</f>
        <v/>
      </c>
      <c r="E316" s="21">
        <f>IF($C316="","",IFERROR(INDEX(Insumos!$C$2:$C$151,MATCH($C316,Insumos!$A$2:$A$151,0)),""))</f>
        <v/>
      </c>
      <c r="F316" s="21">
        <f>IF($C316="","",IFERROR(INDEX(Insumos!$D$2:$D$151,MATCH($C316,Insumos!$A$2:$A$151,0)),""))</f>
        <v/>
      </c>
      <c r="G316" s="18" t="n"/>
      <c r="H316" s="19">
        <f>IF(OR($A316="",$C316=""),"",IFERROR(INDEX(Insumos!$M$2:$S$151,MATCH($C316,Insumos!$A$2:$A$151,0),WEEKDAY($A316,2)),""))</f>
        <v/>
      </c>
      <c r="I316" s="19">
        <f>IF(OR($G316="",$H316=""),"",MAX(0,$H316-$G316))</f>
        <v/>
      </c>
      <c r="J316" s="21">
        <f>IF($I316="","",IF($I316=0,"OK",IF($G316&lt;=0,"Sin stock: pedir ya","Pedir o producir")))</f>
        <v/>
      </c>
      <c r="K316" s="17" t="n"/>
      <c r="L316" s="17" t="n"/>
      <c r="M316" s="21">
        <f>IF(OR($A316="",$A316&lt;&gt;'Lista para pedir'!$C$3,N($I316)&lt;=0),"",COUNTIFS($A$2:$A316,$A316,$I$2:$I316,"&gt;0"))</f>
        <v/>
      </c>
    </row>
    <row r="317">
      <c r="A317" s="20" t="n"/>
      <c r="B317" s="21">
        <f>IF($A317="","",CHOOSE(WEEKDAY($A317,2),"Lunes","Martes","Miércoles","Jueves","Viernes","Sábado","Domingo"))</f>
        <v/>
      </c>
      <c r="C317" s="17" t="n"/>
      <c r="D317" s="21">
        <f>IF($C317="","",IFERROR(INDEX(Insumos!$B$2:$B$151,MATCH($C317,Insumos!$A$2:$A$151,0)),"Código no cargado"))</f>
        <v/>
      </c>
      <c r="E317" s="21">
        <f>IF($C317="","",IFERROR(INDEX(Insumos!$C$2:$C$151,MATCH($C317,Insumos!$A$2:$A$151,0)),""))</f>
        <v/>
      </c>
      <c r="F317" s="21">
        <f>IF($C317="","",IFERROR(INDEX(Insumos!$D$2:$D$151,MATCH($C317,Insumos!$A$2:$A$151,0)),""))</f>
        <v/>
      </c>
      <c r="G317" s="18" t="n"/>
      <c r="H317" s="19">
        <f>IF(OR($A317="",$C317=""),"",IFERROR(INDEX(Insumos!$M$2:$S$151,MATCH($C317,Insumos!$A$2:$A$151,0),WEEKDAY($A317,2)),""))</f>
        <v/>
      </c>
      <c r="I317" s="19">
        <f>IF(OR($G317="",$H317=""),"",MAX(0,$H317-$G317))</f>
        <v/>
      </c>
      <c r="J317" s="21">
        <f>IF($I317="","",IF($I317=0,"OK",IF($G317&lt;=0,"Sin stock: pedir ya","Pedir o producir")))</f>
        <v/>
      </c>
      <c r="K317" s="17" t="n"/>
      <c r="L317" s="17" t="n"/>
      <c r="M317" s="21">
        <f>IF(OR($A317="",$A317&lt;&gt;'Lista para pedir'!$C$3,N($I317)&lt;=0),"",COUNTIFS($A$2:$A317,$A317,$I$2:$I317,"&gt;0"))</f>
        <v/>
      </c>
    </row>
    <row r="318">
      <c r="A318" s="20" t="n"/>
      <c r="B318" s="21">
        <f>IF($A318="","",CHOOSE(WEEKDAY($A318,2),"Lunes","Martes","Miércoles","Jueves","Viernes","Sábado","Domingo"))</f>
        <v/>
      </c>
      <c r="C318" s="17" t="n"/>
      <c r="D318" s="21">
        <f>IF($C318="","",IFERROR(INDEX(Insumos!$B$2:$B$151,MATCH($C318,Insumos!$A$2:$A$151,0)),"Código no cargado"))</f>
        <v/>
      </c>
      <c r="E318" s="21">
        <f>IF($C318="","",IFERROR(INDEX(Insumos!$C$2:$C$151,MATCH($C318,Insumos!$A$2:$A$151,0)),""))</f>
        <v/>
      </c>
      <c r="F318" s="21">
        <f>IF($C318="","",IFERROR(INDEX(Insumos!$D$2:$D$151,MATCH($C318,Insumos!$A$2:$A$151,0)),""))</f>
        <v/>
      </c>
      <c r="G318" s="18" t="n"/>
      <c r="H318" s="19">
        <f>IF(OR($A318="",$C318=""),"",IFERROR(INDEX(Insumos!$M$2:$S$151,MATCH($C318,Insumos!$A$2:$A$151,0),WEEKDAY($A318,2)),""))</f>
        <v/>
      </c>
      <c r="I318" s="19">
        <f>IF(OR($G318="",$H318=""),"",MAX(0,$H318-$G318))</f>
        <v/>
      </c>
      <c r="J318" s="21">
        <f>IF($I318="","",IF($I318=0,"OK",IF($G318&lt;=0,"Sin stock: pedir ya","Pedir o producir")))</f>
        <v/>
      </c>
      <c r="K318" s="17" t="n"/>
      <c r="L318" s="17" t="n"/>
      <c r="M318" s="21">
        <f>IF(OR($A318="",$A318&lt;&gt;'Lista para pedir'!$C$3,N($I318)&lt;=0),"",COUNTIFS($A$2:$A318,$A318,$I$2:$I318,"&gt;0"))</f>
        <v/>
      </c>
    </row>
    <row r="319">
      <c r="A319" s="20" t="n"/>
      <c r="B319" s="21">
        <f>IF($A319="","",CHOOSE(WEEKDAY($A319,2),"Lunes","Martes","Miércoles","Jueves","Viernes","Sábado","Domingo"))</f>
        <v/>
      </c>
      <c r="C319" s="17" t="n"/>
      <c r="D319" s="21">
        <f>IF($C319="","",IFERROR(INDEX(Insumos!$B$2:$B$151,MATCH($C319,Insumos!$A$2:$A$151,0)),"Código no cargado"))</f>
        <v/>
      </c>
      <c r="E319" s="21">
        <f>IF($C319="","",IFERROR(INDEX(Insumos!$C$2:$C$151,MATCH($C319,Insumos!$A$2:$A$151,0)),""))</f>
        <v/>
      </c>
      <c r="F319" s="21">
        <f>IF($C319="","",IFERROR(INDEX(Insumos!$D$2:$D$151,MATCH($C319,Insumos!$A$2:$A$151,0)),""))</f>
        <v/>
      </c>
      <c r="G319" s="18" t="n"/>
      <c r="H319" s="19">
        <f>IF(OR($A319="",$C319=""),"",IFERROR(INDEX(Insumos!$M$2:$S$151,MATCH($C319,Insumos!$A$2:$A$151,0),WEEKDAY($A319,2)),""))</f>
        <v/>
      </c>
      <c r="I319" s="19">
        <f>IF(OR($G319="",$H319=""),"",MAX(0,$H319-$G319))</f>
        <v/>
      </c>
      <c r="J319" s="21">
        <f>IF($I319="","",IF($I319=0,"OK",IF($G319&lt;=0,"Sin stock: pedir ya","Pedir o producir")))</f>
        <v/>
      </c>
      <c r="K319" s="17" t="n"/>
      <c r="L319" s="17" t="n"/>
      <c r="M319" s="21">
        <f>IF(OR($A319="",$A319&lt;&gt;'Lista para pedir'!$C$3,N($I319)&lt;=0),"",COUNTIFS($A$2:$A319,$A319,$I$2:$I319,"&gt;0"))</f>
        <v/>
      </c>
    </row>
    <row r="320">
      <c r="A320" s="20" t="n"/>
      <c r="B320" s="21">
        <f>IF($A320="","",CHOOSE(WEEKDAY($A320,2),"Lunes","Martes","Miércoles","Jueves","Viernes","Sábado","Domingo"))</f>
        <v/>
      </c>
      <c r="C320" s="17" t="n"/>
      <c r="D320" s="21">
        <f>IF($C320="","",IFERROR(INDEX(Insumos!$B$2:$B$151,MATCH($C320,Insumos!$A$2:$A$151,0)),"Código no cargado"))</f>
        <v/>
      </c>
      <c r="E320" s="21">
        <f>IF($C320="","",IFERROR(INDEX(Insumos!$C$2:$C$151,MATCH($C320,Insumos!$A$2:$A$151,0)),""))</f>
        <v/>
      </c>
      <c r="F320" s="21">
        <f>IF($C320="","",IFERROR(INDEX(Insumos!$D$2:$D$151,MATCH($C320,Insumos!$A$2:$A$151,0)),""))</f>
        <v/>
      </c>
      <c r="G320" s="18" t="n"/>
      <c r="H320" s="19">
        <f>IF(OR($A320="",$C320=""),"",IFERROR(INDEX(Insumos!$M$2:$S$151,MATCH($C320,Insumos!$A$2:$A$151,0),WEEKDAY($A320,2)),""))</f>
        <v/>
      </c>
      <c r="I320" s="19">
        <f>IF(OR($G320="",$H320=""),"",MAX(0,$H320-$G320))</f>
        <v/>
      </c>
      <c r="J320" s="21">
        <f>IF($I320="","",IF($I320=0,"OK",IF($G320&lt;=0,"Sin stock: pedir ya","Pedir o producir")))</f>
        <v/>
      </c>
      <c r="K320" s="17" t="n"/>
      <c r="L320" s="17" t="n"/>
      <c r="M320" s="21">
        <f>IF(OR($A320="",$A320&lt;&gt;'Lista para pedir'!$C$3,N($I320)&lt;=0),"",COUNTIFS($A$2:$A320,$A320,$I$2:$I320,"&gt;0"))</f>
        <v/>
      </c>
    </row>
    <row r="321">
      <c r="A321" s="20" t="n"/>
      <c r="B321" s="21">
        <f>IF($A321="","",CHOOSE(WEEKDAY($A321,2),"Lunes","Martes","Miércoles","Jueves","Viernes","Sábado","Domingo"))</f>
        <v/>
      </c>
      <c r="C321" s="17" t="n"/>
      <c r="D321" s="21">
        <f>IF($C321="","",IFERROR(INDEX(Insumos!$B$2:$B$151,MATCH($C321,Insumos!$A$2:$A$151,0)),"Código no cargado"))</f>
        <v/>
      </c>
      <c r="E321" s="21">
        <f>IF($C321="","",IFERROR(INDEX(Insumos!$C$2:$C$151,MATCH($C321,Insumos!$A$2:$A$151,0)),""))</f>
        <v/>
      </c>
      <c r="F321" s="21">
        <f>IF($C321="","",IFERROR(INDEX(Insumos!$D$2:$D$151,MATCH($C321,Insumos!$A$2:$A$151,0)),""))</f>
        <v/>
      </c>
      <c r="G321" s="18" t="n"/>
      <c r="H321" s="19">
        <f>IF(OR($A321="",$C321=""),"",IFERROR(INDEX(Insumos!$M$2:$S$151,MATCH($C321,Insumos!$A$2:$A$151,0),WEEKDAY($A321,2)),""))</f>
        <v/>
      </c>
      <c r="I321" s="19">
        <f>IF(OR($G321="",$H321=""),"",MAX(0,$H321-$G321))</f>
        <v/>
      </c>
      <c r="J321" s="21">
        <f>IF($I321="","",IF($I321=0,"OK",IF($G321&lt;=0,"Sin stock: pedir ya","Pedir o producir")))</f>
        <v/>
      </c>
      <c r="K321" s="17" t="n"/>
      <c r="L321" s="17" t="n"/>
      <c r="M321" s="21">
        <f>IF(OR($A321="",$A321&lt;&gt;'Lista para pedir'!$C$3,N($I321)&lt;=0),"",COUNTIFS($A$2:$A321,$A321,$I$2:$I321,"&gt;0"))</f>
        <v/>
      </c>
    </row>
    <row r="322">
      <c r="A322" s="20" t="n"/>
      <c r="B322" s="21">
        <f>IF($A322="","",CHOOSE(WEEKDAY($A322,2),"Lunes","Martes","Miércoles","Jueves","Viernes","Sábado","Domingo"))</f>
        <v/>
      </c>
      <c r="C322" s="17" t="n"/>
      <c r="D322" s="21">
        <f>IF($C322="","",IFERROR(INDEX(Insumos!$B$2:$B$151,MATCH($C322,Insumos!$A$2:$A$151,0)),"Código no cargado"))</f>
        <v/>
      </c>
      <c r="E322" s="21">
        <f>IF($C322="","",IFERROR(INDEX(Insumos!$C$2:$C$151,MATCH($C322,Insumos!$A$2:$A$151,0)),""))</f>
        <v/>
      </c>
      <c r="F322" s="21">
        <f>IF($C322="","",IFERROR(INDEX(Insumos!$D$2:$D$151,MATCH($C322,Insumos!$A$2:$A$151,0)),""))</f>
        <v/>
      </c>
      <c r="G322" s="18" t="n"/>
      <c r="H322" s="19">
        <f>IF(OR($A322="",$C322=""),"",IFERROR(INDEX(Insumos!$M$2:$S$151,MATCH($C322,Insumos!$A$2:$A$151,0),WEEKDAY($A322,2)),""))</f>
        <v/>
      </c>
      <c r="I322" s="19">
        <f>IF(OR($G322="",$H322=""),"",MAX(0,$H322-$G322))</f>
        <v/>
      </c>
      <c r="J322" s="21">
        <f>IF($I322="","",IF($I322=0,"OK",IF($G322&lt;=0,"Sin stock: pedir ya","Pedir o producir")))</f>
        <v/>
      </c>
      <c r="K322" s="17" t="n"/>
      <c r="L322" s="17" t="n"/>
      <c r="M322" s="21">
        <f>IF(OR($A322="",$A322&lt;&gt;'Lista para pedir'!$C$3,N($I322)&lt;=0),"",COUNTIFS($A$2:$A322,$A322,$I$2:$I322,"&gt;0"))</f>
        <v/>
      </c>
    </row>
    <row r="323">
      <c r="A323" s="20" t="n"/>
      <c r="B323" s="21">
        <f>IF($A323="","",CHOOSE(WEEKDAY($A323,2),"Lunes","Martes","Miércoles","Jueves","Viernes","Sábado","Domingo"))</f>
        <v/>
      </c>
      <c r="C323" s="17" t="n"/>
      <c r="D323" s="21">
        <f>IF($C323="","",IFERROR(INDEX(Insumos!$B$2:$B$151,MATCH($C323,Insumos!$A$2:$A$151,0)),"Código no cargado"))</f>
        <v/>
      </c>
      <c r="E323" s="21">
        <f>IF($C323="","",IFERROR(INDEX(Insumos!$C$2:$C$151,MATCH($C323,Insumos!$A$2:$A$151,0)),""))</f>
        <v/>
      </c>
      <c r="F323" s="21">
        <f>IF($C323="","",IFERROR(INDEX(Insumos!$D$2:$D$151,MATCH($C323,Insumos!$A$2:$A$151,0)),""))</f>
        <v/>
      </c>
      <c r="G323" s="18" t="n"/>
      <c r="H323" s="19">
        <f>IF(OR($A323="",$C323=""),"",IFERROR(INDEX(Insumos!$M$2:$S$151,MATCH($C323,Insumos!$A$2:$A$151,0),WEEKDAY($A323,2)),""))</f>
        <v/>
      </c>
      <c r="I323" s="19">
        <f>IF(OR($G323="",$H323=""),"",MAX(0,$H323-$G323))</f>
        <v/>
      </c>
      <c r="J323" s="21">
        <f>IF($I323="","",IF($I323=0,"OK",IF($G323&lt;=0,"Sin stock: pedir ya","Pedir o producir")))</f>
        <v/>
      </c>
      <c r="K323" s="17" t="n"/>
      <c r="L323" s="17" t="n"/>
      <c r="M323" s="21">
        <f>IF(OR($A323="",$A323&lt;&gt;'Lista para pedir'!$C$3,N($I323)&lt;=0),"",COUNTIFS($A$2:$A323,$A323,$I$2:$I323,"&gt;0"))</f>
        <v/>
      </c>
    </row>
    <row r="324">
      <c r="A324" s="20" t="n"/>
      <c r="B324" s="21">
        <f>IF($A324="","",CHOOSE(WEEKDAY($A324,2),"Lunes","Martes","Miércoles","Jueves","Viernes","Sábado","Domingo"))</f>
        <v/>
      </c>
      <c r="C324" s="17" t="n"/>
      <c r="D324" s="21">
        <f>IF($C324="","",IFERROR(INDEX(Insumos!$B$2:$B$151,MATCH($C324,Insumos!$A$2:$A$151,0)),"Código no cargado"))</f>
        <v/>
      </c>
      <c r="E324" s="21">
        <f>IF($C324="","",IFERROR(INDEX(Insumos!$C$2:$C$151,MATCH($C324,Insumos!$A$2:$A$151,0)),""))</f>
        <v/>
      </c>
      <c r="F324" s="21">
        <f>IF($C324="","",IFERROR(INDEX(Insumos!$D$2:$D$151,MATCH($C324,Insumos!$A$2:$A$151,0)),""))</f>
        <v/>
      </c>
      <c r="G324" s="18" t="n"/>
      <c r="H324" s="19">
        <f>IF(OR($A324="",$C324=""),"",IFERROR(INDEX(Insumos!$M$2:$S$151,MATCH($C324,Insumos!$A$2:$A$151,0),WEEKDAY($A324,2)),""))</f>
        <v/>
      </c>
      <c r="I324" s="19">
        <f>IF(OR($G324="",$H324=""),"",MAX(0,$H324-$G324))</f>
        <v/>
      </c>
      <c r="J324" s="21">
        <f>IF($I324="","",IF($I324=0,"OK",IF($G324&lt;=0,"Sin stock: pedir ya","Pedir o producir")))</f>
        <v/>
      </c>
      <c r="K324" s="17" t="n"/>
      <c r="L324" s="17" t="n"/>
      <c r="M324" s="21">
        <f>IF(OR($A324="",$A324&lt;&gt;'Lista para pedir'!$C$3,N($I324)&lt;=0),"",COUNTIFS($A$2:$A324,$A324,$I$2:$I324,"&gt;0"))</f>
        <v/>
      </c>
    </row>
    <row r="325">
      <c r="A325" s="20" t="n"/>
      <c r="B325" s="21">
        <f>IF($A325="","",CHOOSE(WEEKDAY($A325,2),"Lunes","Martes","Miércoles","Jueves","Viernes","Sábado","Domingo"))</f>
        <v/>
      </c>
      <c r="C325" s="17" t="n"/>
      <c r="D325" s="21">
        <f>IF($C325="","",IFERROR(INDEX(Insumos!$B$2:$B$151,MATCH($C325,Insumos!$A$2:$A$151,0)),"Código no cargado"))</f>
        <v/>
      </c>
      <c r="E325" s="21">
        <f>IF($C325="","",IFERROR(INDEX(Insumos!$C$2:$C$151,MATCH($C325,Insumos!$A$2:$A$151,0)),""))</f>
        <v/>
      </c>
      <c r="F325" s="21">
        <f>IF($C325="","",IFERROR(INDEX(Insumos!$D$2:$D$151,MATCH($C325,Insumos!$A$2:$A$151,0)),""))</f>
        <v/>
      </c>
      <c r="G325" s="18" t="n"/>
      <c r="H325" s="19">
        <f>IF(OR($A325="",$C325=""),"",IFERROR(INDEX(Insumos!$M$2:$S$151,MATCH($C325,Insumos!$A$2:$A$151,0),WEEKDAY($A325,2)),""))</f>
        <v/>
      </c>
      <c r="I325" s="19">
        <f>IF(OR($G325="",$H325=""),"",MAX(0,$H325-$G325))</f>
        <v/>
      </c>
      <c r="J325" s="21">
        <f>IF($I325="","",IF($I325=0,"OK",IF($G325&lt;=0,"Sin stock: pedir ya","Pedir o producir")))</f>
        <v/>
      </c>
      <c r="K325" s="17" t="n"/>
      <c r="L325" s="17" t="n"/>
      <c r="M325" s="21">
        <f>IF(OR($A325="",$A325&lt;&gt;'Lista para pedir'!$C$3,N($I325)&lt;=0),"",COUNTIFS($A$2:$A325,$A325,$I$2:$I325,"&gt;0"))</f>
        <v/>
      </c>
    </row>
    <row r="326">
      <c r="A326" s="20" t="n"/>
      <c r="B326" s="21">
        <f>IF($A326="","",CHOOSE(WEEKDAY($A326,2),"Lunes","Martes","Miércoles","Jueves","Viernes","Sábado","Domingo"))</f>
        <v/>
      </c>
      <c r="C326" s="17" t="n"/>
      <c r="D326" s="21">
        <f>IF($C326="","",IFERROR(INDEX(Insumos!$B$2:$B$151,MATCH($C326,Insumos!$A$2:$A$151,0)),"Código no cargado"))</f>
        <v/>
      </c>
      <c r="E326" s="21">
        <f>IF($C326="","",IFERROR(INDEX(Insumos!$C$2:$C$151,MATCH($C326,Insumos!$A$2:$A$151,0)),""))</f>
        <v/>
      </c>
      <c r="F326" s="21">
        <f>IF($C326="","",IFERROR(INDEX(Insumos!$D$2:$D$151,MATCH($C326,Insumos!$A$2:$A$151,0)),""))</f>
        <v/>
      </c>
      <c r="G326" s="18" t="n"/>
      <c r="H326" s="19">
        <f>IF(OR($A326="",$C326=""),"",IFERROR(INDEX(Insumos!$M$2:$S$151,MATCH($C326,Insumos!$A$2:$A$151,0),WEEKDAY($A326,2)),""))</f>
        <v/>
      </c>
      <c r="I326" s="19">
        <f>IF(OR($G326="",$H326=""),"",MAX(0,$H326-$G326))</f>
        <v/>
      </c>
      <c r="J326" s="21">
        <f>IF($I326="","",IF($I326=0,"OK",IF($G326&lt;=0,"Sin stock: pedir ya","Pedir o producir")))</f>
        <v/>
      </c>
      <c r="K326" s="17" t="n"/>
      <c r="L326" s="17" t="n"/>
      <c r="M326" s="21">
        <f>IF(OR($A326="",$A326&lt;&gt;'Lista para pedir'!$C$3,N($I326)&lt;=0),"",COUNTIFS($A$2:$A326,$A326,$I$2:$I326,"&gt;0"))</f>
        <v/>
      </c>
    </row>
    <row r="327">
      <c r="A327" s="20" t="n"/>
      <c r="B327" s="21">
        <f>IF($A327="","",CHOOSE(WEEKDAY($A327,2),"Lunes","Martes","Miércoles","Jueves","Viernes","Sábado","Domingo"))</f>
        <v/>
      </c>
      <c r="C327" s="17" t="n"/>
      <c r="D327" s="21">
        <f>IF($C327="","",IFERROR(INDEX(Insumos!$B$2:$B$151,MATCH($C327,Insumos!$A$2:$A$151,0)),"Código no cargado"))</f>
        <v/>
      </c>
      <c r="E327" s="21">
        <f>IF($C327="","",IFERROR(INDEX(Insumos!$C$2:$C$151,MATCH($C327,Insumos!$A$2:$A$151,0)),""))</f>
        <v/>
      </c>
      <c r="F327" s="21">
        <f>IF($C327="","",IFERROR(INDEX(Insumos!$D$2:$D$151,MATCH($C327,Insumos!$A$2:$A$151,0)),""))</f>
        <v/>
      </c>
      <c r="G327" s="18" t="n"/>
      <c r="H327" s="19">
        <f>IF(OR($A327="",$C327=""),"",IFERROR(INDEX(Insumos!$M$2:$S$151,MATCH($C327,Insumos!$A$2:$A$151,0),WEEKDAY($A327,2)),""))</f>
        <v/>
      </c>
      <c r="I327" s="19">
        <f>IF(OR($G327="",$H327=""),"",MAX(0,$H327-$G327))</f>
        <v/>
      </c>
      <c r="J327" s="21">
        <f>IF($I327="","",IF($I327=0,"OK",IF($G327&lt;=0,"Sin stock: pedir ya","Pedir o producir")))</f>
        <v/>
      </c>
      <c r="K327" s="17" t="n"/>
      <c r="L327" s="17" t="n"/>
      <c r="M327" s="21">
        <f>IF(OR($A327="",$A327&lt;&gt;'Lista para pedir'!$C$3,N($I327)&lt;=0),"",COUNTIFS($A$2:$A327,$A327,$I$2:$I327,"&gt;0"))</f>
        <v/>
      </c>
    </row>
    <row r="328">
      <c r="A328" s="20" t="n"/>
      <c r="B328" s="21">
        <f>IF($A328="","",CHOOSE(WEEKDAY($A328,2),"Lunes","Martes","Miércoles","Jueves","Viernes","Sábado","Domingo"))</f>
        <v/>
      </c>
      <c r="C328" s="17" t="n"/>
      <c r="D328" s="21">
        <f>IF($C328="","",IFERROR(INDEX(Insumos!$B$2:$B$151,MATCH($C328,Insumos!$A$2:$A$151,0)),"Código no cargado"))</f>
        <v/>
      </c>
      <c r="E328" s="21">
        <f>IF($C328="","",IFERROR(INDEX(Insumos!$C$2:$C$151,MATCH($C328,Insumos!$A$2:$A$151,0)),""))</f>
        <v/>
      </c>
      <c r="F328" s="21">
        <f>IF($C328="","",IFERROR(INDEX(Insumos!$D$2:$D$151,MATCH($C328,Insumos!$A$2:$A$151,0)),""))</f>
        <v/>
      </c>
      <c r="G328" s="18" t="n"/>
      <c r="H328" s="19">
        <f>IF(OR($A328="",$C328=""),"",IFERROR(INDEX(Insumos!$M$2:$S$151,MATCH($C328,Insumos!$A$2:$A$151,0),WEEKDAY($A328,2)),""))</f>
        <v/>
      </c>
      <c r="I328" s="19">
        <f>IF(OR($G328="",$H328=""),"",MAX(0,$H328-$G328))</f>
        <v/>
      </c>
      <c r="J328" s="21">
        <f>IF($I328="","",IF($I328=0,"OK",IF($G328&lt;=0,"Sin stock: pedir ya","Pedir o producir")))</f>
        <v/>
      </c>
      <c r="K328" s="17" t="n"/>
      <c r="L328" s="17" t="n"/>
      <c r="M328" s="21">
        <f>IF(OR($A328="",$A328&lt;&gt;'Lista para pedir'!$C$3,N($I328)&lt;=0),"",COUNTIFS($A$2:$A328,$A328,$I$2:$I328,"&gt;0"))</f>
        <v/>
      </c>
    </row>
    <row r="329">
      <c r="A329" s="20" t="n"/>
      <c r="B329" s="21">
        <f>IF($A329="","",CHOOSE(WEEKDAY($A329,2),"Lunes","Martes","Miércoles","Jueves","Viernes","Sábado","Domingo"))</f>
        <v/>
      </c>
      <c r="C329" s="17" t="n"/>
      <c r="D329" s="21">
        <f>IF($C329="","",IFERROR(INDEX(Insumos!$B$2:$B$151,MATCH($C329,Insumos!$A$2:$A$151,0)),"Código no cargado"))</f>
        <v/>
      </c>
      <c r="E329" s="21">
        <f>IF($C329="","",IFERROR(INDEX(Insumos!$C$2:$C$151,MATCH($C329,Insumos!$A$2:$A$151,0)),""))</f>
        <v/>
      </c>
      <c r="F329" s="21">
        <f>IF($C329="","",IFERROR(INDEX(Insumos!$D$2:$D$151,MATCH($C329,Insumos!$A$2:$A$151,0)),""))</f>
        <v/>
      </c>
      <c r="G329" s="18" t="n"/>
      <c r="H329" s="19">
        <f>IF(OR($A329="",$C329=""),"",IFERROR(INDEX(Insumos!$M$2:$S$151,MATCH($C329,Insumos!$A$2:$A$151,0),WEEKDAY($A329,2)),""))</f>
        <v/>
      </c>
      <c r="I329" s="19">
        <f>IF(OR($G329="",$H329=""),"",MAX(0,$H329-$G329))</f>
        <v/>
      </c>
      <c r="J329" s="21">
        <f>IF($I329="","",IF($I329=0,"OK",IF($G329&lt;=0,"Sin stock: pedir ya","Pedir o producir")))</f>
        <v/>
      </c>
      <c r="K329" s="17" t="n"/>
      <c r="L329" s="17" t="n"/>
      <c r="M329" s="21">
        <f>IF(OR($A329="",$A329&lt;&gt;'Lista para pedir'!$C$3,N($I329)&lt;=0),"",COUNTIFS($A$2:$A329,$A329,$I$2:$I329,"&gt;0"))</f>
        <v/>
      </c>
    </row>
    <row r="330">
      <c r="A330" s="20" t="n"/>
      <c r="B330" s="21">
        <f>IF($A330="","",CHOOSE(WEEKDAY($A330,2),"Lunes","Martes","Miércoles","Jueves","Viernes","Sábado","Domingo"))</f>
        <v/>
      </c>
      <c r="C330" s="17" t="n"/>
      <c r="D330" s="21">
        <f>IF($C330="","",IFERROR(INDEX(Insumos!$B$2:$B$151,MATCH($C330,Insumos!$A$2:$A$151,0)),"Código no cargado"))</f>
        <v/>
      </c>
      <c r="E330" s="21">
        <f>IF($C330="","",IFERROR(INDEX(Insumos!$C$2:$C$151,MATCH($C330,Insumos!$A$2:$A$151,0)),""))</f>
        <v/>
      </c>
      <c r="F330" s="21">
        <f>IF($C330="","",IFERROR(INDEX(Insumos!$D$2:$D$151,MATCH($C330,Insumos!$A$2:$A$151,0)),""))</f>
        <v/>
      </c>
      <c r="G330" s="18" t="n"/>
      <c r="H330" s="19">
        <f>IF(OR($A330="",$C330=""),"",IFERROR(INDEX(Insumos!$M$2:$S$151,MATCH($C330,Insumos!$A$2:$A$151,0),WEEKDAY($A330,2)),""))</f>
        <v/>
      </c>
      <c r="I330" s="19">
        <f>IF(OR($G330="",$H330=""),"",MAX(0,$H330-$G330))</f>
        <v/>
      </c>
      <c r="J330" s="21">
        <f>IF($I330="","",IF($I330=0,"OK",IF($G330&lt;=0,"Sin stock: pedir ya","Pedir o producir")))</f>
        <v/>
      </c>
      <c r="K330" s="17" t="n"/>
      <c r="L330" s="17" t="n"/>
      <c r="M330" s="21">
        <f>IF(OR($A330="",$A330&lt;&gt;'Lista para pedir'!$C$3,N($I330)&lt;=0),"",COUNTIFS($A$2:$A330,$A330,$I$2:$I330,"&gt;0"))</f>
        <v/>
      </c>
    </row>
    <row r="331">
      <c r="A331" s="20" t="n"/>
      <c r="B331" s="21">
        <f>IF($A331="","",CHOOSE(WEEKDAY($A331,2),"Lunes","Martes","Miércoles","Jueves","Viernes","Sábado","Domingo"))</f>
        <v/>
      </c>
      <c r="C331" s="17" t="n"/>
      <c r="D331" s="21">
        <f>IF($C331="","",IFERROR(INDEX(Insumos!$B$2:$B$151,MATCH($C331,Insumos!$A$2:$A$151,0)),"Código no cargado"))</f>
        <v/>
      </c>
      <c r="E331" s="21">
        <f>IF($C331="","",IFERROR(INDEX(Insumos!$C$2:$C$151,MATCH($C331,Insumos!$A$2:$A$151,0)),""))</f>
        <v/>
      </c>
      <c r="F331" s="21">
        <f>IF($C331="","",IFERROR(INDEX(Insumos!$D$2:$D$151,MATCH($C331,Insumos!$A$2:$A$151,0)),""))</f>
        <v/>
      </c>
      <c r="G331" s="18" t="n"/>
      <c r="H331" s="19">
        <f>IF(OR($A331="",$C331=""),"",IFERROR(INDEX(Insumos!$M$2:$S$151,MATCH($C331,Insumos!$A$2:$A$151,0),WEEKDAY($A331,2)),""))</f>
        <v/>
      </c>
      <c r="I331" s="19">
        <f>IF(OR($G331="",$H331=""),"",MAX(0,$H331-$G331))</f>
        <v/>
      </c>
      <c r="J331" s="21">
        <f>IF($I331="","",IF($I331=0,"OK",IF($G331&lt;=0,"Sin stock: pedir ya","Pedir o producir")))</f>
        <v/>
      </c>
      <c r="K331" s="17" t="n"/>
      <c r="L331" s="17" t="n"/>
      <c r="M331" s="21">
        <f>IF(OR($A331="",$A331&lt;&gt;'Lista para pedir'!$C$3,N($I331)&lt;=0),"",COUNTIFS($A$2:$A331,$A331,$I$2:$I331,"&gt;0"))</f>
        <v/>
      </c>
    </row>
    <row r="332">
      <c r="A332" s="20" t="n"/>
      <c r="B332" s="21">
        <f>IF($A332="","",CHOOSE(WEEKDAY($A332,2),"Lunes","Martes","Miércoles","Jueves","Viernes","Sábado","Domingo"))</f>
        <v/>
      </c>
      <c r="C332" s="17" t="n"/>
      <c r="D332" s="21">
        <f>IF($C332="","",IFERROR(INDEX(Insumos!$B$2:$B$151,MATCH($C332,Insumos!$A$2:$A$151,0)),"Código no cargado"))</f>
        <v/>
      </c>
      <c r="E332" s="21">
        <f>IF($C332="","",IFERROR(INDEX(Insumos!$C$2:$C$151,MATCH($C332,Insumos!$A$2:$A$151,0)),""))</f>
        <v/>
      </c>
      <c r="F332" s="21">
        <f>IF($C332="","",IFERROR(INDEX(Insumos!$D$2:$D$151,MATCH($C332,Insumos!$A$2:$A$151,0)),""))</f>
        <v/>
      </c>
      <c r="G332" s="18" t="n"/>
      <c r="H332" s="19">
        <f>IF(OR($A332="",$C332=""),"",IFERROR(INDEX(Insumos!$M$2:$S$151,MATCH($C332,Insumos!$A$2:$A$151,0),WEEKDAY($A332,2)),""))</f>
        <v/>
      </c>
      <c r="I332" s="19">
        <f>IF(OR($G332="",$H332=""),"",MAX(0,$H332-$G332))</f>
        <v/>
      </c>
      <c r="J332" s="21">
        <f>IF($I332="","",IF($I332=0,"OK",IF($G332&lt;=0,"Sin stock: pedir ya","Pedir o producir")))</f>
        <v/>
      </c>
      <c r="K332" s="17" t="n"/>
      <c r="L332" s="17" t="n"/>
      <c r="M332" s="21">
        <f>IF(OR($A332="",$A332&lt;&gt;'Lista para pedir'!$C$3,N($I332)&lt;=0),"",COUNTIFS($A$2:$A332,$A332,$I$2:$I332,"&gt;0"))</f>
        <v/>
      </c>
    </row>
    <row r="333">
      <c r="A333" s="20" t="n"/>
      <c r="B333" s="21">
        <f>IF($A333="","",CHOOSE(WEEKDAY($A333,2),"Lunes","Martes","Miércoles","Jueves","Viernes","Sábado","Domingo"))</f>
        <v/>
      </c>
      <c r="C333" s="17" t="n"/>
      <c r="D333" s="21">
        <f>IF($C333="","",IFERROR(INDEX(Insumos!$B$2:$B$151,MATCH($C333,Insumos!$A$2:$A$151,0)),"Código no cargado"))</f>
        <v/>
      </c>
      <c r="E333" s="21">
        <f>IF($C333="","",IFERROR(INDEX(Insumos!$C$2:$C$151,MATCH($C333,Insumos!$A$2:$A$151,0)),""))</f>
        <v/>
      </c>
      <c r="F333" s="21">
        <f>IF($C333="","",IFERROR(INDEX(Insumos!$D$2:$D$151,MATCH($C333,Insumos!$A$2:$A$151,0)),""))</f>
        <v/>
      </c>
      <c r="G333" s="18" t="n"/>
      <c r="H333" s="19">
        <f>IF(OR($A333="",$C333=""),"",IFERROR(INDEX(Insumos!$M$2:$S$151,MATCH($C333,Insumos!$A$2:$A$151,0),WEEKDAY($A333,2)),""))</f>
        <v/>
      </c>
      <c r="I333" s="19">
        <f>IF(OR($G333="",$H333=""),"",MAX(0,$H333-$G333))</f>
        <v/>
      </c>
      <c r="J333" s="21">
        <f>IF($I333="","",IF($I333=0,"OK",IF($G333&lt;=0,"Sin stock: pedir ya","Pedir o producir")))</f>
        <v/>
      </c>
      <c r="K333" s="17" t="n"/>
      <c r="L333" s="17" t="n"/>
      <c r="M333" s="21">
        <f>IF(OR($A333="",$A333&lt;&gt;'Lista para pedir'!$C$3,N($I333)&lt;=0),"",COUNTIFS($A$2:$A333,$A333,$I$2:$I333,"&gt;0"))</f>
        <v/>
      </c>
    </row>
    <row r="334">
      <c r="A334" s="20" t="n"/>
      <c r="B334" s="21">
        <f>IF($A334="","",CHOOSE(WEEKDAY($A334,2),"Lunes","Martes","Miércoles","Jueves","Viernes","Sábado","Domingo"))</f>
        <v/>
      </c>
      <c r="C334" s="17" t="n"/>
      <c r="D334" s="21">
        <f>IF($C334="","",IFERROR(INDEX(Insumos!$B$2:$B$151,MATCH($C334,Insumos!$A$2:$A$151,0)),"Código no cargado"))</f>
        <v/>
      </c>
      <c r="E334" s="21">
        <f>IF($C334="","",IFERROR(INDEX(Insumos!$C$2:$C$151,MATCH($C334,Insumos!$A$2:$A$151,0)),""))</f>
        <v/>
      </c>
      <c r="F334" s="21">
        <f>IF($C334="","",IFERROR(INDEX(Insumos!$D$2:$D$151,MATCH($C334,Insumos!$A$2:$A$151,0)),""))</f>
        <v/>
      </c>
      <c r="G334" s="18" t="n"/>
      <c r="H334" s="19">
        <f>IF(OR($A334="",$C334=""),"",IFERROR(INDEX(Insumos!$M$2:$S$151,MATCH($C334,Insumos!$A$2:$A$151,0),WEEKDAY($A334,2)),""))</f>
        <v/>
      </c>
      <c r="I334" s="19">
        <f>IF(OR($G334="",$H334=""),"",MAX(0,$H334-$G334))</f>
        <v/>
      </c>
      <c r="J334" s="21">
        <f>IF($I334="","",IF($I334=0,"OK",IF($G334&lt;=0,"Sin stock: pedir ya","Pedir o producir")))</f>
        <v/>
      </c>
      <c r="K334" s="17" t="n"/>
      <c r="L334" s="17" t="n"/>
      <c r="M334" s="21">
        <f>IF(OR($A334="",$A334&lt;&gt;'Lista para pedir'!$C$3,N($I334)&lt;=0),"",COUNTIFS($A$2:$A334,$A334,$I$2:$I334,"&gt;0"))</f>
        <v/>
      </c>
    </row>
    <row r="335">
      <c r="A335" s="20" t="n"/>
      <c r="B335" s="21">
        <f>IF($A335="","",CHOOSE(WEEKDAY($A335,2),"Lunes","Martes","Miércoles","Jueves","Viernes","Sábado","Domingo"))</f>
        <v/>
      </c>
      <c r="C335" s="17" t="n"/>
      <c r="D335" s="21">
        <f>IF($C335="","",IFERROR(INDEX(Insumos!$B$2:$B$151,MATCH($C335,Insumos!$A$2:$A$151,0)),"Código no cargado"))</f>
        <v/>
      </c>
      <c r="E335" s="21">
        <f>IF($C335="","",IFERROR(INDEX(Insumos!$C$2:$C$151,MATCH($C335,Insumos!$A$2:$A$151,0)),""))</f>
        <v/>
      </c>
      <c r="F335" s="21">
        <f>IF($C335="","",IFERROR(INDEX(Insumos!$D$2:$D$151,MATCH($C335,Insumos!$A$2:$A$151,0)),""))</f>
        <v/>
      </c>
      <c r="G335" s="18" t="n"/>
      <c r="H335" s="19">
        <f>IF(OR($A335="",$C335=""),"",IFERROR(INDEX(Insumos!$M$2:$S$151,MATCH($C335,Insumos!$A$2:$A$151,0),WEEKDAY($A335,2)),""))</f>
        <v/>
      </c>
      <c r="I335" s="19">
        <f>IF(OR($G335="",$H335=""),"",MAX(0,$H335-$G335))</f>
        <v/>
      </c>
      <c r="J335" s="21">
        <f>IF($I335="","",IF($I335=0,"OK",IF($G335&lt;=0,"Sin stock: pedir ya","Pedir o producir")))</f>
        <v/>
      </c>
      <c r="K335" s="17" t="n"/>
      <c r="L335" s="17" t="n"/>
      <c r="M335" s="21">
        <f>IF(OR($A335="",$A335&lt;&gt;'Lista para pedir'!$C$3,N($I335)&lt;=0),"",COUNTIFS($A$2:$A335,$A335,$I$2:$I335,"&gt;0"))</f>
        <v/>
      </c>
    </row>
    <row r="336">
      <c r="A336" s="20" t="n"/>
      <c r="B336" s="21">
        <f>IF($A336="","",CHOOSE(WEEKDAY($A336,2),"Lunes","Martes","Miércoles","Jueves","Viernes","Sábado","Domingo"))</f>
        <v/>
      </c>
      <c r="C336" s="17" t="n"/>
      <c r="D336" s="21">
        <f>IF($C336="","",IFERROR(INDEX(Insumos!$B$2:$B$151,MATCH($C336,Insumos!$A$2:$A$151,0)),"Código no cargado"))</f>
        <v/>
      </c>
      <c r="E336" s="21">
        <f>IF($C336="","",IFERROR(INDEX(Insumos!$C$2:$C$151,MATCH($C336,Insumos!$A$2:$A$151,0)),""))</f>
        <v/>
      </c>
      <c r="F336" s="21">
        <f>IF($C336="","",IFERROR(INDEX(Insumos!$D$2:$D$151,MATCH($C336,Insumos!$A$2:$A$151,0)),""))</f>
        <v/>
      </c>
      <c r="G336" s="18" t="n"/>
      <c r="H336" s="19">
        <f>IF(OR($A336="",$C336=""),"",IFERROR(INDEX(Insumos!$M$2:$S$151,MATCH($C336,Insumos!$A$2:$A$151,0),WEEKDAY($A336,2)),""))</f>
        <v/>
      </c>
      <c r="I336" s="19">
        <f>IF(OR($G336="",$H336=""),"",MAX(0,$H336-$G336))</f>
        <v/>
      </c>
      <c r="J336" s="21">
        <f>IF($I336="","",IF($I336=0,"OK",IF($G336&lt;=0,"Sin stock: pedir ya","Pedir o producir")))</f>
        <v/>
      </c>
      <c r="K336" s="17" t="n"/>
      <c r="L336" s="17" t="n"/>
      <c r="M336" s="21">
        <f>IF(OR($A336="",$A336&lt;&gt;'Lista para pedir'!$C$3,N($I336)&lt;=0),"",COUNTIFS($A$2:$A336,$A336,$I$2:$I336,"&gt;0"))</f>
        <v/>
      </c>
    </row>
    <row r="337">
      <c r="A337" s="20" t="n"/>
      <c r="B337" s="21">
        <f>IF($A337="","",CHOOSE(WEEKDAY($A337,2),"Lunes","Martes","Miércoles","Jueves","Viernes","Sábado","Domingo"))</f>
        <v/>
      </c>
      <c r="C337" s="17" t="n"/>
      <c r="D337" s="21">
        <f>IF($C337="","",IFERROR(INDEX(Insumos!$B$2:$B$151,MATCH($C337,Insumos!$A$2:$A$151,0)),"Código no cargado"))</f>
        <v/>
      </c>
      <c r="E337" s="21">
        <f>IF($C337="","",IFERROR(INDEX(Insumos!$C$2:$C$151,MATCH($C337,Insumos!$A$2:$A$151,0)),""))</f>
        <v/>
      </c>
      <c r="F337" s="21">
        <f>IF($C337="","",IFERROR(INDEX(Insumos!$D$2:$D$151,MATCH($C337,Insumos!$A$2:$A$151,0)),""))</f>
        <v/>
      </c>
      <c r="G337" s="18" t="n"/>
      <c r="H337" s="19">
        <f>IF(OR($A337="",$C337=""),"",IFERROR(INDEX(Insumos!$M$2:$S$151,MATCH($C337,Insumos!$A$2:$A$151,0),WEEKDAY($A337,2)),""))</f>
        <v/>
      </c>
      <c r="I337" s="19">
        <f>IF(OR($G337="",$H337=""),"",MAX(0,$H337-$G337))</f>
        <v/>
      </c>
      <c r="J337" s="21">
        <f>IF($I337="","",IF($I337=0,"OK",IF($G337&lt;=0,"Sin stock: pedir ya","Pedir o producir")))</f>
        <v/>
      </c>
      <c r="K337" s="17" t="n"/>
      <c r="L337" s="17" t="n"/>
      <c r="M337" s="21">
        <f>IF(OR($A337="",$A337&lt;&gt;'Lista para pedir'!$C$3,N($I337)&lt;=0),"",COUNTIFS($A$2:$A337,$A337,$I$2:$I337,"&gt;0"))</f>
        <v/>
      </c>
    </row>
    <row r="338">
      <c r="A338" s="20" t="n"/>
      <c r="B338" s="21">
        <f>IF($A338="","",CHOOSE(WEEKDAY($A338,2),"Lunes","Martes","Miércoles","Jueves","Viernes","Sábado","Domingo"))</f>
        <v/>
      </c>
      <c r="C338" s="17" t="n"/>
      <c r="D338" s="21">
        <f>IF($C338="","",IFERROR(INDEX(Insumos!$B$2:$B$151,MATCH($C338,Insumos!$A$2:$A$151,0)),"Código no cargado"))</f>
        <v/>
      </c>
      <c r="E338" s="21">
        <f>IF($C338="","",IFERROR(INDEX(Insumos!$C$2:$C$151,MATCH($C338,Insumos!$A$2:$A$151,0)),""))</f>
        <v/>
      </c>
      <c r="F338" s="21">
        <f>IF($C338="","",IFERROR(INDEX(Insumos!$D$2:$D$151,MATCH($C338,Insumos!$A$2:$A$151,0)),""))</f>
        <v/>
      </c>
      <c r="G338" s="18" t="n"/>
      <c r="H338" s="19">
        <f>IF(OR($A338="",$C338=""),"",IFERROR(INDEX(Insumos!$M$2:$S$151,MATCH($C338,Insumos!$A$2:$A$151,0),WEEKDAY($A338,2)),""))</f>
        <v/>
      </c>
      <c r="I338" s="19">
        <f>IF(OR($G338="",$H338=""),"",MAX(0,$H338-$G338))</f>
        <v/>
      </c>
      <c r="J338" s="21">
        <f>IF($I338="","",IF($I338=0,"OK",IF($G338&lt;=0,"Sin stock: pedir ya","Pedir o producir")))</f>
        <v/>
      </c>
      <c r="K338" s="17" t="n"/>
      <c r="L338" s="17" t="n"/>
      <c r="M338" s="21">
        <f>IF(OR($A338="",$A338&lt;&gt;'Lista para pedir'!$C$3,N($I338)&lt;=0),"",COUNTIFS($A$2:$A338,$A338,$I$2:$I338,"&gt;0"))</f>
        <v/>
      </c>
    </row>
    <row r="339">
      <c r="A339" s="20" t="n"/>
      <c r="B339" s="21">
        <f>IF($A339="","",CHOOSE(WEEKDAY($A339,2),"Lunes","Martes","Miércoles","Jueves","Viernes","Sábado","Domingo"))</f>
        <v/>
      </c>
      <c r="C339" s="17" t="n"/>
      <c r="D339" s="21">
        <f>IF($C339="","",IFERROR(INDEX(Insumos!$B$2:$B$151,MATCH($C339,Insumos!$A$2:$A$151,0)),"Código no cargado"))</f>
        <v/>
      </c>
      <c r="E339" s="21">
        <f>IF($C339="","",IFERROR(INDEX(Insumos!$C$2:$C$151,MATCH($C339,Insumos!$A$2:$A$151,0)),""))</f>
        <v/>
      </c>
      <c r="F339" s="21">
        <f>IF($C339="","",IFERROR(INDEX(Insumos!$D$2:$D$151,MATCH($C339,Insumos!$A$2:$A$151,0)),""))</f>
        <v/>
      </c>
      <c r="G339" s="18" t="n"/>
      <c r="H339" s="19">
        <f>IF(OR($A339="",$C339=""),"",IFERROR(INDEX(Insumos!$M$2:$S$151,MATCH($C339,Insumos!$A$2:$A$151,0),WEEKDAY($A339,2)),""))</f>
        <v/>
      </c>
      <c r="I339" s="19">
        <f>IF(OR($G339="",$H339=""),"",MAX(0,$H339-$G339))</f>
        <v/>
      </c>
      <c r="J339" s="21">
        <f>IF($I339="","",IF($I339=0,"OK",IF($G339&lt;=0,"Sin stock: pedir ya","Pedir o producir")))</f>
        <v/>
      </c>
      <c r="K339" s="17" t="n"/>
      <c r="L339" s="17" t="n"/>
      <c r="M339" s="21">
        <f>IF(OR($A339="",$A339&lt;&gt;'Lista para pedir'!$C$3,N($I339)&lt;=0),"",COUNTIFS($A$2:$A339,$A339,$I$2:$I339,"&gt;0"))</f>
        <v/>
      </c>
    </row>
    <row r="340">
      <c r="A340" s="20" t="n"/>
      <c r="B340" s="21">
        <f>IF($A340="","",CHOOSE(WEEKDAY($A340,2),"Lunes","Martes","Miércoles","Jueves","Viernes","Sábado","Domingo"))</f>
        <v/>
      </c>
      <c r="C340" s="17" t="n"/>
      <c r="D340" s="21">
        <f>IF($C340="","",IFERROR(INDEX(Insumos!$B$2:$B$151,MATCH($C340,Insumos!$A$2:$A$151,0)),"Código no cargado"))</f>
        <v/>
      </c>
      <c r="E340" s="21">
        <f>IF($C340="","",IFERROR(INDEX(Insumos!$C$2:$C$151,MATCH($C340,Insumos!$A$2:$A$151,0)),""))</f>
        <v/>
      </c>
      <c r="F340" s="21">
        <f>IF($C340="","",IFERROR(INDEX(Insumos!$D$2:$D$151,MATCH($C340,Insumos!$A$2:$A$151,0)),""))</f>
        <v/>
      </c>
      <c r="G340" s="18" t="n"/>
      <c r="H340" s="19">
        <f>IF(OR($A340="",$C340=""),"",IFERROR(INDEX(Insumos!$M$2:$S$151,MATCH($C340,Insumos!$A$2:$A$151,0),WEEKDAY($A340,2)),""))</f>
        <v/>
      </c>
      <c r="I340" s="19">
        <f>IF(OR($G340="",$H340=""),"",MAX(0,$H340-$G340))</f>
        <v/>
      </c>
      <c r="J340" s="21">
        <f>IF($I340="","",IF($I340=0,"OK",IF($G340&lt;=0,"Sin stock: pedir ya","Pedir o producir")))</f>
        <v/>
      </c>
      <c r="K340" s="17" t="n"/>
      <c r="L340" s="17" t="n"/>
      <c r="M340" s="21">
        <f>IF(OR($A340="",$A340&lt;&gt;'Lista para pedir'!$C$3,N($I340)&lt;=0),"",COUNTIFS($A$2:$A340,$A340,$I$2:$I340,"&gt;0"))</f>
        <v/>
      </c>
    </row>
    <row r="341">
      <c r="A341" s="20" t="n"/>
      <c r="B341" s="21">
        <f>IF($A341="","",CHOOSE(WEEKDAY($A341,2),"Lunes","Martes","Miércoles","Jueves","Viernes","Sábado","Domingo"))</f>
        <v/>
      </c>
      <c r="C341" s="17" t="n"/>
      <c r="D341" s="21">
        <f>IF($C341="","",IFERROR(INDEX(Insumos!$B$2:$B$151,MATCH($C341,Insumos!$A$2:$A$151,0)),"Código no cargado"))</f>
        <v/>
      </c>
      <c r="E341" s="21">
        <f>IF($C341="","",IFERROR(INDEX(Insumos!$C$2:$C$151,MATCH($C341,Insumos!$A$2:$A$151,0)),""))</f>
        <v/>
      </c>
      <c r="F341" s="21">
        <f>IF($C341="","",IFERROR(INDEX(Insumos!$D$2:$D$151,MATCH($C341,Insumos!$A$2:$A$151,0)),""))</f>
        <v/>
      </c>
      <c r="G341" s="18" t="n"/>
      <c r="H341" s="19">
        <f>IF(OR($A341="",$C341=""),"",IFERROR(INDEX(Insumos!$M$2:$S$151,MATCH($C341,Insumos!$A$2:$A$151,0),WEEKDAY($A341,2)),""))</f>
        <v/>
      </c>
      <c r="I341" s="19">
        <f>IF(OR($G341="",$H341=""),"",MAX(0,$H341-$G341))</f>
        <v/>
      </c>
      <c r="J341" s="21">
        <f>IF($I341="","",IF($I341=0,"OK",IF($G341&lt;=0,"Sin stock: pedir ya","Pedir o producir")))</f>
        <v/>
      </c>
      <c r="K341" s="17" t="n"/>
      <c r="L341" s="17" t="n"/>
      <c r="M341" s="21">
        <f>IF(OR($A341="",$A341&lt;&gt;'Lista para pedir'!$C$3,N($I341)&lt;=0),"",COUNTIFS($A$2:$A341,$A341,$I$2:$I341,"&gt;0"))</f>
        <v/>
      </c>
    </row>
    <row r="342">
      <c r="A342" s="20" t="n"/>
      <c r="B342" s="21">
        <f>IF($A342="","",CHOOSE(WEEKDAY($A342,2),"Lunes","Martes","Miércoles","Jueves","Viernes","Sábado","Domingo"))</f>
        <v/>
      </c>
      <c r="C342" s="17" t="n"/>
      <c r="D342" s="21">
        <f>IF($C342="","",IFERROR(INDEX(Insumos!$B$2:$B$151,MATCH($C342,Insumos!$A$2:$A$151,0)),"Código no cargado"))</f>
        <v/>
      </c>
      <c r="E342" s="21">
        <f>IF($C342="","",IFERROR(INDEX(Insumos!$C$2:$C$151,MATCH($C342,Insumos!$A$2:$A$151,0)),""))</f>
        <v/>
      </c>
      <c r="F342" s="21">
        <f>IF($C342="","",IFERROR(INDEX(Insumos!$D$2:$D$151,MATCH($C342,Insumos!$A$2:$A$151,0)),""))</f>
        <v/>
      </c>
      <c r="G342" s="18" t="n"/>
      <c r="H342" s="19">
        <f>IF(OR($A342="",$C342=""),"",IFERROR(INDEX(Insumos!$M$2:$S$151,MATCH($C342,Insumos!$A$2:$A$151,0),WEEKDAY($A342,2)),""))</f>
        <v/>
      </c>
      <c r="I342" s="19">
        <f>IF(OR($G342="",$H342=""),"",MAX(0,$H342-$G342))</f>
        <v/>
      </c>
      <c r="J342" s="21">
        <f>IF($I342="","",IF($I342=0,"OK",IF($G342&lt;=0,"Sin stock: pedir ya","Pedir o producir")))</f>
        <v/>
      </c>
      <c r="K342" s="17" t="n"/>
      <c r="L342" s="17" t="n"/>
      <c r="M342" s="21">
        <f>IF(OR($A342="",$A342&lt;&gt;'Lista para pedir'!$C$3,N($I342)&lt;=0),"",COUNTIFS($A$2:$A342,$A342,$I$2:$I342,"&gt;0"))</f>
        <v/>
      </c>
    </row>
    <row r="343">
      <c r="A343" s="20" t="n"/>
      <c r="B343" s="21">
        <f>IF($A343="","",CHOOSE(WEEKDAY($A343,2),"Lunes","Martes","Miércoles","Jueves","Viernes","Sábado","Domingo"))</f>
        <v/>
      </c>
      <c r="C343" s="17" t="n"/>
      <c r="D343" s="21">
        <f>IF($C343="","",IFERROR(INDEX(Insumos!$B$2:$B$151,MATCH($C343,Insumos!$A$2:$A$151,0)),"Código no cargado"))</f>
        <v/>
      </c>
      <c r="E343" s="21">
        <f>IF($C343="","",IFERROR(INDEX(Insumos!$C$2:$C$151,MATCH($C343,Insumos!$A$2:$A$151,0)),""))</f>
        <v/>
      </c>
      <c r="F343" s="21">
        <f>IF($C343="","",IFERROR(INDEX(Insumos!$D$2:$D$151,MATCH($C343,Insumos!$A$2:$A$151,0)),""))</f>
        <v/>
      </c>
      <c r="G343" s="18" t="n"/>
      <c r="H343" s="19">
        <f>IF(OR($A343="",$C343=""),"",IFERROR(INDEX(Insumos!$M$2:$S$151,MATCH($C343,Insumos!$A$2:$A$151,0),WEEKDAY($A343,2)),""))</f>
        <v/>
      </c>
      <c r="I343" s="19">
        <f>IF(OR($G343="",$H343=""),"",MAX(0,$H343-$G343))</f>
        <v/>
      </c>
      <c r="J343" s="21">
        <f>IF($I343="","",IF($I343=0,"OK",IF($G343&lt;=0,"Sin stock: pedir ya","Pedir o producir")))</f>
        <v/>
      </c>
      <c r="K343" s="17" t="n"/>
      <c r="L343" s="17" t="n"/>
      <c r="M343" s="21">
        <f>IF(OR($A343="",$A343&lt;&gt;'Lista para pedir'!$C$3,N($I343)&lt;=0),"",COUNTIFS($A$2:$A343,$A343,$I$2:$I343,"&gt;0"))</f>
        <v/>
      </c>
    </row>
    <row r="344">
      <c r="A344" s="20" t="n"/>
      <c r="B344" s="21">
        <f>IF($A344="","",CHOOSE(WEEKDAY($A344,2),"Lunes","Martes","Miércoles","Jueves","Viernes","Sábado","Domingo"))</f>
        <v/>
      </c>
      <c r="C344" s="17" t="n"/>
      <c r="D344" s="21">
        <f>IF($C344="","",IFERROR(INDEX(Insumos!$B$2:$B$151,MATCH($C344,Insumos!$A$2:$A$151,0)),"Código no cargado"))</f>
        <v/>
      </c>
      <c r="E344" s="21">
        <f>IF($C344="","",IFERROR(INDEX(Insumos!$C$2:$C$151,MATCH($C344,Insumos!$A$2:$A$151,0)),""))</f>
        <v/>
      </c>
      <c r="F344" s="21">
        <f>IF($C344="","",IFERROR(INDEX(Insumos!$D$2:$D$151,MATCH($C344,Insumos!$A$2:$A$151,0)),""))</f>
        <v/>
      </c>
      <c r="G344" s="18" t="n"/>
      <c r="H344" s="19">
        <f>IF(OR($A344="",$C344=""),"",IFERROR(INDEX(Insumos!$M$2:$S$151,MATCH($C344,Insumos!$A$2:$A$151,0),WEEKDAY($A344,2)),""))</f>
        <v/>
      </c>
      <c r="I344" s="19">
        <f>IF(OR($G344="",$H344=""),"",MAX(0,$H344-$G344))</f>
        <v/>
      </c>
      <c r="J344" s="21">
        <f>IF($I344="","",IF($I344=0,"OK",IF($G344&lt;=0,"Sin stock: pedir ya","Pedir o producir")))</f>
        <v/>
      </c>
      <c r="K344" s="17" t="n"/>
      <c r="L344" s="17" t="n"/>
      <c r="M344" s="21">
        <f>IF(OR($A344="",$A344&lt;&gt;'Lista para pedir'!$C$3,N($I344)&lt;=0),"",COUNTIFS($A$2:$A344,$A344,$I$2:$I344,"&gt;0"))</f>
        <v/>
      </c>
    </row>
    <row r="345">
      <c r="A345" s="20" t="n"/>
      <c r="B345" s="21">
        <f>IF($A345="","",CHOOSE(WEEKDAY($A345,2),"Lunes","Martes","Miércoles","Jueves","Viernes","Sábado","Domingo"))</f>
        <v/>
      </c>
      <c r="C345" s="17" t="n"/>
      <c r="D345" s="21">
        <f>IF($C345="","",IFERROR(INDEX(Insumos!$B$2:$B$151,MATCH($C345,Insumos!$A$2:$A$151,0)),"Código no cargado"))</f>
        <v/>
      </c>
      <c r="E345" s="21">
        <f>IF($C345="","",IFERROR(INDEX(Insumos!$C$2:$C$151,MATCH($C345,Insumos!$A$2:$A$151,0)),""))</f>
        <v/>
      </c>
      <c r="F345" s="21">
        <f>IF($C345="","",IFERROR(INDEX(Insumos!$D$2:$D$151,MATCH($C345,Insumos!$A$2:$A$151,0)),""))</f>
        <v/>
      </c>
      <c r="G345" s="18" t="n"/>
      <c r="H345" s="19">
        <f>IF(OR($A345="",$C345=""),"",IFERROR(INDEX(Insumos!$M$2:$S$151,MATCH($C345,Insumos!$A$2:$A$151,0),WEEKDAY($A345,2)),""))</f>
        <v/>
      </c>
      <c r="I345" s="19">
        <f>IF(OR($G345="",$H345=""),"",MAX(0,$H345-$G345))</f>
        <v/>
      </c>
      <c r="J345" s="21">
        <f>IF($I345="","",IF($I345=0,"OK",IF($G345&lt;=0,"Sin stock: pedir ya","Pedir o producir")))</f>
        <v/>
      </c>
      <c r="K345" s="17" t="n"/>
      <c r="L345" s="17" t="n"/>
      <c r="M345" s="21">
        <f>IF(OR($A345="",$A345&lt;&gt;'Lista para pedir'!$C$3,N($I345)&lt;=0),"",COUNTIFS($A$2:$A345,$A345,$I$2:$I345,"&gt;0"))</f>
        <v/>
      </c>
    </row>
    <row r="346">
      <c r="A346" s="20" t="n"/>
      <c r="B346" s="21">
        <f>IF($A346="","",CHOOSE(WEEKDAY($A346,2),"Lunes","Martes","Miércoles","Jueves","Viernes","Sábado","Domingo"))</f>
        <v/>
      </c>
      <c r="C346" s="17" t="n"/>
      <c r="D346" s="21">
        <f>IF($C346="","",IFERROR(INDEX(Insumos!$B$2:$B$151,MATCH($C346,Insumos!$A$2:$A$151,0)),"Código no cargado"))</f>
        <v/>
      </c>
      <c r="E346" s="21">
        <f>IF($C346="","",IFERROR(INDEX(Insumos!$C$2:$C$151,MATCH($C346,Insumos!$A$2:$A$151,0)),""))</f>
        <v/>
      </c>
      <c r="F346" s="21">
        <f>IF($C346="","",IFERROR(INDEX(Insumos!$D$2:$D$151,MATCH($C346,Insumos!$A$2:$A$151,0)),""))</f>
        <v/>
      </c>
      <c r="G346" s="18" t="n"/>
      <c r="H346" s="19">
        <f>IF(OR($A346="",$C346=""),"",IFERROR(INDEX(Insumos!$M$2:$S$151,MATCH($C346,Insumos!$A$2:$A$151,0),WEEKDAY($A346,2)),""))</f>
        <v/>
      </c>
      <c r="I346" s="19">
        <f>IF(OR($G346="",$H346=""),"",MAX(0,$H346-$G346))</f>
        <v/>
      </c>
      <c r="J346" s="21">
        <f>IF($I346="","",IF($I346=0,"OK",IF($G346&lt;=0,"Sin stock: pedir ya","Pedir o producir")))</f>
        <v/>
      </c>
      <c r="K346" s="17" t="n"/>
      <c r="L346" s="17" t="n"/>
      <c r="M346" s="21">
        <f>IF(OR($A346="",$A346&lt;&gt;'Lista para pedir'!$C$3,N($I346)&lt;=0),"",COUNTIFS($A$2:$A346,$A346,$I$2:$I346,"&gt;0"))</f>
        <v/>
      </c>
    </row>
    <row r="347">
      <c r="A347" s="20" t="n"/>
      <c r="B347" s="21">
        <f>IF($A347="","",CHOOSE(WEEKDAY($A347,2),"Lunes","Martes","Miércoles","Jueves","Viernes","Sábado","Domingo"))</f>
        <v/>
      </c>
      <c r="C347" s="17" t="n"/>
      <c r="D347" s="21">
        <f>IF($C347="","",IFERROR(INDEX(Insumos!$B$2:$B$151,MATCH($C347,Insumos!$A$2:$A$151,0)),"Código no cargado"))</f>
        <v/>
      </c>
      <c r="E347" s="21">
        <f>IF($C347="","",IFERROR(INDEX(Insumos!$C$2:$C$151,MATCH($C347,Insumos!$A$2:$A$151,0)),""))</f>
        <v/>
      </c>
      <c r="F347" s="21">
        <f>IF($C347="","",IFERROR(INDEX(Insumos!$D$2:$D$151,MATCH($C347,Insumos!$A$2:$A$151,0)),""))</f>
        <v/>
      </c>
      <c r="G347" s="18" t="n"/>
      <c r="H347" s="19">
        <f>IF(OR($A347="",$C347=""),"",IFERROR(INDEX(Insumos!$M$2:$S$151,MATCH($C347,Insumos!$A$2:$A$151,0),WEEKDAY($A347,2)),""))</f>
        <v/>
      </c>
      <c r="I347" s="19">
        <f>IF(OR($G347="",$H347=""),"",MAX(0,$H347-$G347))</f>
        <v/>
      </c>
      <c r="J347" s="21">
        <f>IF($I347="","",IF($I347=0,"OK",IF($G347&lt;=0,"Sin stock: pedir ya","Pedir o producir")))</f>
        <v/>
      </c>
      <c r="K347" s="17" t="n"/>
      <c r="L347" s="17" t="n"/>
      <c r="M347" s="21">
        <f>IF(OR($A347="",$A347&lt;&gt;'Lista para pedir'!$C$3,N($I347)&lt;=0),"",COUNTIFS($A$2:$A347,$A347,$I$2:$I347,"&gt;0"))</f>
        <v/>
      </c>
    </row>
    <row r="348">
      <c r="A348" s="20" t="n"/>
      <c r="B348" s="21">
        <f>IF($A348="","",CHOOSE(WEEKDAY($A348,2),"Lunes","Martes","Miércoles","Jueves","Viernes","Sábado","Domingo"))</f>
        <v/>
      </c>
      <c r="C348" s="17" t="n"/>
      <c r="D348" s="21">
        <f>IF($C348="","",IFERROR(INDEX(Insumos!$B$2:$B$151,MATCH($C348,Insumos!$A$2:$A$151,0)),"Código no cargado"))</f>
        <v/>
      </c>
      <c r="E348" s="21">
        <f>IF($C348="","",IFERROR(INDEX(Insumos!$C$2:$C$151,MATCH($C348,Insumos!$A$2:$A$151,0)),""))</f>
        <v/>
      </c>
      <c r="F348" s="21">
        <f>IF($C348="","",IFERROR(INDEX(Insumos!$D$2:$D$151,MATCH($C348,Insumos!$A$2:$A$151,0)),""))</f>
        <v/>
      </c>
      <c r="G348" s="18" t="n"/>
      <c r="H348" s="19">
        <f>IF(OR($A348="",$C348=""),"",IFERROR(INDEX(Insumos!$M$2:$S$151,MATCH($C348,Insumos!$A$2:$A$151,0),WEEKDAY($A348,2)),""))</f>
        <v/>
      </c>
      <c r="I348" s="19">
        <f>IF(OR($G348="",$H348=""),"",MAX(0,$H348-$G348))</f>
        <v/>
      </c>
      <c r="J348" s="21">
        <f>IF($I348="","",IF($I348=0,"OK",IF($G348&lt;=0,"Sin stock: pedir ya","Pedir o producir")))</f>
        <v/>
      </c>
      <c r="K348" s="17" t="n"/>
      <c r="L348" s="17" t="n"/>
      <c r="M348" s="21">
        <f>IF(OR($A348="",$A348&lt;&gt;'Lista para pedir'!$C$3,N($I348)&lt;=0),"",COUNTIFS($A$2:$A348,$A348,$I$2:$I348,"&gt;0"))</f>
        <v/>
      </c>
    </row>
    <row r="349">
      <c r="A349" s="20" t="n"/>
      <c r="B349" s="21">
        <f>IF($A349="","",CHOOSE(WEEKDAY($A349,2),"Lunes","Martes","Miércoles","Jueves","Viernes","Sábado","Domingo"))</f>
        <v/>
      </c>
      <c r="C349" s="17" t="n"/>
      <c r="D349" s="21">
        <f>IF($C349="","",IFERROR(INDEX(Insumos!$B$2:$B$151,MATCH($C349,Insumos!$A$2:$A$151,0)),"Código no cargado"))</f>
        <v/>
      </c>
      <c r="E349" s="21">
        <f>IF($C349="","",IFERROR(INDEX(Insumos!$C$2:$C$151,MATCH($C349,Insumos!$A$2:$A$151,0)),""))</f>
        <v/>
      </c>
      <c r="F349" s="21">
        <f>IF($C349="","",IFERROR(INDEX(Insumos!$D$2:$D$151,MATCH($C349,Insumos!$A$2:$A$151,0)),""))</f>
        <v/>
      </c>
      <c r="G349" s="18" t="n"/>
      <c r="H349" s="19">
        <f>IF(OR($A349="",$C349=""),"",IFERROR(INDEX(Insumos!$M$2:$S$151,MATCH($C349,Insumos!$A$2:$A$151,0),WEEKDAY($A349,2)),""))</f>
        <v/>
      </c>
      <c r="I349" s="19">
        <f>IF(OR($G349="",$H349=""),"",MAX(0,$H349-$G349))</f>
        <v/>
      </c>
      <c r="J349" s="21">
        <f>IF($I349="","",IF($I349=0,"OK",IF($G349&lt;=0,"Sin stock: pedir ya","Pedir o producir")))</f>
        <v/>
      </c>
      <c r="K349" s="17" t="n"/>
      <c r="L349" s="17" t="n"/>
      <c r="M349" s="21">
        <f>IF(OR($A349="",$A349&lt;&gt;'Lista para pedir'!$C$3,N($I349)&lt;=0),"",COUNTIFS($A$2:$A349,$A349,$I$2:$I349,"&gt;0"))</f>
        <v/>
      </c>
    </row>
    <row r="350">
      <c r="A350" s="20" t="n"/>
      <c r="B350" s="21">
        <f>IF($A350="","",CHOOSE(WEEKDAY($A350,2),"Lunes","Martes","Miércoles","Jueves","Viernes","Sábado","Domingo"))</f>
        <v/>
      </c>
      <c r="C350" s="17" t="n"/>
      <c r="D350" s="21">
        <f>IF($C350="","",IFERROR(INDEX(Insumos!$B$2:$B$151,MATCH($C350,Insumos!$A$2:$A$151,0)),"Código no cargado"))</f>
        <v/>
      </c>
      <c r="E350" s="21">
        <f>IF($C350="","",IFERROR(INDEX(Insumos!$C$2:$C$151,MATCH($C350,Insumos!$A$2:$A$151,0)),""))</f>
        <v/>
      </c>
      <c r="F350" s="21">
        <f>IF($C350="","",IFERROR(INDEX(Insumos!$D$2:$D$151,MATCH($C350,Insumos!$A$2:$A$151,0)),""))</f>
        <v/>
      </c>
      <c r="G350" s="18" t="n"/>
      <c r="H350" s="19">
        <f>IF(OR($A350="",$C350=""),"",IFERROR(INDEX(Insumos!$M$2:$S$151,MATCH($C350,Insumos!$A$2:$A$151,0),WEEKDAY($A350,2)),""))</f>
        <v/>
      </c>
      <c r="I350" s="19">
        <f>IF(OR($G350="",$H350=""),"",MAX(0,$H350-$G350))</f>
        <v/>
      </c>
      <c r="J350" s="21">
        <f>IF($I350="","",IF($I350=0,"OK",IF($G350&lt;=0,"Sin stock: pedir ya","Pedir o producir")))</f>
        <v/>
      </c>
      <c r="K350" s="17" t="n"/>
      <c r="L350" s="17" t="n"/>
      <c r="M350" s="21">
        <f>IF(OR($A350="",$A350&lt;&gt;'Lista para pedir'!$C$3,N($I350)&lt;=0),"",COUNTIFS($A$2:$A350,$A350,$I$2:$I350,"&gt;0"))</f>
        <v/>
      </c>
    </row>
    <row r="351">
      <c r="A351" s="20" t="n"/>
      <c r="B351" s="21">
        <f>IF($A351="","",CHOOSE(WEEKDAY($A351,2),"Lunes","Martes","Miércoles","Jueves","Viernes","Sábado","Domingo"))</f>
        <v/>
      </c>
      <c r="C351" s="17" t="n"/>
      <c r="D351" s="21">
        <f>IF($C351="","",IFERROR(INDEX(Insumos!$B$2:$B$151,MATCH($C351,Insumos!$A$2:$A$151,0)),"Código no cargado"))</f>
        <v/>
      </c>
      <c r="E351" s="21">
        <f>IF($C351="","",IFERROR(INDEX(Insumos!$C$2:$C$151,MATCH($C351,Insumos!$A$2:$A$151,0)),""))</f>
        <v/>
      </c>
      <c r="F351" s="21">
        <f>IF($C351="","",IFERROR(INDEX(Insumos!$D$2:$D$151,MATCH($C351,Insumos!$A$2:$A$151,0)),""))</f>
        <v/>
      </c>
      <c r="G351" s="18" t="n"/>
      <c r="H351" s="19">
        <f>IF(OR($A351="",$C351=""),"",IFERROR(INDEX(Insumos!$M$2:$S$151,MATCH($C351,Insumos!$A$2:$A$151,0),WEEKDAY($A351,2)),""))</f>
        <v/>
      </c>
      <c r="I351" s="19">
        <f>IF(OR($G351="",$H351=""),"",MAX(0,$H351-$G351))</f>
        <v/>
      </c>
      <c r="J351" s="21">
        <f>IF($I351="","",IF($I351=0,"OK",IF($G351&lt;=0,"Sin stock: pedir ya","Pedir o producir")))</f>
        <v/>
      </c>
      <c r="K351" s="17" t="n"/>
      <c r="L351" s="17" t="n"/>
      <c r="M351" s="21">
        <f>IF(OR($A351="",$A351&lt;&gt;'Lista para pedir'!$C$3,N($I351)&lt;=0),"",COUNTIFS($A$2:$A351,$A351,$I$2:$I351,"&gt;0"))</f>
        <v/>
      </c>
    </row>
    <row r="352">
      <c r="A352" s="20" t="n"/>
      <c r="B352" s="21">
        <f>IF($A352="","",CHOOSE(WEEKDAY($A352,2),"Lunes","Martes","Miércoles","Jueves","Viernes","Sábado","Domingo"))</f>
        <v/>
      </c>
      <c r="C352" s="17" t="n"/>
      <c r="D352" s="21">
        <f>IF($C352="","",IFERROR(INDEX(Insumos!$B$2:$B$151,MATCH($C352,Insumos!$A$2:$A$151,0)),"Código no cargado"))</f>
        <v/>
      </c>
      <c r="E352" s="21">
        <f>IF($C352="","",IFERROR(INDEX(Insumos!$C$2:$C$151,MATCH($C352,Insumos!$A$2:$A$151,0)),""))</f>
        <v/>
      </c>
      <c r="F352" s="21">
        <f>IF($C352="","",IFERROR(INDEX(Insumos!$D$2:$D$151,MATCH($C352,Insumos!$A$2:$A$151,0)),""))</f>
        <v/>
      </c>
      <c r="G352" s="18" t="n"/>
      <c r="H352" s="19">
        <f>IF(OR($A352="",$C352=""),"",IFERROR(INDEX(Insumos!$M$2:$S$151,MATCH($C352,Insumos!$A$2:$A$151,0),WEEKDAY($A352,2)),""))</f>
        <v/>
      </c>
      <c r="I352" s="19">
        <f>IF(OR($G352="",$H352=""),"",MAX(0,$H352-$G352))</f>
        <v/>
      </c>
      <c r="J352" s="21">
        <f>IF($I352="","",IF($I352=0,"OK",IF($G352&lt;=0,"Sin stock: pedir ya","Pedir o producir")))</f>
        <v/>
      </c>
      <c r="K352" s="17" t="n"/>
      <c r="L352" s="17" t="n"/>
      <c r="M352" s="21">
        <f>IF(OR($A352="",$A352&lt;&gt;'Lista para pedir'!$C$3,N($I352)&lt;=0),"",COUNTIFS($A$2:$A352,$A352,$I$2:$I352,"&gt;0"))</f>
        <v/>
      </c>
    </row>
    <row r="353">
      <c r="A353" s="20" t="n"/>
      <c r="B353" s="21">
        <f>IF($A353="","",CHOOSE(WEEKDAY($A353,2),"Lunes","Martes","Miércoles","Jueves","Viernes","Sábado","Domingo"))</f>
        <v/>
      </c>
      <c r="C353" s="17" t="n"/>
      <c r="D353" s="21">
        <f>IF($C353="","",IFERROR(INDEX(Insumos!$B$2:$B$151,MATCH($C353,Insumos!$A$2:$A$151,0)),"Código no cargado"))</f>
        <v/>
      </c>
      <c r="E353" s="21">
        <f>IF($C353="","",IFERROR(INDEX(Insumos!$C$2:$C$151,MATCH($C353,Insumos!$A$2:$A$151,0)),""))</f>
        <v/>
      </c>
      <c r="F353" s="21">
        <f>IF($C353="","",IFERROR(INDEX(Insumos!$D$2:$D$151,MATCH($C353,Insumos!$A$2:$A$151,0)),""))</f>
        <v/>
      </c>
      <c r="G353" s="18" t="n"/>
      <c r="H353" s="19">
        <f>IF(OR($A353="",$C353=""),"",IFERROR(INDEX(Insumos!$M$2:$S$151,MATCH($C353,Insumos!$A$2:$A$151,0),WEEKDAY($A353,2)),""))</f>
        <v/>
      </c>
      <c r="I353" s="19">
        <f>IF(OR($G353="",$H353=""),"",MAX(0,$H353-$G353))</f>
        <v/>
      </c>
      <c r="J353" s="21">
        <f>IF($I353="","",IF($I353=0,"OK",IF($G353&lt;=0,"Sin stock: pedir ya","Pedir o producir")))</f>
        <v/>
      </c>
      <c r="K353" s="17" t="n"/>
      <c r="L353" s="17" t="n"/>
      <c r="M353" s="21">
        <f>IF(OR($A353="",$A353&lt;&gt;'Lista para pedir'!$C$3,N($I353)&lt;=0),"",COUNTIFS($A$2:$A353,$A353,$I$2:$I353,"&gt;0"))</f>
        <v/>
      </c>
    </row>
    <row r="354">
      <c r="A354" s="20" t="n"/>
      <c r="B354" s="21">
        <f>IF($A354="","",CHOOSE(WEEKDAY($A354,2),"Lunes","Martes","Miércoles","Jueves","Viernes","Sábado","Domingo"))</f>
        <v/>
      </c>
      <c r="C354" s="17" t="n"/>
      <c r="D354" s="21">
        <f>IF($C354="","",IFERROR(INDEX(Insumos!$B$2:$B$151,MATCH($C354,Insumos!$A$2:$A$151,0)),"Código no cargado"))</f>
        <v/>
      </c>
      <c r="E354" s="21">
        <f>IF($C354="","",IFERROR(INDEX(Insumos!$C$2:$C$151,MATCH($C354,Insumos!$A$2:$A$151,0)),""))</f>
        <v/>
      </c>
      <c r="F354" s="21">
        <f>IF($C354="","",IFERROR(INDEX(Insumos!$D$2:$D$151,MATCH($C354,Insumos!$A$2:$A$151,0)),""))</f>
        <v/>
      </c>
      <c r="G354" s="18" t="n"/>
      <c r="H354" s="19">
        <f>IF(OR($A354="",$C354=""),"",IFERROR(INDEX(Insumos!$M$2:$S$151,MATCH($C354,Insumos!$A$2:$A$151,0),WEEKDAY($A354,2)),""))</f>
        <v/>
      </c>
      <c r="I354" s="19">
        <f>IF(OR($G354="",$H354=""),"",MAX(0,$H354-$G354))</f>
        <v/>
      </c>
      <c r="J354" s="21">
        <f>IF($I354="","",IF($I354=0,"OK",IF($G354&lt;=0,"Sin stock: pedir ya","Pedir o producir")))</f>
        <v/>
      </c>
      <c r="K354" s="17" t="n"/>
      <c r="L354" s="17" t="n"/>
      <c r="M354" s="21">
        <f>IF(OR($A354="",$A354&lt;&gt;'Lista para pedir'!$C$3,N($I354)&lt;=0),"",COUNTIFS($A$2:$A354,$A354,$I$2:$I354,"&gt;0"))</f>
        <v/>
      </c>
    </row>
    <row r="355">
      <c r="A355" s="20" t="n"/>
      <c r="B355" s="21">
        <f>IF($A355="","",CHOOSE(WEEKDAY($A355,2),"Lunes","Martes","Miércoles","Jueves","Viernes","Sábado","Domingo"))</f>
        <v/>
      </c>
      <c r="C355" s="17" t="n"/>
      <c r="D355" s="21">
        <f>IF($C355="","",IFERROR(INDEX(Insumos!$B$2:$B$151,MATCH($C355,Insumos!$A$2:$A$151,0)),"Código no cargado"))</f>
        <v/>
      </c>
      <c r="E355" s="21">
        <f>IF($C355="","",IFERROR(INDEX(Insumos!$C$2:$C$151,MATCH($C355,Insumos!$A$2:$A$151,0)),""))</f>
        <v/>
      </c>
      <c r="F355" s="21">
        <f>IF($C355="","",IFERROR(INDEX(Insumos!$D$2:$D$151,MATCH($C355,Insumos!$A$2:$A$151,0)),""))</f>
        <v/>
      </c>
      <c r="G355" s="18" t="n"/>
      <c r="H355" s="19">
        <f>IF(OR($A355="",$C355=""),"",IFERROR(INDEX(Insumos!$M$2:$S$151,MATCH($C355,Insumos!$A$2:$A$151,0),WEEKDAY($A355,2)),""))</f>
        <v/>
      </c>
      <c r="I355" s="19">
        <f>IF(OR($G355="",$H355=""),"",MAX(0,$H355-$G355))</f>
        <v/>
      </c>
      <c r="J355" s="21">
        <f>IF($I355="","",IF($I355=0,"OK",IF($G355&lt;=0,"Sin stock: pedir ya","Pedir o producir")))</f>
        <v/>
      </c>
      <c r="K355" s="17" t="n"/>
      <c r="L355" s="17" t="n"/>
      <c r="M355" s="21">
        <f>IF(OR($A355="",$A355&lt;&gt;'Lista para pedir'!$C$3,N($I355)&lt;=0),"",COUNTIFS($A$2:$A355,$A355,$I$2:$I355,"&gt;0"))</f>
        <v/>
      </c>
    </row>
    <row r="356">
      <c r="A356" s="20" t="n"/>
      <c r="B356" s="21">
        <f>IF($A356="","",CHOOSE(WEEKDAY($A356,2),"Lunes","Martes","Miércoles","Jueves","Viernes","Sábado","Domingo"))</f>
        <v/>
      </c>
      <c r="C356" s="17" t="n"/>
      <c r="D356" s="21">
        <f>IF($C356="","",IFERROR(INDEX(Insumos!$B$2:$B$151,MATCH($C356,Insumos!$A$2:$A$151,0)),"Código no cargado"))</f>
        <v/>
      </c>
      <c r="E356" s="21">
        <f>IF($C356="","",IFERROR(INDEX(Insumos!$C$2:$C$151,MATCH($C356,Insumos!$A$2:$A$151,0)),""))</f>
        <v/>
      </c>
      <c r="F356" s="21">
        <f>IF($C356="","",IFERROR(INDEX(Insumos!$D$2:$D$151,MATCH($C356,Insumos!$A$2:$A$151,0)),""))</f>
        <v/>
      </c>
      <c r="G356" s="18" t="n"/>
      <c r="H356" s="19">
        <f>IF(OR($A356="",$C356=""),"",IFERROR(INDEX(Insumos!$M$2:$S$151,MATCH($C356,Insumos!$A$2:$A$151,0),WEEKDAY($A356,2)),""))</f>
        <v/>
      </c>
      <c r="I356" s="19">
        <f>IF(OR($G356="",$H356=""),"",MAX(0,$H356-$G356))</f>
        <v/>
      </c>
      <c r="J356" s="21">
        <f>IF($I356="","",IF($I356=0,"OK",IF($G356&lt;=0,"Sin stock: pedir ya","Pedir o producir")))</f>
        <v/>
      </c>
      <c r="K356" s="17" t="n"/>
      <c r="L356" s="17" t="n"/>
      <c r="M356" s="21">
        <f>IF(OR($A356="",$A356&lt;&gt;'Lista para pedir'!$C$3,N($I356)&lt;=0),"",COUNTIFS($A$2:$A356,$A356,$I$2:$I356,"&gt;0"))</f>
        <v/>
      </c>
    </row>
    <row r="357">
      <c r="A357" s="20" t="n"/>
      <c r="B357" s="21">
        <f>IF($A357="","",CHOOSE(WEEKDAY($A357,2),"Lunes","Martes","Miércoles","Jueves","Viernes","Sábado","Domingo"))</f>
        <v/>
      </c>
      <c r="C357" s="17" t="n"/>
      <c r="D357" s="21">
        <f>IF($C357="","",IFERROR(INDEX(Insumos!$B$2:$B$151,MATCH($C357,Insumos!$A$2:$A$151,0)),"Código no cargado"))</f>
        <v/>
      </c>
      <c r="E357" s="21">
        <f>IF($C357="","",IFERROR(INDEX(Insumos!$C$2:$C$151,MATCH($C357,Insumos!$A$2:$A$151,0)),""))</f>
        <v/>
      </c>
      <c r="F357" s="21">
        <f>IF($C357="","",IFERROR(INDEX(Insumos!$D$2:$D$151,MATCH($C357,Insumos!$A$2:$A$151,0)),""))</f>
        <v/>
      </c>
      <c r="G357" s="18" t="n"/>
      <c r="H357" s="19">
        <f>IF(OR($A357="",$C357=""),"",IFERROR(INDEX(Insumos!$M$2:$S$151,MATCH($C357,Insumos!$A$2:$A$151,0),WEEKDAY($A357,2)),""))</f>
        <v/>
      </c>
      <c r="I357" s="19">
        <f>IF(OR($G357="",$H357=""),"",MAX(0,$H357-$G357))</f>
        <v/>
      </c>
      <c r="J357" s="21">
        <f>IF($I357="","",IF($I357=0,"OK",IF($G357&lt;=0,"Sin stock: pedir ya","Pedir o producir")))</f>
        <v/>
      </c>
      <c r="K357" s="17" t="n"/>
      <c r="L357" s="17" t="n"/>
      <c r="M357" s="21">
        <f>IF(OR($A357="",$A357&lt;&gt;'Lista para pedir'!$C$3,N($I357)&lt;=0),"",COUNTIFS($A$2:$A357,$A357,$I$2:$I357,"&gt;0"))</f>
        <v/>
      </c>
    </row>
    <row r="358">
      <c r="A358" s="20" t="n"/>
      <c r="B358" s="21">
        <f>IF($A358="","",CHOOSE(WEEKDAY($A358,2),"Lunes","Martes","Miércoles","Jueves","Viernes","Sábado","Domingo"))</f>
        <v/>
      </c>
      <c r="C358" s="17" t="n"/>
      <c r="D358" s="21">
        <f>IF($C358="","",IFERROR(INDEX(Insumos!$B$2:$B$151,MATCH($C358,Insumos!$A$2:$A$151,0)),"Código no cargado"))</f>
        <v/>
      </c>
      <c r="E358" s="21">
        <f>IF($C358="","",IFERROR(INDEX(Insumos!$C$2:$C$151,MATCH($C358,Insumos!$A$2:$A$151,0)),""))</f>
        <v/>
      </c>
      <c r="F358" s="21">
        <f>IF($C358="","",IFERROR(INDEX(Insumos!$D$2:$D$151,MATCH($C358,Insumos!$A$2:$A$151,0)),""))</f>
        <v/>
      </c>
      <c r="G358" s="18" t="n"/>
      <c r="H358" s="19">
        <f>IF(OR($A358="",$C358=""),"",IFERROR(INDEX(Insumos!$M$2:$S$151,MATCH($C358,Insumos!$A$2:$A$151,0),WEEKDAY($A358,2)),""))</f>
        <v/>
      </c>
      <c r="I358" s="19">
        <f>IF(OR($G358="",$H358=""),"",MAX(0,$H358-$G358))</f>
        <v/>
      </c>
      <c r="J358" s="21">
        <f>IF($I358="","",IF($I358=0,"OK",IF($G358&lt;=0,"Sin stock: pedir ya","Pedir o producir")))</f>
        <v/>
      </c>
      <c r="K358" s="17" t="n"/>
      <c r="L358" s="17" t="n"/>
      <c r="M358" s="21">
        <f>IF(OR($A358="",$A358&lt;&gt;'Lista para pedir'!$C$3,N($I358)&lt;=0),"",COUNTIFS($A$2:$A358,$A358,$I$2:$I358,"&gt;0"))</f>
        <v/>
      </c>
    </row>
    <row r="359">
      <c r="A359" s="20" t="n"/>
      <c r="B359" s="21">
        <f>IF($A359="","",CHOOSE(WEEKDAY($A359,2),"Lunes","Martes","Miércoles","Jueves","Viernes","Sábado","Domingo"))</f>
        <v/>
      </c>
      <c r="C359" s="17" t="n"/>
      <c r="D359" s="21">
        <f>IF($C359="","",IFERROR(INDEX(Insumos!$B$2:$B$151,MATCH($C359,Insumos!$A$2:$A$151,0)),"Código no cargado"))</f>
        <v/>
      </c>
      <c r="E359" s="21">
        <f>IF($C359="","",IFERROR(INDEX(Insumos!$C$2:$C$151,MATCH($C359,Insumos!$A$2:$A$151,0)),""))</f>
        <v/>
      </c>
      <c r="F359" s="21">
        <f>IF($C359="","",IFERROR(INDEX(Insumos!$D$2:$D$151,MATCH($C359,Insumos!$A$2:$A$151,0)),""))</f>
        <v/>
      </c>
      <c r="G359" s="18" t="n"/>
      <c r="H359" s="19">
        <f>IF(OR($A359="",$C359=""),"",IFERROR(INDEX(Insumos!$M$2:$S$151,MATCH($C359,Insumos!$A$2:$A$151,0),WEEKDAY($A359,2)),""))</f>
        <v/>
      </c>
      <c r="I359" s="19">
        <f>IF(OR($G359="",$H359=""),"",MAX(0,$H359-$G359))</f>
        <v/>
      </c>
      <c r="J359" s="21">
        <f>IF($I359="","",IF($I359=0,"OK",IF($G359&lt;=0,"Sin stock: pedir ya","Pedir o producir")))</f>
        <v/>
      </c>
      <c r="K359" s="17" t="n"/>
      <c r="L359" s="17" t="n"/>
      <c r="M359" s="21">
        <f>IF(OR($A359="",$A359&lt;&gt;'Lista para pedir'!$C$3,N($I359)&lt;=0),"",COUNTIFS($A$2:$A359,$A359,$I$2:$I359,"&gt;0"))</f>
        <v/>
      </c>
    </row>
    <row r="360">
      <c r="A360" s="20" t="n"/>
      <c r="B360" s="21">
        <f>IF($A360="","",CHOOSE(WEEKDAY($A360,2),"Lunes","Martes","Miércoles","Jueves","Viernes","Sábado","Domingo"))</f>
        <v/>
      </c>
      <c r="C360" s="17" t="n"/>
      <c r="D360" s="21">
        <f>IF($C360="","",IFERROR(INDEX(Insumos!$B$2:$B$151,MATCH($C360,Insumos!$A$2:$A$151,0)),"Código no cargado"))</f>
        <v/>
      </c>
      <c r="E360" s="21">
        <f>IF($C360="","",IFERROR(INDEX(Insumos!$C$2:$C$151,MATCH($C360,Insumos!$A$2:$A$151,0)),""))</f>
        <v/>
      </c>
      <c r="F360" s="21">
        <f>IF($C360="","",IFERROR(INDEX(Insumos!$D$2:$D$151,MATCH($C360,Insumos!$A$2:$A$151,0)),""))</f>
        <v/>
      </c>
      <c r="G360" s="18" t="n"/>
      <c r="H360" s="19">
        <f>IF(OR($A360="",$C360=""),"",IFERROR(INDEX(Insumos!$M$2:$S$151,MATCH($C360,Insumos!$A$2:$A$151,0),WEEKDAY($A360,2)),""))</f>
        <v/>
      </c>
      <c r="I360" s="19">
        <f>IF(OR($G360="",$H360=""),"",MAX(0,$H360-$G360))</f>
        <v/>
      </c>
      <c r="J360" s="21">
        <f>IF($I360="","",IF($I360=0,"OK",IF($G360&lt;=0,"Sin stock: pedir ya","Pedir o producir")))</f>
        <v/>
      </c>
      <c r="K360" s="17" t="n"/>
      <c r="L360" s="17" t="n"/>
      <c r="M360" s="21">
        <f>IF(OR($A360="",$A360&lt;&gt;'Lista para pedir'!$C$3,N($I360)&lt;=0),"",COUNTIFS($A$2:$A360,$A360,$I$2:$I360,"&gt;0"))</f>
        <v/>
      </c>
    </row>
    <row r="361">
      <c r="A361" s="20" t="n"/>
      <c r="B361" s="21">
        <f>IF($A361="","",CHOOSE(WEEKDAY($A361,2),"Lunes","Martes","Miércoles","Jueves","Viernes","Sábado","Domingo"))</f>
        <v/>
      </c>
      <c r="C361" s="17" t="n"/>
      <c r="D361" s="21">
        <f>IF($C361="","",IFERROR(INDEX(Insumos!$B$2:$B$151,MATCH($C361,Insumos!$A$2:$A$151,0)),"Código no cargado"))</f>
        <v/>
      </c>
      <c r="E361" s="21">
        <f>IF($C361="","",IFERROR(INDEX(Insumos!$C$2:$C$151,MATCH($C361,Insumos!$A$2:$A$151,0)),""))</f>
        <v/>
      </c>
      <c r="F361" s="21">
        <f>IF($C361="","",IFERROR(INDEX(Insumos!$D$2:$D$151,MATCH($C361,Insumos!$A$2:$A$151,0)),""))</f>
        <v/>
      </c>
      <c r="G361" s="18" t="n"/>
      <c r="H361" s="19">
        <f>IF(OR($A361="",$C361=""),"",IFERROR(INDEX(Insumos!$M$2:$S$151,MATCH($C361,Insumos!$A$2:$A$151,0),WEEKDAY($A361,2)),""))</f>
        <v/>
      </c>
      <c r="I361" s="19">
        <f>IF(OR($G361="",$H361=""),"",MAX(0,$H361-$G361))</f>
        <v/>
      </c>
      <c r="J361" s="21">
        <f>IF($I361="","",IF($I361=0,"OK",IF($G361&lt;=0,"Sin stock: pedir ya","Pedir o producir")))</f>
        <v/>
      </c>
      <c r="K361" s="17" t="n"/>
      <c r="L361" s="17" t="n"/>
      <c r="M361" s="21">
        <f>IF(OR($A361="",$A361&lt;&gt;'Lista para pedir'!$C$3,N($I361)&lt;=0),"",COUNTIFS($A$2:$A361,$A361,$I$2:$I361,"&gt;0"))</f>
        <v/>
      </c>
    </row>
    <row r="362">
      <c r="A362" s="20" t="n"/>
      <c r="B362" s="21">
        <f>IF($A362="","",CHOOSE(WEEKDAY($A362,2),"Lunes","Martes","Miércoles","Jueves","Viernes","Sábado","Domingo"))</f>
        <v/>
      </c>
      <c r="C362" s="17" t="n"/>
      <c r="D362" s="21">
        <f>IF($C362="","",IFERROR(INDEX(Insumos!$B$2:$B$151,MATCH($C362,Insumos!$A$2:$A$151,0)),"Código no cargado"))</f>
        <v/>
      </c>
      <c r="E362" s="21">
        <f>IF($C362="","",IFERROR(INDEX(Insumos!$C$2:$C$151,MATCH($C362,Insumos!$A$2:$A$151,0)),""))</f>
        <v/>
      </c>
      <c r="F362" s="21">
        <f>IF($C362="","",IFERROR(INDEX(Insumos!$D$2:$D$151,MATCH($C362,Insumos!$A$2:$A$151,0)),""))</f>
        <v/>
      </c>
      <c r="G362" s="18" t="n"/>
      <c r="H362" s="19">
        <f>IF(OR($A362="",$C362=""),"",IFERROR(INDEX(Insumos!$M$2:$S$151,MATCH($C362,Insumos!$A$2:$A$151,0),WEEKDAY($A362,2)),""))</f>
        <v/>
      </c>
      <c r="I362" s="19">
        <f>IF(OR($G362="",$H362=""),"",MAX(0,$H362-$G362))</f>
        <v/>
      </c>
      <c r="J362" s="21">
        <f>IF($I362="","",IF($I362=0,"OK",IF($G362&lt;=0,"Sin stock: pedir ya","Pedir o producir")))</f>
        <v/>
      </c>
      <c r="K362" s="17" t="n"/>
      <c r="L362" s="17" t="n"/>
      <c r="M362" s="21">
        <f>IF(OR($A362="",$A362&lt;&gt;'Lista para pedir'!$C$3,N($I362)&lt;=0),"",COUNTIFS($A$2:$A362,$A362,$I$2:$I362,"&gt;0"))</f>
        <v/>
      </c>
    </row>
    <row r="363">
      <c r="A363" s="20" t="n"/>
      <c r="B363" s="21">
        <f>IF($A363="","",CHOOSE(WEEKDAY($A363,2),"Lunes","Martes","Miércoles","Jueves","Viernes","Sábado","Domingo"))</f>
        <v/>
      </c>
      <c r="C363" s="17" t="n"/>
      <c r="D363" s="21">
        <f>IF($C363="","",IFERROR(INDEX(Insumos!$B$2:$B$151,MATCH($C363,Insumos!$A$2:$A$151,0)),"Código no cargado"))</f>
        <v/>
      </c>
      <c r="E363" s="21">
        <f>IF($C363="","",IFERROR(INDEX(Insumos!$C$2:$C$151,MATCH($C363,Insumos!$A$2:$A$151,0)),""))</f>
        <v/>
      </c>
      <c r="F363" s="21">
        <f>IF($C363="","",IFERROR(INDEX(Insumos!$D$2:$D$151,MATCH($C363,Insumos!$A$2:$A$151,0)),""))</f>
        <v/>
      </c>
      <c r="G363" s="18" t="n"/>
      <c r="H363" s="19">
        <f>IF(OR($A363="",$C363=""),"",IFERROR(INDEX(Insumos!$M$2:$S$151,MATCH($C363,Insumos!$A$2:$A$151,0),WEEKDAY($A363,2)),""))</f>
        <v/>
      </c>
      <c r="I363" s="19">
        <f>IF(OR($G363="",$H363=""),"",MAX(0,$H363-$G363))</f>
        <v/>
      </c>
      <c r="J363" s="21">
        <f>IF($I363="","",IF($I363=0,"OK",IF($G363&lt;=0,"Sin stock: pedir ya","Pedir o producir")))</f>
        <v/>
      </c>
      <c r="K363" s="17" t="n"/>
      <c r="L363" s="17" t="n"/>
      <c r="M363" s="21">
        <f>IF(OR($A363="",$A363&lt;&gt;'Lista para pedir'!$C$3,N($I363)&lt;=0),"",COUNTIFS($A$2:$A363,$A363,$I$2:$I363,"&gt;0"))</f>
        <v/>
      </c>
    </row>
    <row r="364">
      <c r="A364" s="20" t="n"/>
      <c r="B364" s="21">
        <f>IF($A364="","",CHOOSE(WEEKDAY($A364,2),"Lunes","Martes","Miércoles","Jueves","Viernes","Sábado","Domingo"))</f>
        <v/>
      </c>
      <c r="C364" s="17" t="n"/>
      <c r="D364" s="21">
        <f>IF($C364="","",IFERROR(INDEX(Insumos!$B$2:$B$151,MATCH($C364,Insumos!$A$2:$A$151,0)),"Código no cargado"))</f>
        <v/>
      </c>
      <c r="E364" s="21">
        <f>IF($C364="","",IFERROR(INDEX(Insumos!$C$2:$C$151,MATCH($C364,Insumos!$A$2:$A$151,0)),""))</f>
        <v/>
      </c>
      <c r="F364" s="21">
        <f>IF($C364="","",IFERROR(INDEX(Insumos!$D$2:$D$151,MATCH($C364,Insumos!$A$2:$A$151,0)),""))</f>
        <v/>
      </c>
      <c r="G364" s="18" t="n"/>
      <c r="H364" s="19">
        <f>IF(OR($A364="",$C364=""),"",IFERROR(INDEX(Insumos!$M$2:$S$151,MATCH($C364,Insumos!$A$2:$A$151,0),WEEKDAY($A364,2)),""))</f>
        <v/>
      </c>
      <c r="I364" s="19">
        <f>IF(OR($G364="",$H364=""),"",MAX(0,$H364-$G364))</f>
        <v/>
      </c>
      <c r="J364" s="21">
        <f>IF($I364="","",IF($I364=0,"OK",IF($G364&lt;=0,"Sin stock: pedir ya","Pedir o producir")))</f>
        <v/>
      </c>
      <c r="K364" s="17" t="n"/>
      <c r="L364" s="17" t="n"/>
      <c r="M364" s="21">
        <f>IF(OR($A364="",$A364&lt;&gt;'Lista para pedir'!$C$3,N($I364)&lt;=0),"",COUNTIFS($A$2:$A364,$A364,$I$2:$I364,"&gt;0"))</f>
        <v/>
      </c>
    </row>
    <row r="365">
      <c r="A365" s="20" t="n"/>
      <c r="B365" s="21">
        <f>IF($A365="","",CHOOSE(WEEKDAY($A365,2),"Lunes","Martes","Miércoles","Jueves","Viernes","Sábado","Domingo"))</f>
        <v/>
      </c>
      <c r="C365" s="17" t="n"/>
      <c r="D365" s="21">
        <f>IF($C365="","",IFERROR(INDEX(Insumos!$B$2:$B$151,MATCH($C365,Insumos!$A$2:$A$151,0)),"Código no cargado"))</f>
        <v/>
      </c>
      <c r="E365" s="21">
        <f>IF($C365="","",IFERROR(INDEX(Insumos!$C$2:$C$151,MATCH($C365,Insumos!$A$2:$A$151,0)),""))</f>
        <v/>
      </c>
      <c r="F365" s="21">
        <f>IF($C365="","",IFERROR(INDEX(Insumos!$D$2:$D$151,MATCH($C365,Insumos!$A$2:$A$151,0)),""))</f>
        <v/>
      </c>
      <c r="G365" s="18" t="n"/>
      <c r="H365" s="19">
        <f>IF(OR($A365="",$C365=""),"",IFERROR(INDEX(Insumos!$M$2:$S$151,MATCH($C365,Insumos!$A$2:$A$151,0),WEEKDAY($A365,2)),""))</f>
        <v/>
      </c>
      <c r="I365" s="19">
        <f>IF(OR($G365="",$H365=""),"",MAX(0,$H365-$G365))</f>
        <v/>
      </c>
      <c r="J365" s="21">
        <f>IF($I365="","",IF($I365=0,"OK",IF($G365&lt;=0,"Sin stock: pedir ya","Pedir o producir")))</f>
        <v/>
      </c>
      <c r="K365" s="17" t="n"/>
      <c r="L365" s="17" t="n"/>
      <c r="M365" s="21">
        <f>IF(OR($A365="",$A365&lt;&gt;'Lista para pedir'!$C$3,N($I365)&lt;=0),"",COUNTIFS($A$2:$A365,$A365,$I$2:$I365,"&gt;0"))</f>
        <v/>
      </c>
    </row>
    <row r="366">
      <c r="A366" s="20" t="n"/>
      <c r="B366" s="21">
        <f>IF($A366="","",CHOOSE(WEEKDAY($A366,2),"Lunes","Martes","Miércoles","Jueves","Viernes","Sábado","Domingo"))</f>
        <v/>
      </c>
      <c r="C366" s="17" t="n"/>
      <c r="D366" s="21">
        <f>IF($C366="","",IFERROR(INDEX(Insumos!$B$2:$B$151,MATCH($C366,Insumos!$A$2:$A$151,0)),"Código no cargado"))</f>
        <v/>
      </c>
      <c r="E366" s="21">
        <f>IF($C366="","",IFERROR(INDEX(Insumos!$C$2:$C$151,MATCH($C366,Insumos!$A$2:$A$151,0)),""))</f>
        <v/>
      </c>
      <c r="F366" s="21">
        <f>IF($C366="","",IFERROR(INDEX(Insumos!$D$2:$D$151,MATCH($C366,Insumos!$A$2:$A$151,0)),""))</f>
        <v/>
      </c>
      <c r="G366" s="18" t="n"/>
      <c r="H366" s="19">
        <f>IF(OR($A366="",$C366=""),"",IFERROR(INDEX(Insumos!$M$2:$S$151,MATCH($C366,Insumos!$A$2:$A$151,0),WEEKDAY($A366,2)),""))</f>
        <v/>
      </c>
      <c r="I366" s="19">
        <f>IF(OR($G366="",$H366=""),"",MAX(0,$H366-$G366))</f>
        <v/>
      </c>
      <c r="J366" s="21">
        <f>IF($I366="","",IF($I366=0,"OK",IF($G366&lt;=0,"Sin stock: pedir ya","Pedir o producir")))</f>
        <v/>
      </c>
      <c r="K366" s="17" t="n"/>
      <c r="L366" s="17" t="n"/>
      <c r="M366" s="21">
        <f>IF(OR($A366="",$A366&lt;&gt;'Lista para pedir'!$C$3,N($I366)&lt;=0),"",COUNTIFS($A$2:$A366,$A366,$I$2:$I366,"&gt;0"))</f>
        <v/>
      </c>
    </row>
    <row r="367">
      <c r="A367" s="20" t="n"/>
      <c r="B367" s="21">
        <f>IF($A367="","",CHOOSE(WEEKDAY($A367,2),"Lunes","Martes","Miércoles","Jueves","Viernes","Sábado","Domingo"))</f>
        <v/>
      </c>
      <c r="C367" s="17" t="n"/>
      <c r="D367" s="21">
        <f>IF($C367="","",IFERROR(INDEX(Insumos!$B$2:$B$151,MATCH($C367,Insumos!$A$2:$A$151,0)),"Código no cargado"))</f>
        <v/>
      </c>
      <c r="E367" s="21">
        <f>IF($C367="","",IFERROR(INDEX(Insumos!$C$2:$C$151,MATCH($C367,Insumos!$A$2:$A$151,0)),""))</f>
        <v/>
      </c>
      <c r="F367" s="21">
        <f>IF($C367="","",IFERROR(INDEX(Insumos!$D$2:$D$151,MATCH($C367,Insumos!$A$2:$A$151,0)),""))</f>
        <v/>
      </c>
      <c r="G367" s="18" t="n"/>
      <c r="H367" s="19">
        <f>IF(OR($A367="",$C367=""),"",IFERROR(INDEX(Insumos!$M$2:$S$151,MATCH($C367,Insumos!$A$2:$A$151,0),WEEKDAY($A367,2)),""))</f>
        <v/>
      </c>
      <c r="I367" s="19">
        <f>IF(OR($G367="",$H367=""),"",MAX(0,$H367-$G367))</f>
        <v/>
      </c>
      <c r="J367" s="21">
        <f>IF($I367="","",IF($I367=0,"OK",IF($G367&lt;=0,"Sin stock: pedir ya","Pedir o producir")))</f>
        <v/>
      </c>
      <c r="K367" s="17" t="n"/>
      <c r="L367" s="17" t="n"/>
      <c r="M367" s="21">
        <f>IF(OR($A367="",$A367&lt;&gt;'Lista para pedir'!$C$3,N($I367)&lt;=0),"",COUNTIFS($A$2:$A367,$A367,$I$2:$I367,"&gt;0"))</f>
        <v/>
      </c>
    </row>
    <row r="368">
      <c r="A368" s="20" t="n"/>
      <c r="B368" s="21">
        <f>IF($A368="","",CHOOSE(WEEKDAY($A368,2),"Lunes","Martes","Miércoles","Jueves","Viernes","Sábado","Domingo"))</f>
        <v/>
      </c>
      <c r="C368" s="17" t="n"/>
      <c r="D368" s="21">
        <f>IF($C368="","",IFERROR(INDEX(Insumos!$B$2:$B$151,MATCH($C368,Insumos!$A$2:$A$151,0)),"Código no cargado"))</f>
        <v/>
      </c>
      <c r="E368" s="21">
        <f>IF($C368="","",IFERROR(INDEX(Insumos!$C$2:$C$151,MATCH($C368,Insumos!$A$2:$A$151,0)),""))</f>
        <v/>
      </c>
      <c r="F368" s="21">
        <f>IF($C368="","",IFERROR(INDEX(Insumos!$D$2:$D$151,MATCH($C368,Insumos!$A$2:$A$151,0)),""))</f>
        <v/>
      </c>
      <c r="G368" s="18" t="n"/>
      <c r="H368" s="19">
        <f>IF(OR($A368="",$C368=""),"",IFERROR(INDEX(Insumos!$M$2:$S$151,MATCH($C368,Insumos!$A$2:$A$151,0),WEEKDAY($A368,2)),""))</f>
        <v/>
      </c>
      <c r="I368" s="19">
        <f>IF(OR($G368="",$H368=""),"",MAX(0,$H368-$G368))</f>
        <v/>
      </c>
      <c r="J368" s="21">
        <f>IF($I368="","",IF($I368=0,"OK",IF($G368&lt;=0,"Sin stock: pedir ya","Pedir o producir")))</f>
        <v/>
      </c>
      <c r="K368" s="17" t="n"/>
      <c r="L368" s="17" t="n"/>
      <c r="M368" s="21">
        <f>IF(OR($A368="",$A368&lt;&gt;'Lista para pedir'!$C$3,N($I368)&lt;=0),"",COUNTIFS($A$2:$A368,$A368,$I$2:$I368,"&gt;0"))</f>
        <v/>
      </c>
    </row>
    <row r="369">
      <c r="A369" s="20" t="n"/>
      <c r="B369" s="21">
        <f>IF($A369="","",CHOOSE(WEEKDAY($A369,2),"Lunes","Martes","Miércoles","Jueves","Viernes","Sábado","Domingo"))</f>
        <v/>
      </c>
      <c r="C369" s="17" t="n"/>
      <c r="D369" s="21">
        <f>IF($C369="","",IFERROR(INDEX(Insumos!$B$2:$B$151,MATCH($C369,Insumos!$A$2:$A$151,0)),"Código no cargado"))</f>
        <v/>
      </c>
      <c r="E369" s="21">
        <f>IF($C369="","",IFERROR(INDEX(Insumos!$C$2:$C$151,MATCH($C369,Insumos!$A$2:$A$151,0)),""))</f>
        <v/>
      </c>
      <c r="F369" s="21">
        <f>IF($C369="","",IFERROR(INDEX(Insumos!$D$2:$D$151,MATCH($C369,Insumos!$A$2:$A$151,0)),""))</f>
        <v/>
      </c>
      <c r="G369" s="18" t="n"/>
      <c r="H369" s="19">
        <f>IF(OR($A369="",$C369=""),"",IFERROR(INDEX(Insumos!$M$2:$S$151,MATCH($C369,Insumos!$A$2:$A$151,0),WEEKDAY($A369,2)),""))</f>
        <v/>
      </c>
      <c r="I369" s="19">
        <f>IF(OR($G369="",$H369=""),"",MAX(0,$H369-$G369))</f>
        <v/>
      </c>
      <c r="J369" s="21">
        <f>IF($I369="","",IF($I369=0,"OK",IF($G369&lt;=0,"Sin stock: pedir ya","Pedir o producir")))</f>
        <v/>
      </c>
      <c r="K369" s="17" t="n"/>
      <c r="L369" s="17" t="n"/>
      <c r="M369" s="21">
        <f>IF(OR($A369="",$A369&lt;&gt;'Lista para pedir'!$C$3,N($I369)&lt;=0),"",COUNTIFS($A$2:$A369,$A369,$I$2:$I369,"&gt;0"))</f>
        <v/>
      </c>
    </row>
    <row r="370">
      <c r="A370" s="20" t="n"/>
      <c r="B370" s="21">
        <f>IF($A370="","",CHOOSE(WEEKDAY($A370,2),"Lunes","Martes","Miércoles","Jueves","Viernes","Sábado","Domingo"))</f>
        <v/>
      </c>
      <c r="C370" s="17" t="n"/>
      <c r="D370" s="21">
        <f>IF($C370="","",IFERROR(INDEX(Insumos!$B$2:$B$151,MATCH($C370,Insumos!$A$2:$A$151,0)),"Código no cargado"))</f>
        <v/>
      </c>
      <c r="E370" s="21">
        <f>IF($C370="","",IFERROR(INDEX(Insumos!$C$2:$C$151,MATCH($C370,Insumos!$A$2:$A$151,0)),""))</f>
        <v/>
      </c>
      <c r="F370" s="21">
        <f>IF($C370="","",IFERROR(INDEX(Insumos!$D$2:$D$151,MATCH($C370,Insumos!$A$2:$A$151,0)),""))</f>
        <v/>
      </c>
      <c r="G370" s="18" t="n"/>
      <c r="H370" s="19">
        <f>IF(OR($A370="",$C370=""),"",IFERROR(INDEX(Insumos!$M$2:$S$151,MATCH($C370,Insumos!$A$2:$A$151,0),WEEKDAY($A370,2)),""))</f>
        <v/>
      </c>
      <c r="I370" s="19">
        <f>IF(OR($G370="",$H370=""),"",MAX(0,$H370-$G370))</f>
        <v/>
      </c>
      <c r="J370" s="21">
        <f>IF($I370="","",IF($I370=0,"OK",IF($G370&lt;=0,"Sin stock: pedir ya","Pedir o producir")))</f>
        <v/>
      </c>
      <c r="K370" s="17" t="n"/>
      <c r="L370" s="17" t="n"/>
      <c r="M370" s="21">
        <f>IF(OR($A370="",$A370&lt;&gt;'Lista para pedir'!$C$3,N($I370)&lt;=0),"",COUNTIFS($A$2:$A370,$A370,$I$2:$I370,"&gt;0"))</f>
        <v/>
      </c>
    </row>
    <row r="371">
      <c r="A371" s="20" t="n"/>
      <c r="B371" s="21">
        <f>IF($A371="","",CHOOSE(WEEKDAY($A371,2),"Lunes","Martes","Miércoles","Jueves","Viernes","Sábado","Domingo"))</f>
        <v/>
      </c>
      <c r="C371" s="17" t="n"/>
      <c r="D371" s="21">
        <f>IF($C371="","",IFERROR(INDEX(Insumos!$B$2:$B$151,MATCH($C371,Insumos!$A$2:$A$151,0)),"Código no cargado"))</f>
        <v/>
      </c>
      <c r="E371" s="21">
        <f>IF($C371="","",IFERROR(INDEX(Insumos!$C$2:$C$151,MATCH($C371,Insumos!$A$2:$A$151,0)),""))</f>
        <v/>
      </c>
      <c r="F371" s="21">
        <f>IF($C371="","",IFERROR(INDEX(Insumos!$D$2:$D$151,MATCH($C371,Insumos!$A$2:$A$151,0)),""))</f>
        <v/>
      </c>
      <c r="G371" s="18" t="n"/>
      <c r="H371" s="19">
        <f>IF(OR($A371="",$C371=""),"",IFERROR(INDEX(Insumos!$M$2:$S$151,MATCH($C371,Insumos!$A$2:$A$151,0),WEEKDAY($A371,2)),""))</f>
        <v/>
      </c>
      <c r="I371" s="19">
        <f>IF(OR($G371="",$H371=""),"",MAX(0,$H371-$G371))</f>
        <v/>
      </c>
      <c r="J371" s="21">
        <f>IF($I371="","",IF($I371=0,"OK",IF($G371&lt;=0,"Sin stock: pedir ya","Pedir o producir")))</f>
        <v/>
      </c>
      <c r="K371" s="17" t="n"/>
      <c r="L371" s="17" t="n"/>
      <c r="M371" s="21">
        <f>IF(OR($A371="",$A371&lt;&gt;'Lista para pedir'!$C$3,N($I371)&lt;=0),"",COUNTIFS($A$2:$A371,$A371,$I$2:$I371,"&gt;0"))</f>
        <v/>
      </c>
    </row>
    <row r="372">
      <c r="A372" s="20" t="n"/>
      <c r="B372" s="21">
        <f>IF($A372="","",CHOOSE(WEEKDAY($A372,2),"Lunes","Martes","Miércoles","Jueves","Viernes","Sábado","Domingo"))</f>
        <v/>
      </c>
      <c r="C372" s="17" t="n"/>
      <c r="D372" s="21">
        <f>IF($C372="","",IFERROR(INDEX(Insumos!$B$2:$B$151,MATCH($C372,Insumos!$A$2:$A$151,0)),"Código no cargado"))</f>
        <v/>
      </c>
      <c r="E372" s="21">
        <f>IF($C372="","",IFERROR(INDEX(Insumos!$C$2:$C$151,MATCH($C372,Insumos!$A$2:$A$151,0)),""))</f>
        <v/>
      </c>
      <c r="F372" s="21">
        <f>IF($C372="","",IFERROR(INDEX(Insumos!$D$2:$D$151,MATCH($C372,Insumos!$A$2:$A$151,0)),""))</f>
        <v/>
      </c>
      <c r="G372" s="18" t="n"/>
      <c r="H372" s="19">
        <f>IF(OR($A372="",$C372=""),"",IFERROR(INDEX(Insumos!$M$2:$S$151,MATCH($C372,Insumos!$A$2:$A$151,0),WEEKDAY($A372,2)),""))</f>
        <v/>
      </c>
      <c r="I372" s="19">
        <f>IF(OR($G372="",$H372=""),"",MAX(0,$H372-$G372))</f>
        <v/>
      </c>
      <c r="J372" s="21">
        <f>IF($I372="","",IF($I372=0,"OK",IF($G372&lt;=0,"Sin stock: pedir ya","Pedir o producir")))</f>
        <v/>
      </c>
      <c r="K372" s="17" t="n"/>
      <c r="L372" s="17" t="n"/>
      <c r="M372" s="21">
        <f>IF(OR($A372="",$A372&lt;&gt;'Lista para pedir'!$C$3,N($I372)&lt;=0),"",COUNTIFS($A$2:$A372,$A372,$I$2:$I372,"&gt;0"))</f>
        <v/>
      </c>
    </row>
    <row r="373">
      <c r="A373" s="20" t="n"/>
      <c r="B373" s="21">
        <f>IF($A373="","",CHOOSE(WEEKDAY($A373,2),"Lunes","Martes","Miércoles","Jueves","Viernes","Sábado","Domingo"))</f>
        <v/>
      </c>
      <c r="C373" s="17" t="n"/>
      <c r="D373" s="21">
        <f>IF($C373="","",IFERROR(INDEX(Insumos!$B$2:$B$151,MATCH($C373,Insumos!$A$2:$A$151,0)),"Código no cargado"))</f>
        <v/>
      </c>
      <c r="E373" s="21">
        <f>IF($C373="","",IFERROR(INDEX(Insumos!$C$2:$C$151,MATCH($C373,Insumos!$A$2:$A$151,0)),""))</f>
        <v/>
      </c>
      <c r="F373" s="21">
        <f>IF($C373="","",IFERROR(INDEX(Insumos!$D$2:$D$151,MATCH($C373,Insumos!$A$2:$A$151,0)),""))</f>
        <v/>
      </c>
      <c r="G373" s="18" t="n"/>
      <c r="H373" s="19">
        <f>IF(OR($A373="",$C373=""),"",IFERROR(INDEX(Insumos!$M$2:$S$151,MATCH($C373,Insumos!$A$2:$A$151,0),WEEKDAY($A373,2)),""))</f>
        <v/>
      </c>
      <c r="I373" s="19">
        <f>IF(OR($G373="",$H373=""),"",MAX(0,$H373-$G373))</f>
        <v/>
      </c>
      <c r="J373" s="21">
        <f>IF($I373="","",IF($I373=0,"OK",IF($G373&lt;=0,"Sin stock: pedir ya","Pedir o producir")))</f>
        <v/>
      </c>
      <c r="K373" s="17" t="n"/>
      <c r="L373" s="17" t="n"/>
      <c r="M373" s="21">
        <f>IF(OR($A373="",$A373&lt;&gt;'Lista para pedir'!$C$3,N($I373)&lt;=0),"",COUNTIFS($A$2:$A373,$A373,$I$2:$I373,"&gt;0"))</f>
        <v/>
      </c>
    </row>
    <row r="374">
      <c r="A374" s="20" t="n"/>
      <c r="B374" s="21">
        <f>IF($A374="","",CHOOSE(WEEKDAY($A374,2),"Lunes","Martes","Miércoles","Jueves","Viernes","Sábado","Domingo"))</f>
        <v/>
      </c>
      <c r="C374" s="17" t="n"/>
      <c r="D374" s="21">
        <f>IF($C374="","",IFERROR(INDEX(Insumos!$B$2:$B$151,MATCH($C374,Insumos!$A$2:$A$151,0)),"Código no cargado"))</f>
        <v/>
      </c>
      <c r="E374" s="21">
        <f>IF($C374="","",IFERROR(INDEX(Insumos!$C$2:$C$151,MATCH($C374,Insumos!$A$2:$A$151,0)),""))</f>
        <v/>
      </c>
      <c r="F374" s="21">
        <f>IF($C374="","",IFERROR(INDEX(Insumos!$D$2:$D$151,MATCH($C374,Insumos!$A$2:$A$151,0)),""))</f>
        <v/>
      </c>
      <c r="G374" s="18" t="n"/>
      <c r="H374" s="19">
        <f>IF(OR($A374="",$C374=""),"",IFERROR(INDEX(Insumos!$M$2:$S$151,MATCH($C374,Insumos!$A$2:$A$151,0),WEEKDAY($A374,2)),""))</f>
        <v/>
      </c>
      <c r="I374" s="19">
        <f>IF(OR($G374="",$H374=""),"",MAX(0,$H374-$G374))</f>
        <v/>
      </c>
      <c r="J374" s="21">
        <f>IF($I374="","",IF($I374=0,"OK",IF($G374&lt;=0,"Sin stock: pedir ya","Pedir o producir")))</f>
        <v/>
      </c>
      <c r="K374" s="17" t="n"/>
      <c r="L374" s="17" t="n"/>
      <c r="M374" s="21">
        <f>IF(OR($A374="",$A374&lt;&gt;'Lista para pedir'!$C$3,N($I374)&lt;=0),"",COUNTIFS($A$2:$A374,$A374,$I$2:$I374,"&gt;0"))</f>
        <v/>
      </c>
    </row>
    <row r="375">
      <c r="A375" s="20" t="n"/>
      <c r="B375" s="21">
        <f>IF($A375="","",CHOOSE(WEEKDAY($A375,2),"Lunes","Martes","Miércoles","Jueves","Viernes","Sábado","Domingo"))</f>
        <v/>
      </c>
      <c r="C375" s="17" t="n"/>
      <c r="D375" s="21">
        <f>IF($C375="","",IFERROR(INDEX(Insumos!$B$2:$B$151,MATCH($C375,Insumos!$A$2:$A$151,0)),"Código no cargado"))</f>
        <v/>
      </c>
      <c r="E375" s="21">
        <f>IF($C375="","",IFERROR(INDEX(Insumos!$C$2:$C$151,MATCH($C375,Insumos!$A$2:$A$151,0)),""))</f>
        <v/>
      </c>
      <c r="F375" s="21">
        <f>IF($C375="","",IFERROR(INDEX(Insumos!$D$2:$D$151,MATCH($C375,Insumos!$A$2:$A$151,0)),""))</f>
        <v/>
      </c>
      <c r="G375" s="18" t="n"/>
      <c r="H375" s="19">
        <f>IF(OR($A375="",$C375=""),"",IFERROR(INDEX(Insumos!$M$2:$S$151,MATCH($C375,Insumos!$A$2:$A$151,0),WEEKDAY($A375,2)),""))</f>
        <v/>
      </c>
      <c r="I375" s="19">
        <f>IF(OR($G375="",$H375=""),"",MAX(0,$H375-$G375))</f>
        <v/>
      </c>
      <c r="J375" s="21">
        <f>IF($I375="","",IF($I375=0,"OK",IF($G375&lt;=0,"Sin stock: pedir ya","Pedir o producir")))</f>
        <v/>
      </c>
      <c r="K375" s="17" t="n"/>
      <c r="L375" s="17" t="n"/>
      <c r="M375" s="21">
        <f>IF(OR($A375="",$A375&lt;&gt;'Lista para pedir'!$C$3,N($I375)&lt;=0),"",COUNTIFS($A$2:$A375,$A375,$I$2:$I375,"&gt;0"))</f>
        <v/>
      </c>
    </row>
    <row r="376">
      <c r="A376" s="20" t="n"/>
      <c r="B376" s="21">
        <f>IF($A376="","",CHOOSE(WEEKDAY($A376,2),"Lunes","Martes","Miércoles","Jueves","Viernes","Sábado","Domingo"))</f>
        <v/>
      </c>
      <c r="C376" s="17" t="n"/>
      <c r="D376" s="21">
        <f>IF($C376="","",IFERROR(INDEX(Insumos!$B$2:$B$151,MATCH($C376,Insumos!$A$2:$A$151,0)),"Código no cargado"))</f>
        <v/>
      </c>
      <c r="E376" s="21">
        <f>IF($C376="","",IFERROR(INDEX(Insumos!$C$2:$C$151,MATCH($C376,Insumos!$A$2:$A$151,0)),""))</f>
        <v/>
      </c>
      <c r="F376" s="21">
        <f>IF($C376="","",IFERROR(INDEX(Insumos!$D$2:$D$151,MATCH($C376,Insumos!$A$2:$A$151,0)),""))</f>
        <v/>
      </c>
      <c r="G376" s="18" t="n"/>
      <c r="H376" s="19">
        <f>IF(OR($A376="",$C376=""),"",IFERROR(INDEX(Insumos!$M$2:$S$151,MATCH($C376,Insumos!$A$2:$A$151,0),WEEKDAY($A376,2)),""))</f>
        <v/>
      </c>
      <c r="I376" s="19">
        <f>IF(OR($G376="",$H376=""),"",MAX(0,$H376-$G376))</f>
        <v/>
      </c>
      <c r="J376" s="21">
        <f>IF($I376="","",IF($I376=0,"OK",IF($G376&lt;=0,"Sin stock: pedir ya","Pedir o producir")))</f>
        <v/>
      </c>
      <c r="K376" s="17" t="n"/>
      <c r="L376" s="17" t="n"/>
      <c r="M376" s="21">
        <f>IF(OR($A376="",$A376&lt;&gt;'Lista para pedir'!$C$3,N($I376)&lt;=0),"",COUNTIFS($A$2:$A376,$A376,$I$2:$I376,"&gt;0"))</f>
        <v/>
      </c>
    </row>
    <row r="377">
      <c r="A377" s="20" t="n"/>
      <c r="B377" s="21">
        <f>IF($A377="","",CHOOSE(WEEKDAY($A377,2),"Lunes","Martes","Miércoles","Jueves","Viernes","Sábado","Domingo"))</f>
        <v/>
      </c>
      <c r="C377" s="17" t="n"/>
      <c r="D377" s="21">
        <f>IF($C377="","",IFERROR(INDEX(Insumos!$B$2:$B$151,MATCH($C377,Insumos!$A$2:$A$151,0)),"Código no cargado"))</f>
        <v/>
      </c>
      <c r="E377" s="21">
        <f>IF($C377="","",IFERROR(INDEX(Insumos!$C$2:$C$151,MATCH($C377,Insumos!$A$2:$A$151,0)),""))</f>
        <v/>
      </c>
      <c r="F377" s="21">
        <f>IF($C377="","",IFERROR(INDEX(Insumos!$D$2:$D$151,MATCH($C377,Insumos!$A$2:$A$151,0)),""))</f>
        <v/>
      </c>
      <c r="G377" s="18" t="n"/>
      <c r="H377" s="19">
        <f>IF(OR($A377="",$C377=""),"",IFERROR(INDEX(Insumos!$M$2:$S$151,MATCH($C377,Insumos!$A$2:$A$151,0),WEEKDAY($A377,2)),""))</f>
        <v/>
      </c>
      <c r="I377" s="19">
        <f>IF(OR($G377="",$H377=""),"",MAX(0,$H377-$G377))</f>
        <v/>
      </c>
      <c r="J377" s="21">
        <f>IF($I377="","",IF($I377=0,"OK",IF($G377&lt;=0,"Sin stock: pedir ya","Pedir o producir")))</f>
        <v/>
      </c>
      <c r="K377" s="17" t="n"/>
      <c r="L377" s="17" t="n"/>
      <c r="M377" s="21">
        <f>IF(OR($A377="",$A377&lt;&gt;'Lista para pedir'!$C$3,N($I377)&lt;=0),"",COUNTIFS($A$2:$A377,$A377,$I$2:$I377,"&gt;0"))</f>
        <v/>
      </c>
    </row>
    <row r="378">
      <c r="A378" s="20" t="n"/>
      <c r="B378" s="21">
        <f>IF($A378="","",CHOOSE(WEEKDAY($A378,2),"Lunes","Martes","Miércoles","Jueves","Viernes","Sábado","Domingo"))</f>
        <v/>
      </c>
      <c r="C378" s="17" t="n"/>
      <c r="D378" s="21">
        <f>IF($C378="","",IFERROR(INDEX(Insumos!$B$2:$B$151,MATCH($C378,Insumos!$A$2:$A$151,0)),"Código no cargado"))</f>
        <v/>
      </c>
      <c r="E378" s="21">
        <f>IF($C378="","",IFERROR(INDEX(Insumos!$C$2:$C$151,MATCH($C378,Insumos!$A$2:$A$151,0)),""))</f>
        <v/>
      </c>
      <c r="F378" s="21">
        <f>IF($C378="","",IFERROR(INDEX(Insumos!$D$2:$D$151,MATCH($C378,Insumos!$A$2:$A$151,0)),""))</f>
        <v/>
      </c>
      <c r="G378" s="18" t="n"/>
      <c r="H378" s="19">
        <f>IF(OR($A378="",$C378=""),"",IFERROR(INDEX(Insumos!$M$2:$S$151,MATCH($C378,Insumos!$A$2:$A$151,0),WEEKDAY($A378,2)),""))</f>
        <v/>
      </c>
      <c r="I378" s="19">
        <f>IF(OR($G378="",$H378=""),"",MAX(0,$H378-$G378))</f>
        <v/>
      </c>
      <c r="J378" s="21">
        <f>IF($I378="","",IF($I378=0,"OK",IF($G378&lt;=0,"Sin stock: pedir ya","Pedir o producir")))</f>
        <v/>
      </c>
      <c r="K378" s="17" t="n"/>
      <c r="L378" s="17" t="n"/>
      <c r="M378" s="21">
        <f>IF(OR($A378="",$A378&lt;&gt;'Lista para pedir'!$C$3,N($I378)&lt;=0),"",COUNTIFS($A$2:$A378,$A378,$I$2:$I378,"&gt;0"))</f>
        <v/>
      </c>
    </row>
    <row r="379">
      <c r="A379" s="20" t="n"/>
      <c r="B379" s="21">
        <f>IF($A379="","",CHOOSE(WEEKDAY($A379,2),"Lunes","Martes","Miércoles","Jueves","Viernes","Sábado","Domingo"))</f>
        <v/>
      </c>
      <c r="C379" s="17" t="n"/>
      <c r="D379" s="21">
        <f>IF($C379="","",IFERROR(INDEX(Insumos!$B$2:$B$151,MATCH($C379,Insumos!$A$2:$A$151,0)),"Código no cargado"))</f>
        <v/>
      </c>
      <c r="E379" s="21">
        <f>IF($C379="","",IFERROR(INDEX(Insumos!$C$2:$C$151,MATCH($C379,Insumos!$A$2:$A$151,0)),""))</f>
        <v/>
      </c>
      <c r="F379" s="21">
        <f>IF($C379="","",IFERROR(INDEX(Insumos!$D$2:$D$151,MATCH($C379,Insumos!$A$2:$A$151,0)),""))</f>
        <v/>
      </c>
      <c r="G379" s="18" t="n"/>
      <c r="H379" s="19">
        <f>IF(OR($A379="",$C379=""),"",IFERROR(INDEX(Insumos!$M$2:$S$151,MATCH($C379,Insumos!$A$2:$A$151,0),WEEKDAY($A379,2)),""))</f>
        <v/>
      </c>
      <c r="I379" s="19">
        <f>IF(OR($G379="",$H379=""),"",MAX(0,$H379-$G379))</f>
        <v/>
      </c>
      <c r="J379" s="21">
        <f>IF($I379="","",IF($I379=0,"OK",IF($G379&lt;=0,"Sin stock: pedir ya","Pedir o producir")))</f>
        <v/>
      </c>
      <c r="K379" s="17" t="n"/>
      <c r="L379" s="17" t="n"/>
      <c r="M379" s="21">
        <f>IF(OR($A379="",$A379&lt;&gt;'Lista para pedir'!$C$3,N($I379)&lt;=0),"",COUNTIFS($A$2:$A379,$A379,$I$2:$I379,"&gt;0"))</f>
        <v/>
      </c>
    </row>
    <row r="380">
      <c r="A380" s="20" t="n"/>
      <c r="B380" s="21">
        <f>IF($A380="","",CHOOSE(WEEKDAY($A380,2),"Lunes","Martes","Miércoles","Jueves","Viernes","Sábado","Domingo"))</f>
        <v/>
      </c>
      <c r="C380" s="17" t="n"/>
      <c r="D380" s="21">
        <f>IF($C380="","",IFERROR(INDEX(Insumos!$B$2:$B$151,MATCH($C380,Insumos!$A$2:$A$151,0)),"Código no cargado"))</f>
        <v/>
      </c>
      <c r="E380" s="21">
        <f>IF($C380="","",IFERROR(INDEX(Insumos!$C$2:$C$151,MATCH($C380,Insumos!$A$2:$A$151,0)),""))</f>
        <v/>
      </c>
      <c r="F380" s="21">
        <f>IF($C380="","",IFERROR(INDEX(Insumos!$D$2:$D$151,MATCH($C380,Insumos!$A$2:$A$151,0)),""))</f>
        <v/>
      </c>
      <c r="G380" s="18" t="n"/>
      <c r="H380" s="19">
        <f>IF(OR($A380="",$C380=""),"",IFERROR(INDEX(Insumos!$M$2:$S$151,MATCH($C380,Insumos!$A$2:$A$151,0),WEEKDAY($A380,2)),""))</f>
        <v/>
      </c>
      <c r="I380" s="19">
        <f>IF(OR($G380="",$H380=""),"",MAX(0,$H380-$G380))</f>
        <v/>
      </c>
      <c r="J380" s="21">
        <f>IF($I380="","",IF($I380=0,"OK",IF($G380&lt;=0,"Sin stock: pedir ya","Pedir o producir")))</f>
        <v/>
      </c>
      <c r="K380" s="17" t="n"/>
      <c r="L380" s="17" t="n"/>
      <c r="M380" s="21">
        <f>IF(OR($A380="",$A380&lt;&gt;'Lista para pedir'!$C$3,N($I380)&lt;=0),"",COUNTIFS($A$2:$A380,$A380,$I$2:$I380,"&gt;0"))</f>
        <v/>
      </c>
    </row>
    <row r="381">
      <c r="A381" s="20" t="n"/>
      <c r="B381" s="21">
        <f>IF($A381="","",CHOOSE(WEEKDAY($A381,2),"Lunes","Martes","Miércoles","Jueves","Viernes","Sábado","Domingo"))</f>
        <v/>
      </c>
      <c r="C381" s="17" t="n"/>
      <c r="D381" s="21">
        <f>IF($C381="","",IFERROR(INDEX(Insumos!$B$2:$B$151,MATCH($C381,Insumos!$A$2:$A$151,0)),"Código no cargado"))</f>
        <v/>
      </c>
      <c r="E381" s="21">
        <f>IF($C381="","",IFERROR(INDEX(Insumos!$C$2:$C$151,MATCH($C381,Insumos!$A$2:$A$151,0)),""))</f>
        <v/>
      </c>
      <c r="F381" s="21">
        <f>IF($C381="","",IFERROR(INDEX(Insumos!$D$2:$D$151,MATCH($C381,Insumos!$A$2:$A$151,0)),""))</f>
        <v/>
      </c>
      <c r="G381" s="18" t="n"/>
      <c r="H381" s="19">
        <f>IF(OR($A381="",$C381=""),"",IFERROR(INDEX(Insumos!$M$2:$S$151,MATCH($C381,Insumos!$A$2:$A$151,0),WEEKDAY($A381,2)),""))</f>
        <v/>
      </c>
      <c r="I381" s="19">
        <f>IF(OR($G381="",$H381=""),"",MAX(0,$H381-$G381))</f>
        <v/>
      </c>
      <c r="J381" s="21">
        <f>IF($I381="","",IF($I381=0,"OK",IF($G381&lt;=0,"Sin stock: pedir ya","Pedir o producir")))</f>
        <v/>
      </c>
      <c r="K381" s="17" t="n"/>
      <c r="L381" s="17" t="n"/>
      <c r="M381" s="21">
        <f>IF(OR($A381="",$A381&lt;&gt;'Lista para pedir'!$C$3,N($I381)&lt;=0),"",COUNTIFS($A$2:$A381,$A381,$I$2:$I381,"&gt;0"))</f>
        <v/>
      </c>
    </row>
    <row r="382">
      <c r="A382" s="20" t="n"/>
      <c r="B382" s="21">
        <f>IF($A382="","",CHOOSE(WEEKDAY($A382,2),"Lunes","Martes","Miércoles","Jueves","Viernes","Sábado","Domingo"))</f>
        <v/>
      </c>
      <c r="C382" s="17" t="n"/>
      <c r="D382" s="21">
        <f>IF($C382="","",IFERROR(INDEX(Insumos!$B$2:$B$151,MATCH($C382,Insumos!$A$2:$A$151,0)),"Código no cargado"))</f>
        <v/>
      </c>
      <c r="E382" s="21">
        <f>IF($C382="","",IFERROR(INDEX(Insumos!$C$2:$C$151,MATCH($C382,Insumos!$A$2:$A$151,0)),""))</f>
        <v/>
      </c>
      <c r="F382" s="21">
        <f>IF($C382="","",IFERROR(INDEX(Insumos!$D$2:$D$151,MATCH($C382,Insumos!$A$2:$A$151,0)),""))</f>
        <v/>
      </c>
      <c r="G382" s="18" t="n"/>
      <c r="H382" s="19">
        <f>IF(OR($A382="",$C382=""),"",IFERROR(INDEX(Insumos!$M$2:$S$151,MATCH($C382,Insumos!$A$2:$A$151,0),WEEKDAY($A382,2)),""))</f>
        <v/>
      </c>
      <c r="I382" s="19">
        <f>IF(OR($G382="",$H382=""),"",MAX(0,$H382-$G382))</f>
        <v/>
      </c>
      <c r="J382" s="21">
        <f>IF($I382="","",IF($I382=0,"OK",IF($G382&lt;=0,"Sin stock: pedir ya","Pedir o producir")))</f>
        <v/>
      </c>
      <c r="K382" s="17" t="n"/>
      <c r="L382" s="17" t="n"/>
      <c r="M382" s="21">
        <f>IF(OR($A382="",$A382&lt;&gt;'Lista para pedir'!$C$3,N($I382)&lt;=0),"",COUNTIFS($A$2:$A382,$A382,$I$2:$I382,"&gt;0"))</f>
        <v/>
      </c>
    </row>
    <row r="383">
      <c r="A383" s="20" t="n"/>
      <c r="B383" s="21">
        <f>IF($A383="","",CHOOSE(WEEKDAY($A383,2),"Lunes","Martes","Miércoles","Jueves","Viernes","Sábado","Domingo"))</f>
        <v/>
      </c>
      <c r="C383" s="17" t="n"/>
      <c r="D383" s="21">
        <f>IF($C383="","",IFERROR(INDEX(Insumos!$B$2:$B$151,MATCH($C383,Insumos!$A$2:$A$151,0)),"Código no cargado"))</f>
        <v/>
      </c>
      <c r="E383" s="21">
        <f>IF($C383="","",IFERROR(INDEX(Insumos!$C$2:$C$151,MATCH($C383,Insumos!$A$2:$A$151,0)),""))</f>
        <v/>
      </c>
      <c r="F383" s="21">
        <f>IF($C383="","",IFERROR(INDEX(Insumos!$D$2:$D$151,MATCH($C383,Insumos!$A$2:$A$151,0)),""))</f>
        <v/>
      </c>
      <c r="G383" s="18" t="n"/>
      <c r="H383" s="19">
        <f>IF(OR($A383="",$C383=""),"",IFERROR(INDEX(Insumos!$M$2:$S$151,MATCH($C383,Insumos!$A$2:$A$151,0),WEEKDAY($A383,2)),""))</f>
        <v/>
      </c>
      <c r="I383" s="19">
        <f>IF(OR($G383="",$H383=""),"",MAX(0,$H383-$G383))</f>
        <v/>
      </c>
      <c r="J383" s="21">
        <f>IF($I383="","",IF($I383=0,"OK",IF($G383&lt;=0,"Sin stock: pedir ya","Pedir o producir")))</f>
        <v/>
      </c>
      <c r="K383" s="17" t="n"/>
      <c r="L383" s="17" t="n"/>
      <c r="M383" s="21">
        <f>IF(OR($A383="",$A383&lt;&gt;'Lista para pedir'!$C$3,N($I383)&lt;=0),"",COUNTIFS($A$2:$A383,$A383,$I$2:$I383,"&gt;0"))</f>
        <v/>
      </c>
    </row>
    <row r="384">
      <c r="A384" s="20" t="n"/>
      <c r="B384" s="21">
        <f>IF($A384="","",CHOOSE(WEEKDAY($A384,2),"Lunes","Martes","Miércoles","Jueves","Viernes","Sábado","Domingo"))</f>
        <v/>
      </c>
      <c r="C384" s="17" t="n"/>
      <c r="D384" s="21">
        <f>IF($C384="","",IFERROR(INDEX(Insumos!$B$2:$B$151,MATCH($C384,Insumos!$A$2:$A$151,0)),"Código no cargado"))</f>
        <v/>
      </c>
      <c r="E384" s="21">
        <f>IF($C384="","",IFERROR(INDEX(Insumos!$C$2:$C$151,MATCH($C384,Insumos!$A$2:$A$151,0)),""))</f>
        <v/>
      </c>
      <c r="F384" s="21">
        <f>IF($C384="","",IFERROR(INDEX(Insumos!$D$2:$D$151,MATCH($C384,Insumos!$A$2:$A$151,0)),""))</f>
        <v/>
      </c>
      <c r="G384" s="18" t="n"/>
      <c r="H384" s="19">
        <f>IF(OR($A384="",$C384=""),"",IFERROR(INDEX(Insumos!$M$2:$S$151,MATCH($C384,Insumos!$A$2:$A$151,0),WEEKDAY($A384,2)),""))</f>
        <v/>
      </c>
      <c r="I384" s="19">
        <f>IF(OR($G384="",$H384=""),"",MAX(0,$H384-$G384))</f>
        <v/>
      </c>
      <c r="J384" s="21">
        <f>IF($I384="","",IF($I384=0,"OK",IF($G384&lt;=0,"Sin stock: pedir ya","Pedir o producir")))</f>
        <v/>
      </c>
      <c r="K384" s="17" t="n"/>
      <c r="L384" s="17" t="n"/>
      <c r="M384" s="21">
        <f>IF(OR($A384="",$A384&lt;&gt;'Lista para pedir'!$C$3,N($I384)&lt;=0),"",COUNTIFS($A$2:$A384,$A384,$I$2:$I384,"&gt;0"))</f>
        <v/>
      </c>
    </row>
    <row r="385">
      <c r="A385" s="20" t="n"/>
      <c r="B385" s="21">
        <f>IF($A385="","",CHOOSE(WEEKDAY($A385,2),"Lunes","Martes","Miércoles","Jueves","Viernes","Sábado","Domingo"))</f>
        <v/>
      </c>
      <c r="C385" s="17" t="n"/>
      <c r="D385" s="21">
        <f>IF($C385="","",IFERROR(INDEX(Insumos!$B$2:$B$151,MATCH($C385,Insumos!$A$2:$A$151,0)),"Código no cargado"))</f>
        <v/>
      </c>
      <c r="E385" s="21">
        <f>IF($C385="","",IFERROR(INDEX(Insumos!$C$2:$C$151,MATCH($C385,Insumos!$A$2:$A$151,0)),""))</f>
        <v/>
      </c>
      <c r="F385" s="21">
        <f>IF($C385="","",IFERROR(INDEX(Insumos!$D$2:$D$151,MATCH($C385,Insumos!$A$2:$A$151,0)),""))</f>
        <v/>
      </c>
      <c r="G385" s="18" t="n"/>
      <c r="H385" s="19">
        <f>IF(OR($A385="",$C385=""),"",IFERROR(INDEX(Insumos!$M$2:$S$151,MATCH($C385,Insumos!$A$2:$A$151,0),WEEKDAY($A385,2)),""))</f>
        <v/>
      </c>
      <c r="I385" s="19">
        <f>IF(OR($G385="",$H385=""),"",MAX(0,$H385-$G385))</f>
        <v/>
      </c>
      <c r="J385" s="21">
        <f>IF($I385="","",IF($I385=0,"OK",IF($G385&lt;=0,"Sin stock: pedir ya","Pedir o producir")))</f>
        <v/>
      </c>
      <c r="K385" s="17" t="n"/>
      <c r="L385" s="17" t="n"/>
      <c r="M385" s="21">
        <f>IF(OR($A385="",$A385&lt;&gt;'Lista para pedir'!$C$3,N($I385)&lt;=0),"",COUNTIFS($A$2:$A385,$A385,$I$2:$I385,"&gt;0"))</f>
        <v/>
      </c>
    </row>
    <row r="386">
      <c r="A386" s="20" t="n"/>
      <c r="B386" s="21">
        <f>IF($A386="","",CHOOSE(WEEKDAY($A386,2),"Lunes","Martes","Miércoles","Jueves","Viernes","Sábado","Domingo"))</f>
        <v/>
      </c>
      <c r="C386" s="17" t="n"/>
      <c r="D386" s="21">
        <f>IF($C386="","",IFERROR(INDEX(Insumos!$B$2:$B$151,MATCH($C386,Insumos!$A$2:$A$151,0)),"Código no cargado"))</f>
        <v/>
      </c>
      <c r="E386" s="21">
        <f>IF($C386="","",IFERROR(INDEX(Insumos!$C$2:$C$151,MATCH($C386,Insumos!$A$2:$A$151,0)),""))</f>
        <v/>
      </c>
      <c r="F386" s="21">
        <f>IF($C386="","",IFERROR(INDEX(Insumos!$D$2:$D$151,MATCH($C386,Insumos!$A$2:$A$151,0)),""))</f>
        <v/>
      </c>
      <c r="G386" s="18" t="n"/>
      <c r="H386" s="19">
        <f>IF(OR($A386="",$C386=""),"",IFERROR(INDEX(Insumos!$M$2:$S$151,MATCH($C386,Insumos!$A$2:$A$151,0),WEEKDAY($A386,2)),""))</f>
        <v/>
      </c>
      <c r="I386" s="19">
        <f>IF(OR($G386="",$H386=""),"",MAX(0,$H386-$G386))</f>
        <v/>
      </c>
      <c r="J386" s="21">
        <f>IF($I386="","",IF($I386=0,"OK",IF($G386&lt;=0,"Sin stock: pedir ya","Pedir o producir")))</f>
        <v/>
      </c>
      <c r="K386" s="17" t="n"/>
      <c r="L386" s="17" t="n"/>
      <c r="M386" s="21">
        <f>IF(OR($A386="",$A386&lt;&gt;'Lista para pedir'!$C$3,N($I386)&lt;=0),"",COUNTIFS($A$2:$A386,$A386,$I$2:$I386,"&gt;0"))</f>
        <v/>
      </c>
    </row>
    <row r="387">
      <c r="A387" s="20" t="n"/>
      <c r="B387" s="21">
        <f>IF($A387="","",CHOOSE(WEEKDAY($A387,2),"Lunes","Martes","Miércoles","Jueves","Viernes","Sábado","Domingo"))</f>
        <v/>
      </c>
      <c r="C387" s="17" t="n"/>
      <c r="D387" s="21">
        <f>IF($C387="","",IFERROR(INDEX(Insumos!$B$2:$B$151,MATCH($C387,Insumos!$A$2:$A$151,0)),"Código no cargado"))</f>
        <v/>
      </c>
      <c r="E387" s="21">
        <f>IF($C387="","",IFERROR(INDEX(Insumos!$C$2:$C$151,MATCH($C387,Insumos!$A$2:$A$151,0)),""))</f>
        <v/>
      </c>
      <c r="F387" s="21">
        <f>IF($C387="","",IFERROR(INDEX(Insumos!$D$2:$D$151,MATCH($C387,Insumos!$A$2:$A$151,0)),""))</f>
        <v/>
      </c>
      <c r="G387" s="18" t="n"/>
      <c r="H387" s="19">
        <f>IF(OR($A387="",$C387=""),"",IFERROR(INDEX(Insumos!$M$2:$S$151,MATCH($C387,Insumos!$A$2:$A$151,0),WEEKDAY($A387,2)),""))</f>
        <v/>
      </c>
      <c r="I387" s="19">
        <f>IF(OR($G387="",$H387=""),"",MAX(0,$H387-$G387))</f>
        <v/>
      </c>
      <c r="J387" s="21">
        <f>IF($I387="","",IF($I387=0,"OK",IF($G387&lt;=0,"Sin stock: pedir ya","Pedir o producir")))</f>
        <v/>
      </c>
      <c r="K387" s="17" t="n"/>
      <c r="L387" s="17" t="n"/>
      <c r="M387" s="21">
        <f>IF(OR($A387="",$A387&lt;&gt;'Lista para pedir'!$C$3,N($I387)&lt;=0),"",COUNTIFS($A$2:$A387,$A387,$I$2:$I387,"&gt;0"))</f>
        <v/>
      </c>
    </row>
    <row r="388">
      <c r="A388" s="20" t="n"/>
      <c r="B388" s="21">
        <f>IF($A388="","",CHOOSE(WEEKDAY($A388,2),"Lunes","Martes","Miércoles","Jueves","Viernes","Sábado","Domingo"))</f>
        <v/>
      </c>
      <c r="C388" s="17" t="n"/>
      <c r="D388" s="21">
        <f>IF($C388="","",IFERROR(INDEX(Insumos!$B$2:$B$151,MATCH($C388,Insumos!$A$2:$A$151,0)),"Código no cargado"))</f>
        <v/>
      </c>
      <c r="E388" s="21">
        <f>IF($C388="","",IFERROR(INDEX(Insumos!$C$2:$C$151,MATCH($C388,Insumos!$A$2:$A$151,0)),""))</f>
        <v/>
      </c>
      <c r="F388" s="21">
        <f>IF($C388="","",IFERROR(INDEX(Insumos!$D$2:$D$151,MATCH($C388,Insumos!$A$2:$A$151,0)),""))</f>
        <v/>
      </c>
      <c r="G388" s="18" t="n"/>
      <c r="H388" s="19">
        <f>IF(OR($A388="",$C388=""),"",IFERROR(INDEX(Insumos!$M$2:$S$151,MATCH($C388,Insumos!$A$2:$A$151,0),WEEKDAY($A388,2)),""))</f>
        <v/>
      </c>
      <c r="I388" s="19">
        <f>IF(OR($G388="",$H388=""),"",MAX(0,$H388-$G388))</f>
        <v/>
      </c>
      <c r="J388" s="21">
        <f>IF($I388="","",IF($I388=0,"OK",IF($G388&lt;=0,"Sin stock: pedir ya","Pedir o producir")))</f>
        <v/>
      </c>
      <c r="K388" s="17" t="n"/>
      <c r="L388" s="17" t="n"/>
      <c r="M388" s="21">
        <f>IF(OR($A388="",$A388&lt;&gt;'Lista para pedir'!$C$3,N($I388)&lt;=0),"",COUNTIFS($A$2:$A388,$A388,$I$2:$I388,"&gt;0"))</f>
        <v/>
      </c>
    </row>
    <row r="389">
      <c r="A389" s="20" t="n"/>
      <c r="B389" s="21">
        <f>IF($A389="","",CHOOSE(WEEKDAY($A389,2),"Lunes","Martes","Miércoles","Jueves","Viernes","Sábado","Domingo"))</f>
        <v/>
      </c>
      <c r="C389" s="17" t="n"/>
      <c r="D389" s="21">
        <f>IF($C389="","",IFERROR(INDEX(Insumos!$B$2:$B$151,MATCH($C389,Insumos!$A$2:$A$151,0)),"Código no cargado"))</f>
        <v/>
      </c>
      <c r="E389" s="21">
        <f>IF($C389="","",IFERROR(INDEX(Insumos!$C$2:$C$151,MATCH($C389,Insumos!$A$2:$A$151,0)),""))</f>
        <v/>
      </c>
      <c r="F389" s="21">
        <f>IF($C389="","",IFERROR(INDEX(Insumos!$D$2:$D$151,MATCH($C389,Insumos!$A$2:$A$151,0)),""))</f>
        <v/>
      </c>
      <c r="G389" s="18" t="n"/>
      <c r="H389" s="19">
        <f>IF(OR($A389="",$C389=""),"",IFERROR(INDEX(Insumos!$M$2:$S$151,MATCH($C389,Insumos!$A$2:$A$151,0),WEEKDAY($A389,2)),""))</f>
        <v/>
      </c>
      <c r="I389" s="19">
        <f>IF(OR($G389="",$H389=""),"",MAX(0,$H389-$G389))</f>
        <v/>
      </c>
      <c r="J389" s="21">
        <f>IF($I389="","",IF($I389=0,"OK",IF($G389&lt;=0,"Sin stock: pedir ya","Pedir o producir")))</f>
        <v/>
      </c>
      <c r="K389" s="17" t="n"/>
      <c r="L389" s="17" t="n"/>
      <c r="M389" s="21">
        <f>IF(OR($A389="",$A389&lt;&gt;'Lista para pedir'!$C$3,N($I389)&lt;=0),"",COUNTIFS($A$2:$A389,$A389,$I$2:$I389,"&gt;0"))</f>
        <v/>
      </c>
    </row>
    <row r="390">
      <c r="A390" s="20" t="n"/>
      <c r="B390" s="21">
        <f>IF($A390="","",CHOOSE(WEEKDAY($A390,2),"Lunes","Martes","Miércoles","Jueves","Viernes","Sábado","Domingo"))</f>
        <v/>
      </c>
      <c r="C390" s="17" t="n"/>
      <c r="D390" s="21">
        <f>IF($C390="","",IFERROR(INDEX(Insumos!$B$2:$B$151,MATCH($C390,Insumos!$A$2:$A$151,0)),"Código no cargado"))</f>
        <v/>
      </c>
      <c r="E390" s="21">
        <f>IF($C390="","",IFERROR(INDEX(Insumos!$C$2:$C$151,MATCH($C390,Insumos!$A$2:$A$151,0)),""))</f>
        <v/>
      </c>
      <c r="F390" s="21">
        <f>IF($C390="","",IFERROR(INDEX(Insumos!$D$2:$D$151,MATCH($C390,Insumos!$A$2:$A$151,0)),""))</f>
        <v/>
      </c>
      <c r="G390" s="18" t="n"/>
      <c r="H390" s="19">
        <f>IF(OR($A390="",$C390=""),"",IFERROR(INDEX(Insumos!$M$2:$S$151,MATCH($C390,Insumos!$A$2:$A$151,0),WEEKDAY($A390,2)),""))</f>
        <v/>
      </c>
      <c r="I390" s="19">
        <f>IF(OR($G390="",$H390=""),"",MAX(0,$H390-$G390))</f>
        <v/>
      </c>
      <c r="J390" s="21">
        <f>IF($I390="","",IF($I390=0,"OK",IF($G390&lt;=0,"Sin stock: pedir ya","Pedir o producir")))</f>
        <v/>
      </c>
      <c r="K390" s="17" t="n"/>
      <c r="L390" s="17" t="n"/>
      <c r="M390" s="21">
        <f>IF(OR($A390="",$A390&lt;&gt;'Lista para pedir'!$C$3,N($I390)&lt;=0),"",COUNTIFS($A$2:$A390,$A390,$I$2:$I390,"&gt;0"))</f>
        <v/>
      </c>
    </row>
    <row r="391">
      <c r="A391" s="20" t="n"/>
      <c r="B391" s="21">
        <f>IF($A391="","",CHOOSE(WEEKDAY($A391,2),"Lunes","Martes","Miércoles","Jueves","Viernes","Sábado","Domingo"))</f>
        <v/>
      </c>
      <c r="C391" s="17" t="n"/>
      <c r="D391" s="21">
        <f>IF($C391="","",IFERROR(INDEX(Insumos!$B$2:$B$151,MATCH($C391,Insumos!$A$2:$A$151,0)),"Código no cargado"))</f>
        <v/>
      </c>
      <c r="E391" s="21">
        <f>IF($C391="","",IFERROR(INDEX(Insumos!$C$2:$C$151,MATCH($C391,Insumos!$A$2:$A$151,0)),""))</f>
        <v/>
      </c>
      <c r="F391" s="21">
        <f>IF($C391="","",IFERROR(INDEX(Insumos!$D$2:$D$151,MATCH($C391,Insumos!$A$2:$A$151,0)),""))</f>
        <v/>
      </c>
      <c r="G391" s="18" t="n"/>
      <c r="H391" s="19">
        <f>IF(OR($A391="",$C391=""),"",IFERROR(INDEX(Insumos!$M$2:$S$151,MATCH($C391,Insumos!$A$2:$A$151,0),WEEKDAY($A391,2)),""))</f>
        <v/>
      </c>
      <c r="I391" s="19">
        <f>IF(OR($G391="",$H391=""),"",MAX(0,$H391-$G391))</f>
        <v/>
      </c>
      <c r="J391" s="21">
        <f>IF($I391="","",IF($I391=0,"OK",IF($G391&lt;=0,"Sin stock: pedir ya","Pedir o producir")))</f>
        <v/>
      </c>
      <c r="K391" s="17" t="n"/>
      <c r="L391" s="17" t="n"/>
      <c r="M391" s="21">
        <f>IF(OR($A391="",$A391&lt;&gt;'Lista para pedir'!$C$3,N($I391)&lt;=0),"",COUNTIFS($A$2:$A391,$A391,$I$2:$I391,"&gt;0"))</f>
        <v/>
      </c>
    </row>
    <row r="392">
      <c r="A392" s="20" t="n"/>
      <c r="B392" s="21">
        <f>IF($A392="","",CHOOSE(WEEKDAY($A392,2),"Lunes","Martes","Miércoles","Jueves","Viernes","Sábado","Domingo"))</f>
        <v/>
      </c>
      <c r="C392" s="17" t="n"/>
      <c r="D392" s="21">
        <f>IF($C392="","",IFERROR(INDEX(Insumos!$B$2:$B$151,MATCH($C392,Insumos!$A$2:$A$151,0)),"Código no cargado"))</f>
        <v/>
      </c>
      <c r="E392" s="21">
        <f>IF($C392="","",IFERROR(INDEX(Insumos!$C$2:$C$151,MATCH($C392,Insumos!$A$2:$A$151,0)),""))</f>
        <v/>
      </c>
      <c r="F392" s="21">
        <f>IF($C392="","",IFERROR(INDEX(Insumos!$D$2:$D$151,MATCH($C392,Insumos!$A$2:$A$151,0)),""))</f>
        <v/>
      </c>
      <c r="G392" s="18" t="n"/>
      <c r="H392" s="19">
        <f>IF(OR($A392="",$C392=""),"",IFERROR(INDEX(Insumos!$M$2:$S$151,MATCH($C392,Insumos!$A$2:$A$151,0),WEEKDAY($A392,2)),""))</f>
        <v/>
      </c>
      <c r="I392" s="19">
        <f>IF(OR($G392="",$H392=""),"",MAX(0,$H392-$G392))</f>
        <v/>
      </c>
      <c r="J392" s="21">
        <f>IF($I392="","",IF($I392=0,"OK",IF($G392&lt;=0,"Sin stock: pedir ya","Pedir o producir")))</f>
        <v/>
      </c>
      <c r="K392" s="17" t="n"/>
      <c r="L392" s="17" t="n"/>
      <c r="M392" s="21">
        <f>IF(OR($A392="",$A392&lt;&gt;'Lista para pedir'!$C$3,N($I392)&lt;=0),"",COUNTIFS($A$2:$A392,$A392,$I$2:$I392,"&gt;0"))</f>
        <v/>
      </c>
    </row>
    <row r="393">
      <c r="A393" s="20" t="n"/>
      <c r="B393" s="21">
        <f>IF($A393="","",CHOOSE(WEEKDAY($A393,2),"Lunes","Martes","Miércoles","Jueves","Viernes","Sábado","Domingo"))</f>
        <v/>
      </c>
      <c r="C393" s="17" t="n"/>
      <c r="D393" s="21">
        <f>IF($C393="","",IFERROR(INDEX(Insumos!$B$2:$B$151,MATCH($C393,Insumos!$A$2:$A$151,0)),"Código no cargado"))</f>
        <v/>
      </c>
      <c r="E393" s="21">
        <f>IF($C393="","",IFERROR(INDEX(Insumos!$C$2:$C$151,MATCH($C393,Insumos!$A$2:$A$151,0)),""))</f>
        <v/>
      </c>
      <c r="F393" s="21">
        <f>IF($C393="","",IFERROR(INDEX(Insumos!$D$2:$D$151,MATCH($C393,Insumos!$A$2:$A$151,0)),""))</f>
        <v/>
      </c>
      <c r="G393" s="18" t="n"/>
      <c r="H393" s="19">
        <f>IF(OR($A393="",$C393=""),"",IFERROR(INDEX(Insumos!$M$2:$S$151,MATCH($C393,Insumos!$A$2:$A$151,0),WEEKDAY($A393,2)),""))</f>
        <v/>
      </c>
      <c r="I393" s="19">
        <f>IF(OR($G393="",$H393=""),"",MAX(0,$H393-$G393))</f>
        <v/>
      </c>
      <c r="J393" s="21">
        <f>IF($I393="","",IF($I393=0,"OK",IF($G393&lt;=0,"Sin stock: pedir ya","Pedir o producir")))</f>
        <v/>
      </c>
      <c r="K393" s="17" t="n"/>
      <c r="L393" s="17" t="n"/>
      <c r="M393" s="21">
        <f>IF(OR($A393="",$A393&lt;&gt;'Lista para pedir'!$C$3,N($I393)&lt;=0),"",COUNTIFS($A$2:$A393,$A393,$I$2:$I393,"&gt;0"))</f>
        <v/>
      </c>
    </row>
    <row r="394">
      <c r="A394" s="20" t="n"/>
      <c r="B394" s="21">
        <f>IF($A394="","",CHOOSE(WEEKDAY($A394,2),"Lunes","Martes","Miércoles","Jueves","Viernes","Sábado","Domingo"))</f>
        <v/>
      </c>
      <c r="C394" s="17" t="n"/>
      <c r="D394" s="21">
        <f>IF($C394="","",IFERROR(INDEX(Insumos!$B$2:$B$151,MATCH($C394,Insumos!$A$2:$A$151,0)),"Código no cargado"))</f>
        <v/>
      </c>
      <c r="E394" s="21">
        <f>IF($C394="","",IFERROR(INDEX(Insumos!$C$2:$C$151,MATCH($C394,Insumos!$A$2:$A$151,0)),""))</f>
        <v/>
      </c>
      <c r="F394" s="21">
        <f>IF($C394="","",IFERROR(INDEX(Insumos!$D$2:$D$151,MATCH($C394,Insumos!$A$2:$A$151,0)),""))</f>
        <v/>
      </c>
      <c r="G394" s="18" t="n"/>
      <c r="H394" s="19">
        <f>IF(OR($A394="",$C394=""),"",IFERROR(INDEX(Insumos!$M$2:$S$151,MATCH($C394,Insumos!$A$2:$A$151,0),WEEKDAY($A394,2)),""))</f>
        <v/>
      </c>
      <c r="I394" s="19">
        <f>IF(OR($G394="",$H394=""),"",MAX(0,$H394-$G394))</f>
        <v/>
      </c>
      <c r="J394" s="21">
        <f>IF($I394="","",IF($I394=0,"OK",IF($G394&lt;=0,"Sin stock: pedir ya","Pedir o producir")))</f>
        <v/>
      </c>
      <c r="K394" s="17" t="n"/>
      <c r="L394" s="17" t="n"/>
      <c r="M394" s="21">
        <f>IF(OR($A394="",$A394&lt;&gt;'Lista para pedir'!$C$3,N($I394)&lt;=0),"",COUNTIFS($A$2:$A394,$A394,$I$2:$I394,"&gt;0"))</f>
        <v/>
      </c>
    </row>
    <row r="395">
      <c r="A395" s="20" t="n"/>
      <c r="B395" s="21">
        <f>IF($A395="","",CHOOSE(WEEKDAY($A395,2),"Lunes","Martes","Miércoles","Jueves","Viernes","Sábado","Domingo"))</f>
        <v/>
      </c>
      <c r="C395" s="17" t="n"/>
      <c r="D395" s="21">
        <f>IF($C395="","",IFERROR(INDEX(Insumos!$B$2:$B$151,MATCH($C395,Insumos!$A$2:$A$151,0)),"Código no cargado"))</f>
        <v/>
      </c>
      <c r="E395" s="21">
        <f>IF($C395="","",IFERROR(INDEX(Insumos!$C$2:$C$151,MATCH($C395,Insumos!$A$2:$A$151,0)),""))</f>
        <v/>
      </c>
      <c r="F395" s="21">
        <f>IF($C395="","",IFERROR(INDEX(Insumos!$D$2:$D$151,MATCH($C395,Insumos!$A$2:$A$151,0)),""))</f>
        <v/>
      </c>
      <c r="G395" s="18" t="n"/>
      <c r="H395" s="19">
        <f>IF(OR($A395="",$C395=""),"",IFERROR(INDEX(Insumos!$M$2:$S$151,MATCH($C395,Insumos!$A$2:$A$151,0),WEEKDAY($A395,2)),""))</f>
        <v/>
      </c>
      <c r="I395" s="19">
        <f>IF(OR($G395="",$H395=""),"",MAX(0,$H395-$G395))</f>
        <v/>
      </c>
      <c r="J395" s="21">
        <f>IF($I395="","",IF($I395=0,"OK",IF($G395&lt;=0,"Sin stock: pedir ya","Pedir o producir")))</f>
        <v/>
      </c>
      <c r="K395" s="17" t="n"/>
      <c r="L395" s="17" t="n"/>
      <c r="M395" s="21">
        <f>IF(OR($A395="",$A395&lt;&gt;'Lista para pedir'!$C$3,N($I395)&lt;=0),"",COUNTIFS($A$2:$A395,$A395,$I$2:$I395,"&gt;0"))</f>
        <v/>
      </c>
    </row>
    <row r="396">
      <c r="A396" s="20" t="n"/>
      <c r="B396" s="21">
        <f>IF($A396="","",CHOOSE(WEEKDAY($A396,2),"Lunes","Martes","Miércoles","Jueves","Viernes","Sábado","Domingo"))</f>
        <v/>
      </c>
      <c r="C396" s="17" t="n"/>
      <c r="D396" s="21">
        <f>IF($C396="","",IFERROR(INDEX(Insumos!$B$2:$B$151,MATCH($C396,Insumos!$A$2:$A$151,0)),"Código no cargado"))</f>
        <v/>
      </c>
      <c r="E396" s="21">
        <f>IF($C396="","",IFERROR(INDEX(Insumos!$C$2:$C$151,MATCH($C396,Insumos!$A$2:$A$151,0)),""))</f>
        <v/>
      </c>
      <c r="F396" s="21">
        <f>IF($C396="","",IFERROR(INDEX(Insumos!$D$2:$D$151,MATCH($C396,Insumos!$A$2:$A$151,0)),""))</f>
        <v/>
      </c>
      <c r="G396" s="18" t="n"/>
      <c r="H396" s="19">
        <f>IF(OR($A396="",$C396=""),"",IFERROR(INDEX(Insumos!$M$2:$S$151,MATCH($C396,Insumos!$A$2:$A$151,0),WEEKDAY($A396,2)),""))</f>
        <v/>
      </c>
      <c r="I396" s="19">
        <f>IF(OR($G396="",$H396=""),"",MAX(0,$H396-$G396))</f>
        <v/>
      </c>
      <c r="J396" s="21">
        <f>IF($I396="","",IF($I396=0,"OK",IF($G396&lt;=0,"Sin stock: pedir ya","Pedir o producir")))</f>
        <v/>
      </c>
      <c r="K396" s="17" t="n"/>
      <c r="L396" s="17" t="n"/>
      <c r="M396" s="21">
        <f>IF(OR($A396="",$A396&lt;&gt;'Lista para pedir'!$C$3,N($I396)&lt;=0),"",COUNTIFS($A$2:$A396,$A396,$I$2:$I396,"&gt;0"))</f>
        <v/>
      </c>
    </row>
    <row r="397">
      <c r="A397" s="20" t="n"/>
      <c r="B397" s="21">
        <f>IF($A397="","",CHOOSE(WEEKDAY($A397,2),"Lunes","Martes","Miércoles","Jueves","Viernes","Sábado","Domingo"))</f>
        <v/>
      </c>
      <c r="C397" s="17" t="n"/>
      <c r="D397" s="21">
        <f>IF($C397="","",IFERROR(INDEX(Insumos!$B$2:$B$151,MATCH($C397,Insumos!$A$2:$A$151,0)),"Código no cargado"))</f>
        <v/>
      </c>
      <c r="E397" s="21">
        <f>IF($C397="","",IFERROR(INDEX(Insumos!$C$2:$C$151,MATCH($C397,Insumos!$A$2:$A$151,0)),""))</f>
        <v/>
      </c>
      <c r="F397" s="21">
        <f>IF($C397="","",IFERROR(INDEX(Insumos!$D$2:$D$151,MATCH($C397,Insumos!$A$2:$A$151,0)),""))</f>
        <v/>
      </c>
      <c r="G397" s="18" t="n"/>
      <c r="H397" s="19">
        <f>IF(OR($A397="",$C397=""),"",IFERROR(INDEX(Insumos!$M$2:$S$151,MATCH($C397,Insumos!$A$2:$A$151,0),WEEKDAY($A397,2)),""))</f>
        <v/>
      </c>
      <c r="I397" s="19">
        <f>IF(OR($G397="",$H397=""),"",MAX(0,$H397-$G397))</f>
        <v/>
      </c>
      <c r="J397" s="21">
        <f>IF($I397="","",IF($I397=0,"OK",IF($G397&lt;=0,"Sin stock: pedir ya","Pedir o producir")))</f>
        <v/>
      </c>
      <c r="K397" s="17" t="n"/>
      <c r="L397" s="17" t="n"/>
      <c r="M397" s="21">
        <f>IF(OR($A397="",$A397&lt;&gt;'Lista para pedir'!$C$3,N($I397)&lt;=0),"",COUNTIFS($A$2:$A397,$A397,$I$2:$I397,"&gt;0"))</f>
        <v/>
      </c>
    </row>
    <row r="398">
      <c r="A398" s="20" t="n"/>
      <c r="B398" s="21">
        <f>IF($A398="","",CHOOSE(WEEKDAY($A398,2),"Lunes","Martes","Miércoles","Jueves","Viernes","Sábado","Domingo"))</f>
        <v/>
      </c>
      <c r="C398" s="17" t="n"/>
      <c r="D398" s="21">
        <f>IF($C398="","",IFERROR(INDEX(Insumos!$B$2:$B$151,MATCH($C398,Insumos!$A$2:$A$151,0)),"Código no cargado"))</f>
        <v/>
      </c>
      <c r="E398" s="21">
        <f>IF($C398="","",IFERROR(INDEX(Insumos!$C$2:$C$151,MATCH($C398,Insumos!$A$2:$A$151,0)),""))</f>
        <v/>
      </c>
      <c r="F398" s="21">
        <f>IF($C398="","",IFERROR(INDEX(Insumos!$D$2:$D$151,MATCH($C398,Insumos!$A$2:$A$151,0)),""))</f>
        <v/>
      </c>
      <c r="G398" s="18" t="n"/>
      <c r="H398" s="19">
        <f>IF(OR($A398="",$C398=""),"",IFERROR(INDEX(Insumos!$M$2:$S$151,MATCH($C398,Insumos!$A$2:$A$151,0),WEEKDAY($A398,2)),""))</f>
        <v/>
      </c>
      <c r="I398" s="19">
        <f>IF(OR($G398="",$H398=""),"",MAX(0,$H398-$G398))</f>
        <v/>
      </c>
      <c r="J398" s="21">
        <f>IF($I398="","",IF($I398=0,"OK",IF($G398&lt;=0,"Sin stock: pedir ya","Pedir o producir")))</f>
        <v/>
      </c>
      <c r="K398" s="17" t="n"/>
      <c r="L398" s="17" t="n"/>
      <c r="M398" s="21">
        <f>IF(OR($A398="",$A398&lt;&gt;'Lista para pedir'!$C$3,N($I398)&lt;=0),"",COUNTIFS($A$2:$A398,$A398,$I$2:$I398,"&gt;0"))</f>
        <v/>
      </c>
    </row>
    <row r="399">
      <c r="A399" s="20" t="n"/>
      <c r="B399" s="21">
        <f>IF($A399="","",CHOOSE(WEEKDAY($A399,2),"Lunes","Martes","Miércoles","Jueves","Viernes","Sábado","Domingo"))</f>
        <v/>
      </c>
      <c r="C399" s="17" t="n"/>
      <c r="D399" s="21">
        <f>IF($C399="","",IFERROR(INDEX(Insumos!$B$2:$B$151,MATCH($C399,Insumos!$A$2:$A$151,0)),"Código no cargado"))</f>
        <v/>
      </c>
      <c r="E399" s="21">
        <f>IF($C399="","",IFERROR(INDEX(Insumos!$C$2:$C$151,MATCH($C399,Insumos!$A$2:$A$151,0)),""))</f>
        <v/>
      </c>
      <c r="F399" s="21">
        <f>IF($C399="","",IFERROR(INDEX(Insumos!$D$2:$D$151,MATCH($C399,Insumos!$A$2:$A$151,0)),""))</f>
        <v/>
      </c>
      <c r="G399" s="18" t="n"/>
      <c r="H399" s="19">
        <f>IF(OR($A399="",$C399=""),"",IFERROR(INDEX(Insumos!$M$2:$S$151,MATCH($C399,Insumos!$A$2:$A$151,0),WEEKDAY($A399,2)),""))</f>
        <v/>
      </c>
      <c r="I399" s="19">
        <f>IF(OR($G399="",$H399=""),"",MAX(0,$H399-$G399))</f>
        <v/>
      </c>
      <c r="J399" s="21">
        <f>IF($I399="","",IF($I399=0,"OK",IF($G399&lt;=0,"Sin stock: pedir ya","Pedir o producir")))</f>
        <v/>
      </c>
      <c r="K399" s="17" t="n"/>
      <c r="L399" s="17" t="n"/>
      <c r="M399" s="21">
        <f>IF(OR($A399="",$A399&lt;&gt;'Lista para pedir'!$C$3,N($I399)&lt;=0),"",COUNTIFS($A$2:$A399,$A399,$I$2:$I399,"&gt;0"))</f>
        <v/>
      </c>
    </row>
    <row r="400">
      <c r="A400" s="20" t="n"/>
      <c r="B400" s="21">
        <f>IF($A400="","",CHOOSE(WEEKDAY($A400,2),"Lunes","Martes","Miércoles","Jueves","Viernes","Sábado","Domingo"))</f>
        <v/>
      </c>
      <c r="C400" s="17" t="n"/>
      <c r="D400" s="21">
        <f>IF($C400="","",IFERROR(INDEX(Insumos!$B$2:$B$151,MATCH($C400,Insumos!$A$2:$A$151,0)),"Código no cargado"))</f>
        <v/>
      </c>
      <c r="E400" s="21">
        <f>IF($C400="","",IFERROR(INDEX(Insumos!$C$2:$C$151,MATCH($C400,Insumos!$A$2:$A$151,0)),""))</f>
        <v/>
      </c>
      <c r="F400" s="21">
        <f>IF($C400="","",IFERROR(INDEX(Insumos!$D$2:$D$151,MATCH($C400,Insumos!$A$2:$A$151,0)),""))</f>
        <v/>
      </c>
      <c r="G400" s="18" t="n"/>
      <c r="H400" s="19">
        <f>IF(OR($A400="",$C400=""),"",IFERROR(INDEX(Insumos!$M$2:$S$151,MATCH($C400,Insumos!$A$2:$A$151,0),WEEKDAY($A400,2)),""))</f>
        <v/>
      </c>
      <c r="I400" s="19">
        <f>IF(OR($G400="",$H400=""),"",MAX(0,$H400-$G400))</f>
        <v/>
      </c>
      <c r="J400" s="21">
        <f>IF($I400="","",IF($I400=0,"OK",IF($G400&lt;=0,"Sin stock: pedir ya","Pedir o producir")))</f>
        <v/>
      </c>
      <c r="K400" s="17" t="n"/>
      <c r="L400" s="17" t="n"/>
      <c r="M400" s="21">
        <f>IF(OR($A400="",$A400&lt;&gt;'Lista para pedir'!$C$3,N($I400)&lt;=0),"",COUNTIFS($A$2:$A400,$A400,$I$2:$I400,"&gt;0"))</f>
        <v/>
      </c>
    </row>
    <row r="401">
      <c r="A401" s="20" t="n"/>
      <c r="B401" s="21">
        <f>IF($A401="","",CHOOSE(WEEKDAY($A401,2),"Lunes","Martes","Miércoles","Jueves","Viernes","Sábado","Domingo"))</f>
        <v/>
      </c>
      <c r="C401" s="17" t="n"/>
      <c r="D401" s="21">
        <f>IF($C401="","",IFERROR(INDEX(Insumos!$B$2:$B$151,MATCH($C401,Insumos!$A$2:$A$151,0)),"Código no cargado"))</f>
        <v/>
      </c>
      <c r="E401" s="21">
        <f>IF($C401="","",IFERROR(INDEX(Insumos!$C$2:$C$151,MATCH($C401,Insumos!$A$2:$A$151,0)),""))</f>
        <v/>
      </c>
      <c r="F401" s="21">
        <f>IF($C401="","",IFERROR(INDEX(Insumos!$D$2:$D$151,MATCH($C401,Insumos!$A$2:$A$151,0)),""))</f>
        <v/>
      </c>
      <c r="G401" s="18" t="n"/>
      <c r="H401" s="19">
        <f>IF(OR($A401="",$C401=""),"",IFERROR(INDEX(Insumos!$M$2:$S$151,MATCH($C401,Insumos!$A$2:$A$151,0),WEEKDAY($A401,2)),""))</f>
        <v/>
      </c>
      <c r="I401" s="19">
        <f>IF(OR($G401="",$H401=""),"",MAX(0,$H401-$G401))</f>
        <v/>
      </c>
      <c r="J401" s="21">
        <f>IF($I401="","",IF($I401=0,"OK",IF($G401&lt;=0,"Sin stock: pedir ya","Pedir o producir")))</f>
        <v/>
      </c>
      <c r="K401" s="17" t="n"/>
      <c r="L401" s="17" t="n"/>
      <c r="M401" s="21">
        <f>IF(OR($A401="",$A401&lt;&gt;'Lista para pedir'!$C$3,N($I401)&lt;=0),"",COUNTIFS($A$2:$A401,$A401,$I$2:$I401,"&gt;0"))</f>
        <v/>
      </c>
    </row>
    <row r="402">
      <c r="A402" s="20" t="n"/>
      <c r="B402" s="21">
        <f>IF($A402="","",CHOOSE(WEEKDAY($A402,2),"Lunes","Martes","Miércoles","Jueves","Viernes","Sábado","Domingo"))</f>
        <v/>
      </c>
      <c r="C402" s="17" t="n"/>
      <c r="D402" s="21">
        <f>IF($C402="","",IFERROR(INDEX(Insumos!$B$2:$B$151,MATCH($C402,Insumos!$A$2:$A$151,0)),"Código no cargado"))</f>
        <v/>
      </c>
      <c r="E402" s="21">
        <f>IF($C402="","",IFERROR(INDEX(Insumos!$C$2:$C$151,MATCH($C402,Insumos!$A$2:$A$151,0)),""))</f>
        <v/>
      </c>
      <c r="F402" s="21">
        <f>IF($C402="","",IFERROR(INDEX(Insumos!$D$2:$D$151,MATCH($C402,Insumos!$A$2:$A$151,0)),""))</f>
        <v/>
      </c>
      <c r="G402" s="18" t="n"/>
      <c r="H402" s="19">
        <f>IF(OR($A402="",$C402=""),"",IFERROR(INDEX(Insumos!$M$2:$S$151,MATCH($C402,Insumos!$A$2:$A$151,0),WEEKDAY($A402,2)),""))</f>
        <v/>
      </c>
      <c r="I402" s="19">
        <f>IF(OR($G402="",$H402=""),"",MAX(0,$H402-$G402))</f>
        <v/>
      </c>
      <c r="J402" s="21">
        <f>IF($I402="","",IF($I402=0,"OK",IF($G402&lt;=0,"Sin stock: pedir ya","Pedir o producir")))</f>
        <v/>
      </c>
      <c r="K402" s="17" t="n"/>
      <c r="L402" s="17" t="n"/>
      <c r="M402" s="21">
        <f>IF(OR($A402="",$A402&lt;&gt;'Lista para pedir'!$C$3,N($I402)&lt;=0),"",COUNTIFS($A$2:$A402,$A402,$I$2:$I402,"&gt;0"))</f>
        <v/>
      </c>
    </row>
    <row r="403">
      <c r="A403" s="20" t="n"/>
      <c r="B403" s="21">
        <f>IF($A403="","",CHOOSE(WEEKDAY($A403,2),"Lunes","Martes","Miércoles","Jueves","Viernes","Sábado","Domingo"))</f>
        <v/>
      </c>
      <c r="C403" s="17" t="n"/>
      <c r="D403" s="21">
        <f>IF($C403="","",IFERROR(INDEX(Insumos!$B$2:$B$151,MATCH($C403,Insumos!$A$2:$A$151,0)),"Código no cargado"))</f>
        <v/>
      </c>
      <c r="E403" s="21">
        <f>IF($C403="","",IFERROR(INDEX(Insumos!$C$2:$C$151,MATCH($C403,Insumos!$A$2:$A$151,0)),""))</f>
        <v/>
      </c>
      <c r="F403" s="21">
        <f>IF($C403="","",IFERROR(INDEX(Insumos!$D$2:$D$151,MATCH($C403,Insumos!$A$2:$A$151,0)),""))</f>
        <v/>
      </c>
      <c r="G403" s="18" t="n"/>
      <c r="H403" s="19">
        <f>IF(OR($A403="",$C403=""),"",IFERROR(INDEX(Insumos!$M$2:$S$151,MATCH($C403,Insumos!$A$2:$A$151,0),WEEKDAY($A403,2)),""))</f>
        <v/>
      </c>
      <c r="I403" s="19">
        <f>IF(OR($G403="",$H403=""),"",MAX(0,$H403-$G403))</f>
        <v/>
      </c>
      <c r="J403" s="21">
        <f>IF($I403="","",IF($I403=0,"OK",IF($G403&lt;=0,"Sin stock: pedir ya","Pedir o producir")))</f>
        <v/>
      </c>
      <c r="K403" s="17" t="n"/>
      <c r="L403" s="17" t="n"/>
      <c r="M403" s="21">
        <f>IF(OR($A403="",$A403&lt;&gt;'Lista para pedir'!$C$3,N($I403)&lt;=0),"",COUNTIFS($A$2:$A403,$A403,$I$2:$I403,"&gt;0"))</f>
        <v/>
      </c>
    </row>
    <row r="404">
      <c r="A404" s="20" t="n"/>
      <c r="B404" s="21">
        <f>IF($A404="","",CHOOSE(WEEKDAY($A404,2),"Lunes","Martes","Miércoles","Jueves","Viernes","Sábado","Domingo"))</f>
        <v/>
      </c>
      <c r="C404" s="17" t="n"/>
      <c r="D404" s="21">
        <f>IF($C404="","",IFERROR(INDEX(Insumos!$B$2:$B$151,MATCH($C404,Insumos!$A$2:$A$151,0)),"Código no cargado"))</f>
        <v/>
      </c>
      <c r="E404" s="21">
        <f>IF($C404="","",IFERROR(INDEX(Insumos!$C$2:$C$151,MATCH($C404,Insumos!$A$2:$A$151,0)),""))</f>
        <v/>
      </c>
      <c r="F404" s="21">
        <f>IF($C404="","",IFERROR(INDEX(Insumos!$D$2:$D$151,MATCH($C404,Insumos!$A$2:$A$151,0)),""))</f>
        <v/>
      </c>
      <c r="G404" s="18" t="n"/>
      <c r="H404" s="19">
        <f>IF(OR($A404="",$C404=""),"",IFERROR(INDEX(Insumos!$M$2:$S$151,MATCH($C404,Insumos!$A$2:$A$151,0),WEEKDAY($A404,2)),""))</f>
        <v/>
      </c>
      <c r="I404" s="19">
        <f>IF(OR($G404="",$H404=""),"",MAX(0,$H404-$G404))</f>
        <v/>
      </c>
      <c r="J404" s="21">
        <f>IF($I404="","",IF($I404=0,"OK",IF($G404&lt;=0,"Sin stock: pedir ya","Pedir o producir")))</f>
        <v/>
      </c>
      <c r="K404" s="17" t="n"/>
      <c r="L404" s="17" t="n"/>
      <c r="M404" s="21">
        <f>IF(OR($A404="",$A404&lt;&gt;'Lista para pedir'!$C$3,N($I404)&lt;=0),"",COUNTIFS($A$2:$A404,$A404,$I$2:$I404,"&gt;0"))</f>
        <v/>
      </c>
    </row>
    <row r="405">
      <c r="A405" s="20" t="n"/>
      <c r="B405" s="21">
        <f>IF($A405="","",CHOOSE(WEEKDAY($A405,2),"Lunes","Martes","Miércoles","Jueves","Viernes","Sábado","Domingo"))</f>
        <v/>
      </c>
      <c r="C405" s="17" t="n"/>
      <c r="D405" s="21">
        <f>IF($C405="","",IFERROR(INDEX(Insumos!$B$2:$B$151,MATCH($C405,Insumos!$A$2:$A$151,0)),"Código no cargado"))</f>
        <v/>
      </c>
      <c r="E405" s="21">
        <f>IF($C405="","",IFERROR(INDEX(Insumos!$C$2:$C$151,MATCH($C405,Insumos!$A$2:$A$151,0)),""))</f>
        <v/>
      </c>
      <c r="F405" s="21">
        <f>IF($C405="","",IFERROR(INDEX(Insumos!$D$2:$D$151,MATCH($C405,Insumos!$A$2:$A$151,0)),""))</f>
        <v/>
      </c>
      <c r="G405" s="18" t="n"/>
      <c r="H405" s="19">
        <f>IF(OR($A405="",$C405=""),"",IFERROR(INDEX(Insumos!$M$2:$S$151,MATCH($C405,Insumos!$A$2:$A$151,0),WEEKDAY($A405,2)),""))</f>
        <v/>
      </c>
      <c r="I405" s="19">
        <f>IF(OR($G405="",$H405=""),"",MAX(0,$H405-$G405))</f>
        <v/>
      </c>
      <c r="J405" s="21">
        <f>IF($I405="","",IF($I405=0,"OK",IF($G405&lt;=0,"Sin stock: pedir ya","Pedir o producir")))</f>
        <v/>
      </c>
      <c r="K405" s="17" t="n"/>
      <c r="L405" s="17" t="n"/>
      <c r="M405" s="21">
        <f>IF(OR($A405="",$A405&lt;&gt;'Lista para pedir'!$C$3,N($I405)&lt;=0),"",COUNTIFS($A$2:$A405,$A405,$I$2:$I405,"&gt;0"))</f>
        <v/>
      </c>
    </row>
    <row r="406">
      <c r="A406" s="20" t="n"/>
      <c r="B406" s="21">
        <f>IF($A406="","",CHOOSE(WEEKDAY($A406,2),"Lunes","Martes","Miércoles","Jueves","Viernes","Sábado","Domingo"))</f>
        <v/>
      </c>
      <c r="C406" s="17" t="n"/>
      <c r="D406" s="21">
        <f>IF($C406="","",IFERROR(INDEX(Insumos!$B$2:$B$151,MATCH($C406,Insumos!$A$2:$A$151,0)),"Código no cargado"))</f>
        <v/>
      </c>
      <c r="E406" s="21">
        <f>IF($C406="","",IFERROR(INDEX(Insumos!$C$2:$C$151,MATCH($C406,Insumos!$A$2:$A$151,0)),""))</f>
        <v/>
      </c>
      <c r="F406" s="21">
        <f>IF($C406="","",IFERROR(INDEX(Insumos!$D$2:$D$151,MATCH($C406,Insumos!$A$2:$A$151,0)),""))</f>
        <v/>
      </c>
      <c r="G406" s="18" t="n"/>
      <c r="H406" s="19">
        <f>IF(OR($A406="",$C406=""),"",IFERROR(INDEX(Insumos!$M$2:$S$151,MATCH($C406,Insumos!$A$2:$A$151,0),WEEKDAY($A406,2)),""))</f>
        <v/>
      </c>
      <c r="I406" s="19">
        <f>IF(OR($G406="",$H406=""),"",MAX(0,$H406-$G406))</f>
        <v/>
      </c>
      <c r="J406" s="21">
        <f>IF($I406="","",IF($I406=0,"OK",IF($G406&lt;=0,"Sin stock: pedir ya","Pedir o producir")))</f>
        <v/>
      </c>
      <c r="K406" s="17" t="n"/>
      <c r="L406" s="17" t="n"/>
      <c r="M406" s="21">
        <f>IF(OR($A406="",$A406&lt;&gt;'Lista para pedir'!$C$3,N($I406)&lt;=0),"",COUNTIFS($A$2:$A406,$A406,$I$2:$I406,"&gt;0"))</f>
        <v/>
      </c>
    </row>
    <row r="407">
      <c r="A407" s="20" t="n"/>
      <c r="B407" s="21">
        <f>IF($A407="","",CHOOSE(WEEKDAY($A407,2),"Lunes","Martes","Miércoles","Jueves","Viernes","Sábado","Domingo"))</f>
        <v/>
      </c>
      <c r="C407" s="17" t="n"/>
      <c r="D407" s="21">
        <f>IF($C407="","",IFERROR(INDEX(Insumos!$B$2:$B$151,MATCH($C407,Insumos!$A$2:$A$151,0)),"Código no cargado"))</f>
        <v/>
      </c>
      <c r="E407" s="21">
        <f>IF($C407="","",IFERROR(INDEX(Insumos!$C$2:$C$151,MATCH($C407,Insumos!$A$2:$A$151,0)),""))</f>
        <v/>
      </c>
      <c r="F407" s="21">
        <f>IF($C407="","",IFERROR(INDEX(Insumos!$D$2:$D$151,MATCH($C407,Insumos!$A$2:$A$151,0)),""))</f>
        <v/>
      </c>
      <c r="G407" s="18" t="n"/>
      <c r="H407" s="19">
        <f>IF(OR($A407="",$C407=""),"",IFERROR(INDEX(Insumos!$M$2:$S$151,MATCH($C407,Insumos!$A$2:$A$151,0),WEEKDAY($A407,2)),""))</f>
        <v/>
      </c>
      <c r="I407" s="19">
        <f>IF(OR($G407="",$H407=""),"",MAX(0,$H407-$G407))</f>
        <v/>
      </c>
      <c r="J407" s="21">
        <f>IF($I407="","",IF($I407=0,"OK",IF($G407&lt;=0,"Sin stock: pedir ya","Pedir o producir")))</f>
        <v/>
      </c>
      <c r="K407" s="17" t="n"/>
      <c r="L407" s="17" t="n"/>
      <c r="M407" s="21">
        <f>IF(OR($A407="",$A407&lt;&gt;'Lista para pedir'!$C$3,N($I407)&lt;=0),"",COUNTIFS($A$2:$A407,$A407,$I$2:$I407,"&gt;0"))</f>
        <v/>
      </c>
    </row>
    <row r="408">
      <c r="A408" s="20" t="n"/>
      <c r="B408" s="21">
        <f>IF($A408="","",CHOOSE(WEEKDAY($A408,2),"Lunes","Martes","Miércoles","Jueves","Viernes","Sábado","Domingo"))</f>
        <v/>
      </c>
      <c r="C408" s="17" t="n"/>
      <c r="D408" s="21">
        <f>IF($C408="","",IFERROR(INDEX(Insumos!$B$2:$B$151,MATCH($C408,Insumos!$A$2:$A$151,0)),"Código no cargado"))</f>
        <v/>
      </c>
      <c r="E408" s="21">
        <f>IF($C408="","",IFERROR(INDEX(Insumos!$C$2:$C$151,MATCH($C408,Insumos!$A$2:$A$151,0)),""))</f>
        <v/>
      </c>
      <c r="F408" s="21">
        <f>IF($C408="","",IFERROR(INDEX(Insumos!$D$2:$D$151,MATCH($C408,Insumos!$A$2:$A$151,0)),""))</f>
        <v/>
      </c>
      <c r="G408" s="18" t="n"/>
      <c r="H408" s="19">
        <f>IF(OR($A408="",$C408=""),"",IFERROR(INDEX(Insumos!$M$2:$S$151,MATCH($C408,Insumos!$A$2:$A$151,0),WEEKDAY($A408,2)),""))</f>
        <v/>
      </c>
      <c r="I408" s="19">
        <f>IF(OR($G408="",$H408=""),"",MAX(0,$H408-$G408))</f>
        <v/>
      </c>
      <c r="J408" s="21">
        <f>IF($I408="","",IF($I408=0,"OK",IF($G408&lt;=0,"Sin stock: pedir ya","Pedir o producir")))</f>
        <v/>
      </c>
      <c r="K408" s="17" t="n"/>
      <c r="L408" s="17" t="n"/>
      <c r="M408" s="21">
        <f>IF(OR($A408="",$A408&lt;&gt;'Lista para pedir'!$C$3,N($I408)&lt;=0),"",COUNTIFS($A$2:$A408,$A408,$I$2:$I408,"&gt;0"))</f>
        <v/>
      </c>
    </row>
    <row r="409">
      <c r="A409" s="20" t="n"/>
      <c r="B409" s="21">
        <f>IF($A409="","",CHOOSE(WEEKDAY($A409,2),"Lunes","Martes","Miércoles","Jueves","Viernes","Sábado","Domingo"))</f>
        <v/>
      </c>
      <c r="C409" s="17" t="n"/>
      <c r="D409" s="21">
        <f>IF($C409="","",IFERROR(INDEX(Insumos!$B$2:$B$151,MATCH($C409,Insumos!$A$2:$A$151,0)),"Código no cargado"))</f>
        <v/>
      </c>
      <c r="E409" s="21">
        <f>IF($C409="","",IFERROR(INDEX(Insumos!$C$2:$C$151,MATCH($C409,Insumos!$A$2:$A$151,0)),""))</f>
        <v/>
      </c>
      <c r="F409" s="21">
        <f>IF($C409="","",IFERROR(INDEX(Insumos!$D$2:$D$151,MATCH($C409,Insumos!$A$2:$A$151,0)),""))</f>
        <v/>
      </c>
      <c r="G409" s="18" t="n"/>
      <c r="H409" s="19">
        <f>IF(OR($A409="",$C409=""),"",IFERROR(INDEX(Insumos!$M$2:$S$151,MATCH($C409,Insumos!$A$2:$A$151,0),WEEKDAY($A409,2)),""))</f>
        <v/>
      </c>
      <c r="I409" s="19">
        <f>IF(OR($G409="",$H409=""),"",MAX(0,$H409-$G409))</f>
        <v/>
      </c>
      <c r="J409" s="21">
        <f>IF($I409="","",IF($I409=0,"OK",IF($G409&lt;=0,"Sin stock: pedir ya","Pedir o producir")))</f>
        <v/>
      </c>
      <c r="K409" s="17" t="n"/>
      <c r="L409" s="17" t="n"/>
      <c r="M409" s="21">
        <f>IF(OR($A409="",$A409&lt;&gt;'Lista para pedir'!$C$3,N($I409)&lt;=0),"",COUNTIFS($A$2:$A409,$A409,$I$2:$I409,"&gt;0"))</f>
        <v/>
      </c>
    </row>
    <row r="410">
      <c r="A410" s="20" t="n"/>
      <c r="B410" s="21">
        <f>IF($A410="","",CHOOSE(WEEKDAY($A410,2),"Lunes","Martes","Miércoles","Jueves","Viernes","Sábado","Domingo"))</f>
        <v/>
      </c>
      <c r="C410" s="17" t="n"/>
      <c r="D410" s="21">
        <f>IF($C410="","",IFERROR(INDEX(Insumos!$B$2:$B$151,MATCH($C410,Insumos!$A$2:$A$151,0)),"Código no cargado"))</f>
        <v/>
      </c>
      <c r="E410" s="21">
        <f>IF($C410="","",IFERROR(INDEX(Insumos!$C$2:$C$151,MATCH($C410,Insumos!$A$2:$A$151,0)),""))</f>
        <v/>
      </c>
      <c r="F410" s="21">
        <f>IF($C410="","",IFERROR(INDEX(Insumos!$D$2:$D$151,MATCH($C410,Insumos!$A$2:$A$151,0)),""))</f>
        <v/>
      </c>
      <c r="G410" s="18" t="n"/>
      <c r="H410" s="19">
        <f>IF(OR($A410="",$C410=""),"",IFERROR(INDEX(Insumos!$M$2:$S$151,MATCH($C410,Insumos!$A$2:$A$151,0),WEEKDAY($A410,2)),""))</f>
        <v/>
      </c>
      <c r="I410" s="19">
        <f>IF(OR($G410="",$H410=""),"",MAX(0,$H410-$G410))</f>
        <v/>
      </c>
      <c r="J410" s="21">
        <f>IF($I410="","",IF($I410=0,"OK",IF($G410&lt;=0,"Sin stock: pedir ya","Pedir o producir")))</f>
        <v/>
      </c>
      <c r="K410" s="17" t="n"/>
      <c r="L410" s="17" t="n"/>
      <c r="M410" s="21">
        <f>IF(OR($A410="",$A410&lt;&gt;'Lista para pedir'!$C$3,N($I410)&lt;=0),"",COUNTIFS($A$2:$A410,$A410,$I$2:$I410,"&gt;0"))</f>
        <v/>
      </c>
    </row>
    <row r="411">
      <c r="A411" s="20" t="n"/>
      <c r="B411" s="21">
        <f>IF($A411="","",CHOOSE(WEEKDAY($A411,2),"Lunes","Martes","Miércoles","Jueves","Viernes","Sábado","Domingo"))</f>
        <v/>
      </c>
      <c r="C411" s="17" t="n"/>
      <c r="D411" s="21">
        <f>IF($C411="","",IFERROR(INDEX(Insumos!$B$2:$B$151,MATCH($C411,Insumos!$A$2:$A$151,0)),"Código no cargado"))</f>
        <v/>
      </c>
      <c r="E411" s="21">
        <f>IF($C411="","",IFERROR(INDEX(Insumos!$C$2:$C$151,MATCH($C411,Insumos!$A$2:$A$151,0)),""))</f>
        <v/>
      </c>
      <c r="F411" s="21">
        <f>IF($C411="","",IFERROR(INDEX(Insumos!$D$2:$D$151,MATCH($C411,Insumos!$A$2:$A$151,0)),""))</f>
        <v/>
      </c>
      <c r="G411" s="18" t="n"/>
      <c r="H411" s="19">
        <f>IF(OR($A411="",$C411=""),"",IFERROR(INDEX(Insumos!$M$2:$S$151,MATCH($C411,Insumos!$A$2:$A$151,0),WEEKDAY($A411,2)),""))</f>
        <v/>
      </c>
      <c r="I411" s="19">
        <f>IF(OR($G411="",$H411=""),"",MAX(0,$H411-$G411))</f>
        <v/>
      </c>
      <c r="J411" s="21">
        <f>IF($I411="","",IF($I411=0,"OK",IF($G411&lt;=0,"Sin stock: pedir ya","Pedir o producir")))</f>
        <v/>
      </c>
      <c r="K411" s="17" t="n"/>
      <c r="L411" s="17" t="n"/>
      <c r="M411" s="21">
        <f>IF(OR($A411="",$A411&lt;&gt;'Lista para pedir'!$C$3,N($I411)&lt;=0),"",COUNTIFS($A$2:$A411,$A411,$I$2:$I411,"&gt;0"))</f>
        <v/>
      </c>
    </row>
    <row r="412">
      <c r="A412" s="20" t="n"/>
      <c r="B412" s="21">
        <f>IF($A412="","",CHOOSE(WEEKDAY($A412,2),"Lunes","Martes","Miércoles","Jueves","Viernes","Sábado","Domingo"))</f>
        <v/>
      </c>
      <c r="C412" s="17" t="n"/>
      <c r="D412" s="21">
        <f>IF($C412="","",IFERROR(INDEX(Insumos!$B$2:$B$151,MATCH($C412,Insumos!$A$2:$A$151,0)),"Código no cargado"))</f>
        <v/>
      </c>
      <c r="E412" s="21">
        <f>IF($C412="","",IFERROR(INDEX(Insumos!$C$2:$C$151,MATCH($C412,Insumos!$A$2:$A$151,0)),""))</f>
        <v/>
      </c>
      <c r="F412" s="21">
        <f>IF($C412="","",IFERROR(INDEX(Insumos!$D$2:$D$151,MATCH($C412,Insumos!$A$2:$A$151,0)),""))</f>
        <v/>
      </c>
      <c r="G412" s="18" t="n"/>
      <c r="H412" s="19">
        <f>IF(OR($A412="",$C412=""),"",IFERROR(INDEX(Insumos!$M$2:$S$151,MATCH($C412,Insumos!$A$2:$A$151,0),WEEKDAY($A412,2)),""))</f>
        <v/>
      </c>
      <c r="I412" s="19">
        <f>IF(OR($G412="",$H412=""),"",MAX(0,$H412-$G412))</f>
        <v/>
      </c>
      <c r="J412" s="21">
        <f>IF($I412="","",IF($I412=0,"OK",IF($G412&lt;=0,"Sin stock: pedir ya","Pedir o producir")))</f>
        <v/>
      </c>
      <c r="K412" s="17" t="n"/>
      <c r="L412" s="17" t="n"/>
      <c r="M412" s="21">
        <f>IF(OR($A412="",$A412&lt;&gt;'Lista para pedir'!$C$3,N($I412)&lt;=0),"",COUNTIFS($A$2:$A412,$A412,$I$2:$I412,"&gt;0"))</f>
        <v/>
      </c>
    </row>
    <row r="413">
      <c r="A413" s="20" t="n"/>
      <c r="B413" s="21">
        <f>IF($A413="","",CHOOSE(WEEKDAY($A413,2),"Lunes","Martes","Miércoles","Jueves","Viernes","Sábado","Domingo"))</f>
        <v/>
      </c>
      <c r="C413" s="17" t="n"/>
      <c r="D413" s="21">
        <f>IF($C413="","",IFERROR(INDEX(Insumos!$B$2:$B$151,MATCH($C413,Insumos!$A$2:$A$151,0)),"Código no cargado"))</f>
        <v/>
      </c>
      <c r="E413" s="21">
        <f>IF($C413="","",IFERROR(INDEX(Insumos!$C$2:$C$151,MATCH($C413,Insumos!$A$2:$A$151,0)),""))</f>
        <v/>
      </c>
      <c r="F413" s="21">
        <f>IF($C413="","",IFERROR(INDEX(Insumos!$D$2:$D$151,MATCH($C413,Insumos!$A$2:$A$151,0)),""))</f>
        <v/>
      </c>
      <c r="G413" s="18" t="n"/>
      <c r="H413" s="19">
        <f>IF(OR($A413="",$C413=""),"",IFERROR(INDEX(Insumos!$M$2:$S$151,MATCH($C413,Insumos!$A$2:$A$151,0),WEEKDAY($A413,2)),""))</f>
        <v/>
      </c>
      <c r="I413" s="19">
        <f>IF(OR($G413="",$H413=""),"",MAX(0,$H413-$G413))</f>
        <v/>
      </c>
      <c r="J413" s="21">
        <f>IF($I413="","",IF($I413=0,"OK",IF($G413&lt;=0,"Sin stock: pedir ya","Pedir o producir")))</f>
        <v/>
      </c>
      <c r="K413" s="17" t="n"/>
      <c r="L413" s="17" t="n"/>
      <c r="M413" s="21">
        <f>IF(OR($A413="",$A413&lt;&gt;'Lista para pedir'!$C$3,N($I413)&lt;=0),"",COUNTIFS($A$2:$A413,$A413,$I$2:$I413,"&gt;0"))</f>
        <v/>
      </c>
    </row>
    <row r="414">
      <c r="A414" s="20" t="n"/>
      <c r="B414" s="21">
        <f>IF($A414="","",CHOOSE(WEEKDAY($A414,2),"Lunes","Martes","Miércoles","Jueves","Viernes","Sábado","Domingo"))</f>
        <v/>
      </c>
      <c r="C414" s="17" t="n"/>
      <c r="D414" s="21">
        <f>IF($C414="","",IFERROR(INDEX(Insumos!$B$2:$B$151,MATCH($C414,Insumos!$A$2:$A$151,0)),"Código no cargado"))</f>
        <v/>
      </c>
      <c r="E414" s="21">
        <f>IF($C414="","",IFERROR(INDEX(Insumos!$C$2:$C$151,MATCH($C414,Insumos!$A$2:$A$151,0)),""))</f>
        <v/>
      </c>
      <c r="F414" s="21">
        <f>IF($C414="","",IFERROR(INDEX(Insumos!$D$2:$D$151,MATCH($C414,Insumos!$A$2:$A$151,0)),""))</f>
        <v/>
      </c>
      <c r="G414" s="18" t="n"/>
      <c r="H414" s="19">
        <f>IF(OR($A414="",$C414=""),"",IFERROR(INDEX(Insumos!$M$2:$S$151,MATCH($C414,Insumos!$A$2:$A$151,0),WEEKDAY($A414,2)),""))</f>
        <v/>
      </c>
      <c r="I414" s="19">
        <f>IF(OR($G414="",$H414=""),"",MAX(0,$H414-$G414))</f>
        <v/>
      </c>
      <c r="J414" s="21">
        <f>IF($I414="","",IF($I414=0,"OK",IF($G414&lt;=0,"Sin stock: pedir ya","Pedir o producir")))</f>
        <v/>
      </c>
      <c r="K414" s="17" t="n"/>
      <c r="L414" s="17" t="n"/>
      <c r="M414" s="21">
        <f>IF(OR($A414="",$A414&lt;&gt;'Lista para pedir'!$C$3,N($I414)&lt;=0),"",COUNTIFS($A$2:$A414,$A414,$I$2:$I414,"&gt;0"))</f>
        <v/>
      </c>
    </row>
    <row r="415">
      <c r="A415" s="20" t="n"/>
      <c r="B415" s="21">
        <f>IF($A415="","",CHOOSE(WEEKDAY($A415,2),"Lunes","Martes","Miércoles","Jueves","Viernes","Sábado","Domingo"))</f>
        <v/>
      </c>
      <c r="C415" s="17" t="n"/>
      <c r="D415" s="21">
        <f>IF($C415="","",IFERROR(INDEX(Insumos!$B$2:$B$151,MATCH($C415,Insumos!$A$2:$A$151,0)),"Código no cargado"))</f>
        <v/>
      </c>
      <c r="E415" s="21">
        <f>IF($C415="","",IFERROR(INDEX(Insumos!$C$2:$C$151,MATCH($C415,Insumos!$A$2:$A$151,0)),""))</f>
        <v/>
      </c>
      <c r="F415" s="21">
        <f>IF($C415="","",IFERROR(INDEX(Insumos!$D$2:$D$151,MATCH($C415,Insumos!$A$2:$A$151,0)),""))</f>
        <v/>
      </c>
      <c r="G415" s="18" t="n"/>
      <c r="H415" s="19">
        <f>IF(OR($A415="",$C415=""),"",IFERROR(INDEX(Insumos!$M$2:$S$151,MATCH($C415,Insumos!$A$2:$A$151,0),WEEKDAY($A415,2)),""))</f>
        <v/>
      </c>
      <c r="I415" s="19">
        <f>IF(OR($G415="",$H415=""),"",MAX(0,$H415-$G415))</f>
        <v/>
      </c>
      <c r="J415" s="21">
        <f>IF($I415="","",IF($I415=0,"OK",IF($G415&lt;=0,"Sin stock: pedir ya","Pedir o producir")))</f>
        <v/>
      </c>
      <c r="K415" s="17" t="n"/>
      <c r="L415" s="17" t="n"/>
      <c r="M415" s="21">
        <f>IF(OR($A415="",$A415&lt;&gt;'Lista para pedir'!$C$3,N($I415)&lt;=0),"",COUNTIFS($A$2:$A415,$A415,$I$2:$I415,"&gt;0"))</f>
        <v/>
      </c>
    </row>
    <row r="416">
      <c r="A416" s="20" t="n"/>
      <c r="B416" s="21">
        <f>IF($A416="","",CHOOSE(WEEKDAY($A416,2),"Lunes","Martes","Miércoles","Jueves","Viernes","Sábado","Domingo"))</f>
        <v/>
      </c>
      <c r="C416" s="17" t="n"/>
      <c r="D416" s="21">
        <f>IF($C416="","",IFERROR(INDEX(Insumos!$B$2:$B$151,MATCH($C416,Insumos!$A$2:$A$151,0)),"Código no cargado"))</f>
        <v/>
      </c>
      <c r="E416" s="21">
        <f>IF($C416="","",IFERROR(INDEX(Insumos!$C$2:$C$151,MATCH($C416,Insumos!$A$2:$A$151,0)),""))</f>
        <v/>
      </c>
      <c r="F416" s="21">
        <f>IF($C416="","",IFERROR(INDEX(Insumos!$D$2:$D$151,MATCH($C416,Insumos!$A$2:$A$151,0)),""))</f>
        <v/>
      </c>
      <c r="G416" s="18" t="n"/>
      <c r="H416" s="19">
        <f>IF(OR($A416="",$C416=""),"",IFERROR(INDEX(Insumos!$M$2:$S$151,MATCH($C416,Insumos!$A$2:$A$151,0),WEEKDAY($A416,2)),""))</f>
        <v/>
      </c>
      <c r="I416" s="19">
        <f>IF(OR($G416="",$H416=""),"",MAX(0,$H416-$G416))</f>
        <v/>
      </c>
      <c r="J416" s="21">
        <f>IF($I416="","",IF($I416=0,"OK",IF($G416&lt;=0,"Sin stock: pedir ya","Pedir o producir")))</f>
        <v/>
      </c>
      <c r="K416" s="17" t="n"/>
      <c r="L416" s="17" t="n"/>
      <c r="M416" s="21">
        <f>IF(OR($A416="",$A416&lt;&gt;'Lista para pedir'!$C$3,N($I416)&lt;=0),"",COUNTIFS($A$2:$A416,$A416,$I$2:$I416,"&gt;0"))</f>
        <v/>
      </c>
    </row>
    <row r="417">
      <c r="A417" s="20" t="n"/>
      <c r="B417" s="21">
        <f>IF($A417="","",CHOOSE(WEEKDAY($A417,2),"Lunes","Martes","Miércoles","Jueves","Viernes","Sábado","Domingo"))</f>
        <v/>
      </c>
      <c r="C417" s="17" t="n"/>
      <c r="D417" s="21">
        <f>IF($C417="","",IFERROR(INDEX(Insumos!$B$2:$B$151,MATCH($C417,Insumos!$A$2:$A$151,0)),"Código no cargado"))</f>
        <v/>
      </c>
      <c r="E417" s="21">
        <f>IF($C417="","",IFERROR(INDEX(Insumos!$C$2:$C$151,MATCH($C417,Insumos!$A$2:$A$151,0)),""))</f>
        <v/>
      </c>
      <c r="F417" s="21">
        <f>IF($C417="","",IFERROR(INDEX(Insumos!$D$2:$D$151,MATCH($C417,Insumos!$A$2:$A$151,0)),""))</f>
        <v/>
      </c>
      <c r="G417" s="18" t="n"/>
      <c r="H417" s="19">
        <f>IF(OR($A417="",$C417=""),"",IFERROR(INDEX(Insumos!$M$2:$S$151,MATCH($C417,Insumos!$A$2:$A$151,0),WEEKDAY($A417,2)),""))</f>
        <v/>
      </c>
      <c r="I417" s="19">
        <f>IF(OR($G417="",$H417=""),"",MAX(0,$H417-$G417))</f>
        <v/>
      </c>
      <c r="J417" s="21">
        <f>IF($I417="","",IF($I417=0,"OK",IF($G417&lt;=0,"Sin stock: pedir ya","Pedir o producir")))</f>
        <v/>
      </c>
      <c r="K417" s="17" t="n"/>
      <c r="L417" s="17" t="n"/>
      <c r="M417" s="21">
        <f>IF(OR($A417="",$A417&lt;&gt;'Lista para pedir'!$C$3,N($I417)&lt;=0),"",COUNTIFS($A$2:$A417,$A417,$I$2:$I417,"&gt;0"))</f>
        <v/>
      </c>
    </row>
    <row r="418">
      <c r="A418" s="20" t="n"/>
      <c r="B418" s="21">
        <f>IF($A418="","",CHOOSE(WEEKDAY($A418,2),"Lunes","Martes","Miércoles","Jueves","Viernes","Sábado","Domingo"))</f>
        <v/>
      </c>
      <c r="C418" s="17" t="n"/>
      <c r="D418" s="21">
        <f>IF($C418="","",IFERROR(INDEX(Insumos!$B$2:$B$151,MATCH($C418,Insumos!$A$2:$A$151,0)),"Código no cargado"))</f>
        <v/>
      </c>
      <c r="E418" s="21">
        <f>IF($C418="","",IFERROR(INDEX(Insumos!$C$2:$C$151,MATCH($C418,Insumos!$A$2:$A$151,0)),""))</f>
        <v/>
      </c>
      <c r="F418" s="21">
        <f>IF($C418="","",IFERROR(INDEX(Insumos!$D$2:$D$151,MATCH($C418,Insumos!$A$2:$A$151,0)),""))</f>
        <v/>
      </c>
      <c r="G418" s="18" t="n"/>
      <c r="H418" s="19">
        <f>IF(OR($A418="",$C418=""),"",IFERROR(INDEX(Insumos!$M$2:$S$151,MATCH($C418,Insumos!$A$2:$A$151,0),WEEKDAY($A418,2)),""))</f>
        <v/>
      </c>
      <c r="I418" s="19">
        <f>IF(OR($G418="",$H418=""),"",MAX(0,$H418-$G418))</f>
        <v/>
      </c>
      <c r="J418" s="21">
        <f>IF($I418="","",IF($I418=0,"OK",IF($G418&lt;=0,"Sin stock: pedir ya","Pedir o producir")))</f>
        <v/>
      </c>
      <c r="K418" s="17" t="n"/>
      <c r="L418" s="17" t="n"/>
      <c r="M418" s="21">
        <f>IF(OR($A418="",$A418&lt;&gt;'Lista para pedir'!$C$3,N($I418)&lt;=0),"",COUNTIFS($A$2:$A418,$A418,$I$2:$I418,"&gt;0"))</f>
        <v/>
      </c>
    </row>
    <row r="419">
      <c r="A419" s="20" t="n"/>
      <c r="B419" s="21">
        <f>IF($A419="","",CHOOSE(WEEKDAY($A419,2),"Lunes","Martes","Miércoles","Jueves","Viernes","Sábado","Domingo"))</f>
        <v/>
      </c>
      <c r="C419" s="17" t="n"/>
      <c r="D419" s="21">
        <f>IF($C419="","",IFERROR(INDEX(Insumos!$B$2:$B$151,MATCH($C419,Insumos!$A$2:$A$151,0)),"Código no cargado"))</f>
        <v/>
      </c>
      <c r="E419" s="21">
        <f>IF($C419="","",IFERROR(INDEX(Insumos!$C$2:$C$151,MATCH($C419,Insumos!$A$2:$A$151,0)),""))</f>
        <v/>
      </c>
      <c r="F419" s="21">
        <f>IF($C419="","",IFERROR(INDEX(Insumos!$D$2:$D$151,MATCH($C419,Insumos!$A$2:$A$151,0)),""))</f>
        <v/>
      </c>
      <c r="G419" s="18" t="n"/>
      <c r="H419" s="19">
        <f>IF(OR($A419="",$C419=""),"",IFERROR(INDEX(Insumos!$M$2:$S$151,MATCH($C419,Insumos!$A$2:$A$151,0),WEEKDAY($A419,2)),""))</f>
        <v/>
      </c>
      <c r="I419" s="19">
        <f>IF(OR($G419="",$H419=""),"",MAX(0,$H419-$G419))</f>
        <v/>
      </c>
      <c r="J419" s="21">
        <f>IF($I419="","",IF($I419=0,"OK",IF($G419&lt;=0,"Sin stock: pedir ya","Pedir o producir")))</f>
        <v/>
      </c>
      <c r="K419" s="17" t="n"/>
      <c r="L419" s="17" t="n"/>
      <c r="M419" s="21">
        <f>IF(OR($A419="",$A419&lt;&gt;'Lista para pedir'!$C$3,N($I419)&lt;=0),"",COUNTIFS($A$2:$A419,$A419,$I$2:$I419,"&gt;0"))</f>
        <v/>
      </c>
    </row>
    <row r="420">
      <c r="A420" s="20" t="n"/>
      <c r="B420" s="21">
        <f>IF($A420="","",CHOOSE(WEEKDAY($A420,2),"Lunes","Martes","Miércoles","Jueves","Viernes","Sábado","Domingo"))</f>
        <v/>
      </c>
      <c r="C420" s="17" t="n"/>
      <c r="D420" s="21">
        <f>IF($C420="","",IFERROR(INDEX(Insumos!$B$2:$B$151,MATCH($C420,Insumos!$A$2:$A$151,0)),"Código no cargado"))</f>
        <v/>
      </c>
      <c r="E420" s="21">
        <f>IF($C420="","",IFERROR(INDEX(Insumos!$C$2:$C$151,MATCH($C420,Insumos!$A$2:$A$151,0)),""))</f>
        <v/>
      </c>
      <c r="F420" s="21">
        <f>IF($C420="","",IFERROR(INDEX(Insumos!$D$2:$D$151,MATCH($C420,Insumos!$A$2:$A$151,0)),""))</f>
        <v/>
      </c>
      <c r="G420" s="18" t="n"/>
      <c r="H420" s="19">
        <f>IF(OR($A420="",$C420=""),"",IFERROR(INDEX(Insumos!$M$2:$S$151,MATCH($C420,Insumos!$A$2:$A$151,0),WEEKDAY($A420,2)),""))</f>
        <v/>
      </c>
      <c r="I420" s="19">
        <f>IF(OR($G420="",$H420=""),"",MAX(0,$H420-$G420))</f>
        <v/>
      </c>
      <c r="J420" s="21">
        <f>IF($I420="","",IF($I420=0,"OK",IF($G420&lt;=0,"Sin stock: pedir ya","Pedir o producir")))</f>
        <v/>
      </c>
      <c r="K420" s="17" t="n"/>
      <c r="L420" s="17" t="n"/>
      <c r="M420" s="21">
        <f>IF(OR($A420="",$A420&lt;&gt;'Lista para pedir'!$C$3,N($I420)&lt;=0),"",COUNTIFS($A$2:$A420,$A420,$I$2:$I420,"&gt;0"))</f>
        <v/>
      </c>
    </row>
    <row r="421">
      <c r="A421" s="20" t="n"/>
      <c r="B421" s="21">
        <f>IF($A421="","",CHOOSE(WEEKDAY($A421,2),"Lunes","Martes","Miércoles","Jueves","Viernes","Sábado","Domingo"))</f>
        <v/>
      </c>
      <c r="C421" s="17" t="n"/>
      <c r="D421" s="21">
        <f>IF($C421="","",IFERROR(INDEX(Insumos!$B$2:$B$151,MATCH($C421,Insumos!$A$2:$A$151,0)),"Código no cargado"))</f>
        <v/>
      </c>
      <c r="E421" s="21">
        <f>IF($C421="","",IFERROR(INDEX(Insumos!$C$2:$C$151,MATCH($C421,Insumos!$A$2:$A$151,0)),""))</f>
        <v/>
      </c>
      <c r="F421" s="21">
        <f>IF($C421="","",IFERROR(INDEX(Insumos!$D$2:$D$151,MATCH($C421,Insumos!$A$2:$A$151,0)),""))</f>
        <v/>
      </c>
      <c r="G421" s="18" t="n"/>
      <c r="H421" s="19">
        <f>IF(OR($A421="",$C421=""),"",IFERROR(INDEX(Insumos!$M$2:$S$151,MATCH($C421,Insumos!$A$2:$A$151,0),WEEKDAY($A421,2)),""))</f>
        <v/>
      </c>
      <c r="I421" s="19">
        <f>IF(OR($G421="",$H421=""),"",MAX(0,$H421-$G421))</f>
        <v/>
      </c>
      <c r="J421" s="21">
        <f>IF($I421="","",IF($I421=0,"OK",IF($G421&lt;=0,"Sin stock: pedir ya","Pedir o producir")))</f>
        <v/>
      </c>
      <c r="K421" s="17" t="n"/>
      <c r="L421" s="17" t="n"/>
      <c r="M421" s="21">
        <f>IF(OR($A421="",$A421&lt;&gt;'Lista para pedir'!$C$3,N($I421)&lt;=0),"",COUNTIFS($A$2:$A421,$A421,$I$2:$I421,"&gt;0"))</f>
        <v/>
      </c>
    </row>
    <row r="422">
      <c r="A422" s="20" t="n"/>
      <c r="B422" s="21">
        <f>IF($A422="","",CHOOSE(WEEKDAY($A422,2),"Lunes","Martes","Miércoles","Jueves","Viernes","Sábado","Domingo"))</f>
        <v/>
      </c>
      <c r="C422" s="17" t="n"/>
      <c r="D422" s="21">
        <f>IF($C422="","",IFERROR(INDEX(Insumos!$B$2:$B$151,MATCH($C422,Insumos!$A$2:$A$151,0)),"Código no cargado"))</f>
        <v/>
      </c>
      <c r="E422" s="21">
        <f>IF($C422="","",IFERROR(INDEX(Insumos!$C$2:$C$151,MATCH($C422,Insumos!$A$2:$A$151,0)),""))</f>
        <v/>
      </c>
      <c r="F422" s="21">
        <f>IF($C422="","",IFERROR(INDEX(Insumos!$D$2:$D$151,MATCH($C422,Insumos!$A$2:$A$151,0)),""))</f>
        <v/>
      </c>
      <c r="G422" s="18" t="n"/>
      <c r="H422" s="19">
        <f>IF(OR($A422="",$C422=""),"",IFERROR(INDEX(Insumos!$M$2:$S$151,MATCH($C422,Insumos!$A$2:$A$151,0),WEEKDAY($A422,2)),""))</f>
        <v/>
      </c>
      <c r="I422" s="19">
        <f>IF(OR($G422="",$H422=""),"",MAX(0,$H422-$G422))</f>
        <v/>
      </c>
      <c r="J422" s="21">
        <f>IF($I422="","",IF($I422=0,"OK",IF($G422&lt;=0,"Sin stock: pedir ya","Pedir o producir")))</f>
        <v/>
      </c>
      <c r="K422" s="17" t="n"/>
      <c r="L422" s="17" t="n"/>
      <c r="M422" s="21">
        <f>IF(OR($A422="",$A422&lt;&gt;'Lista para pedir'!$C$3,N($I422)&lt;=0),"",COUNTIFS($A$2:$A422,$A422,$I$2:$I422,"&gt;0"))</f>
        <v/>
      </c>
    </row>
    <row r="423">
      <c r="A423" s="20" t="n"/>
      <c r="B423" s="21">
        <f>IF($A423="","",CHOOSE(WEEKDAY($A423,2),"Lunes","Martes","Miércoles","Jueves","Viernes","Sábado","Domingo"))</f>
        <v/>
      </c>
      <c r="C423" s="17" t="n"/>
      <c r="D423" s="21">
        <f>IF($C423="","",IFERROR(INDEX(Insumos!$B$2:$B$151,MATCH($C423,Insumos!$A$2:$A$151,0)),"Código no cargado"))</f>
        <v/>
      </c>
      <c r="E423" s="21">
        <f>IF($C423="","",IFERROR(INDEX(Insumos!$C$2:$C$151,MATCH($C423,Insumos!$A$2:$A$151,0)),""))</f>
        <v/>
      </c>
      <c r="F423" s="21">
        <f>IF($C423="","",IFERROR(INDEX(Insumos!$D$2:$D$151,MATCH($C423,Insumos!$A$2:$A$151,0)),""))</f>
        <v/>
      </c>
      <c r="G423" s="18" t="n"/>
      <c r="H423" s="19">
        <f>IF(OR($A423="",$C423=""),"",IFERROR(INDEX(Insumos!$M$2:$S$151,MATCH($C423,Insumos!$A$2:$A$151,0),WEEKDAY($A423,2)),""))</f>
        <v/>
      </c>
      <c r="I423" s="19">
        <f>IF(OR($G423="",$H423=""),"",MAX(0,$H423-$G423))</f>
        <v/>
      </c>
      <c r="J423" s="21">
        <f>IF($I423="","",IF($I423=0,"OK",IF($G423&lt;=0,"Sin stock: pedir ya","Pedir o producir")))</f>
        <v/>
      </c>
      <c r="K423" s="17" t="n"/>
      <c r="L423" s="17" t="n"/>
      <c r="M423" s="21">
        <f>IF(OR($A423="",$A423&lt;&gt;'Lista para pedir'!$C$3,N($I423)&lt;=0),"",COUNTIFS($A$2:$A423,$A423,$I$2:$I423,"&gt;0"))</f>
        <v/>
      </c>
    </row>
    <row r="424">
      <c r="A424" s="20" t="n"/>
      <c r="B424" s="21">
        <f>IF($A424="","",CHOOSE(WEEKDAY($A424,2),"Lunes","Martes","Miércoles","Jueves","Viernes","Sábado","Domingo"))</f>
        <v/>
      </c>
      <c r="C424" s="17" t="n"/>
      <c r="D424" s="21">
        <f>IF($C424="","",IFERROR(INDEX(Insumos!$B$2:$B$151,MATCH($C424,Insumos!$A$2:$A$151,0)),"Código no cargado"))</f>
        <v/>
      </c>
      <c r="E424" s="21">
        <f>IF($C424="","",IFERROR(INDEX(Insumos!$C$2:$C$151,MATCH($C424,Insumos!$A$2:$A$151,0)),""))</f>
        <v/>
      </c>
      <c r="F424" s="21">
        <f>IF($C424="","",IFERROR(INDEX(Insumos!$D$2:$D$151,MATCH($C424,Insumos!$A$2:$A$151,0)),""))</f>
        <v/>
      </c>
      <c r="G424" s="18" t="n"/>
      <c r="H424" s="19">
        <f>IF(OR($A424="",$C424=""),"",IFERROR(INDEX(Insumos!$M$2:$S$151,MATCH($C424,Insumos!$A$2:$A$151,0),WEEKDAY($A424,2)),""))</f>
        <v/>
      </c>
      <c r="I424" s="19">
        <f>IF(OR($G424="",$H424=""),"",MAX(0,$H424-$G424))</f>
        <v/>
      </c>
      <c r="J424" s="21">
        <f>IF($I424="","",IF($I424=0,"OK",IF($G424&lt;=0,"Sin stock: pedir ya","Pedir o producir")))</f>
        <v/>
      </c>
      <c r="K424" s="17" t="n"/>
      <c r="L424" s="17" t="n"/>
      <c r="M424" s="21">
        <f>IF(OR($A424="",$A424&lt;&gt;'Lista para pedir'!$C$3,N($I424)&lt;=0),"",COUNTIFS($A$2:$A424,$A424,$I$2:$I424,"&gt;0"))</f>
        <v/>
      </c>
    </row>
    <row r="425">
      <c r="A425" s="20" t="n"/>
      <c r="B425" s="21">
        <f>IF($A425="","",CHOOSE(WEEKDAY($A425,2),"Lunes","Martes","Miércoles","Jueves","Viernes","Sábado","Domingo"))</f>
        <v/>
      </c>
      <c r="C425" s="17" t="n"/>
      <c r="D425" s="21">
        <f>IF($C425="","",IFERROR(INDEX(Insumos!$B$2:$B$151,MATCH($C425,Insumos!$A$2:$A$151,0)),"Código no cargado"))</f>
        <v/>
      </c>
      <c r="E425" s="21">
        <f>IF($C425="","",IFERROR(INDEX(Insumos!$C$2:$C$151,MATCH($C425,Insumos!$A$2:$A$151,0)),""))</f>
        <v/>
      </c>
      <c r="F425" s="21">
        <f>IF($C425="","",IFERROR(INDEX(Insumos!$D$2:$D$151,MATCH($C425,Insumos!$A$2:$A$151,0)),""))</f>
        <v/>
      </c>
      <c r="G425" s="18" t="n"/>
      <c r="H425" s="19">
        <f>IF(OR($A425="",$C425=""),"",IFERROR(INDEX(Insumos!$M$2:$S$151,MATCH($C425,Insumos!$A$2:$A$151,0),WEEKDAY($A425,2)),""))</f>
        <v/>
      </c>
      <c r="I425" s="19">
        <f>IF(OR($G425="",$H425=""),"",MAX(0,$H425-$G425))</f>
        <v/>
      </c>
      <c r="J425" s="21">
        <f>IF($I425="","",IF($I425=0,"OK",IF($G425&lt;=0,"Sin stock: pedir ya","Pedir o producir")))</f>
        <v/>
      </c>
      <c r="K425" s="17" t="n"/>
      <c r="L425" s="17" t="n"/>
      <c r="M425" s="21">
        <f>IF(OR($A425="",$A425&lt;&gt;'Lista para pedir'!$C$3,N($I425)&lt;=0),"",COUNTIFS($A$2:$A425,$A425,$I$2:$I425,"&gt;0"))</f>
        <v/>
      </c>
    </row>
    <row r="426">
      <c r="A426" s="20" t="n"/>
      <c r="B426" s="21">
        <f>IF($A426="","",CHOOSE(WEEKDAY($A426,2),"Lunes","Martes","Miércoles","Jueves","Viernes","Sábado","Domingo"))</f>
        <v/>
      </c>
      <c r="C426" s="17" t="n"/>
      <c r="D426" s="21">
        <f>IF($C426="","",IFERROR(INDEX(Insumos!$B$2:$B$151,MATCH($C426,Insumos!$A$2:$A$151,0)),"Código no cargado"))</f>
        <v/>
      </c>
      <c r="E426" s="21">
        <f>IF($C426="","",IFERROR(INDEX(Insumos!$C$2:$C$151,MATCH($C426,Insumos!$A$2:$A$151,0)),""))</f>
        <v/>
      </c>
      <c r="F426" s="21">
        <f>IF($C426="","",IFERROR(INDEX(Insumos!$D$2:$D$151,MATCH($C426,Insumos!$A$2:$A$151,0)),""))</f>
        <v/>
      </c>
      <c r="G426" s="18" t="n"/>
      <c r="H426" s="19">
        <f>IF(OR($A426="",$C426=""),"",IFERROR(INDEX(Insumos!$M$2:$S$151,MATCH($C426,Insumos!$A$2:$A$151,0),WEEKDAY($A426,2)),""))</f>
        <v/>
      </c>
      <c r="I426" s="19">
        <f>IF(OR($G426="",$H426=""),"",MAX(0,$H426-$G426))</f>
        <v/>
      </c>
      <c r="J426" s="21">
        <f>IF($I426="","",IF($I426=0,"OK",IF($G426&lt;=0,"Sin stock: pedir ya","Pedir o producir")))</f>
        <v/>
      </c>
      <c r="K426" s="17" t="n"/>
      <c r="L426" s="17" t="n"/>
      <c r="M426" s="21">
        <f>IF(OR($A426="",$A426&lt;&gt;'Lista para pedir'!$C$3,N($I426)&lt;=0),"",COUNTIFS($A$2:$A426,$A426,$I$2:$I426,"&gt;0"))</f>
        <v/>
      </c>
    </row>
    <row r="427">
      <c r="A427" s="20" t="n"/>
      <c r="B427" s="21">
        <f>IF($A427="","",CHOOSE(WEEKDAY($A427,2),"Lunes","Martes","Miércoles","Jueves","Viernes","Sábado","Domingo"))</f>
        <v/>
      </c>
      <c r="C427" s="17" t="n"/>
      <c r="D427" s="21">
        <f>IF($C427="","",IFERROR(INDEX(Insumos!$B$2:$B$151,MATCH($C427,Insumos!$A$2:$A$151,0)),"Código no cargado"))</f>
        <v/>
      </c>
      <c r="E427" s="21">
        <f>IF($C427="","",IFERROR(INDEX(Insumos!$C$2:$C$151,MATCH($C427,Insumos!$A$2:$A$151,0)),""))</f>
        <v/>
      </c>
      <c r="F427" s="21">
        <f>IF($C427="","",IFERROR(INDEX(Insumos!$D$2:$D$151,MATCH($C427,Insumos!$A$2:$A$151,0)),""))</f>
        <v/>
      </c>
      <c r="G427" s="18" t="n"/>
      <c r="H427" s="19">
        <f>IF(OR($A427="",$C427=""),"",IFERROR(INDEX(Insumos!$M$2:$S$151,MATCH($C427,Insumos!$A$2:$A$151,0),WEEKDAY($A427,2)),""))</f>
        <v/>
      </c>
      <c r="I427" s="19">
        <f>IF(OR($G427="",$H427=""),"",MAX(0,$H427-$G427))</f>
        <v/>
      </c>
      <c r="J427" s="21">
        <f>IF($I427="","",IF($I427=0,"OK",IF($G427&lt;=0,"Sin stock: pedir ya","Pedir o producir")))</f>
        <v/>
      </c>
      <c r="K427" s="17" t="n"/>
      <c r="L427" s="17" t="n"/>
      <c r="M427" s="21">
        <f>IF(OR($A427="",$A427&lt;&gt;'Lista para pedir'!$C$3,N($I427)&lt;=0),"",COUNTIFS($A$2:$A427,$A427,$I$2:$I427,"&gt;0"))</f>
        <v/>
      </c>
    </row>
    <row r="428">
      <c r="A428" s="20" t="n"/>
      <c r="B428" s="21">
        <f>IF($A428="","",CHOOSE(WEEKDAY($A428,2),"Lunes","Martes","Miércoles","Jueves","Viernes","Sábado","Domingo"))</f>
        <v/>
      </c>
      <c r="C428" s="17" t="n"/>
      <c r="D428" s="21">
        <f>IF($C428="","",IFERROR(INDEX(Insumos!$B$2:$B$151,MATCH($C428,Insumos!$A$2:$A$151,0)),"Código no cargado"))</f>
        <v/>
      </c>
      <c r="E428" s="21">
        <f>IF($C428="","",IFERROR(INDEX(Insumos!$C$2:$C$151,MATCH($C428,Insumos!$A$2:$A$151,0)),""))</f>
        <v/>
      </c>
      <c r="F428" s="21">
        <f>IF($C428="","",IFERROR(INDEX(Insumos!$D$2:$D$151,MATCH($C428,Insumos!$A$2:$A$151,0)),""))</f>
        <v/>
      </c>
      <c r="G428" s="18" t="n"/>
      <c r="H428" s="19">
        <f>IF(OR($A428="",$C428=""),"",IFERROR(INDEX(Insumos!$M$2:$S$151,MATCH($C428,Insumos!$A$2:$A$151,0),WEEKDAY($A428,2)),""))</f>
        <v/>
      </c>
      <c r="I428" s="19">
        <f>IF(OR($G428="",$H428=""),"",MAX(0,$H428-$G428))</f>
        <v/>
      </c>
      <c r="J428" s="21">
        <f>IF($I428="","",IF($I428=0,"OK",IF($G428&lt;=0,"Sin stock: pedir ya","Pedir o producir")))</f>
        <v/>
      </c>
      <c r="K428" s="17" t="n"/>
      <c r="L428" s="17" t="n"/>
      <c r="M428" s="21">
        <f>IF(OR($A428="",$A428&lt;&gt;'Lista para pedir'!$C$3,N($I428)&lt;=0),"",COUNTIFS($A$2:$A428,$A428,$I$2:$I428,"&gt;0"))</f>
        <v/>
      </c>
    </row>
    <row r="429">
      <c r="A429" s="20" t="n"/>
      <c r="B429" s="21">
        <f>IF($A429="","",CHOOSE(WEEKDAY($A429,2),"Lunes","Martes","Miércoles","Jueves","Viernes","Sábado","Domingo"))</f>
        <v/>
      </c>
      <c r="C429" s="17" t="n"/>
      <c r="D429" s="21">
        <f>IF($C429="","",IFERROR(INDEX(Insumos!$B$2:$B$151,MATCH($C429,Insumos!$A$2:$A$151,0)),"Código no cargado"))</f>
        <v/>
      </c>
      <c r="E429" s="21">
        <f>IF($C429="","",IFERROR(INDEX(Insumos!$C$2:$C$151,MATCH($C429,Insumos!$A$2:$A$151,0)),""))</f>
        <v/>
      </c>
      <c r="F429" s="21">
        <f>IF($C429="","",IFERROR(INDEX(Insumos!$D$2:$D$151,MATCH($C429,Insumos!$A$2:$A$151,0)),""))</f>
        <v/>
      </c>
      <c r="G429" s="18" t="n"/>
      <c r="H429" s="19">
        <f>IF(OR($A429="",$C429=""),"",IFERROR(INDEX(Insumos!$M$2:$S$151,MATCH($C429,Insumos!$A$2:$A$151,0),WEEKDAY($A429,2)),""))</f>
        <v/>
      </c>
      <c r="I429" s="19">
        <f>IF(OR($G429="",$H429=""),"",MAX(0,$H429-$G429))</f>
        <v/>
      </c>
      <c r="J429" s="21">
        <f>IF($I429="","",IF($I429=0,"OK",IF($G429&lt;=0,"Sin stock: pedir ya","Pedir o producir")))</f>
        <v/>
      </c>
      <c r="K429" s="17" t="n"/>
      <c r="L429" s="17" t="n"/>
      <c r="M429" s="21">
        <f>IF(OR($A429="",$A429&lt;&gt;'Lista para pedir'!$C$3,N($I429)&lt;=0),"",COUNTIFS($A$2:$A429,$A429,$I$2:$I429,"&gt;0"))</f>
        <v/>
      </c>
    </row>
    <row r="430">
      <c r="A430" s="20" t="n"/>
      <c r="B430" s="21">
        <f>IF($A430="","",CHOOSE(WEEKDAY($A430,2),"Lunes","Martes","Miércoles","Jueves","Viernes","Sábado","Domingo"))</f>
        <v/>
      </c>
      <c r="C430" s="17" t="n"/>
      <c r="D430" s="21">
        <f>IF($C430="","",IFERROR(INDEX(Insumos!$B$2:$B$151,MATCH($C430,Insumos!$A$2:$A$151,0)),"Código no cargado"))</f>
        <v/>
      </c>
      <c r="E430" s="21">
        <f>IF($C430="","",IFERROR(INDEX(Insumos!$C$2:$C$151,MATCH($C430,Insumos!$A$2:$A$151,0)),""))</f>
        <v/>
      </c>
      <c r="F430" s="21">
        <f>IF($C430="","",IFERROR(INDEX(Insumos!$D$2:$D$151,MATCH($C430,Insumos!$A$2:$A$151,0)),""))</f>
        <v/>
      </c>
      <c r="G430" s="18" t="n"/>
      <c r="H430" s="19">
        <f>IF(OR($A430="",$C430=""),"",IFERROR(INDEX(Insumos!$M$2:$S$151,MATCH($C430,Insumos!$A$2:$A$151,0),WEEKDAY($A430,2)),""))</f>
        <v/>
      </c>
      <c r="I430" s="19">
        <f>IF(OR($G430="",$H430=""),"",MAX(0,$H430-$G430))</f>
        <v/>
      </c>
      <c r="J430" s="21">
        <f>IF($I430="","",IF($I430=0,"OK",IF($G430&lt;=0,"Sin stock: pedir ya","Pedir o producir")))</f>
        <v/>
      </c>
      <c r="K430" s="17" t="n"/>
      <c r="L430" s="17" t="n"/>
      <c r="M430" s="21">
        <f>IF(OR($A430="",$A430&lt;&gt;'Lista para pedir'!$C$3,N($I430)&lt;=0),"",COUNTIFS($A$2:$A430,$A430,$I$2:$I430,"&gt;0"))</f>
        <v/>
      </c>
    </row>
    <row r="431">
      <c r="A431" s="20" t="n"/>
      <c r="B431" s="21">
        <f>IF($A431="","",CHOOSE(WEEKDAY($A431,2),"Lunes","Martes","Miércoles","Jueves","Viernes","Sábado","Domingo"))</f>
        <v/>
      </c>
      <c r="C431" s="17" t="n"/>
      <c r="D431" s="21">
        <f>IF($C431="","",IFERROR(INDEX(Insumos!$B$2:$B$151,MATCH($C431,Insumos!$A$2:$A$151,0)),"Código no cargado"))</f>
        <v/>
      </c>
      <c r="E431" s="21">
        <f>IF($C431="","",IFERROR(INDEX(Insumos!$C$2:$C$151,MATCH($C431,Insumos!$A$2:$A$151,0)),""))</f>
        <v/>
      </c>
      <c r="F431" s="21">
        <f>IF($C431="","",IFERROR(INDEX(Insumos!$D$2:$D$151,MATCH($C431,Insumos!$A$2:$A$151,0)),""))</f>
        <v/>
      </c>
      <c r="G431" s="18" t="n"/>
      <c r="H431" s="19">
        <f>IF(OR($A431="",$C431=""),"",IFERROR(INDEX(Insumos!$M$2:$S$151,MATCH($C431,Insumos!$A$2:$A$151,0),WEEKDAY($A431,2)),""))</f>
        <v/>
      </c>
      <c r="I431" s="19">
        <f>IF(OR($G431="",$H431=""),"",MAX(0,$H431-$G431))</f>
        <v/>
      </c>
      <c r="J431" s="21">
        <f>IF($I431="","",IF($I431=0,"OK",IF($G431&lt;=0,"Sin stock: pedir ya","Pedir o producir")))</f>
        <v/>
      </c>
      <c r="K431" s="17" t="n"/>
      <c r="L431" s="17" t="n"/>
      <c r="M431" s="21">
        <f>IF(OR($A431="",$A431&lt;&gt;'Lista para pedir'!$C$3,N($I431)&lt;=0),"",COUNTIFS($A$2:$A431,$A431,$I$2:$I431,"&gt;0"))</f>
        <v/>
      </c>
    </row>
    <row r="432">
      <c r="A432" s="20" t="n"/>
      <c r="B432" s="21">
        <f>IF($A432="","",CHOOSE(WEEKDAY($A432,2),"Lunes","Martes","Miércoles","Jueves","Viernes","Sábado","Domingo"))</f>
        <v/>
      </c>
      <c r="C432" s="17" t="n"/>
      <c r="D432" s="21">
        <f>IF($C432="","",IFERROR(INDEX(Insumos!$B$2:$B$151,MATCH($C432,Insumos!$A$2:$A$151,0)),"Código no cargado"))</f>
        <v/>
      </c>
      <c r="E432" s="21">
        <f>IF($C432="","",IFERROR(INDEX(Insumos!$C$2:$C$151,MATCH($C432,Insumos!$A$2:$A$151,0)),""))</f>
        <v/>
      </c>
      <c r="F432" s="21">
        <f>IF($C432="","",IFERROR(INDEX(Insumos!$D$2:$D$151,MATCH($C432,Insumos!$A$2:$A$151,0)),""))</f>
        <v/>
      </c>
      <c r="G432" s="18" t="n"/>
      <c r="H432" s="19">
        <f>IF(OR($A432="",$C432=""),"",IFERROR(INDEX(Insumos!$M$2:$S$151,MATCH($C432,Insumos!$A$2:$A$151,0),WEEKDAY($A432,2)),""))</f>
        <v/>
      </c>
      <c r="I432" s="19">
        <f>IF(OR($G432="",$H432=""),"",MAX(0,$H432-$G432))</f>
        <v/>
      </c>
      <c r="J432" s="21">
        <f>IF($I432="","",IF($I432=0,"OK",IF($G432&lt;=0,"Sin stock: pedir ya","Pedir o producir")))</f>
        <v/>
      </c>
      <c r="K432" s="17" t="n"/>
      <c r="L432" s="17" t="n"/>
      <c r="M432" s="21">
        <f>IF(OR($A432="",$A432&lt;&gt;'Lista para pedir'!$C$3,N($I432)&lt;=0),"",COUNTIFS($A$2:$A432,$A432,$I$2:$I432,"&gt;0"))</f>
        <v/>
      </c>
    </row>
    <row r="433">
      <c r="A433" s="20" t="n"/>
      <c r="B433" s="21">
        <f>IF($A433="","",CHOOSE(WEEKDAY($A433,2),"Lunes","Martes","Miércoles","Jueves","Viernes","Sábado","Domingo"))</f>
        <v/>
      </c>
      <c r="C433" s="17" t="n"/>
      <c r="D433" s="21">
        <f>IF($C433="","",IFERROR(INDEX(Insumos!$B$2:$B$151,MATCH($C433,Insumos!$A$2:$A$151,0)),"Código no cargado"))</f>
        <v/>
      </c>
      <c r="E433" s="21">
        <f>IF($C433="","",IFERROR(INDEX(Insumos!$C$2:$C$151,MATCH($C433,Insumos!$A$2:$A$151,0)),""))</f>
        <v/>
      </c>
      <c r="F433" s="21">
        <f>IF($C433="","",IFERROR(INDEX(Insumos!$D$2:$D$151,MATCH($C433,Insumos!$A$2:$A$151,0)),""))</f>
        <v/>
      </c>
      <c r="G433" s="18" t="n"/>
      <c r="H433" s="19">
        <f>IF(OR($A433="",$C433=""),"",IFERROR(INDEX(Insumos!$M$2:$S$151,MATCH($C433,Insumos!$A$2:$A$151,0),WEEKDAY($A433,2)),""))</f>
        <v/>
      </c>
      <c r="I433" s="19">
        <f>IF(OR($G433="",$H433=""),"",MAX(0,$H433-$G433))</f>
        <v/>
      </c>
      <c r="J433" s="21">
        <f>IF($I433="","",IF($I433=0,"OK",IF($G433&lt;=0,"Sin stock: pedir ya","Pedir o producir")))</f>
        <v/>
      </c>
      <c r="K433" s="17" t="n"/>
      <c r="L433" s="17" t="n"/>
      <c r="M433" s="21">
        <f>IF(OR($A433="",$A433&lt;&gt;'Lista para pedir'!$C$3,N($I433)&lt;=0),"",COUNTIFS($A$2:$A433,$A433,$I$2:$I433,"&gt;0"))</f>
        <v/>
      </c>
    </row>
    <row r="434">
      <c r="A434" s="20" t="n"/>
      <c r="B434" s="21">
        <f>IF($A434="","",CHOOSE(WEEKDAY($A434,2),"Lunes","Martes","Miércoles","Jueves","Viernes","Sábado","Domingo"))</f>
        <v/>
      </c>
      <c r="C434" s="17" t="n"/>
      <c r="D434" s="21">
        <f>IF($C434="","",IFERROR(INDEX(Insumos!$B$2:$B$151,MATCH($C434,Insumos!$A$2:$A$151,0)),"Código no cargado"))</f>
        <v/>
      </c>
      <c r="E434" s="21">
        <f>IF($C434="","",IFERROR(INDEX(Insumos!$C$2:$C$151,MATCH($C434,Insumos!$A$2:$A$151,0)),""))</f>
        <v/>
      </c>
      <c r="F434" s="21">
        <f>IF($C434="","",IFERROR(INDEX(Insumos!$D$2:$D$151,MATCH($C434,Insumos!$A$2:$A$151,0)),""))</f>
        <v/>
      </c>
      <c r="G434" s="18" t="n"/>
      <c r="H434" s="19">
        <f>IF(OR($A434="",$C434=""),"",IFERROR(INDEX(Insumos!$M$2:$S$151,MATCH($C434,Insumos!$A$2:$A$151,0),WEEKDAY($A434,2)),""))</f>
        <v/>
      </c>
      <c r="I434" s="19">
        <f>IF(OR($G434="",$H434=""),"",MAX(0,$H434-$G434))</f>
        <v/>
      </c>
      <c r="J434" s="21">
        <f>IF($I434="","",IF($I434=0,"OK",IF($G434&lt;=0,"Sin stock: pedir ya","Pedir o producir")))</f>
        <v/>
      </c>
      <c r="K434" s="17" t="n"/>
      <c r="L434" s="17" t="n"/>
      <c r="M434" s="21">
        <f>IF(OR($A434="",$A434&lt;&gt;'Lista para pedir'!$C$3,N($I434)&lt;=0),"",COUNTIFS($A$2:$A434,$A434,$I$2:$I434,"&gt;0"))</f>
        <v/>
      </c>
    </row>
    <row r="435">
      <c r="A435" s="20" t="n"/>
      <c r="B435" s="21">
        <f>IF($A435="","",CHOOSE(WEEKDAY($A435,2),"Lunes","Martes","Miércoles","Jueves","Viernes","Sábado","Domingo"))</f>
        <v/>
      </c>
      <c r="C435" s="17" t="n"/>
      <c r="D435" s="21">
        <f>IF($C435="","",IFERROR(INDEX(Insumos!$B$2:$B$151,MATCH($C435,Insumos!$A$2:$A$151,0)),"Código no cargado"))</f>
        <v/>
      </c>
      <c r="E435" s="21">
        <f>IF($C435="","",IFERROR(INDEX(Insumos!$C$2:$C$151,MATCH($C435,Insumos!$A$2:$A$151,0)),""))</f>
        <v/>
      </c>
      <c r="F435" s="21">
        <f>IF($C435="","",IFERROR(INDEX(Insumos!$D$2:$D$151,MATCH($C435,Insumos!$A$2:$A$151,0)),""))</f>
        <v/>
      </c>
      <c r="G435" s="18" t="n"/>
      <c r="H435" s="19">
        <f>IF(OR($A435="",$C435=""),"",IFERROR(INDEX(Insumos!$M$2:$S$151,MATCH($C435,Insumos!$A$2:$A$151,0),WEEKDAY($A435,2)),""))</f>
        <v/>
      </c>
      <c r="I435" s="19">
        <f>IF(OR($G435="",$H435=""),"",MAX(0,$H435-$G435))</f>
        <v/>
      </c>
      <c r="J435" s="21">
        <f>IF($I435="","",IF($I435=0,"OK",IF($G435&lt;=0,"Sin stock: pedir ya","Pedir o producir")))</f>
        <v/>
      </c>
      <c r="K435" s="17" t="n"/>
      <c r="L435" s="17" t="n"/>
      <c r="M435" s="21">
        <f>IF(OR($A435="",$A435&lt;&gt;'Lista para pedir'!$C$3,N($I435)&lt;=0),"",COUNTIFS($A$2:$A435,$A435,$I$2:$I435,"&gt;0"))</f>
        <v/>
      </c>
    </row>
    <row r="436">
      <c r="A436" s="20" t="n"/>
      <c r="B436" s="21">
        <f>IF($A436="","",CHOOSE(WEEKDAY($A436,2),"Lunes","Martes","Miércoles","Jueves","Viernes","Sábado","Domingo"))</f>
        <v/>
      </c>
      <c r="C436" s="17" t="n"/>
      <c r="D436" s="21">
        <f>IF($C436="","",IFERROR(INDEX(Insumos!$B$2:$B$151,MATCH($C436,Insumos!$A$2:$A$151,0)),"Código no cargado"))</f>
        <v/>
      </c>
      <c r="E436" s="21">
        <f>IF($C436="","",IFERROR(INDEX(Insumos!$C$2:$C$151,MATCH($C436,Insumos!$A$2:$A$151,0)),""))</f>
        <v/>
      </c>
      <c r="F436" s="21">
        <f>IF($C436="","",IFERROR(INDEX(Insumos!$D$2:$D$151,MATCH($C436,Insumos!$A$2:$A$151,0)),""))</f>
        <v/>
      </c>
      <c r="G436" s="18" t="n"/>
      <c r="H436" s="19">
        <f>IF(OR($A436="",$C436=""),"",IFERROR(INDEX(Insumos!$M$2:$S$151,MATCH($C436,Insumos!$A$2:$A$151,0),WEEKDAY($A436,2)),""))</f>
        <v/>
      </c>
      <c r="I436" s="19">
        <f>IF(OR($G436="",$H436=""),"",MAX(0,$H436-$G436))</f>
        <v/>
      </c>
      <c r="J436" s="21">
        <f>IF($I436="","",IF($I436=0,"OK",IF($G436&lt;=0,"Sin stock: pedir ya","Pedir o producir")))</f>
        <v/>
      </c>
      <c r="K436" s="17" t="n"/>
      <c r="L436" s="17" t="n"/>
      <c r="M436" s="21">
        <f>IF(OR($A436="",$A436&lt;&gt;'Lista para pedir'!$C$3,N($I436)&lt;=0),"",COUNTIFS($A$2:$A436,$A436,$I$2:$I436,"&gt;0"))</f>
        <v/>
      </c>
    </row>
    <row r="437">
      <c r="A437" s="20" t="n"/>
      <c r="B437" s="21">
        <f>IF($A437="","",CHOOSE(WEEKDAY($A437,2),"Lunes","Martes","Miércoles","Jueves","Viernes","Sábado","Domingo"))</f>
        <v/>
      </c>
      <c r="C437" s="17" t="n"/>
      <c r="D437" s="21">
        <f>IF($C437="","",IFERROR(INDEX(Insumos!$B$2:$B$151,MATCH($C437,Insumos!$A$2:$A$151,0)),"Código no cargado"))</f>
        <v/>
      </c>
      <c r="E437" s="21">
        <f>IF($C437="","",IFERROR(INDEX(Insumos!$C$2:$C$151,MATCH($C437,Insumos!$A$2:$A$151,0)),""))</f>
        <v/>
      </c>
      <c r="F437" s="21">
        <f>IF($C437="","",IFERROR(INDEX(Insumos!$D$2:$D$151,MATCH($C437,Insumos!$A$2:$A$151,0)),""))</f>
        <v/>
      </c>
      <c r="G437" s="18" t="n"/>
      <c r="H437" s="19">
        <f>IF(OR($A437="",$C437=""),"",IFERROR(INDEX(Insumos!$M$2:$S$151,MATCH($C437,Insumos!$A$2:$A$151,0),WEEKDAY($A437,2)),""))</f>
        <v/>
      </c>
      <c r="I437" s="19">
        <f>IF(OR($G437="",$H437=""),"",MAX(0,$H437-$G437))</f>
        <v/>
      </c>
      <c r="J437" s="21">
        <f>IF($I437="","",IF($I437=0,"OK",IF($G437&lt;=0,"Sin stock: pedir ya","Pedir o producir")))</f>
        <v/>
      </c>
      <c r="K437" s="17" t="n"/>
      <c r="L437" s="17" t="n"/>
      <c r="M437" s="21">
        <f>IF(OR($A437="",$A437&lt;&gt;'Lista para pedir'!$C$3,N($I437)&lt;=0),"",COUNTIFS($A$2:$A437,$A437,$I$2:$I437,"&gt;0"))</f>
        <v/>
      </c>
    </row>
    <row r="438">
      <c r="A438" s="20" t="n"/>
      <c r="B438" s="21">
        <f>IF($A438="","",CHOOSE(WEEKDAY($A438,2),"Lunes","Martes","Miércoles","Jueves","Viernes","Sábado","Domingo"))</f>
        <v/>
      </c>
      <c r="C438" s="17" t="n"/>
      <c r="D438" s="21">
        <f>IF($C438="","",IFERROR(INDEX(Insumos!$B$2:$B$151,MATCH($C438,Insumos!$A$2:$A$151,0)),"Código no cargado"))</f>
        <v/>
      </c>
      <c r="E438" s="21">
        <f>IF($C438="","",IFERROR(INDEX(Insumos!$C$2:$C$151,MATCH($C438,Insumos!$A$2:$A$151,0)),""))</f>
        <v/>
      </c>
      <c r="F438" s="21">
        <f>IF($C438="","",IFERROR(INDEX(Insumos!$D$2:$D$151,MATCH($C438,Insumos!$A$2:$A$151,0)),""))</f>
        <v/>
      </c>
      <c r="G438" s="18" t="n"/>
      <c r="H438" s="19">
        <f>IF(OR($A438="",$C438=""),"",IFERROR(INDEX(Insumos!$M$2:$S$151,MATCH($C438,Insumos!$A$2:$A$151,0),WEEKDAY($A438,2)),""))</f>
        <v/>
      </c>
      <c r="I438" s="19">
        <f>IF(OR($G438="",$H438=""),"",MAX(0,$H438-$G438))</f>
        <v/>
      </c>
      <c r="J438" s="21">
        <f>IF($I438="","",IF($I438=0,"OK",IF($G438&lt;=0,"Sin stock: pedir ya","Pedir o producir")))</f>
        <v/>
      </c>
      <c r="K438" s="17" t="n"/>
      <c r="L438" s="17" t="n"/>
      <c r="M438" s="21">
        <f>IF(OR($A438="",$A438&lt;&gt;'Lista para pedir'!$C$3,N($I438)&lt;=0),"",COUNTIFS($A$2:$A438,$A438,$I$2:$I438,"&gt;0"))</f>
        <v/>
      </c>
    </row>
    <row r="439">
      <c r="A439" s="20" t="n"/>
      <c r="B439" s="21">
        <f>IF($A439="","",CHOOSE(WEEKDAY($A439,2),"Lunes","Martes","Miércoles","Jueves","Viernes","Sábado","Domingo"))</f>
        <v/>
      </c>
      <c r="C439" s="17" t="n"/>
      <c r="D439" s="21">
        <f>IF($C439="","",IFERROR(INDEX(Insumos!$B$2:$B$151,MATCH($C439,Insumos!$A$2:$A$151,0)),"Código no cargado"))</f>
        <v/>
      </c>
      <c r="E439" s="21">
        <f>IF($C439="","",IFERROR(INDEX(Insumos!$C$2:$C$151,MATCH($C439,Insumos!$A$2:$A$151,0)),""))</f>
        <v/>
      </c>
      <c r="F439" s="21">
        <f>IF($C439="","",IFERROR(INDEX(Insumos!$D$2:$D$151,MATCH($C439,Insumos!$A$2:$A$151,0)),""))</f>
        <v/>
      </c>
      <c r="G439" s="18" t="n"/>
      <c r="H439" s="19">
        <f>IF(OR($A439="",$C439=""),"",IFERROR(INDEX(Insumos!$M$2:$S$151,MATCH($C439,Insumos!$A$2:$A$151,0),WEEKDAY($A439,2)),""))</f>
        <v/>
      </c>
      <c r="I439" s="19">
        <f>IF(OR($G439="",$H439=""),"",MAX(0,$H439-$G439))</f>
        <v/>
      </c>
      <c r="J439" s="21">
        <f>IF($I439="","",IF($I439=0,"OK",IF($G439&lt;=0,"Sin stock: pedir ya","Pedir o producir")))</f>
        <v/>
      </c>
      <c r="K439" s="17" t="n"/>
      <c r="L439" s="17" t="n"/>
      <c r="M439" s="21">
        <f>IF(OR($A439="",$A439&lt;&gt;'Lista para pedir'!$C$3,N($I439)&lt;=0),"",COUNTIFS($A$2:$A439,$A439,$I$2:$I439,"&gt;0"))</f>
        <v/>
      </c>
    </row>
    <row r="440">
      <c r="A440" s="20" t="n"/>
      <c r="B440" s="21">
        <f>IF($A440="","",CHOOSE(WEEKDAY($A440,2),"Lunes","Martes","Miércoles","Jueves","Viernes","Sábado","Domingo"))</f>
        <v/>
      </c>
      <c r="C440" s="17" t="n"/>
      <c r="D440" s="21">
        <f>IF($C440="","",IFERROR(INDEX(Insumos!$B$2:$B$151,MATCH($C440,Insumos!$A$2:$A$151,0)),"Código no cargado"))</f>
        <v/>
      </c>
      <c r="E440" s="21">
        <f>IF($C440="","",IFERROR(INDEX(Insumos!$C$2:$C$151,MATCH($C440,Insumos!$A$2:$A$151,0)),""))</f>
        <v/>
      </c>
      <c r="F440" s="21">
        <f>IF($C440="","",IFERROR(INDEX(Insumos!$D$2:$D$151,MATCH($C440,Insumos!$A$2:$A$151,0)),""))</f>
        <v/>
      </c>
      <c r="G440" s="18" t="n"/>
      <c r="H440" s="19">
        <f>IF(OR($A440="",$C440=""),"",IFERROR(INDEX(Insumos!$M$2:$S$151,MATCH($C440,Insumos!$A$2:$A$151,0),WEEKDAY($A440,2)),""))</f>
        <v/>
      </c>
      <c r="I440" s="19">
        <f>IF(OR($G440="",$H440=""),"",MAX(0,$H440-$G440))</f>
        <v/>
      </c>
      <c r="J440" s="21">
        <f>IF($I440="","",IF($I440=0,"OK",IF($G440&lt;=0,"Sin stock: pedir ya","Pedir o producir")))</f>
        <v/>
      </c>
      <c r="K440" s="17" t="n"/>
      <c r="L440" s="17" t="n"/>
      <c r="M440" s="21">
        <f>IF(OR($A440="",$A440&lt;&gt;'Lista para pedir'!$C$3,N($I440)&lt;=0),"",COUNTIFS($A$2:$A440,$A440,$I$2:$I440,"&gt;0"))</f>
        <v/>
      </c>
    </row>
    <row r="441">
      <c r="A441" s="20" t="n"/>
      <c r="B441" s="21">
        <f>IF($A441="","",CHOOSE(WEEKDAY($A441,2),"Lunes","Martes","Miércoles","Jueves","Viernes","Sábado","Domingo"))</f>
        <v/>
      </c>
      <c r="C441" s="17" t="n"/>
      <c r="D441" s="21">
        <f>IF($C441="","",IFERROR(INDEX(Insumos!$B$2:$B$151,MATCH($C441,Insumos!$A$2:$A$151,0)),"Código no cargado"))</f>
        <v/>
      </c>
      <c r="E441" s="21">
        <f>IF($C441="","",IFERROR(INDEX(Insumos!$C$2:$C$151,MATCH($C441,Insumos!$A$2:$A$151,0)),""))</f>
        <v/>
      </c>
      <c r="F441" s="21">
        <f>IF($C441="","",IFERROR(INDEX(Insumos!$D$2:$D$151,MATCH($C441,Insumos!$A$2:$A$151,0)),""))</f>
        <v/>
      </c>
      <c r="G441" s="18" t="n"/>
      <c r="H441" s="19">
        <f>IF(OR($A441="",$C441=""),"",IFERROR(INDEX(Insumos!$M$2:$S$151,MATCH($C441,Insumos!$A$2:$A$151,0),WEEKDAY($A441,2)),""))</f>
        <v/>
      </c>
      <c r="I441" s="19">
        <f>IF(OR($G441="",$H441=""),"",MAX(0,$H441-$G441))</f>
        <v/>
      </c>
      <c r="J441" s="21">
        <f>IF($I441="","",IF($I441=0,"OK",IF($G441&lt;=0,"Sin stock: pedir ya","Pedir o producir")))</f>
        <v/>
      </c>
      <c r="K441" s="17" t="n"/>
      <c r="L441" s="17" t="n"/>
      <c r="M441" s="21">
        <f>IF(OR($A441="",$A441&lt;&gt;'Lista para pedir'!$C$3,N($I441)&lt;=0),"",COUNTIFS($A$2:$A441,$A441,$I$2:$I441,"&gt;0"))</f>
        <v/>
      </c>
    </row>
    <row r="442">
      <c r="A442" s="20" t="n"/>
      <c r="B442" s="21">
        <f>IF($A442="","",CHOOSE(WEEKDAY($A442,2),"Lunes","Martes","Miércoles","Jueves","Viernes","Sábado","Domingo"))</f>
        <v/>
      </c>
      <c r="C442" s="17" t="n"/>
      <c r="D442" s="21">
        <f>IF($C442="","",IFERROR(INDEX(Insumos!$B$2:$B$151,MATCH($C442,Insumos!$A$2:$A$151,0)),"Código no cargado"))</f>
        <v/>
      </c>
      <c r="E442" s="21">
        <f>IF($C442="","",IFERROR(INDEX(Insumos!$C$2:$C$151,MATCH($C442,Insumos!$A$2:$A$151,0)),""))</f>
        <v/>
      </c>
      <c r="F442" s="21">
        <f>IF($C442="","",IFERROR(INDEX(Insumos!$D$2:$D$151,MATCH($C442,Insumos!$A$2:$A$151,0)),""))</f>
        <v/>
      </c>
      <c r="G442" s="18" t="n"/>
      <c r="H442" s="19">
        <f>IF(OR($A442="",$C442=""),"",IFERROR(INDEX(Insumos!$M$2:$S$151,MATCH($C442,Insumos!$A$2:$A$151,0),WEEKDAY($A442,2)),""))</f>
        <v/>
      </c>
      <c r="I442" s="19">
        <f>IF(OR($G442="",$H442=""),"",MAX(0,$H442-$G442))</f>
        <v/>
      </c>
      <c r="J442" s="21">
        <f>IF($I442="","",IF($I442=0,"OK",IF($G442&lt;=0,"Sin stock: pedir ya","Pedir o producir")))</f>
        <v/>
      </c>
      <c r="K442" s="17" t="n"/>
      <c r="L442" s="17" t="n"/>
      <c r="M442" s="21">
        <f>IF(OR($A442="",$A442&lt;&gt;'Lista para pedir'!$C$3,N($I442)&lt;=0),"",COUNTIFS($A$2:$A442,$A442,$I$2:$I442,"&gt;0"))</f>
        <v/>
      </c>
    </row>
    <row r="443">
      <c r="A443" s="20" t="n"/>
      <c r="B443" s="21">
        <f>IF($A443="","",CHOOSE(WEEKDAY($A443,2),"Lunes","Martes","Miércoles","Jueves","Viernes","Sábado","Domingo"))</f>
        <v/>
      </c>
      <c r="C443" s="17" t="n"/>
      <c r="D443" s="21">
        <f>IF($C443="","",IFERROR(INDEX(Insumos!$B$2:$B$151,MATCH($C443,Insumos!$A$2:$A$151,0)),"Código no cargado"))</f>
        <v/>
      </c>
      <c r="E443" s="21">
        <f>IF($C443="","",IFERROR(INDEX(Insumos!$C$2:$C$151,MATCH($C443,Insumos!$A$2:$A$151,0)),""))</f>
        <v/>
      </c>
      <c r="F443" s="21">
        <f>IF($C443="","",IFERROR(INDEX(Insumos!$D$2:$D$151,MATCH($C443,Insumos!$A$2:$A$151,0)),""))</f>
        <v/>
      </c>
      <c r="G443" s="18" t="n"/>
      <c r="H443" s="19">
        <f>IF(OR($A443="",$C443=""),"",IFERROR(INDEX(Insumos!$M$2:$S$151,MATCH($C443,Insumos!$A$2:$A$151,0),WEEKDAY($A443,2)),""))</f>
        <v/>
      </c>
      <c r="I443" s="19">
        <f>IF(OR($G443="",$H443=""),"",MAX(0,$H443-$G443))</f>
        <v/>
      </c>
      <c r="J443" s="21">
        <f>IF($I443="","",IF($I443=0,"OK",IF($G443&lt;=0,"Sin stock: pedir ya","Pedir o producir")))</f>
        <v/>
      </c>
      <c r="K443" s="17" t="n"/>
      <c r="L443" s="17" t="n"/>
      <c r="M443" s="21">
        <f>IF(OR($A443="",$A443&lt;&gt;'Lista para pedir'!$C$3,N($I443)&lt;=0),"",COUNTIFS($A$2:$A443,$A443,$I$2:$I443,"&gt;0"))</f>
        <v/>
      </c>
    </row>
    <row r="444">
      <c r="A444" s="20" t="n"/>
      <c r="B444" s="21">
        <f>IF($A444="","",CHOOSE(WEEKDAY($A444,2),"Lunes","Martes","Miércoles","Jueves","Viernes","Sábado","Domingo"))</f>
        <v/>
      </c>
      <c r="C444" s="17" t="n"/>
      <c r="D444" s="21">
        <f>IF($C444="","",IFERROR(INDEX(Insumos!$B$2:$B$151,MATCH($C444,Insumos!$A$2:$A$151,0)),"Código no cargado"))</f>
        <v/>
      </c>
      <c r="E444" s="21">
        <f>IF($C444="","",IFERROR(INDEX(Insumos!$C$2:$C$151,MATCH($C444,Insumos!$A$2:$A$151,0)),""))</f>
        <v/>
      </c>
      <c r="F444" s="21">
        <f>IF($C444="","",IFERROR(INDEX(Insumos!$D$2:$D$151,MATCH($C444,Insumos!$A$2:$A$151,0)),""))</f>
        <v/>
      </c>
      <c r="G444" s="18" t="n"/>
      <c r="H444" s="19">
        <f>IF(OR($A444="",$C444=""),"",IFERROR(INDEX(Insumos!$M$2:$S$151,MATCH($C444,Insumos!$A$2:$A$151,0),WEEKDAY($A444,2)),""))</f>
        <v/>
      </c>
      <c r="I444" s="19">
        <f>IF(OR($G444="",$H444=""),"",MAX(0,$H444-$G444))</f>
        <v/>
      </c>
      <c r="J444" s="21">
        <f>IF($I444="","",IF($I444=0,"OK",IF($G444&lt;=0,"Sin stock: pedir ya","Pedir o producir")))</f>
        <v/>
      </c>
      <c r="K444" s="17" t="n"/>
      <c r="L444" s="17" t="n"/>
      <c r="M444" s="21">
        <f>IF(OR($A444="",$A444&lt;&gt;'Lista para pedir'!$C$3,N($I444)&lt;=0),"",COUNTIFS($A$2:$A444,$A444,$I$2:$I444,"&gt;0"))</f>
        <v/>
      </c>
    </row>
    <row r="445">
      <c r="A445" s="20" t="n"/>
      <c r="B445" s="21">
        <f>IF($A445="","",CHOOSE(WEEKDAY($A445,2),"Lunes","Martes","Miércoles","Jueves","Viernes","Sábado","Domingo"))</f>
        <v/>
      </c>
      <c r="C445" s="17" t="n"/>
      <c r="D445" s="21">
        <f>IF($C445="","",IFERROR(INDEX(Insumos!$B$2:$B$151,MATCH($C445,Insumos!$A$2:$A$151,0)),"Código no cargado"))</f>
        <v/>
      </c>
      <c r="E445" s="21">
        <f>IF($C445="","",IFERROR(INDEX(Insumos!$C$2:$C$151,MATCH($C445,Insumos!$A$2:$A$151,0)),""))</f>
        <v/>
      </c>
      <c r="F445" s="21">
        <f>IF($C445="","",IFERROR(INDEX(Insumos!$D$2:$D$151,MATCH($C445,Insumos!$A$2:$A$151,0)),""))</f>
        <v/>
      </c>
      <c r="G445" s="18" t="n"/>
      <c r="H445" s="19">
        <f>IF(OR($A445="",$C445=""),"",IFERROR(INDEX(Insumos!$M$2:$S$151,MATCH($C445,Insumos!$A$2:$A$151,0),WEEKDAY($A445,2)),""))</f>
        <v/>
      </c>
      <c r="I445" s="19">
        <f>IF(OR($G445="",$H445=""),"",MAX(0,$H445-$G445))</f>
        <v/>
      </c>
      <c r="J445" s="21">
        <f>IF($I445="","",IF($I445=0,"OK",IF($G445&lt;=0,"Sin stock: pedir ya","Pedir o producir")))</f>
        <v/>
      </c>
      <c r="K445" s="17" t="n"/>
      <c r="L445" s="17" t="n"/>
      <c r="M445" s="21">
        <f>IF(OR($A445="",$A445&lt;&gt;'Lista para pedir'!$C$3,N($I445)&lt;=0),"",COUNTIFS($A$2:$A445,$A445,$I$2:$I445,"&gt;0"))</f>
        <v/>
      </c>
    </row>
    <row r="446">
      <c r="A446" s="20" t="n"/>
      <c r="B446" s="21">
        <f>IF($A446="","",CHOOSE(WEEKDAY($A446,2),"Lunes","Martes","Miércoles","Jueves","Viernes","Sábado","Domingo"))</f>
        <v/>
      </c>
      <c r="C446" s="17" t="n"/>
      <c r="D446" s="21">
        <f>IF($C446="","",IFERROR(INDEX(Insumos!$B$2:$B$151,MATCH($C446,Insumos!$A$2:$A$151,0)),"Código no cargado"))</f>
        <v/>
      </c>
      <c r="E446" s="21">
        <f>IF($C446="","",IFERROR(INDEX(Insumos!$C$2:$C$151,MATCH($C446,Insumos!$A$2:$A$151,0)),""))</f>
        <v/>
      </c>
      <c r="F446" s="21">
        <f>IF($C446="","",IFERROR(INDEX(Insumos!$D$2:$D$151,MATCH($C446,Insumos!$A$2:$A$151,0)),""))</f>
        <v/>
      </c>
      <c r="G446" s="18" t="n"/>
      <c r="H446" s="19">
        <f>IF(OR($A446="",$C446=""),"",IFERROR(INDEX(Insumos!$M$2:$S$151,MATCH($C446,Insumos!$A$2:$A$151,0),WEEKDAY($A446,2)),""))</f>
        <v/>
      </c>
      <c r="I446" s="19">
        <f>IF(OR($G446="",$H446=""),"",MAX(0,$H446-$G446))</f>
        <v/>
      </c>
      <c r="J446" s="21">
        <f>IF($I446="","",IF($I446=0,"OK",IF($G446&lt;=0,"Sin stock: pedir ya","Pedir o producir")))</f>
        <v/>
      </c>
      <c r="K446" s="17" t="n"/>
      <c r="L446" s="17" t="n"/>
      <c r="M446" s="21">
        <f>IF(OR($A446="",$A446&lt;&gt;'Lista para pedir'!$C$3,N($I446)&lt;=0),"",COUNTIFS($A$2:$A446,$A446,$I$2:$I446,"&gt;0"))</f>
        <v/>
      </c>
    </row>
    <row r="447">
      <c r="A447" s="20" t="n"/>
      <c r="B447" s="21">
        <f>IF($A447="","",CHOOSE(WEEKDAY($A447,2),"Lunes","Martes","Miércoles","Jueves","Viernes","Sábado","Domingo"))</f>
        <v/>
      </c>
      <c r="C447" s="17" t="n"/>
      <c r="D447" s="21">
        <f>IF($C447="","",IFERROR(INDEX(Insumos!$B$2:$B$151,MATCH($C447,Insumos!$A$2:$A$151,0)),"Código no cargado"))</f>
        <v/>
      </c>
      <c r="E447" s="21">
        <f>IF($C447="","",IFERROR(INDEX(Insumos!$C$2:$C$151,MATCH($C447,Insumos!$A$2:$A$151,0)),""))</f>
        <v/>
      </c>
      <c r="F447" s="21">
        <f>IF($C447="","",IFERROR(INDEX(Insumos!$D$2:$D$151,MATCH($C447,Insumos!$A$2:$A$151,0)),""))</f>
        <v/>
      </c>
      <c r="G447" s="18" t="n"/>
      <c r="H447" s="19">
        <f>IF(OR($A447="",$C447=""),"",IFERROR(INDEX(Insumos!$M$2:$S$151,MATCH($C447,Insumos!$A$2:$A$151,0),WEEKDAY($A447,2)),""))</f>
        <v/>
      </c>
      <c r="I447" s="19">
        <f>IF(OR($G447="",$H447=""),"",MAX(0,$H447-$G447))</f>
        <v/>
      </c>
      <c r="J447" s="21">
        <f>IF($I447="","",IF($I447=0,"OK",IF($G447&lt;=0,"Sin stock: pedir ya","Pedir o producir")))</f>
        <v/>
      </c>
      <c r="K447" s="17" t="n"/>
      <c r="L447" s="17" t="n"/>
      <c r="M447" s="21">
        <f>IF(OR($A447="",$A447&lt;&gt;'Lista para pedir'!$C$3,N($I447)&lt;=0),"",COUNTIFS($A$2:$A447,$A447,$I$2:$I447,"&gt;0"))</f>
        <v/>
      </c>
    </row>
    <row r="448">
      <c r="A448" s="20" t="n"/>
      <c r="B448" s="21">
        <f>IF($A448="","",CHOOSE(WEEKDAY($A448,2),"Lunes","Martes","Miércoles","Jueves","Viernes","Sábado","Domingo"))</f>
        <v/>
      </c>
      <c r="C448" s="17" t="n"/>
      <c r="D448" s="21">
        <f>IF($C448="","",IFERROR(INDEX(Insumos!$B$2:$B$151,MATCH($C448,Insumos!$A$2:$A$151,0)),"Código no cargado"))</f>
        <v/>
      </c>
      <c r="E448" s="21">
        <f>IF($C448="","",IFERROR(INDEX(Insumos!$C$2:$C$151,MATCH($C448,Insumos!$A$2:$A$151,0)),""))</f>
        <v/>
      </c>
      <c r="F448" s="21">
        <f>IF($C448="","",IFERROR(INDEX(Insumos!$D$2:$D$151,MATCH($C448,Insumos!$A$2:$A$151,0)),""))</f>
        <v/>
      </c>
      <c r="G448" s="18" t="n"/>
      <c r="H448" s="19">
        <f>IF(OR($A448="",$C448=""),"",IFERROR(INDEX(Insumos!$M$2:$S$151,MATCH($C448,Insumos!$A$2:$A$151,0),WEEKDAY($A448,2)),""))</f>
        <v/>
      </c>
      <c r="I448" s="19">
        <f>IF(OR($G448="",$H448=""),"",MAX(0,$H448-$G448))</f>
        <v/>
      </c>
      <c r="J448" s="21">
        <f>IF($I448="","",IF($I448=0,"OK",IF($G448&lt;=0,"Sin stock: pedir ya","Pedir o producir")))</f>
        <v/>
      </c>
      <c r="K448" s="17" t="n"/>
      <c r="L448" s="17" t="n"/>
      <c r="M448" s="21">
        <f>IF(OR($A448="",$A448&lt;&gt;'Lista para pedir'!$C$3,N($I448)&lt;=0),"",COUNTIFS($A$2:$A448,$A448,$I$2:$I448,"&gt;0"))</f>
        <v/>
      </c>
    </row>
    <row r="449">
      <c r="A449" s="20" t="n"/>
      <c r="B449" s="21">
        <f>IF($A449="","",CHOOSE(WEEKDAY($A449,2),"Lunes","Martes","Miércoles","Jueves","Viernes","Sábado","Domingo"))</f>
        <v/>
      </c>
      <c r="C449" s="17" t="n"/>
      <c r="D449" s="21">
        <f>IF($C449="","",IFERROR(INDEX(Insumos!$B$2:$B$151,MATCH($C449,Insumos!$A$2:$A$151,0)),"Código no cargado"))</f>
        <v/>
      </c>
      <c r="E449" s="21">
        <f>IF($C449="","",IFERROR(INDEX(Insumos!$C$2:$C$151,MATCH($C449,Insumos!$A$2:$A$151,0)),""))</f>
        <v/>
      </c>
      <c r="F449" s="21">
        <f>IF($C449="","",IFERROR(INDEX(Insumos!$D$2:$D$151,MATCH($C449,Insumos!$A$2:$A$151,0)),""))</f>
        <v/>
      </c>
      <c r="G449" s="18" t="n"/>
      <c r="H449" s="19">
        <f>IF(OR($A449="",$C449=""),"",IFERROR(INDEX(Insumos!$M$2:$S$151,MATCH($C449,Insumos!$A$2:$A$151,0),WEEKDAY($A449,2)),""))</f>
        <v/>
      </c>
      <c r="I449" s="19">
        <f>IF(OR($G449="",$H449=""),"",MAX(0,$H449-$G449))</f>
        <v/>
      </c>
      <c r="J449" s="21">
        <f>IF($I449="","",IF($I449=0,"OK",IF($G449&lt;=0,"Sin stock: pedir ya","Pedir o producir")))</f>
        <v/>
      </c>
      <c r="K449" s="17" t="n"/>
      <c r="L449" s="17" t="n"/>
      <c r="M449" s="21">
        <f>IF(OR($A449="",$A449&lt;&gt;'Lista para pedir'!$C$3,N($I449)&lt;=0),"",COUNTIFS($A$2:$A449,$A449,$I$2:$I449,"&gt;0"))</f>
        <v/>
      </c>
    </row>
    <row r="450">
      <c r="A450" s="20" t="n"/>
      <c r="B450" s="21">
        <f>IF($A450="","",CHOOSE(WEEKDAY($A450,2),"Lunes","Martes","Miércoles","Jueves","Viernes","Sábado","Domingo"))</f>
        <v/>
      </c>
      <c r="C450" s="17" t="n"/>
      <c r="D450" s="21">
        <f>IF($C450="","",IFERROR(INDEX(Insumos!$B$2:$B$151,MATCH($C450,Insumos!$A$2:$A$151,0)),"Código no cargado"))</f>
        <v/>
      </c>
      <c r="E450" s="21">
        <f>IF($C450="","",IFERROR(INDEX(Insumos!$C$2:$C$151,MATCH($C450,Insumos!$A$2:$A$151,0)),""))</f>
        <v/>
      </c>
      <c r="F450" s="21">
        <f>IF($C450="","",IFERROR(INDEX(Insumos!$D$2:$D$151,MATCH($C450,Insumos!$A$2:$A$151,0)),""))</f>
        <v/>
      </c>
      <c r="G450" s="18" t="n"/>
      <c r="H450" s="19">
        <f>IF(OR($A450="",$C450=""),"",IFERROR(INDEX(Insumos!$M$2:$S$151,MATCH($C450,Insumos!$A$2:$A$151,0),WEEKDAY($A450,2)),""))</f>
        <v/>
      </c>
      <c r="I450" s="19">
        <f>IF(OR($G450="",$H450=""),"",MAX(0,$H450-$G450))</f>
        <v/>
      </c>
      <c r="J450" s="21">
        <f>IF($I450="","",IF($I450=0,"OK",IF($G450&lt;=0,"Sin stock: pedir ya","Pedir o producir")))</f>
        <v/>
      </c>
      <c r="K450" s="17" t="n"/>
      <c r="L450" s="17" t="n"/>
      <c r="M450" s="21">
        <f>IF(OR($A450="",$A450&lt;&gt;'Lista para pedir'!$C$3,N($I450)&lt;=0),"",COUNTIFS($A$2:$A450,$A450,$I$2:$I450,"&gt;0"))</f>
        <v/>
      </c>
    </row>
    <row r="451">
      <c r="A451" s="20" t="n"/>
      <c r="B451" s="21">
        <f>IF($A451="","",CHOOSE(WEEKDAY($A451,2),"Lunes","Martes","Miércoles","Jueves","Viernes","Sábado","Domingo"))</f>
        <v/>
      </c>
      <c r="C451" s="17" t="n"/>
      <c r="D451" s="21">
        <f>IF($C451="","",IFERROR(INDEX(Insumos!$B$2:$B$151,MATCH($C451,Insumos!$A$2:$A$151,0)),"Código no cargado"))</f>
        <v/>
      </c>
      <c r="E451" s="21">
        <f>IF($C451="","",IFERROR(INDEX(Insumos!$C$2:$C$151,MATCH($C451,Insumos!$A$2:$A$151,0)),""))</f>
        <v/>
      </c>
      <c r="F451" s="21">
        <f>IF($C451="","",IFERROR(INDEX(Insumos!$D$2:$D$151,MATCH($C451,Insumos!$A$2:$A$151,0)),""))</f>
        <v/>
      </c>
      <c r="G451" s="18" t="n"/>
      <c r="H451" s="19">
        <f>IF(OR($A451="",$C451=""),"",IFERROR(INDEX(Insumos!$M$2:$S$151,MATCH($C451,Insumos!$A$2:$A$151,0),WEEKDAY($A451,2)),""))</f>
        <v/>
      </c>
      <c r="I451" s="19">
        <f>IF(OR($G451="",$H451=""),"",MAX(0,$H451-$G451))</f>
        <v/>
      </c>
      <c r="J451" s="21">
        <f>IF($I451="","",IF($I451=0,"OK",IF($G451&lt;=0,"Sin stock: pedir ya","Pedir o producir")))</f>
        <v/>
      </c>
      <c r="K451" s="17" t="n"/>
      <c r="L451" s="17" t="n"/>
      <c r="M451" s="21">
        <f>IF(OR($A451="",$A451&lt;&gt;'Lista para pedir'!$C$3,N($I451)&lt;=0),"",COUNTIFS($A$2:$A451,$A451,$I$2:$I451,"&gt;0"))</f>
        <v/>
      </c>
    </row>
    <row r="452">
      <c r="A452" s="20" t="n"/>
      <c r="B452" s="21">
        <f>IF($A452="","",CHOOSE(WEEKDAY($A452,2),"Lunes","Martes","Miércoles","Jueves","Viernes","Sábado","Domingo"))</f>
        <v/>
      </c>
      <c r="C452" s="17" t="n"/>
      <c r="D452" s="21">
        <f>IF($C452="","",IFERROR(INDEX(Insumos!$B$2:$B$151,MATCH($C452,Insumos!$A$2:$A$151,0)),"Código no cargado"))</f>
        <v/>
      </c>
      <c r="E452" s="21">
        <f>IF($C452="","",IFERROR(INDEX(Insumos!$C$2:$C$151,MATCH($C452,Insumos!$A$2:$A$151,0)),""))</f>
        <v/>
      </c>
      <c r="F452" s="21">
        <f>IF($C452="","",IFERROR(INDEX(Insumos!$D$2:$D$151,MATCH($C452,Insumos!$A$2:$A$151,0)),""))</f>
        <v/>
      </c>
      <c r="G452" s="18" t="n"/>
      <c r="H452" s="19">
        <f>IF(OR($A452="",$C452=""),"",IFERROR(INDEX(Insumos!$M$2:$S$151,MATCH($C452,Insumos!$A$2:$A$151,0),WEEKDAY($A452,2)),""))</f>
        <v/>
      </c>
      <c r="I452" s="19">
        <f>IF(OR($G452="",$H452=""),"",MAX(0,$H452-$G452))</f>
        <v/>
      </c>
      <c r="J452" s="21">
        <f>IF($I452="","",IF($I452=0,"OK",IF($G452&lt;=0,"Sin stock: pedir ya","Pedir o producir")))</f>
        <v/>
      </c>
      <c r="K452" s="17" t="n"/>
      <c r="L452" s="17" t="n"/>
      <c r="M452" s="21">
        <f>IF(OR($A452="",$A452&lt;&gt;'Lista para pedir'!$C$3,N($I452)&lt;=0),"",COUNTIFS($A$2:$A452,$A452,$I$2:$I452,"&gt;0"))</f>
        <v/>
      </c>
    </row>
    <row r="453">
      <c r="A453" s="20" t="n"/>
      <c r="B453" s="21">
        <f>IF($A453="","",CHOOSE(WEEKDAY($A453,2),"Lunes","Martes","Miércoles","Jueves","Viernes","Sábado","Domingo"))</f>
        <v/>
      </c>
      <c r="C453" s="17" t="n"/>
      <c r="D453" s="21">
        <f>IF($C453="","",IFERROR(INDEX(Insumos!$B$2:$B$151,MATCH($C453,Insumos!$A$2:$A$151,0)),"Código no cargado"))</f>
        <v/>
      </c>
      <c r="E453" s="21">
        <f>IF($C453="","",IFERROR(INDEX(Insumos!$C$2:$C$151,MATCH($C453,Insumos!$A$2:$A$151,0)),""))</f>
        <v/>
      </c>
      <c r="F453" s="21">
        <f>IF($C453="","",IFERROR(INDEX(Insumos!$D$2:$D$151,MATCH($C453,Insumos!$A$2:$A$151,0)),""))</f>
        <v/>
      </c>
      <c r="G453" s="18" t="n"/>
      <c r="H453" s="19">
        <f>IF(OR($A453="",$C453=""),"",IFERROR(INDEX(Insumos!$M$2:$S$151,MATCH($C453,Insumos!$A$2:$A$151,0),WEEKDAY($A453,2)),""))</f>
        <v/>
      </c>
      <c r="I453" s="19">
        <f>IF(OR($G453="",$H453=""),"",MAX(0,$H453-$G453))</f>
        <v/>
      </c>
      <c r="J453" s="21">
        <f>IF($I453="","",IF($I453=0,"OK",IF($G453&lt;=0,"Sin stock: pedir ya","Pedir o producir")))</f>
        <v/>
      </c>
      <c r="K453" s="17" t="n"/>
      <c r="L453" s="17" t="n"/>
      <c r="M453" s="21">
        <f>IF(OR($A453="",$A453&lt;&gt;'Lista para pedir'!$C$3,N($I453)&lt;=0),"",COUNTIFS($A$2:$A453,$A453,$I$2:$I453,"&gt;0"))</f>
        <v/>
      </c>
    </row>
    <row r="454">
      <c r="A454" s="20" t="n"/>
      <c r="B454" s="21">
        <f>IF($A454="","",CHOOSE(WEEKDAY($A454,2),"Lunes","Martes","Miércoles","Jueves","Viernes","Sábado","Domingo"))</f>
        <v/>
      </c>
      <c r="C454" s="17" t="n"/>
      <c r="D454" s="21">
        <f>IF($C454="","",IFERROR(INDEX(Insumos!$B$2:$B$151,MATCH($C454,Insumos!$A$2:$A$151,0)),"Código no cargado"))</f>
        <v/>
      </c>
      <c r="E454" s="21">
        <f>IF($C454="","",IFERROR(INDEX(Insumos!$C$2:$C$151,MATCH($C454,Insumos!$A$2:$A$151,0)),""))</f>
        <v/>
      </c>
      <c r="F454" s="21">
        <f>IF($C454="","",IFERROR(INDEX(Insumos!$D$2:$D$151,MATCH($C454,Insumos!$A$2:$A$151,0)),""))</f>
        <v/>
      </c>
      <c r="G454" s="18" t="n"/>
      <c r="H454" s="19">
        <f>IF(OR($A454="",$C454=""),"",IFERROR(INDEX(Insumos!$M$2:$S$151,MATCH($C454,Insumos!$A$2:$A$151,0),WEEKDAY($A454,2)),""))</f>
        <v/>
      </c>
      <c r="I454" s="19">
        <f>IF(OR($G454="",$H454=""),"",MAX(0,$H454-$G454))</f>
        <v/>
      </c>
      <c r="J454" s="21">
        <f>IF($I454="","",IF($I454=0,"OK",IF($G454&lt;=0,"Sin stock: pedir ya","Pedir o producir")))</f>
        <v/>
      </c>
      <c r="K454" s="17" t="n"/>
      <c r="L454" s="17" t="n"/>
      <c r="M454" s="21">
        <f>IF(OR($A454="",$A454&lt;&gt;'Lista para pedir'!$C$3,N($I454)&lt;=0),"",COUNTIFS($A$2:$A454,$A454,$I$2:$I454,"&gt;0"))</f>
        <v/>
      </c>
    </row>
    <row r="455">
      <c r="A455" s="20" t="n"/>
      <c r="B455" s="21">
        <f>IF($A455="","",CHOOSE(WEEKDAY($A455,2),"Lunes","Martes","Miércoles","Jueves","Viernes","Sábado","Domingo"))</f>
        <v/>
      </c>
      <c r="C455" s="17" t="n"/>
      <c r="D455" s="21">
        <f>IF($C455="","",IFERROR(INDEX(Insumos!$B$2:$B$151,MATCH($C455,Insumos!$A$2:$A$151,0)),"Código no cargado"))</f>
        <v/>
      </c>
      <c r="E455" s="21">
        <f>IF($C455="","",IFERROR(INDEX(Insumos!$C$2:$C$151,MATCH($C455,Insumos!$A$2:$A$151,0)),""))</f>
        <v/>
      </c>
      <c r="F455" s="21">
        <f>IF($C455="","",IFERROR(INDEX(Insumos!$D$2:$D$151,MATCH($C455,Insumos!$A$2:$A$151,0)),""))</f>
        <v/>
      </c>
      <c r="G455" s="18" t="n"/>
      <c r="H455" s="19">
        <f>IF(OR($A455="",$C455=""),"",IFERROR(INDEX(Insumos!$M$2:$S$151,MATCH($C455,Insumos!$A$2:$A$151,0),WEEKDAY($A455,2)),""))</f>
        <v/>
      </c>
      <c r="I455" s="19">
        <f>IF(OR($G455="",$H455=""),"",MAX(0,$H455-$G455))</f>
        <v/>
      </c>
      <c r="J455" s="21">
        <f>IF($I455="","",IF($I455=0,"OK",IF($G455&lt;=0,"Sin stock: pedir ya","Pedir o producir")))</f>
        <v/>
      </c>
      <c r="K455" s="17" t="n"/>
      <c r="L455" s="17" t="n"/>
      <c r="M455" s="21">
        <f>IF(OR($A455="",$A455&lt;&gt;'Lista para pedir'!$C$3,N($I455)&lt;=0),"",COUNTIFS($A$2:$A455,$A455,$I$2:$I455,"&gt;0"))</f>
        <v/>
      </c>
    </row>
    <row r="456">
      <c r="A456" s="20" t="n"/>
      <c r="B456" s="21">
        <f>IF($A456="","",CHOOSE(WEEKDAY($A456,2),"Lunes","Martes","Miércoles","Jueves","Viernes","Sábado","Domingo"))</f>
        <v/>
      </c>
      <c r="C456" s="17" t="n"/>
      <c r="D456" s="21">
        <f>IF($C456="","",IFERROR(INDEX(Insumos!$B$2:$B$151,MATCH($C456,Insumos!$A$2:$A$151,0)),"Código no cargado"))</f>
        <v/>
      </c>
      <c r="E456" s="21">
        <f>IF($C456="","",IFERROR(INDEX(Insumos!$C$2:$C$151,MATCH($C456,Insumos!$A$2:$A$151,0)),""))</f>
        <v/>
      </c>
      <c r="F456" s="21">
        <f>IF($C456="","",IFERROR(INDEX(Insumos!$D$2:$D$151,MATCH($C456,Insumos!$A$2:$A$151,0)),""))</f>
        <v/>
      </c>
      <c r="G456" s="18" t="n"/>
      <c r="H456" s="19">
        <f>IF(OR($A456="",$C456=""),"",IFERROR(INDEX(Insumos!$M$2:$S$151,MATCH($C456,Insumos!$A$2:$A$151,0),WEEKDAY($A456,2)),""))</f>
        <v/>
      </c>
      <c r="I456" s="19">
        <f>IF(OR($G456="",$H456=""),"",MAX(0,$H456-$G456))</f>
        <v/>
      </c>
      <c r="J456" s="21">
        <f>IF($I456="","",IF($I456=0,"OK",IF($G456&lt;=0,"Sin stock: pedir ya","Pedir o producir")))</f>
        <v/>
      </c>
      <c r="K456" s="17" t="n"/>
      <c r="L456" s="17" t="n"/>
      <c r="M456" s="21">
        <f>IF(OR($A456="",$A456&lt;&gt;'Lista para pedir'!$C$3,N($I456)&lt;=0),"",COUNTIFS($A$2:$A456,$A456,$I$2:$I456,"&gt;0"))</f>
        <v/>
      </c>
    </row>
    <row r="457">
      <c r="A457" s="20" t="n"/>
      <c r="B457" s="21">
        <f>IF($A457="","",CHOOSE(WEEKDAY($A457,2),"Lunes","Martes","Miércoles","Jueves","Viernes","Sábado","Domingo"))</f>
        <v/>
      </c>
      <c r="C457" s="17" t="n"/>
      <c r="D457" s="21">
        <f>IF($C457="","",IFERROR(INDEX(Insumos!$B$2:$B$151,MATCH($C457,Insumos!$A$2:$A$151,0)),"Código no cargado"))</f>
        <v/>
      </c>
      <c r="E457" s="21">
        <f>IF($C457="","",IFERROR(INDEX(Insumos!$C$2:$C$151,MATCH($C457,Insumos!$A$2:$A$151,0)),""))</f>
        <v/>
      </c>
      <c r="F457" s="21">
        <f>IF($C457="","",IFERROR(INDEX(Insumos!$D$2:$D$151,MATCH($C457,Insumos!$A$2:$A$151,0)),""))</f>
        <v/>
      </c>
      <c r="G457" s="18" t="n"/>
      <c r="H457" s="19">
        <f>IF(OR($A457="",$C457=""),"",IFERROR(INDEX(Insumos!$M$2:$S$151,MATCH($C457,Insumos!$A$2:$A$151,0),WEEKDAY($A457,2)),""))</f>
        <v/>
      </c>
      <c r="I457" s="19">
        <f>IF(OR($G457="",$H457=""),"",MAX(0,$H457-$G457))</f>
        <v/>
      </c>
      <c r="J457" s="21">
        <f>IF($I457="","",IF($I457=0,"OK",IF($G457&lt;=0,"Sin stock: pedir ya","Pedir o producir")))</f>
        <v/>
      </c>
      <c r="K457" s="17" t="n"/>
      <c r="L457" s="17" t="n"/>
      <c r="M457" s="21">
        <f>IF(OR($A457="",$A457&lt;&gt;'Lista para pedir'!$C$3,N($I457)&lt;=0),"",COUNTIFS($A$2:$A457,$A457,$I$2:$I457,"&gt;0"))</f>
        <v/>
      </c>
    </row>
    <row r="458">
      <c r="A458" s="20" t="n"/>
      <c r="B458" s="21">
        <f>IF($A458="","",CHOOSE(WEEKDAY($A458,2),"Lunes","Martes","Miércoles","Jueves","Viernes","Sábado","Domingo"))</f>
        <v/>
      </c>
      <c r="C458" s="17" t="n"/>
      <c r="D458" s="21">
        <f>IF($C458="","",IFERROR(INDEX(Insumos!$B$2:$B$151,MATCH($C458,Insumos!$A$2:$A$151,0)),"Código no cargado"))</f>
        <v/>
      </c>
      <c r="E458" s="21">
        <f>IF($C458="","",IFERROR(INDEX(Insumos!$C$2:$C$151,MATCH($C458,Insumos!$A$2:$A$151,0)),""))</f>
        <v/>
      </c>
      <c r="F458" s="21">
        <f>IF($C458="","",IFERROR(INDEX(Insumos!$D$2:$D$151,MATCH($C458,Insumos!$A$2:$A$151,0)),""))</f>
        <v/>
      </c>
      <c r="G458" s="18" t="n"/>
      <c r="H458" s="19">
        <f>IF(OR($A458="",$C458=""),"",IFERROR(INDEX(Insumos!$M$2:$S$151,MATCH($C458,Insumos!$A$2:$A$151,0),WEEKDAY($A458,2)),""))</f>
        <v/>
      </c>
      <c r="I458" s="19">
        <f>IF(OR($G458="",$H458=""),"",MAX(0,$H458-$G458))</f>
        <v/>
      </c>
      <c r="J458" s="21">
        <f>IF($I458="","",IF($I458=0,"OK",IF($G458&lt;=0,"Sin stock: pedir ya","Pedir o producir")))</f>
        <v/>
      </c>
      <c r="K458" s="17" t="n"/>
      <c r="L458" s="17" t="n"/>
      <c r="M458" s="21">
        <f>IF(OR($A458="",$A458&lt;&gt;'Lista para pedir'!$C$3,N($I458)&lt;=0),"",COUNTIFS($A$2:$A458,$A458,$I$2:$I458,"&gt;0"))</f>
        <v/>
      </c>
    </row>
    <row r="459">
      <c r="A459" s="20" t="n"/>
      <c r="B459" s="21">
        <f>IF($A459="","",CHOOSE(WEEKDAY($A459,2),"Lunes","Martes","Miércoles","Jueves","Viernes","Sábado","Domingo"))</f>
        <v/>
      </c>
      <c r="C459" s="17" t="n"/>
      <c r="D459" s="21">
        <f>IF($C459="","",IFERROR(INDEX(Insumos!$B$2:$B$151,MATCH($C459,Insumos!$A$2:$A$151,0)),"Código no cargado"))</f>
        <v/>
      </c>
      <c r="E459" s="21">
        <f>IF($C459="","",IFERROR(INDEX(Insumos!$C$2:$C$151,MATCH($C459,Insumos!$A$2:$A$151,0)),""))</f>
        <v/>
      </c>
      <c r="F459" s="21">
        <f>IF($C459="","",IFERROR(INDEX(Insumos!$D$2:$D$151,MATCH($C459,Insumos!$A$2:$A$151,0)),""))</f>
        <v/>
      </c>
      <c r="G459" s="18" t="n"/>
      <c r="H459" s="19">
        <f>IF(OR($A459="",$C459=""),"",IFERROR(INDEX(Insumos!$M$2:$S$151,MATCH($C459,Insumos!$A$2:$A$151,0),WEEKDAY($A459,2)),""))</f>
        <v/>
      </c>
      <c r="I459" s="19">
        <f>IF(OR($G459="",$H459=""),"",MAX(0,$H459-$G459))</f>
        <v/>
      </c>
      <c r="J459" s="21">
        <f>IF($I459="","",IF($I459=0,"OK",IF($G459&lt;=0,"Sin stock: pedir ya","Pedir o producir")))</f>
        <v/>
      </c>
      <c r="K459" s="17" t="n"/>
      <c r="L459" s="17" t="n"/>
      <c r="M459" s="21">
        <f>IF(OR($A459="",$A459&lt;&gt;'Lista para pedir'!$C$3,N($I459)&lt;=0),"",COUNTIFS($A$2:$A459,$A459,$I$2:$I459,"&gt;0"))</f>
        <v/>
      </c>
    </row>
    <row r="460">
      <c r="A460" s="20" t="n"/>
      <c r="B460" s="21">
        <f>IF($A460="","",CHOOSE(WEEKDAY($A460,2),"Lunes","Martes","Miércoles","Jueves","Viernes","Sábado","Domingo"))</f>
        <v/>
      </c>
      <c r="C460" s="17" t="n"/>
      <c r="D460" s="21">
        <f>IF($C460="","",IFERROR(INDEX(Insumos!$B$2:$B$151,MATCH($C460,Insumos!$A$2:$A$151,0)),"Código no cargado"))</f>
        <v/>
      </c>
      <c r="E460" s="21">
        <f>IF($C460="","",IFERROR(INDEX(Insumos!$C$2:$C$151,MATCH($C460,Insumos!$A$2:$A$151,0)),""))</f>
        <v/>
      </c>
      <c r="F460" s="21">
        <f>IF($C460="","",IFERROR(INDEX(Insumos!$D$2:$D$151,MATCH($C460,Insumos!$A$2:$A$151,0)),""))</f>
        <v/>
      </c>
      <c r="G460" s="18" t="n"/>
      <c r="H460" s="19">
        <f>IF(OR($A460="",$C460=""),"",IFERROR(INDEX(Insumos!$M$2:$S$151,MATCH($C460,Insumos!$A$2:$A$151,0),WEEKDAY($A460,2)),""))</f>
        <v/>
      </c>
      <c r="I460" s="19">
        <f>IF(OR($G460="",$H460=""),"",MAX(0,$H460-$G460))</f>
        <v/>
      </c>
      <c r="J460" s="21">
        <f>IF($I460="","",IF($I460=0,"OK",IF($G460&lt;=0,"Sin stock: pedir ya","Pedir o producir")))</f>
        <v/>
      </c>
      <c r="K460" s="17" t="n"/>
      <c r="L460" s="17" t="n"/>
      <c r="M460" s="21">
        <f>IF(OR($A460="",$A460&lt;&gt;'Lista para pedir'!$C$3,N($I460)&lt;=0),"",COUNTIFS($A$2:$A460,$A460,$I$2:$I460,"&gt;0"))</f>
        <v/>
      </c>
    </row>
    <row r="461">
      <c r="A461" s="20" t="n"/>
      <c r="B461" s="21">
        <f>IF($A461="","",CHOOSE(WEEKDAY($A461,2),"Lunes","Martes","Miércoles","Jueves","Viernes","Sábado","Domingo"))</f>
        <v/>
      </c>
      <c r="C461" s="17" t="n"/>
      <c r="D461" s="21">
        <f>IF($C461="","",IFERROR(INDEX(Insumos!$B$2:$B$151,MATCH($C461,Insumos!$A$2:$A$151,0)),"Código no cargado"))</f>
        <v/>
      </c>
      <c r="E461" s="21">
        <f>IF($C461="","",IFERROR(INDEX(Insumos!$C$2:$C$151,MATCH($C461,Insumos!$A$2:$A$151,0)),""))</f>
        <v/>
      </c>
      <c r="F461" s="21">
        <f>IF($C461="","",IFERROR(INDEX(Insumos!$D$2:$D$151,MATCH($C461,Insumos!$A$2:$A$151,0)),""))</f>
        <v/>
      </c>
      <c r="G461" s="18" t="n"/>
      <c r="H461" s="19">
        <f>IF(OR($A461="",$C461=""),"",IFERROR(INDEX(Insumos!$M$2:$S$151,MATCH($C461,Insumos!$A$2:$A$151,0),WEEKDAY($A461,2)),""))</f>
        <v/>
      </c>
      <c r="I461" s="19">
        <f>IF(OR($G461="",$H461=""),"",MAX(0,$H461-$G461))</f>
        <v/>
      </c>
      <c r="J461" s="21">
        <f>IF($I461="","",IF($I461=0,"OK",IF($G461&lt;=0,"Sin stock: pedir ya","Pedir o producir")))</f>
        <v/>
      </c>
      <c r="K461" s="17" t="n"/>
      <c r="L461" s="17" t="n"/>
      <c r="M461" s="21">
        <f>IF(OR($A461="",$A461&lt;&gt;'Lista para pedir'!$C$3,N($I461)&lt;=0),"",COUNTIFS($A$2:$A461,$A461,$I$2:$I461,"&gt;0"))</f>
        <v/>
      </c>
    </row>
    <row r="462">
      <c r="A462" s="20" t="n"/>
      <c r="B462" s="21">
        <f>IF($A462="","",CHOOSE(WEEKDAY($A462,2),"Lunes","Martes","Miércoles","Jueves","Viernes","Sábado","Domingo"))</f>
        <v/>
      </c>
      <c r="C462" s="17" t="n"/>
      <c r="D462" s="21">
        <f>IF($C462="","",IFERROR(INDEX(Insumos!$B$2:$B$151,MATCH($C462,Insumos!$A$2:$A$151,0)),"Código no cargado"))</f>
        <v/>
      </c>
      <c r="E462" s="21">
        <f>IF($C462="","",IFERROR(INDEX(Insumos!$C$2:$C$151,MATCH($C462,Insumos!$A$2:$A$151,0)),""))</f>
        <v/>
      </c>
      <c r="F462" s="21">
        <f>IF($C462="","",IFERROR(INDEX(Insumos!$D$2:$D$151,MATCH($C462,Insumos!$A$2:$A$151,0)),""))</f>
        <v/>
      </c>
      <c r="G462" s="18" t="n"/>
      <c r="H462" s="19">
        <f>IF(OR($A462="",$C462=""),"",IFERROR(INDEX(Insumos!$M$2:$S$151,MATCH($C462,Insumos!$A$2:$A$151,0),WEEKDAY($A462,2)),""))</f>
        <v/>
      </c>
      <c r="I462" s="19">
        <f>IF(OR($G462="",$H462=""),"",MAX(0,$H462-$G462))</f>
        <v/>
      </c>
      <c r="J462" s="21">
        <f>IF($I462="","",IF($I462=0,"OK",IF($G462&lt;=0,"Sin stock: pedir ya","Pedir o producir")))</f>
        <v/>
      </c>
      <c r="K462" s="17" t="n"/>
      <c r="L462" s="17" t="n"/>
      <c r="M462" s="21">
        <f>IF(OR($A462="",$A462&lt;&gt;'Lista para pedir'!$C$3,N($I462)&lt;=0),"",COUNTIFS($A$2:$A462,$A462,$I$2:$I462,"&gt;0"))</f>
        <v/>
      </c>
    </row>
    <row r="463">
      <c r="A463" s="20" t="n"/>
      <c r="B463" s="21">
        <f>IF($A463="","",CHOOSE(WEEKDAY($A463,2),"Lunes","Martes","Miércoles","Jueves","Viernes","Sábado","Domingo"))</f>
        <v/>
      </c>
      <c r="C463" s="17" t="n"/>
      <c r="D463" s="21">
        <f>IF($C463="","",IFERROR(INDEX(Insumos!$B$2:$B$151,MATCH($C463,Insumos!$A$2:$A$151,0)),"Código no cargado"))</f>
        <v/>
      </c>
      <c r="E463" s="21">
        <f>IF($C463="","",IFERROR(INDEX(Insumos!$C$2:$C$151,MATCH($C463,Insumos!$A$2:$A$151,0)),""))</f>
        <v/>
      </c>
      <c r="F463" s="21">
        <f>IF($C463="","",IFERROR(INDEX(Insumos!$D$2:$D$151,MATCH($C463,Insumos!$A$2:$A$151,0)),""))</f>
        <v/>
      </c>
      <c r="G463" s="18" t="n"/>
      <c r="H463" s="19">
        <f>IF(OR($A463="",$C463=""),"",IFERROR(INDEX(Insumos!$M$2:$S$151,MATCH($C463,Insumos!$A$2:$A$151,0),WEEKDAY($A463,2)),""))</f>
        <v/>
      </c>
      <c r="I463" s="19">
        <f>IF(OR($G463="",$H463=""),"",MAX(0,$H463-$G463))</f>
        <v/>
      </c>
      <c r="J463" s="21">
        <f>IF($I463="","",IF($I463=0,"OK",IF($G463&lt;=0,"Sin stock: pedir ya","Pedir o producir")))</f>
        <v/>
      </c>
      <c r="K463" s="17" t="n"/>
      <c r="L463" s="17" t="n"/>
      <c r="M463" s="21">
        <f>IF(OR($A463="",$A463&lt;&gt;'Lista para pedir'!$C$3,N($I463)&lt;=0),"",COUNTIFS($A$2:$A463,$A463,$I$2:$I463,"&gt;0"))</f>
        <v/>
      </c>
    </row>
    <row r="464">
      <c r="A464" s="20" t="n"/>
      <c r="B464" s="21">
        <f>IF($A464="","",CHOOSE(WEEKDAY($A464,2),"Lunes","Martes","Miércoles","Jueves","Viernes","Sábado","Domingo"))</f>
        <v/>
      </c>
      <c r="C464" s="17" t="n"/>
      <c r="D464" s="21">
        <f>IF($C464="","",IFERROR(INDEX(Insumos!$B$2:$B$151,MATCH($C464,Insumos!$A$2:$A$151,0)),"Código no cargado"))</f>
        <v/>
      </c>
      <c r="E464" s="21">
        <f>IF($C464="","",IFERROR(INDEX(Insumos!$C$2:$C$151,MATCH($C464,Insumos!$A$2:$A$151,0)),""))</f>
        <v/>
      </c>
      <c r="F464" s="21">
        <f>IF($C464="","",IFERROR(INDEX(Insumos!$D$2:$D$151,MATCH($C464,Insumos!$A$2:$A$151,0)),""))</f>
        <v/>
      </c>
      <c r="G464" s="18" t="n"/>
      <c r="H464" s="19">
        <f>IF(OR($A464="",$C464=""),"",IFERROR(INDEX(Insumos!$M$2:$S$151,MATCH($C464,Insumos!$A$2:$A$151,0),WEEKDAY($A464,2)),""))</f>
        <v/>
      </c>
      <c r="I464" s="19">
        <f>IF(OR($G464="",$H464=""),"",MAX(0,$H464-$G464))</f>
        <v/>
      </c>
      <c r="J464" s="21">
        <f>IF($I464="","",IF($I464=0,"OK",IF($G464&lt;=0,"Sin stock: pedir ya","Pedir o producir")))</f>
        <v/>
      </c>
      <c r="K464" s="17" t="n"/>
      <c r="L464" s="17" t="n"/>
      <c r="M464" s="21">
        <f>IF(OR($A464="",$A464&lt;&gt;'Lista para pedir'!$C$3,N($I464)&lt;=0),"",COUNTIFS($A$2:$A464,$A464,$I$2:$I464,"&gt;0"))</f>
        <v/>
      </c>
    </row>
    <row r="465">
      <c r="A465" s="20" t="n"/>
      <c r="B465" s="21">
        <f>IF($A465="","",CHOOSE(WEEKDAY($A465,2),"Lunes","Martes","Miércoles","Jueves","Viernes","Sábado","Domingo"))</f>
        <v/>
      </c>
      <c r="C465" s="17" t="n"/>
      <c r="D465" s="21">
        <f>IF($C465="","",IFERROR(INDEX(Insumos!$B$2:$B$151,MATCH($C465,Insumos!$A$2:$A$151,0)),"Código no cargado"))</f>
        <v/>
      </c>
      <c r="E465" s="21">
        <f>IF($C465="","",IFERROR(INDEX(Insumos!$C$2:$C$151,MATCH($C465,Insumos!$A$2:$A$151,0)),""))</f>
        <v/>
      </c>
      <c r="F465" s="21">
        <f>IF($C465="","",IFERROR(INDEX(Insumos!$D$2:$D$151,MATCH($C465,Insumos!$A$2:$A$151,0)),""))</f>
        <v/>
      </c>
      <c r="G465" s="18" t="n"/>
      <c r="H465" s="19">
        <f>IF(OR($A465="",$C465=""),"",IFERROR(INDEX(Insumos!$M$2:$S$151,MATCH($C465,Insumos!$A$2:$A$151,0),WEEKDAY($A465,2)),""))</f>
        <v/>
      </c>
      <c r="I465" s="19">
        <f>IF(OR($G465="",$H465=""),"",MAX(0,$H465-$G465))</f>
        <v/>
      </c>
      <c r="J465" s="21">
        <f>IF($I465="","",IF($I465=0,"OK",IF($G465&lt;=0,"Sin stock: pedir ya","Pedir o producir")))</f>
        <v/>
      </c>
      <c r="K465" s="17" t="n"/>
      <c r="L465" s="17" t="n"/>
      <c r="M465" s="21">
        <f>IF(OR($A465="",$A465&lt;&gt;'Lista para pedir'!$C$3,N($I465)&lt;=0),"",COUNTIFS($A$2:$A465,$A465,$I$2:$I465,"&gt;0"))</f>
        <v/>
      </c>
    </row>
    <row r="466">
      <c r="A466" s="20" t="n"/>
      <c r="B466" s="21">
        <f>IF($A466="","",CHOOSE(WEEKDAY($A466,2),"Lunes","Martes","Miércoles","Jueves","Viernes","Sábado","Domingo"))</f>
        <v/>
      </c>
      <c r="C466" s="17" t="n"/>
      <c r="D466" s="21">
        <f>IF($C466="","",IFERROR(INDEX(Insumos!$B$2:$B$151,MATCH($C466,Insumos!$A$2:$A$151,0)),"Código no cargado"))</f>
        <v/>
      </c>
      <c r="E466" s="21">
        <f>IF($C466="","",IFERROR(INDEX(Insumos!$C$2:$C$151,MATCH($C466,Insumos!$A$2:$A$151,0)),""))</f>
        <v/>
      </c>
      <c r="F466" s="21">
        <f>IF($C466="","",IFERROR(INDEX(Insumos!$D$2:$D$151,MATCH($C466,Insumos!$A$2:$A$151,0)),""))</f>
        <v/>
      </c>
      <c r="G466" s="18" t="n"/>
      <c r="H466" s="19">
        <f>IF(OR($A466="",$C466=""),"",IFERROR(INDEX(Insumos!$M$2:$S$151,MATCH($C466,Insumos!$A$2:$A$151,0),WEEKDAY($A466,2)),""))</f>
        <v/>
      </c>
      <c r="I466" s="19">
        <f>IF(OR($G466="",$H466=""),"",MAX(0,$H466-$G466))</f>
        <v/>
      </c>
      <c r="J466" s="21">
        <f>IF($I466="","",IF($I466=0,"OK",IF($G466&lt;=0,"Sin stock: pedir ya","Pedir o producir")))</f>
        <v/>
      </c>
      <c r="K466" s="17" t="n"/>
      <c r="L466" s="17" t="n"/>
      <c r="M466" s="21">
        <f>IF(OR($A466="",$A466&lt;&gt;'Lista para pedir'!$C$3,N($I466)&lt;=0),"",COUNTIFS($A$2:$A466,$A466,$I$2:$I466,"&gt;0"))</f>
        <v/>
      </c>
    </row>
    <row r="467">
      <c r="A467" s="20" t="n"/>
      <c r="B467" s="21">
        <f>IF($A467="","",CHOOSE(WEEKDAY($A467,2),"Lunes","Martes","Miércoles","Jueves","Viernes","Sábado","Domingo"))</f>
        <v/>
      </c>
      <c r="C467" s="17" t="n"/>
      <c r="D467" s="21">
        <f>IF($C467="","",IFERROR(INDEX(Insumos!$B$2:$B$151,MATCH($C467,Insumos!$A$2:$A$151,0)),"Código no cargado"))</f>
        <v/>
      </c>
      <c r="E467" s="21">
        <f>IF($C467="","",IFERROR(INDEX(Insumos!$C$2:$C$151,MATCH($C467,Insumos!$A$2:$A$151,0)),""))</f>
        <v/>
      </c>
      <c r="F467" s="21">
        <f>IF($C467="","",IFERROR(INDEX(Insumos!$D$2:$D$151,MATCH($C467,Insumos!$A$2:$A$151,0)),""))</f>
        <v/>
      </c>
      <c r="G467" s="18" t="n"/>
      <c r="H467" s="19">
        <f>IF(OR($A467="",$C467=""),"",IFERROR(INDEX(Insumos!$M$2:$S$151,MATCH($C467,Insumos!$A$2:$A$151,0),WEEKDAY($A467,2)),""))</f>
        <v/>
      </c>
      <c r="I467" s="19">
        <f>IF(OR($G467="",$H467=""),"",MAX(0,$H467-$G467))</f>
        <v/>
      </c>
      <c r="J467" s="21">
        <f>IF($I467="","",IF($I467=0,"OK",IF($G467&lt;=0,"Sin stock: pedir ya","Pedir o producir")))</f>
        <v/>
      </c>
      <c r="K467" s="17" t="n"/>
      <c r="L467" s="17" t="n"/>
      <c r="M467" s="21">
        <f>IF(OR($A467="",$A467&lt;&gt;'Lista para pedir'!$C$3,N($I467)&lt;=0),"",COUNTIFS($A$2:$A467,$A467,$I$2:$I467,"&gt;0"))</f>
        <v/>
      </c>
    </row>
    <row r="468">
      <c r="A468" s="20" t="n"/>
      <c r="B468" s="21">
        <f>IF($A468="","",CHOOSE(WEEKDAY($A468,2),"Lunes","Martes","Miércoles","Jueves","Viernes","Sábado","Domingo"))</f>
        <v/>
      </c>
      <c r="C468" s="17" t="n"/>
      <c r="D468" s="21">
        <f>IF($C468="","",IFERROR(INDEX(Insumos!$B$2:$B$151,MATCH($C468,Insumos!$A$2:$A$151,0)),"Código no cargado"))</f>
        <v/>
      </c>
      <c r="E468" s="21">
        <f>IF($C468="","",IFERROR(INDEX(Insumos!$C$2:$C$151,MATCH($C468,Insumos!$A$2:$A$151,0)),""))</f>
        <v/>
      </c>
      <c r="F468" s="21">
        <f>IF($C468="","",IFERROR(INDEX(Insumos!$D$2:$D$151,MATCH($C468,Insumos!$A$2:$A$151,0)),""))</f>
        <v/>
      </c>
      <c r="G468" s="18" t="n"/>
      <c r="H468" s="19">
        <f>IF(OR($A468="",$C468=""),"",IFERROR(INDEX(Insumos!$M$2:$S$151,MATCH($C468,Insumos!$A$2:$A$151,0),WEEKDAY($A468,2)),""))</f>
        <v/>
      </c>
      <c r="I468" s="19">
        <f>IF(OR($G468="",$H468=""),"",MAX(0,$H468-$G468))</f>
        <v/>
      </c>
      <c r="J468" s="21">
        <f>IF($I468="","",IF($I468=0,"OK",IF($G468&lt;=0,"Sin stock: pedir ya","Pedir o producir")))</f>
        <v/>
      </c>
      <c r="K468" s="17" t="n"/>
      <c r="L468" s="17" t="n"/>
      <c r="M468" s="21">
        <f>IF(OR($A468="",$A468&lt;&gt;'Lista para pedir'!$C$3,N($I468)&lt;=0),"",COUNTIFS($A$2:$A468,$A468,$I$2:$I468,"&gt;0"))</f>
        <v/>
      </c>
    </row>
    <row r="469">
      <c r="A469" s="20" t="n"/>
      <c r="B469" s="21">
        <f>IF($A469="","",CHOOSE(WEEKDAY($A469,2),"Lunes","Martes","Miércoles","Jueves","Viernes","Sábado","Domingo"))</f>
        <v/>
      </c>
      <c r="C469" s="17" t="n"/>
      <c r="D469" s="21">
        <f>IF($C469="","",IFERROR(INDEX(Insumos!$B$2:$B$151,MATCH($C469,Insumos!$A$2:$A$151,0)),"Código no cargado"))</f>
        <v/>
      </c>
      <c r="E469" s="21">
        <f>IF($C469="","",IFERROR(INDEX(Insumos!$C$2:$C$151,MATCH($C469,Insumos!$A$2:$A$151,0)),""))</f>
        <v/>
      </c>
      <c r="F469" s="21">
        <f>IF($C469="","",IFERROR(INDEX(Insumos!$D$2:$D$151,MATCH($C469,Insumos!$A$2:$A$151,0)),""))</f>
        <v/>
      </c>
      <c r="G469" s="18" t="n"/>
      <c r="H469" s="19">
        <f>IF(OR($A469="",$C469=""),"",IFERROR(INDEX(Insumos!$M$2:$S$151,MATCH($C469,Insumos!$A$2:$A$151,0),WEEKDAY($A469,2)),""))</f>
        <v/>
      </c>
      <c r="I469" s="19">
        <f>IF(OR($G469="",$H469=""),"",MAX(0,$H469-$G469))</f>
        <v/>
      </c>
      <c r="J469" s="21">
        <f>IF($I469="","",IF($I469=0,"OK",IF($G469&lt;=0,"Sin stock: pedir ya","Pedir o producir")))</f>
        <v/>
      </c>
      <c r="K469" s="17" t="n"/>
      <c r="L469" s="17" t="n"/>
      <c r="M469" s="21">
        <f>IF(OR($A469="",$A469&lt;&gt;'Lista para pedir'!$C$3,N($I469)&lt;=0),"",COUNTIFS($A$2:$A469,$A469,$I$2:$I469,"&gt;0"))</f>
        <v/>
      </c>
    </row>
    <row r="470">
      <c r="A470" s="20" t="n"/>
      <c r="B470" s="21">
        <f>IF($A470="","",CHOOSE(WEEKDAY($A470,2),"Lunes","Martes","Miércoles","Jueves","Viernes","Sábado","Domingo"))</f>
        <v/>
      </c>
      <c r="C470" s="17" t="n"/>
      <c r="D470" s="21">
        <f>IF($C470="","",IFERROR(INDEX(Insumos!$B$2:$B$151,MATCH($C470,Insumos!$A$2:$A$151,0)),"Código no cargado"))</f>
        <v/>
      </c>
      <c r="E470" s="21">
        <f>IF($C470="","",IFERROR(INDEX(Insumos!$C$2:$C$151,MATCH($C470,Insumos!$A$2:$A$151,0)),""))</f>
        <v/>
      </c>
      <c r="F470" s="21">
        <f>IF($C470="","",IFERROR(INDEX(Insumos!$D$2:$D$151,MATCH($C470,Insumos!$A$2:$A$151,0)),""))</f>
        <v/>
      </c>
      <c r="G470" s="18" t="n"/>
      <c r="H470" s="19">
        <f>IF(OR($A470="",$C470=""),"",IFERROR(INDEX(Insumos!$M$2:$S$151,MATCH($C470,Insumos!$A$2:$A$151,0),WEEKDAY($A470,2)),""))</f>
        <v/>
      </c>
      <c r="I470" s="19">
        <f>IF(OR($G470="",$H470=""),"",MAX(0,$H470-$G470))</f>
        <v/>
      </c>
      <c r="J470" s="21">
        <f>IF($I470="","",IF($I470=0,"OK",IF($G470&lt;=0,"Sin stock: pedir ya","Pedir o producir")))</f>
        <v/>
      </c>
      <c r="K470" s="17" t="n"/>
      <c r="L470" s="17" t="n"/>
      <c r="M470" s="21">
        <f>IF(OR($A470="",$A470&lt;&gt;'Lista para pedir'!$C$3,N($I470)&lt;=0),"",COUNTIFS($A$2:$A470,$A470,$I$2:$I470,"&gt;0"))</f>
        <v/>
      </c>
    </row>
    <row r="471">
      <c r="A471" s="20" t="n"/>
      <c r="B471" s="21">
        <f>IF($A471="","",CHOOSE(WEEKDAY($A471,2),"Lunes","Martes","Miércoles","Jueves","Viernes","Sábado","Domingo"))</f>
        <v/>
      </c>
      <c r="C471" s="17" t="n"/>
      <c r="D471" s="21">
        <f>IF($C471="","",IFERROR(INDEX(Insumos!$B$2:$B$151,MATCH($C471,Insumos!$A$2:$A$151,0)),"Código no cargado"))</f>
        <v/>
      </c>
      <c r="E471" s="21">
        <f>IF($C471="","",IFERROR(INDEX(Insumos!$C$2:$C$151,MATCH($C471,Insumos!$A$2:$A$151,0)),""))</f>
        <v/>
      </c>
      <c r="F471" s="21">
        <f>IF($C471="","",IFERROR(INDEX(Insumos!$D$2:$D$151,MATCH($C471,Insumos!$A$2:$A$151,0)),""))</f>
        <v/>
      </c>
      <c r="G471" s="18" t="n"/>
      <c r="H471" s="19">
        <f>IF(OR($A471="",$C471=""),"",IFERROR(INDEX(Insumos!$M$2:$S$151,MATCH($C471,Insumos!$A$2:$A$151,0),WEEKDAY($A471,2)),""))</f>
        <v/>
      </c>
      <c r="I471" s="19">
        <f>IF(OR($G471="",$H471=""),"",MAX(0,$H471-$G471))</f>
        <v/>
      </c>
      <c r="J471" s="21">
        <f>IF($I471="","",IF($I471=0,"OK",IF($G471&lt;=0,"Sin stock: pedir ya","Pedir o producir")))</f>
        <v/>
      </c>
      <c r="K471" s="17" t="n"/>
      <c r="L471" s="17" t="n"/>
      <c r="M471" s="21">
        <f>IF(OR($A471="",$A471&lt;&gt;'Lista para pedir'!$C$3,N($I471)&lt;=0),"",COUNTIFS($A$2:$A471,$A471,$I$2:$I471,"&gt;0"))</f>
        <v/>
      </c>
    </row>
    <row r="472">
      <c r="A472" s="20" t="n"/>
      <c r="B472" s="21">
        <f>IF($A472="","",CHOOSE(WEEKDAY($A472,2),"Lunes","Martes","Miércoles","Jueves","Viernes","Sábado","Domingo"))</f>
        <v/>
      </c>
      <c r="C472" s="17" t="n"/>
      <c r="D472" s="21">
        <f>IF($C472="","",IFERROR(INDEX(Insumos!$B$2:$B$151,MATCH($C472,Insumos!$A$2:$A$151,0)),"Código no cargado"))</f>
        <v/>
      </c>
      <c r="E472" s="21">
        <f>IF($C472="","",IFERROR(INDEX(Insumos!$C$2:$C$151,MATCH($C472,Insumos!$A$2:$A$151,0)),""))</f>
        <v/>
      </c>
      <c r="F472" s="21">
        <f>IF($C472="","",IFERROR(INDEX(Insumos!$D$2:$D$151,MATCH($C472,Insumos!$A$2:$A$151,0)),""))</f>
        <v/>
      </c>
      <c r="G472" s="18" t="n"/>
      <c r="H472" s="19">
        <f>IF(OR($A472="",$C472=""),"",IFERROR(INDEX(Insumos!$M$2:$S$151,MATCH($C472,Insumos!$A$2:$A$151,0),WEEKDAY($A472,2)),""))</f>
        <v/>
      </c>
      <c r="I472" s="19">
        <f>IF(OR($G472="",$H472=""),"",MAX(0,$H472-$G472))</f>
        <v/>
      </c>
      <c r="J472" s="21">
        <f>IF($I472="","",IF($I472=0,"OK",IF($G472&lt;=0,"Sin stock: pedir ya","Pedir o producir")))</f>
        <v/>
      </c>
      <c r="K472" s="17" t="n"/>
      <c r="L472" s="17" t="n"/>
      <c r="M472" s="21">
        <f>IF(OR($A472="",$A472&lt;&gt;'Lista para pedir'!$C$3,N($I472)&lt;=0),"",COUNTIFS($A$2:$A472,$A472,$I$2:$I472,"&gt;0"))</f>
        <v/>
      </c>
    </row>
    <row r="473">
      <c r="A473" s="20" t="n"/>
      <c r="B473" s="21">
        <f>IF($A473="","",CHOOSE(WEEKDAY($A473,2),"Lunes","Martes","Miércoles","Jueves","Viernes","Sábado","Domingo"))</f>
        <v/>
      </c>
      <c r="C473" s="17" t="n"/>
      <c r="D473" s="21">
        <f>IF($C473="","",IFERROR(INDEX(Insumos!$B$2:$B$151,MATCH($C473,Insumos!$A$2:$A$151,0)),"Código no cargado"))</f>
        <v/>
      </c>
      <c r="E473" s="21">
        <f>IF($C473="","",IFERROR(INDEX(Insumos!$C$2:$C$151,MATCH($C473,Insumos!$A$2:$A$151,0)),""))</f>
        <v/>
      </c>
      <c r="F473" s="21">
        <f>IF($C473="","",IFERROR(INDEX(Insumos!$D$2:$D$151,MATCH($C473,Insumos!$A$2:$A$151,0)),""))</f>
        <v/>
      </c>
      <c r="G473" s="18" t="n"/>
      <c r="H473" s="19">
        <f>IF(OR($A473="",$C473=""),"",IFERROR(INDEX(Insumos!$M$2:$S$151,MATCH($C473,Insumos!$A$2:$A$151,0),WEEKDAY($A473,2)),""))</f>
        <v/>
      </c>
      <c r="I473" s="19">
        <f>IF(OR($G473="",$H473=""),"",MAX(0,$H473-$G473))</f>
        <v/>
      </c>
      <c r="J473" s="21">
        <f>IF($I473="","",IF($I473=0,"OK",IF($G473&lt;=0,"Sin stock: pedir ya","Pedir o producir")))</f>
        <v/>
      </c>
      <c r="K473" s="17" t="n"/>
      <c r="L473" s="17" t="n"/>
      <c r="M473" s="21">
        <f>IF(OR($A473="",$A473&lt;&gt;'Lista para pedir'!$C$3,N($I473)&lt;=0),"",COUNTIFS($A$2:$A473,$A473,$I$2:$I473,"&gt;0"))</f>
        <v/>
      </c>
    </row>
    <row r="474">
      <c r="A474" s="20" t="n"/>
      <c r="B474" s="21">
        <f>IF($A474="","",CHOOSE(WEEKDAY($A474,2),"Lunes","Martes","Miércoles","Jueves","Viernes","Sábado","Domingo"))</f>
        <v/>
      </c>
      <c r="C474" s="17" t="n"/>
      <c r="D474" s="21">
        <f>IF($C474="","",IFERROR(INDEX(Insumos!$B$2:$B$151,MATCH($C474,Insumos!$A$2:$A$151,0)),"Código no cargado"))</f>
        <v/>
      </c>
      <c r="E474" s="21">
        <f>IF($C474="","",IFERROR(INDEX(Insumos!$C$2:$C$151,MATCH($C474,Insumos!$A$2:$A$151,0)),""))</f>
        <v/>
      </c>
      <c r="F474" s="21">
        <f>IF($C474="","",IFERROR(INDEX(Insumos!$D$2:$D$151,MATCH($C474,Insumos!$A$2:$A$151,0)),""))</f>
        <v/>
      </c>
      <c r="G474" s="18" t="n"/>
      <c r="H474" s="19">
        <f>IF(OR($A474="",$C474=""),"",IFERROR(INDEX(Insumos!$M$2:$S$151,MATCH($C474,Insumos!$A$2:$A$151,0),WEEKDAY($A474,2)),""))</f>
        <v/>
      </c>
      <c r="I474" s="19">
        <f>IF(OR($G474="",$H474=""),"",MAX(0,$H474-$G474))</f>
        <v/>
      </c>
      <c r="J474" s="21">
        <f>IF($I474="","",IF($I474=0,"OK",IF($G474&lt;=0,"Sin stock: pedir ya","Pedir o producir")))</f>
        <v/>
      </c>
      <c r="K474" s="17" t="n"/>
      <c r="L474" s="17" t="n"/>
      <c r="M474" s="21">
        <f>IF(OR($A474="",$A474&lt;&gt;'Lista para pedir'!$C$3,N($I474)&lt;=0),"",COUNTIFS($A$2:$A474,$A474,$I$2:$I474,"&gt;0"))</f>
        <v/>
      </c>
    </row>
    <row r="475">
      <c r="A475" s="20" t="n"/>
      <c r="B475" s="21">
        <f>IF($A475="","",CHOOSE(WEEKDAY($A475,2),"Lunes","Martes","Miércoles","Jueves","Viernes","Sábado","Domingo"))</f>
        <v/>
      </c>
      <c r="C475" s="17" t="n"/>
      <c r="D475" s="21">
        <f>IF($C475="","",IFERROR(INDEX(Insumos!$B$2:$B$151,MATCH($C475,Insumos!$A$2:$A$151,0)),"Código no cargado"))</f>
        <v/>
      </c>
      <c r="E475" s="21">
        <f>IF($C475="","",IFERROR(INDEX(Insumos!$C$2:$C$151,MATCH($C475,Insumos!$A$2:$A$151,0)),""))</f>
        <v/>
      </c>
      <c r="F475" s="21">
        <f>IF($C475="","",IFERROR(INDEX(Insumos!$D$2:$D$151,MATCH($C475,Insumos!$A$2:$A$151,0)),""))</f>
        <v/>
      </c>
      <c r="G475" s="18" t="n"/>
      <c r="H475" s="19">
        <f>IF(OR($A475="",$C475=""),"",IFERROR(INDEX(Insumos!$M$2:$S$151,MATCH($C475,Insumos!$A$2:$A$151,0),WEEKDAY($A475,2)),""))</f>
        <v/>
      </c>
      <c r="I475" s="19">
        <f>IF(OR($G475="",$H475=""),"",MAX(0,$H475-$G475))</f>
        <v/>
      </c>
      <c r="J475" s="21">
        <f>IF($I475="","",IF($I475=0,"OK",IF($G475&lt;=0,"Sin stock: pedir ya","Pedir o producir")))</f>
        <v/>
      </c>
      <c r="K475" s="17" t="n"/>
      <c r="L475" s="17" t="n"/>
      <c r="M475" s="21">
        <f>IF(OR($A475="",$A475&lt;&gt;'Lista para pedir'!$C$3,N($I475)&lt;=0),"",COUNTIFS($A$2:$A475,$A475,$I$2:$I475,"&gt;0"))</f>
        <v/>
      </c>
    </row>
    <row r="476">
      <c r="A476" s="20" t="n"/>
      <c r="B476" s="21">
        <f>IF($A476="","",CHOOSE(WEEKDAY($A476,2),"Lunes","Martes","Miércoles","Jueves","Viernes","Sábado","Domingo"))</f>
        <v/>
      </c>
      <c r="C476" s="17" t="n"/>
      <c r="D476" s="21">
        <f>IF($C476="","",IFERROR(INDEX(Insumos!$B$2:$B$151,MATCH($C476,Insumos!$A$2:$A$151,0)),"Código no cargado"))</f>
        <v/>
      </c>
      <c r="E476" s="21">
        <f>IF($C476="","",IFERROR(INDEX(Insumos!$C$2:$C$151,MATCH($C476,Insumos!$A$2:$A$151,0)),""))</f>
        <v/>
      </c>
      <c r="F476" s="21">
        <f>IF($C476="","",IFERROR(INDEX(Insumos!$D$2:$D$151,MATCH($C476,Insumos!$A$2:$A$151,0)),""))</f>
        <v/>
      </c>
      <c r="G476" s="18" t="n"/>
      <c r="H476" s="19">
        <f>IF(OR($A476="",$C476=""),"",IFERROR(INDEX(Insumos!$M$2:$S$151,MATCH($C476,Insumos!$A$2:$A$151,0),WEEKDAY($A476,2)),""))</f>
        <v/>
      </c>
      <c r="I476" s="19">
        <f>IF(OR($G476="",$H476=""),"",MAX(0,$H476-$G476))</f>
        <v/>
      </c>
      <c r="J476" s="21">
        <f>IF($I476="","",IF($I476=0,"OK",IF($G476&lt;=0,"Sin stock: pedir ya","Pedir o producir")))</f>
        <v/>
      </c>
      <c r="K476" s="17" t="n"/>
      <c r="L476" s="17" t="n"/>
      <c r="M476" s="21">
        <f>IF(OR($A476="",$A476&lt;&gt;'Lista para pedir'!$C$3,N($I476)&lt;=0),"",COUNTIFS($A$2:$A476,$A476,$I$2:$I476,"&gt;0"))</f>
        <v/>
      </c>
    </row>
    <row r="477">
      <c r="A477" s="20" t="n"/>
      <c r="B477" s="21">
        <f>IF($A477="","",CHOOSE(WEEKDAY($A477,2),"Lunes","Martes","Miércoles","Jueves","Viernes","Sábado","Domingo"))</f>
        <v/>
      </c>
      <c r="C477" s="17" t="n"/>
      <c r="D477" s="21">
        <f>IF($C477="","",IFERROR(INDEX(Insumos!$B$2:$B$151,MATCH($C477,Insumos!$A$2:$A$151,0)),"Código no cargado"))</f>
        <v/>
      </c>
      <c r="E477" s="21">
        <f>IF($C477="","",IFERROR(INDEX(Insumos!$C$2:$C$151,MATCH($C477,Insumos!$A$2:$A$151,0)),""))</f>
        <v/>
      </c>
      <c r="F477" s="21">
        <f>IF($C477="","",IFERROR(INDEX(Insumos!$D$2:$D$151,MATCH($C477,Insumos!$A$2:$A$151,0)),""))</f>
        <v/>
      </c>
      <c r="G477" s="18" t="n"/>
      <c r="H477" s="19">
        <f>IF(OR($A477="",$C477=""),"",IFERROR(INDEX(Insumos!$M$2:$S$151,MATCH($C477,Insumos!$A$2:$A$151,0),WEEKDAY($A477,2)),""))</f>
        <v/>
      </c>
      <c r="I477" s="19">
        <f>IF(OR($G477="",$H477=""),"",MAX(0,$H477-$G477))</f>
        <v/>
      </c>
      <c r="J477" s="21">
        <f>IF($I477="","",IF($I477=0,"OK",IF($G477&lt;=0,"Sin stock: pedir ya","Pedir o producir")))</f>
        <v/>
      </c>
      <c r="K477" s="17" t="n"/>
      <c r="L477" s="17" t="n"/>
      <c r="M477" s="21">
        <f>IF(OR($A477="",$A477&lt;&gt;'Lista para pedir'!$C$3,N($I477)&lt;=0),"",COUNTIFS($A$2:$A477,$A477,$I$2:$I477,"&gt;0"))</f>
        <v/>
      </c>
    </row>
    <row r="478">
      <c r="A478" s="20" t="n"/>
      <c r="B478" s="21">
        <f>IF($A478="","",CHOOSE(WEEKDAY($A478,2),"Lunes","Martes","Miércoles","Jueves","Viernes","Sábado","Domingo"))</f>
        <v/>
      </c>
      <c r="C478" s="17" t="n"/>
      <c r="D478" s="21">
        <f>IF($C478="","",IFERROR(INDEX(Insumos!$B$2:$B$151,MATCH($C478,Insumos!$A$2:$A$151,0)),"Código no cargado"))</f>
        <v/>
      </c>
      <c r="E478" s="21">
        <f>IF($C478="","",IFERROR(INDEX(Insumos!$C$2:$C$151,MATCH($C478,Insumos!$A$2:$A$151,0)),""))</f>
        <v/>
      </c>
      <c r="F478" s="21">
        <f>IF($C478="","",IFERROR(INDEX(Insumos!$D$2:$D$151,MATCH($C478,Insumos!$A$2:$A$151,0)),""))</f>
        <v/>
      </c>
      <c r="G478" s="18" t="n"/>
      <c r="H478" s="19">
        <f>IF(OR($A478="",$C478=""),"",IFERROR(INDEX(Insumos!$M$2:$S$151,MATCH($C478,Insumos!$A$2:$A$151,0),WEEKDAY($A478,2)),""))</f>
        <v/>
      </c>
      <c r="I478" s="19">
        <f>IF(OR($G478="",$H478=""),"",MAX(0,$H478-$G478))</f>
        <v/>
      </c>
      <c r="J478" s="21">
        <f>IF($I478="","",IF($I478=0,"OK",IF($G478&lt;=0,"Sin stock: pedir ya","Pedir o producir")))</f>
        <v/>
      </c>
      <c r="K478" s="17" t="n"/>
      <c r="L478" s="17" t="n"/>
      <c r="M478" s="21">
        <f>IF(OR($A478="",$A478&lt;&gt;'Lista para pedir'!$C$3,N($I478)&lt;=0),"",COUNTIFS($A$2:$A478,$A478,$I$2:$I478,"&gt;0"))</f>
        <v/>
      </c>
    </row>
    <row r="479">
      <c r="A479" s="20" t="n"/>
      <c r="B479" s="21">
        <f>IF($A479="","",CHOOSE(WEEKDAY($A479,2),"Lunes","Martes","Miércoles","Jueves","Viernes","Sábado","Domingo"))</f>
        <v/>
      </c>
      <c r="C479" s="17" t="n"/>
      <c r="D479" s="21">
        <f>IF($C479="","",IFERROR(INDEX(Insumos!$B$2:$B$151,MATCH($C479,Insumos!$A$2:$A$151,0)),"Código no cargado"))</f>
        <v/>
      </c>
      <c r="E479" s="21">
        <f>IF($C479="","",IFERROR(INDEX(Insumos!$C$2:$C$151,MATCH($C479,Insumos!$A$2:$A$151,0)),""))</f>
        <v/>
      </c>
      <c r="F479" s="21">
        <f>IF($C479="","",IFERROR(INDEX(Insumos!$D$2:$D$151,MATCH($C479,Insumos!$A$2:$A$151,0)),""))</f>
        <v/>
      </c>
      <c r="G479" s="18" t="n"/>
      <c r="H479" s="19">
        <f>IF(OR($A479="",$C479=""),"",IFERROR(INDEX(Insumos!$M$2:$S$151,MATCH($C479,Insumos!$A$2:$A$151,0),WEEKDAY($A479,2)),""))</f>
        <v/>
      </c>
      <c r="I479" s="19">
        <f>IF(OR($G479="",$H479=""),"",MAX(0,$H479-$G479))</f>
        <v/>
      </c>
      <c r="J479" s="21">
        <f>IF($I479="","",IF($I479=0,"OK",IF($G479&lt;=0,"Sin stock: pedir ya","Pedir o producir")))</f>
        <v/>
      </c>
      <c r="K479" s="17" t="n"/>
      <c r="L479" s="17" t="n"/>
      <c r="M479" s="21">
        <f>IF(OR($A479="",$A479&lt;&gt;'Lista para pedir'!$C$3,N($I479)&lt;=0),"",COUNTIFS($A$2:$A479,$A479,$I$2:$I479,"&gt;0"))</f>
        <v/>
      </c>
    </row>
    <row r="480">
      <c r="A480" s="20" t="n"/>
      <c r="B480" s="21">
        <f>IF($A480="","",CHOOSE(WEEKDAY($A480,2),"Lunes","Martes","Miércoles","Jueves","Viernes","Sábado","Domingo"))</f>
        <v/>
      </c>
      <c r="C480" s="17" t="n"/>
      <c r="D480" s="21">
        <f>IF($C480="","",IFERROR(INDEX(Insumos!$B$2:$B$151,MATCH($C480,Insumos!$A$2:$A$151,0)),"Código no cargado"))</f>
        <v/>
      </c>
      <c r="E480" s="21">
        <f>IF($C480="","",IFERROR(INDEX(Insumos!$C$2:$C$151,MATCH($C480,Insumos!$A$2:$A$151,0)),""))</f>
        <v/>
      </c>
      <c r="F480" s="21">
        <f>IF($C480="","",IFERROR(INDEX(Insumos!$D$2:$D$151,MATCH($C480,Insumos!$A$2:$A$151,0)),""))</f>
        <v/>
      </c>
      <c r="G480" s="18" t="n"/>
      <c r="H480" s="19">
        <f>IF(OR($A480="",$C480=""),"",IFERROR(INDEX(Insumos!$M$2:$S$151,MATCH($C480,Insumos!$A$2:$A$151,0),WEEKDAY($A480,2)),""))</f>
        <v/>
      </c>
      <c r="I480" s="19">
        <f>IF(OR($G480="",$H480=""),"",MAX(0,$H480-$G480))</f>
        <v/>
      </c>
      <c r="J480" s="21">
        <f>IF($I480="","",IF($I480=0,"OK",IF($G480&lt;=0,"Sin stock: pedir ya","Pedir o producir")))</f>
        <v/>
      </c>
      <c r="K480" s="17" t="n"/>
      <c r="L480" s="17" t="n"/>
      <c r="M480" s="21">
        <f>IF(OR($A480="",$A480&lt;&gt;'Lista para pedir'!$C$3,N($I480)&lt;=0),"",COUNTIFS($A$2:$A480,$A480,$I$2:$I480,"&gt;0"))</f>
        <v/>
      </c>
    </row>
    <row r="481">
      <c r="A481" s="20" t="n"/>
      <c r="B481" s="21">
        <f>IF($A481="","",CHOOSE(WEEKDAY($A481,2),"Lunes","Martes","Miércoles","Jueves","Viernes","Sábado","Domingo"))</f>
        <v/>
      </c>
      <c r="C481" s="17" t="n"/>
      <c r="D481" s="21">
        <f>IF($C481="","",IFERROR(INDEX(Insumos!$B$2:$B$151,MATCH($C481,Insumos!$A$2:$A$151,0)),"Código no cargado"))</f>
        <v/>
      </c>
      <c r="E481" s="21">
        <f>IF($C481="","",IFERROR(INDEX(Insumos!$C$2:$C$151,MATCH($C481,Insumos!$A$2:$A$151,0)),""))</f>
        <v/>
      </c>
      <c r="F481" s="21">
        <f>IF($C481="","",IFERROR(INDEX(Insumos!$D$2:$D$151,MATCH($C481,Insumos!$A$2:$A$151,0)),""))</f>
        <v/>
      </c>
      <c r="G481" s="18" t="n"/>
      <c r="H481" s="19">
        <f>IF(OR($A481="",$C481=""),"",IFERROR(INDEX(Insumos!$M$2:$S$151,MATCH($C481,Insumos!$A$2:$A$151,0),WEEKDAY($A481,2)),""))</f>
        <v/>
      </c>
      <c r="I481" s="19">
        <f>IF(OR($G481="",$H481=""),"",MAX(0,$H481-$G481))</f>
        <v/>
      </c>
      <c r="J481" s="21">
        <f>IF($I481="","",IF($I481=0,"OK",IF($G481&lt;=0,"Sin stock: pedir ya","Pedir o producir")))</f>
        <v/>
      </c>
      <c r="K481" s="17" t="n"/>
      <c r="L481" s="17" t="n"/>
      <c r="M481" s="21">
        <f>IF(OR($A481="",$A481&lt;&gt;'Lista para pedir'!$C$3,N($I481)&lt;=0),"",COUNTIFS($A$2:$A481,$A481,$I$2:$I481,"&gt;0"))</f>
        <v/>
      </c>
    </row>
    <row r="482">
      <c r="A482" s="20" t="n"/>
      <c r="B482" s="21">
        <f>IF($A482="","",CHOOSE(WEEKDAY($A482,2),"Lunes","Martes","Miércoles","Jueves","Viernes","Sábado","Domingo"))</f>
        <v/>
      </c>
      <c r="C482" s="17" t="n"/>
      <c r="D482" s="21">
        <f>IF($C482="","",IFERROR(INDEX(Insumos!$B$2:$B$151,MATCH($C482,Insumos!$A$2:$A$151,0)),"Código no cargado"))</f>
        <v/>
      </c>
      <c r="E482" s="21">
        <f>IF($C482="","",IFERROR(INDEX(Insumos!$C$2:$C$151,MATCH($C482,Insumos!$A$2:$A$151,0)),""))</f>
        <v/>
      </c>
      <c r="F482" s="21">
        <f>IF($C482="","",IFERROR(INDEX(Insumos!$D$2:$D$151,MATCH($C482,Insumos!$A$2:$A$151,0)),""))</f>
        <v/>
      </c>
      <c r="G482" s="18" t="n"/>
      <c r="H482" s="19">
        <f>IF(OR($A482="",$C482=""),"",IFERROR(INDEX(Insumos!$M$2:$S$151,MATCH($C482,Insumos!$A$2:$A$151,0),WEEKDAY($A482,2)),""))</f>
        <v/>
      </c>
      <c r="I482" s="19">
        <f>IF(OR($G482="",$H482=""),"",MAX(0,$H482-$G482))</f>
        <v/>
      </c>
      <c r="J482" s="21">
        <f>IF($I482="","",IF($I482=0,"OK",IF($G482&lt;=0,"Sin stock: pedir ya","Pedir o producir")))</f>
        <v/>
      </c>
      <c r="K482" s="17" t="n"/>
      <c r="L482" s="17" t="n"/>
      <c r="M482" s="21">
        <f>IF(OR($A482="",$A482&lt;&gt;'Lista para pedir'!$C$3,N($I482)&lt;=0),"",COUNTIFS($A$2:$A482,$A482,$I$2:$I482,"&gt;0"))</f>
        <v/>
      </c>
    </row>
    <row r="483">
      <c r="A483" s="20" t="n"/>
      <c r="B483" s="21">
        <f>IF($A483="","",CHOOSE(WEEKDAY($A483,2),"Lunes","Martes","Miércoles","Jueves","Viernes","Sábado","Domingo"))</f>
        <v/>
      </c>
      <c r="C483" s="17" t="n"/>
      <c r="D483" s="21">
        <f>IF($C483="","",IFERROR(INDEX(Insumos!$B$2:$B$151,MATCH($C483,Insumos!$A$2:$A$151,0)),"Código no cargado"))</f>
        <v/>
      </c>
      <c r="E483" s="21">
        <f>IF($C483="","",IFERROR(INDEX(Insumos!$C$2:$C$151,MATCH($C483,Insumos!$A$2:$A$151,0)),""))</f>
        <v/>
      </c>
      <c r="F483" s="21">
        <f>IF($C483="","",IFERROR(INDEX(Insumos!$D$2:$D$151,MATCH($C483,Insumos!$A$2:$A$151,0)),""))</f>
        <v/>
      </c>
      <c r="G483" s="18" t="n"/>
      <c r="H483" s="19">
        <f>IF(OR($A483="",$C483=""),"",IFERROR(INDEX(Insumos!$M$2:$S$151,MATCH($C483,Insumos!$A$2:$A$151,0),WEEKDAY($A483,2)),""))</f>
        <v/>
      </c>
      <c r="I483" s="19">
        <f>IF(OR($G483="",$H483=""),"",MAX(0,$H483-$G483))</f>
        <v/>
      </c>
      <c r="J483" s="21">
        <f>IF($I483="","",IF($I483=0,"OK",IF($G483&lt;=0,"Sin stock: pedir ya","Pedir o producir")))</f>
        <v/>
      </c>
      <c r="K483" s="17" t="n"/>
      <c r="L483" s="17" t="n"/>
      <c r="M483" s="21">
        <f>IF(OR($A483="",$A483&lt;&gt;'Lista para pedir'!$C$3,N($I483)&lt;=0),"",COUNTIFS($A$2:$A483,$A483,$I$2:$I483,"&gt;0"))</f>
        <v/>
      </c>
    </row>
    <row r="484">
      <c r="A484" s="20" t="n"/>
      <c r="B484" s="21">
        <f>IF($A484="","",CHOOSE(WEEKDAY($A484,2),"Lunes","Martes","Miércoles","Jueves","Viernes","Sábado","Domingo"))</f>
        <v/>
      </c>
      <c r="C484" s="17" t="n"/>
      <c r="D484" s="21">
        <f>IF($C484="","",IFERROR(INDEX(Insumos!$B$2:$B$151,MATCH($C484,Insumos!$A$2:$A$151,0)),"Código no cargado"))</f>
        <v/>
      </c>
      <c r="E484" s="21">
        <f>IF($C484="","",IFERROR(INDEX(Insumos!$C$2:$C$151,MATCH($C484,Insumos!$A$2:$A$151,0)),""))</f>
        <v/>
      </c>
      <c r="F484" s="21">
        <f>IF($C484="","",IFERROR(INDEX(Insumos!$D$2:$D$151,MATCH($C484,Insumos!$A$2:$A$151,0)),""))</f>
        <v/>
      </c>
      <c r="G484" s="18" t="n"/>
      <c r="H484" s="19">
        <f>IF(OR($A484="",$C484=""),"",IFERROR(INDEX(Insumos!$M$2:$S$151,MATCH($C484,Insumos!$A$2:$A$151,0),WEEKDAY($A484,2)),""))</f>
        <v/>
      </c>
      <c r="I484" s="19">
        <f>IF(OR($G484="",$H484=""),"",MAX(0,$H484-$G484))</f>
        <v/>
      </c>
      <c r="J484" s="21">
        <f>IF($I484="","",IF($I484=0,"OK",IF($G484&lt;=0,"Sin stock: pedir ya","Pedir o producir")))</f>
        <v/>
      </c>
      <c r="K484" s="17" t="n"/>
      <c r="L484" s="17" t="n"/>
      <c r="M484" s="21">
        <f>IF(OR($A484="",$A484&lt;&gt;'Lista para pedir'!$C$3,N($I484)&lt;=0),"",COUNTIFS($A$2:$A484,$A484,$I$2:$I484,"&gt;0"))</f>
        <v/>
      </c>
    </row>
    <row r="485">
      <c r="A485" s="20" t="n"/>
      <c r="B485" s="21">
        <f>IF($A485="","",CHOOSE(WEEKDAY($A485,2),"Lunes","Martes","Miércoles","Jueves","Viernes","Sábado","Domingo"))</f>
        <v/>
      </c>
      <c r="C485" s="17" t="n"/>
      <c r="D485" s="21">
        <f>IF($C485="","",IFERROR(INDEX(Insumos!$B$2:$B$151,MATCH($C485,Insumos!$A$2:$A$151,0)),"Código no cargado"))</f>
        <v/>
      </c>
      <c r="E485" s="21">
        <f>IF($C485="","",IFERROR(INDEX(Insumos!$C$2:$C$151,MATCH($C485,Insumos!$A$2:$A$151,0)),""))</f>
        <v/>
      </c>
      <c r="F485" s="21">
        <f>IF($C485="","",IFERROR(INDEX(Insumos!$D$2:$D$151,MATCH($C485,Insumos!$A$2:$A$151,0)),""))</f>
        <v/>
      </c>
      <c r="G485" s="18" t="n"/>
      <c r="H485" s="19">
        <f>IF(OR($A485="",$C485=""),"",IFERROR(INDEX(Insumos!$M$2:$S$151,MATCH($C485,Insumos!$A$2:$A$151,0),WEEKDAY($A485,2)),""))</f>
        <v/>
      </c>
      <c r="I485" s="19">
        <f>IF(OR($G485="",$H485=""),"",MAX(0,$H485-$G485))</f>
        <v/>
      </c>
      <c r="J485" s="21">
        <f>IF($I485="","",IF($I485=0,"OK",IF($G485&lt;=0,"Sin stock: pedir ya","Pedir o producir")))</f>
        <v/>
      </c>
      <c r="K485" s="17" t="n"/>
      <c r="L485" s="17" t="n"/>
      <c r="M485" s="21">
        <f>IF(OR($A485="",$A485&lt;&gt;'Lista para pedir'!$C$3,N($I485)&lt;=0),"",COUNTIFS($A$2:$A485,$A485,$I$2:$I485,"&gt;0"))</f>
        <v/>
      </c>
    </row>
    <row r="486">
      <c r="A486" s="20" t="n"/>
      <c r="B486" s="21">
        <f>IF($A486="","",CHOOSE(WEEKDAY($A486,2),"Lunes","Martes","Miércoles","Jueves","Viernes","Sábado","Domingo"))</f>
        <v/>
      </c>
      <c r="C486" s="17" t="n"/>
      <c r="D486" s="21">
        <f>IF($C486="","",IFERROR(INDEX(Insumos!$B$2:$B$151,MATCH($C486,Insumos!$A$2:$A$151,0)),"Código no cargado"))</f>
        <v/>
      </c>
      <c r="E486" s="21">
        <f>IF($C486="","",IFERROR(INDEX(Insumos!$C$2:$C$151,MATCH($C486,Insumos!$A$2:$A$151,0)),""))</f>
        <v/>
      </c>
      <c r="F486" s="21">
        <f>IF($C486="","",IFERROR(INDEX(Insumos!$D$2:$D$151,MATCH($C486,Insumos!$A$2:$A$151,0)),""))</f>
        <v/>
      </c>
      <c r="G486" s="18" t="n"/>
      <c r="H486" s="19">
        <f>IF(OR($A486="",$C486=""),"",IFERROR(INDEX(Insumos!$M$2:$S$151,MATCH($C486,Insumos!$A$2:$A$151,0),WEEKDAY($A486,2)),""))</f>
        <v/>
      </c>
      <c r="I486" s="19">
        <f>IF(OR($G486="",$H486=""),"",MAX(0,$H486-$G486))</f>
        <v/>
      </c>
      <c r="J486" s="21">
        <f>IF($I486="","",IF($I486=0,"OK",IF($G486&lt;=0,"Sin stock: pedir ya","Pedir o producir")))</f>
        <v/>
      </c>
      <c r="K486" s="17" t="n"/>
      <c r="L486" s="17" t="n"/>
      <c r="M486" s="21">
        <f>IF(OR($A486="",$A486&lt;&gt;'Lista para pedir'!$C$3,N($I486)&lt;=0),"",COUNTIFS($A$2:$A486,$A486,$I$2:$I486,"&gt;0"))</f>
        <v/>
      </c>
    </row>
    <row r="487">
      <c r="A487" s="20" t="n"/>
      <c r="B487" s="21">
        <f>IF($A487="","",CHOOSE(WEEKDAY($A487,2),"Lunes","Martes","Miércoles","Jueves","Viernes","Sábado","Domingo"))</f>
        <v/>
      </c>
      <c r="C487" s="17" t="n"/>
      <c r="D487" s="21">
        <f>IF($C487="","",IFERROR(INDEX(Insumos!$B$2:$B$151,MATCH($C487,Insumos!$A$2:$A$151,0)),"Código no cargado"))</f>
        <v/>
      </c>
      <c r="E487" s="21">
        <f>IF($C487="","",IFERROR(INDEX(Insumos!$C$2:$C$151,MATCH($C487,Insumos!$A$2:$A$151,0)),""))</f>
        <v/>
      </c>
      <c r="F487" s="21">
        <f>IF($C487="","",IFERROR(INDEX(Insumos!$D$2:$D$151,MATCH($C487,Insumos!$A$2:$A$151,0)),""))</f>
        <v/>
      </c>
      <c r="G487" s="18" t="n"/>
      <c r="H487" s="19">
        <f>IF(OR($A487="",$C487=""),"",IFERROR(INDEX(Insumos!$M$2:$S$151,MATCH($C487,Insumos!$A$2:$A$151,0),WEEKDAY($A487,2)),""))</f>
        <v/>
      </c>
      <c r="I487" s="19">
        <f>IF(OR($G487="",$H487=""),"",MAX(0,$H487-$G487))</f>
        <v/>
      </c>
      <c r="J487" s="21">
        <f>IF($I487="","",IF($I487=0,"OK",IF($G487&lt;=0,"Sin stock: pedir ya","Pedir o producir")))</f>
        <v/>
      </c>
      <c r="K487" s="17" t="n"/>
      <c r="L487" s="17" t="n"/>
      <c r="M487" s="21">
        <f>IF(OR($A487="",$A487&lt;&gt;'Lista para pedir'!$C$3,N($I487)&lt;=0),"",COUNTIFS($A$2:$A487,$A487,$I$2:$I487,"&gt;0"))</f>
        <v/>
      </c>
    </row>
    <row r="488">
      <c r="A488" s="20" t="n"/>
      <c r="B488" s="21">
        <f>IF($A488="","",CHOOSE(WEEKDAY($A488,2),"Lunes","Martes","Miércoles","Jueves","Viernes","Sábado","Domingo"))</f>
        <v/>
      </c>
      <c r="C488" s="17" t="n"/>
      <c r="D488" s="21">
        <f>IF($C488="","",IFERROR(INDEX(Insumos!$B$2:$B$151,MATCH($C488,Insumos!$A$2:$A$151,0)),"Código no cargado"))</f>
        <v/>
      </c>
      <c r="E488" s="21">
        <f>IF($C488="","",IFERROR(INDEX(Insumos!$C$2:$C$151,MATCH($C488,Insumos!$A$2:$A$151,0)),""))</f>
        <v/>
      </c>
      <c r="F488" s="21">
        <f>IF($C488="","",IFERROR(INDEX(Insumos!$D$2:$D$151,MATCH($C488,Insumos!$A$2:$A$151,0)),""))</f>
        <v/>
      </c>
      <c r="G488" s="18" t="n"/>
      <c r="H488" s="19">
        <f>IF(OR($A488="",$C488=""),"",IFERROR(INDEX(Insumos!$M$2:$S$151,MATCH($C488,Insumos!$A$2:$A$151,0),WEEKDAY($A488,2)),""))</f>
        <v/>
      </c>
      <c r="I488" s="19">
        <f>IF(OR($G488="",$H488=""),"",MAX(0,$H488-$G488))</f>
        <v/>
      </c>
      <c r="J488" s="21">
        <f>IF($I488="","",IF($I488=0,"OK",IF($G488&lt;=0,"Sin stock: pedir ya","Pedir o producir")))</f>
        <v/>
      </c>
      <c r="K488" s="17" t="n"/>
      <c r="L488" s="17" t="n"/>
      <c r="M488" s="21">
        <f>IF(OR($A488="",$A488&lt;&gt;'Lista para pedir'!$C$3,N($I488)&lt;=0),"",COUNTIFS($A$2:$A488,$A488,$I$2:$I488,"&gt;0"))</f>
        <v/>
      </c>
    </row>
    <row r="489">
      <c r="A489" s="20" t="n"/>
      <c r="B489" s="21">
        <f>IF($A489="","",CHOOSE(WEEKDAY($A489,2),"Lunes","Martes","Miércoles","Jueves","Viernes","Sábado","Domingo"))</f>
        <v/>
      </c>
      <c r="C489" s="17" t="n"/>
      <c r="D489" s="21">
        <f>IF($C489="","",IFERROR(INDEX(Insumos!$B$2:$B$151,MATCH($C489,Insumos!$A$2:$A$151,0)),"Código no cargado"))</f>
        <v/>
      </c>
      <c r="E489" s="21">
        <f>IF($C489="","",IFERROR(INDEX(Insumos!$C$2:$C$151,MATCH($C489,Insumos!$A$2:$A$151,0)),""))</f>
        <v/>
      </c>
      <c r="F489" s="21">
        <f>IF($C489="","",IFERROR(INDEX(Insumos!$D$2:$D$151,MATCH($C489,Insumos!$A$2:$A$151,0)),""))</f>
        <v/>
      </c>
      <c r="G489" s="18" t="n"/>
      <c r="H489" s="19">
        <f>IF(OR($A489="",$C489=""),"",IFERROR(INDEX(Insumos!$M$2:$S$151,MATCH($C489,Insumos!$A$2:$A$151,0),WEEKDAY($A489,2)),""))</f>
        <v/>
      </c>
      <c r="I489" s="19">
        <f>IF(OR($G489="",$H489=""),"",MAX(0,$H489-$G489))</f>
        <v/>
      </c>
      <c r="J489" s="21">
        <f>IF($I489="","",IF($I489=0,"OK",IF($G489&lt;=0,"Sin stock: pedir ya","Pedir o producir")))</f>
        <v/>
      </c>
      <c r="K489" s="17" t="n"/>
      <c r="L489" s="17" t="n"/>
      <c r="M489" s="21">
        <f>IF(OR($A489="",$A489&lt;&gt;'Lista para pedir'!$C$3,N($I489)&lt;=0),"",COUNTIFS($A$2:$A489,$A489,$I$2:$I489,"&gt;0"))</f>
        <v/>
      </c>
    </row>
    <row r="490">
      <c r="A490" s="20" t="n"/>
      <c r="B490" s="21">
        <f>IF($A490="","",CHOOSE(WEEKDAY($A490,2),"Lunes","Martes","Miércoles","Jueves","Viernes","Sábado","Domingo"))</f>
        <v/>
      </c>
      <c r="C490" s="17" t="n"/>
      <c r="D490" s="21">
        <f>IF($C490="","",IFERROR(INDEX(Insumos!$B$2:$B$151,MATCH($C490,Insumos!$A$2:$A$151,0)),"Código no cargado"))</f>
        <v/>
      </c>
      <c r="E490" s="21">
        <f>IF($C490="","",IFERROR(INDEX(Insumos!$C$2:$C$151,MATCH($C490,Insumos!$A$2:$A$151,0)),""))</f>
        <v/>
      </c>
      <c r="F490" s="21">
        <f>IF($C490="","",IFERROR(INDEX(Insumos!$D$2:$D$151,MATCH($C490,Insumos!$A$2:$A$151,0)),""))</f>
        <v/>
      </c>
      <c r="G490" s="18" t="n"/>
      <c r="H490" s="19">
        <f>IF(OR($A490="",$C490=""),"",IFERROR(INDEX(Insumos!$M$2:$S$151,MATCH($C490,Insumos!$A$2:$A$151,0),WEEKDAY($A490,2)),""))</f>
        <v/>
      </c>
      <c r="I490" s="19">
        <f>IF(OR($G490="",$H490=""),"",MAX(0,$H490-$G490))</f>
        <v/>
      </c>
      <c r="J490" s="21">
        <f>IF($I490="","",IF($I490=0,"OK",IF($G490&lt;=0,"Sin stock: pedir ya","Pedir o producir")))</f>
        <v/>
      </c>
      <c r="K490" s="17" t="n"/>
      <c r="L490" s="17" t="n"/>
      <c r="M490" s="21">
        <f>IF(OR($A490="",$A490&lt;&gt;'Lista para pedir'!$C$3,N($I490)&lt;=0),"",COUNTIFS($A$2:$A490,$A490,$I$2:$I490,"&gt;0"))</f>
        <v/>
      </c>
    </row>
    <row r="491">
      <c r="A491" s="20" t="n"/>
      <c r="B491" s="21">
        <f>IF($A491="","",CHOOSE(WEEKDAY($A491,2),"Lunes","Martes","Miércoles","Jueves","Viernes","Sábado","Domingo"))</f>
        <v/>
      </c>
      <c r="C491" s="17" t="n"/>
      <c r="D491" s="21">
        <f>IF($C491="","",IFERROR(INDEX(Insumos!$B$2:$B$151,MATCH($C491,Insumos!$A$2:$A$151,0)),"Código no cargado"))</f>
        <v/>
      </c>
      <c r="E491" s="21">
        <f>IF($C491="","",IFERROR(INDEX(Insumos!$C$2:$C$151,MATCH($C491,Insumos!$A$2:$A$151,0)),""))</f>
        <v/>
      </c>
      <c r="F491" s="21">
        <f>IF($C491="","",IFERROR(INDEX(Insumos!$D$2:$D$151,MATCH($C491,Insumos!$A$2:$A$151,0)),""))</f>
        <v/>
      </c>
      <c r="G491" s="18" t="n"/>
      <c r="H491" s="19">
        <f>IF(OR($A491="",$C491=""),"",IFERROR(INDEX(Insumos!$M$2:$S$151,MATCH($C491,Insumos!$A$2:$A$151,0),WEEKDAY($A491,2)),""))</f>
        <v/>
      </c>
      <c r="I491" s="19">
        <f>IF(OR($G491="",$H491=""),"",MAX(0,$H491-$G491))</f>
        <v/>
      </c>
      <c r="J491" s="21">
        <f>IF($I491="","",IF($I491=0,"OK",IF($G491&lt;=0,"Sin stock: pedir ya","Pedir o producir")))</f>
        <v/>
      </c>
      <c r="K491" s="17" t="n"/>
      <c r="L491" s="17" t="n"/>
      <c r="M491" s="21">
        <f>IF(OR($A491="",$A491&lt;&gt;'Lista para pedir'!$C$3,N($I491)&lt;=0),"",COUNTIFS($A$2:$A491,$A491,$I$2:$I491,"&gt;0"))</f>
        <v/>
      </c>
    </row>
    <row r="492">
      <c r="A492" s="20" t="n"/>
      <c r="B492" s="21">
        <f>IF($A492="","",CHOOSE(WEEKDAY($A492,2),"Lunes","Martes","Miércoles","Jueves","Viernes","Sábado","Domingo"))</f>
        <v/>
      </c>
      <c r="C492" s="17" t="n"/>
      <c r="D492" s="21">
        <f>IF($C492="","",IFERROR(INDEX(Insumos!$B$2:$B$151,MATCH($C492,Insumos!$A$2:$A$151,0)),"Código no cargado"))</f>
        <v/>
      </c>
      <c r="E492" s="21">
        <f>IF($C492="","",IFERROR(INDEX(Insumos!$C$2:$C$151,MATCH($C492,Insumos!$A$2:$A$151,0)),""))</f>
        <v/>
      </c>
      <c r="F492" s="21">
        <f>IF($C492="","",IFERROR(INDEX(Insumos!$D$2:$D$151,MATCH($C492,Insumos!$A$2:$A$151,0)),""))</f>
        <v/>
      </c>
      <c r="G492" s="18" t="n"/>
      <c r="H492" s="19">
        <f>IF(OR($A492="",$C492=""),"",IFERROR(INDEX(Insumos!$M$2:$S$151,MATCH($C492,Insumos!$A$2:$A$151,0),WEEKDAY($A492,2)),""))</f>
        <v/>
      </c>
      <c r="I492" s="19">
        <f>IF(OR($G492="",$H492=""),"",MAX(0,$H492-$G492))</f>
        <v/>
      </c>
      <c r="J492" s="21">
        <f>IF($I492="","",IF($I492=0,"OK",IF($G492&lt;=0,"Sin stock: pedir ya","Pedir o producir")))</f>
        <v/>
      </c>
      <c r="K492" s="17" t="n"/>
      <c r="L492" s="17" t="n"/>
      <c r="M492" s="21">
        <f>IF(OR($A492="",$A492&lt;&gt;'Lista para pedir'!$C$3,N($I492)&lt;=0),"",COUNTIFS($A$2:$A492,$A492,$I$2:$I492,"&gt;0"))</f>
        <v/>
      </c>
    </row>
    <row r="493">
      <c r="A493" s="20" t="n"/>
      <c r="B493" s="21">
        <f>IF($A493="","",CHOOSE(WEEKDAY($A493,2),"Lunes","Martes","Miércoles","Jueves","Viernes","Sábado","Domingo"))</f>
        <v/>
      </c>
      <c r="C493" s="17" t="n"/>
      <c r="D493" s="21">
        <f>IF($C493="","",IFERROR(INDEX(Insumos!$B$2:$B$151,MATCH($C493,Insumos!$A$2:$A$151,0)),"Código no cargado"))</f>
        <v/>
      </c>
      <c r="E493" s="21">
        <f>IF($C493="","",IFERROR(INDEX(Insumos!$C$2:$C$151,MATCH($C493,Insumos!$A$2:$A$151,0)),""))</f>
        <v/>
      </c>
      <c r="F493" s="21">
        <f>IF($C493="","",IFERROR(INDEX(Insumos!$D$2:$D$151,MATCH($C493,Insumos!$A$2:$A$151,0)),""))</f>
        <v/>
      </c>
      <c r="G493" s="18" t="n"/>
      <c r="H493" s="19">
        <f>IF(OR($A493="",$C493=""),"",IFERROR(INDEX(Insumos!$M$2:$S$151,MATCH($C493,Insumos!$A$2:$A$151,0),WEEKDAY($A493,2)),""))</f>
        <v/>
      </c>
      <c r="I493" s="19">
        <f>IF(OR($G493="",$H493=""),"",MAX(0,$H493-$G493))</f>
        <v/>
      </c>
      <c r="J493" s="21">
        <f>IF($I493="","",IF($I493=0,"OK",IF($G493&lt;=0,"Sin stock: pedir ya","Pedir o producir")))</f>
        <v/>
      </c>
      <c r="K493" s="17" t="n"/>
      <c r="L493" s="17" t="n"/>
      <c r="M493" s="21">
        <f>IF(OR($A493="",$A493&lt;&gt;'Lista para pedir'!$C$3,N($I493)&lt;=0),"",COUNTIFS($A$2:$A493,$A493,$I$2:$I493,"&gt;0"))</f>
        <v/>
      </c>
    </row>
    <row r="494">
      <c r="A494" s="20" t="n"/>
      <c r="B494" s="21">
        <f>IF($A494="","",CHOOSE(WEEKDAY($A494,2),"Lunes","Martes","Miércoles","Jueves","Viernes","Sábado","Domingo"))</f>
        <v/>
      </c>
      <c r="C494" s="17" t="n"/>
      <c r="D494" s="21">
        <f>IF($C494="","",IFERROR(INDEX(Insumos!$B$2:$B$151,MATCH($C494,Insumos!$A$2:$A$151,0)),"Código no cargado"))</f>
        <v/>
      </c>
      <c r="E494" s="21">
        <f>IF($C494="","",IFERROR(INDEX(Insumos!$C$2:$C$151,MATCH($C494,Insumos!$A$2:$A$151,0)),""))</f>
        <v/>
      </c>
      <c r="F494" s="21">
        <f>IF($C494="","",IFERROR(INDEX(Insumos!$D$2:$D$151,MATCH($C494,Insumos!$A$2:$A$151,0)),""))</f>
        <v/>
      </c>
      <c r="G494" s="18" t="n"/>
      <c r="H494" s="19">
        <f>IF(OR($A494="",$C494=""),"",IFERROR(INDEX(Insumos!$M$2:$S$151,MATCH($C494,Insumos!$A$2:$A$151,0),WEEKDAY($A494,2)),""))</f>
        <v/>
      </c>
      <c r="I494" s="19">
        <f>IF(OR($G494="",$H494=""),"",MAX(0,$H494-$G494))</f>
        <v/>
      </c>
      <c r="J494" s="21">
        <f>IF($I494="","",IF($I494=0,"OK",IF($G494&lt;=0,"Sin stock: pedir ya","Pedir o producir")))</f>
        <v/>
      </c>
      <c r="K494" s="17" t="n"/>
      <c r="L494" s="17" t="n"/>
      <c r="M494" s="21">
        <f>IF(OR($A494="",$A494&lt;&gt;'Lista para pedir'!$C$3,N($I494)&lt;=0),"",COUNTIFS($A$2:$A494,$A494,$I$2:$I494,"&gt;0"))</f>
        <v/>
      </c>
    </row>
    <row r="495">
      <c r="A495" s="20" t="n"/>
      <c r="B495" s="21">
        <f>IF($A495="","",CHOOSE(WEEKDAY($A495,2),"Lunes","Martes","Miércoles","Jueves","Viernes","Sábado","Domingo"))</f>
        <v/>
      </c>
      <c r="C495" s="17" t="n"/>
      <c r="D495" s="21">
        <f>IF($C495="","",IFERROR(INDEX(Insumos!$B$2:$B$151,MATCH($C495,Insumos!$A$2:$A$151,0)),"Código no cargado"))</f>
        <v/>
      </c>
      <c r="E495" s="21">
        <f>IF($C495="","",IFERROR(INDEX(Insumos!$C$2:$C$151,MATCH($C495,Insumos!$A$2:$A$151,0)),""))</f>
        <v/>
      </c>
      <c r="F495" s="21">
        <f>IF($C495="","",IFERROR(INDEX(Insumos!$D$2:$D$151,MATCH($C495,Insumos!$A$2:$A$151,0)),""))</f>
        <v/>
      </c>
      <c r="G495" s="18" t="n"/>
      <c r="H495" s="19">
        <f>IF(OR($A495="",$C495=""),"",IFERROR(INDEX(Insumos!$M$2:$S$151,MATCH($C495,Insumos!$A$2:$A$151,0),WEEKDAY($A495,2)),""))</f>
        <v/>
      </c>
      <c r="I495" s="19">
        <f>IF(OR($G495="",$H495=""),"",MAX(0,$H495-$G495))</f>
        <v/>
      </c>
      <c r="J495" s="21">
        <f>IF($I495="","",IF($I495=0,"OK",IF($G495&lt;=0,"Sin stock: pedir ya","Pedir o producir")))</f>
        <v/>
      </c>
      <c r="K495" s="17" t="n"/>
      <c r="L495" s="17" t="n"/>
      <c r="M495" s="21">
        <f>IF(OR($A495="",$A495&lt;&gt;'Lista para pedir'!$C$3,N($I495)&lt;=0),"",COUNTIFS($A$2:$A495,$A495,$I$2:$I495,"&gt;0"))</f>
        <v/>
      </c>
    </row>
    <row r="496">
      <c r="A496" s="20" t="n"/>
      <c r="B496" s="21">
        <f>IF($A496="","",CHOOSE(WEEKDAY($A496,2),"Lunes","Martes","Miércoles","Jueves","Viernes","Sábado","Domingo"))</f>
        <v/>
      </c>
      <c r="C496" s="17" t="n"/>
      <c r="D496" s="21">
        <f>IF($C496="","",IFERROR(INDEX(Insumos!$B$2:$B$151,MATCH($C496,Insumos!$A$2:$A$151,0)),"Código no cargado"))</f>
        <v/>
      </c>
      <c r="E496" s="21">
        <f>IF($C496="","",IFERROR(INDEX(Insumos!$C$2:$C$151,MATCH($C496,Insumos!$A$2:$A$151,0)),""))</f>
        <v/>
      </c>
      <c r="F496" s="21">
        <f>IF($C496="","",IFERROR(INDEX(Insumos!$D$2:$D$151,MATCH($C496,Insumos!$A$2:$A$151,0)),""))</f>
        <v/>
      </c>
      <c r="G496" s="18" t="n"/>
      <c r="H496" s="19">
        <f>IF(OR($A496="",$C496=""),"",IFERROR(INDEX(Insumos!$M$2:$S$151,MATCH($C496,Insumos!$A$2:$A$151,0),WEEKDAY($A496,2)),""))</f>
        <v/>
      </c>
      <c r="I496" s="19">
        <f>IF(OR($G496="",$H496=""),"",MAX(0,$H496-$G496))</f>
        <v/>
      </c>
      <c r="J496" s="21">
        <f>IF($I496="","",IF($I496=0,"OK",IF($G496&lt;=0,"Sin stock: pedir ya","Pedir o producir")))</f>
        <v/>
      </c>
      <c r="K496" s="17" t="n"/>
      <c r="L496" s="17" t="n"/>
      <c r="M496" s="21">
        <f>IF(OR($A496="",$A496&lt;&gt;'Lista para pedir'!$C$3,N($I496)&lt;=0),"",COUNTIFS($A$2:$A496,$A496,$I$2:$I496,"&gt;0"))</f>
        <v/>
      </c>
    </row>
    <row r="497">
      <c r="A497" s="20" t="n"/>
      <c r="B497" s="21">
        <f>IF($A497="","",CHOOSE(WEEKDAY($A497,2),"Lunes","Martes","Miércoles","Jueves","Viernes","Sábado","Domingo"))</f>
        <v/>
      </c>
      <c r="C497" s="17" t="n"/>
      <c r="D497" s="21">
        <f>IF($C497="","",IFERROR(INDEX(Insumos!$B$2:$B$151,MATCH($C497,Insumos!$A$2:$A$151,0)),"Código no cargado"))</f>
        <v/>
      </c>
      <c r="E497" s="21">
        <f>IF($C497="","",IFERROR(INDEX(Insumos!$C$2:$C$151,MATCH($C497,Insumos!$A$2:$A$151,0)),""))</f>
        <v/>
      </c>
      <c r="F497" s="21">
        <f>IF($C497="","",IFERROR(INDEX(Insumos!$D$2:$D$151,MATCH($C497,Insumos!$A$2:$A$151,0)),""))</f>
        <v/>
      </c>
      <c r="G497" s="18" t="n"/>
      <c r="H497" s="19">
        <f>IF(OR($A497="",$C497=""),"",IFERROR(INDEX(Insumos!$M$2:$S$151,MATCH($C497,Insumos!$A$2:$A$151,0),WEEKDAY($A497,2)),""))</f>
        <v/>
      </c>
      <c r="I497" s="19">
        <f>IF(OR($G497="",$H497=""),"",MAX(0,$H497-$G497))</f>
        <v/>
      </c>
      <c r="J497" s="21">
        <f>IF($I497="","",IF($I497=0,"OK",IF($G497&lt;=0,"Sin stock: pedir ya","Pedir o producir")))</f>
        <v/>
      </c>
      <c r="K497" s="17" t="n"/>
      <c r="L497" s="17" t="n"/>
      <c r="M497" s="21">
        <f>IF(OR($A497="",$A497&lt;&gt;'Lista para pedir'!$C$3,N($I497)&lt;=0),"",COUNTIFS($A$2:$A497,$A497,$I$2:$I497,"&gt;0"))</f>
        <v/>
      </c>
    </row>
    <row r="498">
      <c r="A498" s="20" t="n"/>
      <c r="B498" s="21">
        <f>IF($A498="","",CHOOSE(WEEKDAY($A498,2),"Lunes","Martes","Miércoles","Jueves","Viernes","Sábado","Domingo"))</f>
        <v/>
      </c>
      <c r="C498" s="17" t="n"/>
      <c r="D498" s="21">
        <f>IF($C498="","",IFERROR(INDEX(Insumos!$B$2:$B$151,MATCH($C498,Insumos!$A$2:$A$151,0)),"Código no cargado"))</f>
        <v/>
      </c>
      <c r="E498" s="21">
        <f>IF($C498="","",IFERROR(INDEX(Insumos!$C$2:$C$151,MATCH($C498,Insumos!$A$2:$A$151,0)),""))</f>
        <v/>
      </c>
      <c r="F498" s="21">
        <f>IF($C498="","",IFERROR(INDEX(Insumos!$D$2:$D$151,MATCH($C498,Insumos!$A$2:$A$151,0)),""))</f>
        <v/>
      </c>
      <c r="G498" s="18" t="n"/>
      <c r="H498" s="19">
        <f>IF(OR($A498="",$C498=""),"",IFERROR(INDEX(Insumos!$M$2:$S$151,MATCH($C498,Insumos!$A$2:$A$151,0),WEEKDAY($A498,2)),""))</f>
        <v/>
      </c>
      <c r="I498" s="19">
        <f>IF(OR($G498="",$H498=""),"",MAX(0,$H498-$G498))</f>
        <v/>
      </c>
      <c r="J498" s="21">
        <f>IF($I498="","",IF($I498=0,"OK",IF($G498&lt;=0,"Sin stock: pedir ya","Pedir o producir")))</f>
        <v/>
      </c>
      <c r="K498" s="17" t="n"/>
      <c r="L498" s="17" t="n"/>
      <c r="M498" s="21">
        <f>IF(OR($A498="",$A498&lt;&gt;'Lista para pedir'!$C$3,N($I498)&lt;=0),"",COUNTIFS($A$2:$A498,$A498,$I$2:$I498,"&gt;0"))</f>
        <v/>
      </c>
    </row>
    <row r="499">
      <c r="A499" s="20" t="n"/>
      <c r="B499" s="21">
        <f>IF($A499="","",CHOOSE(WEEKDAY($A499,2),"Lunes","Martes","Miércoles","Jueves","Viernes","Sábado","Domingo"))</f>
        <v/>
      </c>
      <c r="C499" s="17" t="n"/>
      <c r="D499" s="21">
        <f>IF($C499="","",IFERROR(INDEX(Insumos!$B$2:$B$151,MATCH($C499,Insumos!$A$2:$A$151,0)),"Código no cargado"))</f>
        <v/>
      </c>
      <c r="E499" s="21">
        <f>IF($C499="","",IFERROR(INDEX(Insumos!$C$2:$C$151,MATCH($C499,Insumos!$A$2:$A$151,0)),""))</f>
        <v/>
      </c>
      <c r="F499" s="21">
        <f>IF($C499="","",IFERROR(INDEX(Insumos!$D$2:$D$151,MATCH($C499,Insumos!$A$2:$A$151,0)),""))</f>
        <v/>
      </c>
      <c r="G499" s="18" t="n"/>
      <c r="H499" s="19">
        <f>IF(OR($A499="",$C499=""),"",IFERROR(INDEX(Insumos!$M$2:$S$151,MATCH($C499,Insumos!$A$2:$A$151,0),WEEKDAY($A499,2)),""))</f>
        <v/>
      </c>
      <c r="I499" s="19">
        <f>IF(OR($G499="",$H499=""),"",MAX(0,$H499-$G499))</f>
        <v/>
      </c>
      <c r="J499" s="21">
        <f>IF($I499="","",IF($I499=0,"OK",IF($G499&lt;=0,"Sin stock: pedir ya","Pedir o producir")))</f>
        <v/>
      </c>
      <c r="K499" s="17" t="n"/>
      <c r="L499" s="17" t="n"/>
      <c r="M499" s="21">
        <f>IF(OR($A499="",$A499&lt;&gt;'Lista para pedir'!$C$3,N($I499)&lt;=0),"",COUNTIFS($A$2:$A499,$A499,$I$2:$I499,"&gt;0"))</f>
        <v/>
      </c>
    </row>
    <row r="500">
      <c r="A500" s="20" t="n"/>
      <c r="B500" s="21">
        <f>IF($A500="","",CHOOSE(WEEKDAY($A500,2),"Lunes","Martes","Miércoles","Jueves","Viernes","Sábado","Domingo"))</f>
        <v/>
      </c>
      <c r="C500" s="17" t="n"/>
      <c r="D500" s="21">
        <f>IF($C500="","",IFERROR(INDEX(Insumos!$B$2:$B$151,MATCH($C500,Insumos!$A$2:$A$151,0)),"Código no cargado"))</f>
        <v/>
      </c>
      <c r="E500" s="21">
        <f>IF($C500="","",IFERROR(INDEX(Insumos!$C$2:$C$151,MATCH($C500,Insumos!$A$2:$A$151,0)),""))</f>
        <v/>
      </c>
      <c r="F500" s="21">
        <f>IF($C500="","",IFERROR(INDEX(Insumos!$D$2:$D$151,MATCH($C500,Insumos!$A$2:$A$151,0)),""))</f>
        <v/>
      </c>
      <c r="G500" s="18" t="n"/>
      <c r="H500" s="19">
        <f>IF(OR($A500="",$C500=""),"",IFERROR(INDEX(Insumos!$M$2:$S$151,MATCH($C500,Insumos!$A$2:$A$151,0),WEEKDAY($A500,2)),""))</f>
        <v/>
      </c>
      <c r="I500" s="19">
        <f>IF(OR($G500="",$H500=""),"",MAX(0,$H500-$G500))</f>
        <v/>
      </c>
      <c r="J500" s="21">
        <f>IF($I500="","",IF($I500=0,"OK",IF($G500&lt;=0,"Sin stock: pedir ya","Pedir o producir")))</f>
        <v/>
      </c>
      <c r="K500" s="17" t="n"/>
      <c r="L500" s="17" t="n"/>
      <c r="M500" s="21">
        <f>IF(OR($A500="",$A500&lt;&gt;'Lista para pedir'!$C$3,N($I500)&lt;=0),"",COUNTIFS($A$2:$A500,$A500,$I$2:$I500,"&gt;0"))</f>
        <v/>
      </c>
    </row>
    <row r="501">
      <c r="A501" s="20" t="n"/>
      <c r="B501" s="21">
        <f>IF($A501="","",CHOOSE(WEEKDAY($A501,2),"Lunes","Martes","Miércoles","Jueves","Viernes","Sábado","Domingo"))</f>
        <v/>
      </c>
      <c r="C501" s="17" t="n"/>
      <c r="D501" s="21">
        <f>IF($C501="","",IFERROR(INDEX(Insumos!$B$2:$B$151,MATCH($C501,Insumos!$A$2:$A$151,0)),"Código no cargado"))</f>
        <v/>
      </c>
      <c r="E501" s="21">
        <f>IF($C501="","",IFERROR(INDEX(Insumos!$C$2:$C$151,MATCH($C501,Insumos!$A$2:$A$151,0)),""))</f>
        <v/>
      </c>
      <c r="F501" s="21">
        <f>IF($C501="","",IFERROR(INDEX(Insumos!$D$2:$D$151,MATCH($C501,Insumos!$A$2:$A$151,0)),""))</f>
        <v/>
      </c>
      <c r="G501" s="18" t="n"/>
      <c r="H501" s="19">
        <f>IF(OR($A501="",$C501=""),"",IFERROR(INDEX(Insumos!$M$2:$S$151,MATCH($C501,Insumos!$A$2:$A$151,0),WEEKDAY($A501,2)),""))</f>
        <v/>
      </c>
      <c r="I501" s="19">
        <f>IF(OR($G501="",$H501=""),"",MAX(0,$H501-$G501))</f>
        <v/>
      </c>
      <c r="J501" s="21">
        <f>IF($I501="","",IF($I501=0,"OK",IF($G501&lt;=0,"Sin stock: pedir ya","Pedir o producir")))</f>
        <v/>
      </c>
      <c r="K501" s="17" t="n"/>
      <c r="L501" s="17" t="n"/>
      <c r="M501" s="21">
        <f>IF(OR($A501="",$A501&lt;&gt;'Lista para pedir'!$C$3,N($I501)&lt;=0),"",COUNTIFS($A$2:$A501,$A501,$I$2:$I501,"&gt;0"))</f>
        <v/>
      </c>
    </row>
    <row r="502">
      <c r="A502" s="20" t="n"/>
      <c r="B502" s="21">
        <f>IF($A502="","",CHOOSE(WEEKDAY($A502,2),"Lunes","Martes","Miércoles","Jueves","Viernes","Sábado","Domingo"))</f>
        <v/>
      </c>
      <c r="C502" s="17" t="n"/>
      <c r="D502" s="21">
        <f>IF($C502="","",IFERROR(INDEX(Insumos!$B$2:$B$151,MATCH($C502,Insumos!$A$2:$A$151,0)),"Código no cargado"))</f>
        <v/>
      </c>
      <c r="E502" s="21">
        <f>IF($C502="","",IFERROR(INDEX(Insumos!$C$2:$C$151,MATCH($C502,Insumos!$A$2:$A$151,0)),""))</f>
        <v/>
      </c>
      <c r="F502" s="21">
        <f>IF($C502="","",IFERROR(INDEX(Insumos!$D$2:$D$151,MATCH($C502,Insumos!$A$2:$A$151,0)),""))</f>
        <v/>
      </c>
      <c r="G502" s="18" t="n"/>
      <c r="H502" s="19">
        <f>IF(OR($A502="",$C502=""),"",IFERROR(INDEX(Insumos!$M$2:$S$151,MATCH($C502,Insumos!$A$2:$A$151,0),WEEKDAY($A502,2)),""))</f>
        <v/>
      </c>
      <c r="I502" s="19">
        <f>IF(OR($G502="",$H502=""),"",MAX(0,$H502-$G502))</f>
        <v/>
      </c>
      <c r="J502" s="21">
        <f>IF($I502="","",IF($I502=0,"OK",IF($G502&lt;=0,"Sin stock: pedir ya","Pedir o producir")))</f>
        <v/>
      </c>
      <c r="K502" s="17" t="n"/>
      <c r="L502" s="17" t="n"/>
      <c r="M502" s="21">
        <f>IF(OR($A502="",$A502&lt;&gt;'Lista para pedir'!$C$3,N($I502)&lt;=0),"",COUNTIFS($A$2:$A502,$A502,$I$2:$I502,"&gt;0"))</f>
        <v/>
      </c>
    </row>
    <row r="503">
      <c r="A503" s="20" t="n"/>
      <c r="B503" s="21">
        <f>IF($A503="","",CHOOSE(WEEKDAY($A503,2),"Lunes","Martes","Miércoles","Jueves","Viernes","Sábado","Domingo"))</f>
        <v/>
      </c>
      <c r="C503" s="17" t="n"/>
      <c r="D503" s="21">
        <f>IF($C503="","",IFERROR(INDEX(Insumos!$B$2:$B$151,MATCH($C503,Insumos!$A$2:$A$151,0)),"Código no cargado"))</f>
        <v/>
      </c>
      <c r="E503" s="21">
        <f>IF($C503="","",IFERROR(INDEX(Insumos!$C$2:$C$151,MATCH($C503,Insumos!$A$2:$A$151,0)),""))</f>
        <v/>
      </c>
      <c r="F503" s="21">
        <f>IF($C503="","",IFERROR(INDEX(Insumos!$D$2:$D$151,MATCH($C503,Insumos!$A$2:$A$151,0)),""))</f>
        <v/>
      </c>
      <c r="G503" s="18" t="n"/>
      <c r="H503" s="19">
        <f>IF(OR($A503="",$C503=""),"",IFERROR(INDEX(Insumos!$M$2:$S$151,MATCH($C503,Insumos!$A$2:$A$151,0),WEEKDAY($A503,2)),""))</f>
        <v/>
      </c>
      <c r="I503" s="19">
        <f>IF(OR($G503="",$H503=""),"",MAX(0,$H503-$G503))</f>
        <v/>
      </c>
      <c r="J503" s="21">
        <f>IF($I503="","",IF($I503=0,"OK",IF($G503&lt;=0,"Sin stock: pedir ya","Pedir o producir")))</f>
        <v/>
      </c>
      <c r="K503" s="17" t="n"/>
      <c r="L503" s="17" t="n"/>
      <c r="M503" s="21">
        <f>IF(OR($A503="",$A503&lt;&gt;'Lista para pedir'!$C$3,N($I503)&lt;=0),"",COUNTIFS($A$2:$A503,$A503,$I$2:$I503,"&gt;0"))</f>
        <v/>
      </c>
    </row>
    <row r="504">
      <c r="A504" s="20" t="n"/>
      <c r="B504" s="21">
        <f>IF($A504="","",CHOOSE(WEEKDAY($A504,2),"Lunes","Martes","Miércoles","Jueves","Viernes","Sábado","Domingo"))</f>
        <v/>
      </c>
      <c r="C504" s="17" t="n"/>
      <c r="D504" s="21">
        <f>IF($C504="","",IFERROR(INDEX(Insumos!$B$2:$B$151,MATCH($C504,Insumos!$A$2:$A$151,0)),"Código no cargado"))</f>
        <v/>
      </c>
      <c r="E504" s="21">
        <f>IF($C504="","",IFERROR(INDEX(Insumos!$C$2:$C$151,MATCH($C504,Insumos!$A$2:$A$151,0)),""))</f>
        <v/>
      </c>
      <c r="F504" s="21">
        <f>IF($C504="","",IFERROR(INDEX(Insumos!$D$2:$D$151,MATCH($C504,Insumos!$A$2:$A$151,0)),""))</f>
        <v/>
      </c>
      <c r="G504" s="18" t="n"/>
      <c r="H504" s="19">
        <f>IF(OR($A504="",$C504=""),"",IFERROR(INDEX(Insumos!$M$2:$S$151,MATCH($C504,Insumos!$A$2:$A$151,0),WEEKDAY($A504,2)),""))</f>
        <v/>
      </c>
      <c r="I504" s="19">
        <f>IF(OR($G504="",$H504=""),"",MAX(0,$H504-$G504))</f>
        <v/>
      </c>
      <c r="J504" s="21">
        <f>IF($I504="","",IF($I504=0,"OK",IF($G504&lt;=0,"Sin stock: pedir ya","Pedir o producir")))</f>
        <v/>
      </c>
      <c r="K504" s="17" t="n"/>
      <c r="L504" s="17" t="n"/>
      <c r="M504" s="21">
        <f>IF(OR($A504="",$A504&lt;&gt;'Lista para pedir'!$C$3,N($I504)&lt;=0),"",COUNTIFS($A$2:$A504,$A504,$I$2:$I504,"&gt;0"))</f>
        <v/>
      </c>
    </row>
    <row r="505">
      <c r="A505" s="20" t="n"/>
      <c r="B505" s="21">
        <f>IF($A505="","",CHOOSE(WEEKDAY($A505,2),"Lunes","Martes","Miércoles","Jueves","Viernes","Sábado","Domingo"))</f>
        <v/>
      </c>
      <c r="C505" s="17" t="n"/>
      <c r="D505" s="21">
        <f>IF($C505="","",IFERROR(INDEX(Insumos!$B$2:$B$151,MATCH($C505,Insumos!$A$2:$A$151,0)),"Código no cargado"))</f>
        <v/>
      </c>
      <c r="E505" s="21">
        <f>IF($C505="","",IFERROR(INDEX(Insumos!$C$2:$C$151,MATCH($C505,Insumos!$A$2:$A$151,0)),""))</f>
        <v/>
      </c>
      <c r="F505" s="21">
        <f>IF($C505="","",IFERROR(INDEX(Insumos!$D$2:$D$151,MATCH($C505,Insumos!$A$2:$A$151,0)),""))</f>
        <v/>
      </c>
      <c r="G505" s="18" t="n"/>
      <c r="H505" s="19">
        <f>IF(OR($A505="",$C505=""),"",IFERROR(INDEX(Insumos!$M$2:$S$151,MATCH($C505,Insumos!$A$2:$A$151,0),WEEKDAY($A505,2)),""))</f>
        <v/>
      </c>
      <c r="I505" s="19">
        <f>IF(OR($G505="",$H505=""),"",MAX(0,$H505-$G505))</f>
        <v/>
      </c>
      <c r="J505" s="21">
        <f>IF($I505="","",IF($I505=0,"OK",IF($G505&lt;=0,"Sin stock: pedir ya","Pedir o producir")))</f>
        <v/>
      </c>
      <c r="K505" s="17" t="n"/>
      <c r="L505" s="17" t="n"/>
      <c r="M505" s="21">
        <f>IF(OR($A505="",$A505&lt;&gt;'Lista para pedir'!$C$3,N($I505)&lt;=0),"",COUNTIFS($A$2:$A505,$A505,$I$2:$I505,"&gt;0"))</f>
        <v/>
      </c>
    </row>
    <row r="506">
      <c r="A506" s="20" t="n"/>
      <c r="B506" s="21">
        <f>IF($A506="","",CHOOSE(WEEKDAY($A506,2),"Lunes","Martes","Miércoles","Jueves","Viernes","Sábado","Domingo"))</f>
        <v/>
      </c>
      <c r="C506" s="17" t="n"/>
      <c r="D506" s="21">
        <f>IF($C506="","",IFERROR(INDEX(Insumos!$B$2:$B$151,MATCH($C506,Insumos!$A$2:$A$151,0)),"Código no cargado"))</f>
        <v/>
      </c>
      <c r="E506" s="21">
        <f>IF($C506="","",IFERROR(INDEX(Insumos!$C$2:$C$151,MATCH($C506,Insumos!$A$2:$A$151,0)),""))</f>
        <v/>
      </c>
      <c r="F506" s="21">
        <f>IF($C506="","",IFERROR(INDEX(Insumos!$D$2:$D$151,MATCH($C506,Insumos!$A$2:$A$151,0)),""))</f>
        <v/>
      </c>
      <c r="G506" s="18" t="n"/>
      <c r="H506" s="19">
        <f>IF(OR($A506="",$C506=""),"",IFERROR(INDEX(Insumos!$M$2:$S$151,MATCH($C506,Insumos!$A$2:$A$151,0),WEEKDAY($A506,2)),""))</f>
        <v/>
      </c>
      <c r="I506" s="19">
        <f>IF(OR($G506="",$H506=""),"",MAX(0,$H506-$G506))</f>
        <v/>
      </c>
      <c r="J506" s="21">
        <f>IF($I506="","",IF($I506=0,"OK",IF($G506&lt;=0,"Sin stock: pedir ya","Pedir o producir")))</f>
        <v/>
      </c>
      <c r="K506" s="17" t="n"/>
      <c r="L506" s="17" t="n"/>
      <c r="M506" s="21">
        <f>IF(OR($A506="",$A506&lt;&gt;'Lista para pedir'!$C$3,N($I506)&lt;=0),"",COUNTIFS($A$2:$A506,$A506,$I$2:$I506,"&gt;0"))</f>
        <v/>
      </c>
    </row>
    <row r="507">
      <c r="A507" s="20" t="n"/>
      <c r="B507" s="21">
        <f>IF($A507="","",CHOOSE(WEEKDAY($A507,2),"Lunes","Martes","Miércoles","Jueves","Viernes","Sábado","Domingo"))</f>
        <v/>
      </c>
      <c r="C507" s="17" t="n"/>
      <c r="D507" s="21">
        <f>IF($C507="","",IFERROR(INDEX(Insumos!$B$2:$B$151,MATCH($C507,Insumos!$A$2:$A$151,0)),"Código no cargado"))</f>
        <v/>
      </c>
      <c r="E507" s="21">
        <f>IF($C507="","",IFERROR(INDEX(Insumos!$C$2:$C$151,MATCH($C507,Insumos!$A$2:$A$151,0)),""))</f>
        <v/>
      </c>
      <c r="F507" s="21">
        <f>IF($C507="","",IFERROR(INDEX(Insumos!$D$2:$D$151,MATCH($C507,Insumos!$A$2:$A$151,0)),""))</f>
        <v/>
      </c>
      <c r="G507" s="18" t="n"/>
      <c r="H507" s="19">
        <f>IF(OR($A507="",$C507=""),"",IFERROR(INDEX(Insumos!$M$2:$S$151,MATCH($C507,Insumos!$A$2:$A$151,0),WEEKDAY($A507,2)),""))</f>
        <v/>
      </c>
      <c r="I507" s="19">
        <f>IF(OR($G507="",$H507=""),"",MAX(0,$H507-$G507))</f>
        <v/>
      </c>
      <c r="J507" s="21">
        <f>IF($I507="","",IF($I507=0,"OK",IF($G507&lt;=0,"Sin stock: pedir ya","Pedir o producir")))</f>
        <v/>
      </c>
      <c r="K507" s="17" t="n"/>
      <c r="L507" s="17" t="n"/>
      <c r="M507" s="21">
        <f>IF(OR($A507="",$A507&lt;&gt;'Lista para pedir'!$C$3,N($I507)&lt;=0),"",COUNTIFS($A$2:$A507,$A507,$I$2:$I507,"&gt;0"))</f>
        <v/>
      </c>
    </row>
    <row r="508">
      <c r="A508" s="20" t="n"/>
      <c r="B508" s="21">
        <f>IF($A508="","",CHOOSE(WEEKDAY($A508,2),"Lunes","Martes","Miércoles","Jueves","Viernes","Sábado","Domingo"))</f>
        <v/>
      </c>
      <c r="C508" s="17" t="n"/>
      <c r="D508" s="21">
        <f>IF($C508="","",IFERROR(INDEX(Insumos!$B$2:$B$151,MATCH($C508,Insumos!$A$2:$A$151,0)),"Código no cargado"))</f>
        <v/>
      </c>
      <c r="E508" s="21">
        <f>IF($C508="","",IFERROR(INDEX(Insumos!$C$2:$C$151,MATCH($C508,Insumos!$A$2:$A$151,0)),""))</f>
        <v/>
      </c>
      <c r="F508" s="21">
        <f>IF($C508="","",IFERROR(INDEX(Insumos!$D$2:$D$151,MATCH($C508,Insumos!$A$2:$A$151,0)),""))</f>
        <v/>
      </c>
      <c r="G508" s="18" t="n"/>
      <c r="H508" s="19">
        <f>IF(OR($A508="",$C508=""),"",IFERROR(INDEX(Insumos!$M$2:$S$151,MATCH($C508,Insumos!$A$2:$A$151,0),WEEKDAY($A508,2)),""))</f>
        <v/>
      </c>
      <c r="I508" s="19">
        <f>IF(OR($G508="",$H508=""),"",MAX(0,$H508-$G508))</f>
        <v/>
      </c>
      <c r="J508" s="21">
        <f>IF($I508="","",IF($I508=0,"OK",IF($G508&lt;=0,"Sin stock: pedir ya","Pedir o producir")))</f>
        <v/>
      </c>
      <c r="K508" s="17" t="n"/>
      <c r="L508" s="17" t="n"/>
      <c r="M508" s="21">
        <f>IF(OR($A508="",$A508&lt;&gt;'Lista para pedir'!$C$3,N($I508)&lt;=0),"",COUNTIFS($A$2:$A508,$A508,$I$2:$I508,"&gt;0"))</f>
        <v/>
      </c>
    </row>
    <row r="509">
      <c r="A509" s="20" t="n"/>
      <c r="B509" s="21">
        <f>IF($A509="","",CHOOSE(WEEKDAY($A509,2),"Lunes","Martes","Miércoles","Jueves","Viernes","Sábado","Domingo"))</f>
        <v/>
      </c>
      <c r="C509" s="17" t="n"/>
      <c r="D509" s="21">
        <f>IF($C509="","",IFERROR(INDEX(Insumos!$B$2:$B$151,MATCH($C509,Insumos!$A$2:$A$151,0)),"Código no cargado"))</f>
        <v/>
      </c>
      <c r="E509" s="21">
        <f>IF($C509="","",IFERROR(INDEX(Insumos!$C$2:$C$151,MATCH($C509,Insumos!$A$2:$A$151,0)),""))</f>
        <v/>
      </c>
      <c r="F509" s="21">
        <f>IF($C509="","",IFERROR(INDEX(Insumos!$D$2:$D$151,MATCH($C509,Insumos!$A$2:$A$151,0)),""))</f>
        <v/>
      </c>
      <c r="G509" s="18" t="n"/>
      <c r="H509" s="19">
        <f>IF(OR($A509="",$C509=""),"",IFERROR(INDEX(Insumos!$M$2:$S$151,MATCH($C509,Insumos!$A$2:$A$151,0),WEEKDAY($A509,2)),""))</f>
        <v/>
      </c>
      <c r="I509" s="19">
        <f>IF(OR($G509="",$H509=""),"",MAX(0,$H509-$G509))</f>
        <v/>
      </c>
      <c r="J509" s="21">
        <f>IF($I509="","",IF($I509=0,"OK",IF($G509&lt;=0,"Sin stock: pedir ya","Pedir o producir")))</f>
        <v/>
      </c>
      <c r="K509" s="17" t="n"/>
      <c r="L509" s="17" t="n"/>
      <c r="M509" s="21">
        <f>IF(OR($A509="",$A509&lt;&gt;'Lista para pedir'!$C$3,N($I509)&lt;=0),"",COUNTIFS($A$2:$A509,$A509,$I$2:$I509,"&gt;0"))</f>
        <v/>
      </c>
    </row>
    <row r="510">
      <c r="A510" s="20" t="n"/>
      <c r="B510" s="21">
        <f>IF($A510="","",CHOOSE(WEEKDAY($A510,2),"Lunes","Martes","Miércoles","Jueves","Viernes","Sábado","Domingo"))</f>
        <v/>
      </c>
      <c r="C510" s="17" t="n"/>
      <c r="D510" s="21">
        <f>IF($C510="","",IFERROR(INDEX(Insumos!$B$2:$B$151,MATCH($C510,Insumos!$A$2:$A$151,0)),"Código no cargado"))</f>
        <v/>
      </c>
      <c r="E510" s="21">
        <f>IF($C510="","",IFERROR(INDEX(Insumos!$C$2:$C$151,MATCH($C510,Insumos!$A$2:$A$151,0)),""))</f>
        <v/>
      </c>
      <c r="F510" s="21">
        <f>IF($C510="","",IFERROR(INDEX(Insumos!$D$2:$D$151,MATCH($C510,Insumos!$A$2:$A$151,0)),""))</f>
        <v/>
      </c>
      <c r="G510" s="18" t="n"/>
      <c r="H510" s="19">
        <f>IF(OR($A510="",$C510=""),"",IFERROR(INDEX(Insumos!$M$2:$S$151,MATCH($C510,Insumos!$A$2:$A$151,0),WEEKDAY($A510,2)),""))</f>
        <v/>
      </c>
      <c r="I510" s="19">
        <f>IF(OR($G510="",$H510=""),"",MAX(0,$H510-$G510))</f>
        <v/>
      </c>
      <c r="J510" s="21">
        <f>IF($I510="","",IF($I510=0,"OK",IF($G510&lt;=0,"Sin stock: pedir ya","Pedir o producir")))</f>
        <v/>
      </c>
      <c r="K510" s="17" t="n"/>
      <c r="L510" s="17" t="n"/>
      <c r="M510" s="21">
        <f>IF(OR($A510="",$A510&lt;&gt;'Lista para pedir'!$C$3,N($I510)&lt;=0),"",COUNTIFS($A$2:$A510,$A510,$I$2:$I510,"&gt;0"))</f>
        <v/>
      </c>
    </row>
    <row r="511">
      <c r="A511" s="20" t="n"/>
      <c r="B511" s="21">
        <f>IF($A511="","",CHOOSE(WEEKDAY($A511,2),"Lunes","Martes","Miércoles","Jueves","Viernes","Sábado","Domingo"))</f>
        <v/>
      </c>
      <c r="C511" s="17" t="n"/>
      <c r="D511" s="21">
        <f>IF($C511="","",IFERROR(INDEX(Insumos!$B$2:$B$151,MATCH($C511,Insumos!$A$2:$A$151,0)),"Código no cargado"))</f>
        <v/>
      </c>
      <c r="E511" s="21">
        <f>IF($C511="","",IFERROR(INDEX(Insumos!$C$2:$C$151,MATCH($C511,Insumos!$A$2:$A$151,0)),""))</f>
        <v/>
      </c>
      <c r="F511" s="21">
        <f>IF($C511="","",IFERROR(INDEX(Insumos!$D$2:$D$151,MATCH($C511,Insumos!$A$2:$A$151,0)),""))</f>
        <v/>
      </c>
      <c r="G511" s="18" t="n"/>
      <c r="H511" s="19">
        <f>IF(OR($A511="",$C511=""),"",IFERROR(INDEX(Insumos!$M$2:$S$151,MATCH($C511,Insumos!$A$2:$A$151,0),WEEKDAY($A511,2)),""))</f>
        <v/>
      </c>
      <c r="I511" s="19">
        <f>IF(OR($G511="",$H511=""),"",MAX(0,$H511-$G511))</f>
        <v/>
      </c>
      <c r="J511" s="21">
        <f>IF($I511="","",IF($I511=0,"OK",IF($G511&lt;=0,"Sin stock: pedir ya","Pedir o producir")))</f>
        <v/>
      </c>
      <c r="K511" s="17" t="n"/>
      <c r="L511" s="17" t="n"/>
      <c r="M511" s="21">
        <f>IF(OR($A511="",$A511&lt;&gt;'Lista para pedir'!$C$3,N($I511)&lt;=0),"",COUNTIFS($A$2:$A511,$A511,$I$2:$I511,"&gt;0"))</f>
        <v/>
      </c>
    </row>
    <row r="512">
      <c r="A512" s="20" t="n"/>
      <c r="B512" s="21">
        <f>IF($A512="","",CHOOSE(WEEKDAY($A512,2),"Lunes","Martes","Miércoles","Jueves","Viernes","Sábado","Domingo"))</f>
        <v/>
      </c>
      <c r="C512" s="17" t="n"/>
      <c r="D512" s="21">
        <f>IF($C512="","",IFERROR(INDEX(Insumos!$B$2:$B$151,MATCH($C512,Insumos!$A$2:$A$151,0)),"Código no cargado"))</f>
        <v/>
      </c>
      <c r="E512" s="21">
        <f>IF($C512="","",IFERROR(INDEX(Insumos!$C$2:$C$151,MATCH($C512,Insumos!$A$2:$A$151,0)),""))</f>
        <v/>
      </c>
      <c r="F512" s="21">
        <f>IF($C512="","",IFERROR(INDEX(Insumos!$D$2:$D$151,MATCH($C512,Insumos!$A$2:$A$151,0)),""))</f>
        <v/>
      </c>
      <c r="G512" s="18" t="n"/>
      <c r="H512" s="19">
        <f>IF(OR($A512="",$C512=""),"",IFERROR(INDEX(Insumos!$M$2:$S$151,MATCH($C512,Insumos!$A$2:$A$151,0),WEEKDAY($A512,2)),""))</f>
        <v/>
      </c>
      <c r="I512" s="19">
        <f>IF(OR($G512="",$H512=""),"",MAX(0,$H512-$G512))</f>
        <v/>
      </c>
      <c r="J512" s="21">
        <f>IF($I512="","",IF($I512=0,"OK",IF($G512&lt;=0,"Sin stock: pedir ya","Pedir o producir")))</f>
        <v/>
      </c>
      <c r="K512" s="17" t="n"/>
      <c r="L512" s="17" t="n"/>
      <c r="M512" s="21">
        <f>IF(OR($A512="",$A512&lt;&gt;'Lista para pedir'!$C$3,N($I512)&lt;=0),"",COUNTIFS($A$2:$A512,$A512,$I$2:$I512,"&gt;0"))</f>
        <v/>
      </c>
    </row>
    <row r="513">
      <c r="A513" s="20" t="n"/>
      <c r="B513" s="21">
        <f>IF($A513="","",CHOOSE(WEEKDAY($A513,2),"Lunes","Martes","Miércoles","Jueves","Viernes","Sábado","Domingo"))</f>
        <v/>
      </c>
      <c r="C513" s="17" t="n"/>
      <c r="D513" s="21">
        <f>IF($C513="","",IFERROR(INDEX(Insumos!$B$2:$B$151,MATCH($C513,Insumos!$A$2:$A$151,0)),"Código no cargado"))</f>
        <v/>
      </c>
      <c r="E513" s="21">
        <f>IF($C513="","",IFERROR(INDEX(Insumos!$C$2:$C$151,MATCH($C513,Insumos!$A$2:$A$151,0)),""))</f>
        <v/>
      </c>
      <c r="F513" s="21">
        <f>IF($C513="","",IFERROR(INDEX(Insumos!$D$2:$D$151,MATCH($C513,Insumos!$A$2:$A$151,0)),""))</f>
        <v/>
      </c>
      <c r="G513" s="18" t="n"/>
      <c r="H513" s="19">
        <f>IF(OR($A513="",$C513=""),"",IFERROR(INDEX(Insumos!$M$2:$S$151,MATCH($C513,Insumos!$A$2:$A$151,0),WEEKDAY($A513,2)),""))</f>
        <v/>
      </c>
      <c r="I513" s="19">
        <f>IF(OR($G513="",$H513=""),"",MAX(0,$H513-$G513))</f>
        <v/>
      </c>
      <c r="J513" s="21">
        <f>IF($I513="","",IF($I513=0,"OK",IF($G513&lt;=0,"Sin stock: pedir ya","Pedir o producir")))</f>
        <v/>
      </c>
      <c r="K513" s="17" t="n"/>
      <c r="L513" s="17" t="n"/>
      <c r="M513" s="21">
        <f>IF(OR($A513="",$A513&lt;&gt;'Lista para pedir'!$C$3,N($I513)&lt;=0),"",COUNTIFS($A$2:$A513,$A513,$I$2:$I513,"&gt;0"))</f>
        <v/>
      </c>
    </row>
    <row r="514">
      <c r="A514" s="20" t="n"/>
      <c r="B514" s="21">
        <f>IF($A514="","",CHOOSE(WEEKDAY($A514,2),"Lunes","Martes","Miércoles","Jueves","Viernes","Sábado","Domingo"))</f>
        <v/>
      </c>
      <c r="C514" s="17" t="n"/>
      <c r="D514" s="21">
        <f>IF($C514="","",IFERROR(INDEX(Insumos!$B$2:$B$151,MATCH($C514,Insumos!$A$2:$A$151,0)),"Código no cargado"))</f>
        <v/>
      </c>
      <c r="E514" s="21">
        <f>IF($C514="","",IFERROR(INDEX(Insumos!$C$2:$C$151,MATCH($C514,Insumos!$A$2:$A$151,0)),""))</f>
        <v/>
      </c>
      <c r="F514" s="21">
        <f>IF($C514="","",IFERROR(INDEX(Insumos!$D$2:$D$151,MATCH($C514,Insumos!$A$2:$A$151,0)),""))</f>
        <v/>
      </c>
      <c r="G514" s="18" t="n"/>
      <c r="H514" s="19">
        <f>IF(OR($A514="",$C514=""),"",IFERROR(INDEX(Insumos!$M$2:$S$151,MATCH($C514,Insumos!$A$2:$A$151,0),WEEKDAY($A514,2)),""))</f>
        <v/>
      </c>
      <c r="I514" s="19">
        <f>IF(OR($G514="",$H514=""),"",MAX(0,$H514-$G514))</f>
        <v/>
      </c>
      <c r="J514" s="21">
        <f>IF($I514="","",IF($I514=0,"OK",IF($G514&lt;=0,"Sin stock: pedir ya","Pedir o producir")))</f>
        <v/>
      </c>
      <c r="K514" s="17" t="n"/>
      <c r="L514" s="17" t="n"/>
      <c r="M514" s="21">
        <f>IF(OR($A514="",$A514&lt;&gt;'Lista para pedir'!$C$3,N($I514)&lt;=0),"",COUNTIFS($A$2:$A514,$A514,$I$2:$I514,"&gt;0"))</f>
        <v/>
      </c>
    </row>
    <row r="515">
      <c r="A515" s="20" t="n"/>
      <c r="B515" s="21">
        <f>IF($A515="","",CHOOSE(WEEKDAY($A515,2),"Lunes","Martes","Miércoles","Jueves","Viernes","Sábado","Domingo"))</f>
        <v/>
      </c>
      <c r="C515" s="17" t="n"/>
      <c r="D515" s="21">
        <f>IF($C515="","",IFERROR(INDEX(Insumos!$B$2:$B$151,MATCH($C515,Insumos!$A$2:$A$151,0)),"Código no cargado"))</f>
        <v/>
      </c>
      <c r="E515" s="21">
        <f>IF($C515="","",IFERROR(INDEX(Insumos!$C$2:$C$151,MATCH($C515,Insumos!$A$2:$A$151,0)),""))</f>
        <v/>
      </c>
      <c r="F515" s="21">
        <f>IF($C515="","",IFERROR(INDEX(Insumos!$D$2:$D$151,MATCH($C515,Insumos!$A$2:$A$151,0)),""))</f>
        <v/>
      </c>
      <c r="G515" s="18" t="n"/>
      <c r="H515" s="19">
        <f>IF(OR($A515="",$C515=""),"",IFERROR(INDEX(Insumos!$M$2:$S$151,MATCH($C515,Insumos!$A$2:$A$151,0),WEEKDAY($A515,2)),""))</f>
        <v/>
      </c>
      <c r="I515" s="19">
        <f>IF(OR($G515="",$H515=""),"",MAX(0,$H515-$G515))</f>
        <v/>
      </c>
      <c r="J515" s="21">
        <f>IF($I515="","",IF($I515=0,"OK",IF($G515&lt;=0,"Sin stock: pedir ya","Pedir o producir")))</f>
        <v/>
      </c>
      <c r="K515" s="17" t="n"/>
      <c r="L515" s="17" t="n"/>
      <c r="M515" s="21">
        <f>IF(OR($A515="",$A515&lt;&gt;'Lista para pedir'!$C$3,N($I515)&lt;=0),"",COUNTIFS($A$2:$A515,$A515,$I$2:$I515,"&gt;0"))</f>
        <v/>
      </c>
    </row>
    <row r="516">
      <c r="A516" s="20" t="n"/>
      <c r="B516" s="21">
        <f>IF($A516="","",CHOOSE(WEEKDAY($A516,2),"Lunes","Martes","Miércoles","Jueves","Viernes","Sábado","Domingo"))</f>
        <v/>
      </c>
      <c r="C516" s="17" t="n"/>
      <c r="D516" s="21">
        <f>IF($C516="","",IFERROR(INDEX(Insumos!$B$2:$B$151,MATCH($C516,Insumos!$A$2:$A$151,0)),"Código no cargado"))</f>
        <v/>
      </c>
      <c r="E516" s="21">
        <f>IF($C516="","",IFERROR(INDEX(Insumos!$C$2:$C$151,MATCH($C516,Insumos!$A$2:$A$151,0)),""))</f>
        <v/>
      </c>
      <c r="F516" s="21">
        <f>IF($C516="","",IFERROR(INDEX(Insumos!$D$2:$D$151,MATCH($C516,Insumos!$A$2:$A$151,0)),""))</f>
        <v/>
      </c>
      <c r="G516" s="18" t="n"/>
      <c r="H516" s="19">
        <f>IF(OR($A516="",$C516=""),"",IFERROR(INDEX(Insumos!$M$2:$S$151,MATCH($C516,Insumos!$A$2:$A$151,0),WEEKDAY($A516,2)),""))</f>
        <v/>
      </c>
      <c r="I516" s="19">
        <f>IF(OR($G516="",$H516=""),"",MAX(0,$H516-$G516))</f>
        <v/>
      </c>
      <c r="J516" s="21">
        <f>IF($I516="","",IF($I516=0,"OK",IF($G516&lt;=0,"Sin stock: pedir ya","Pedir o producir")))</f>
        <v/>
      </c>
      <c r="K516" s="17" t="n"/>
      <c r="L516" s="17" t="n"/>
      <c r="M516" s="21">
        <f>IF(OR($A516="",$A516&lt;&gt;'Lista para pedir'!$C$3,N($I516)&lt;=0),"",COUNTIFS($A$2:$A516,$A516,$I$2:$I516,"&gt;0"))</f>
        <v/>
      </c>
    </row>
    <row r="517">
      <c r="A517" s="20" t="n"/>
      <c r="B517" s="21">
        <f>IF($A517="","",CHOOSE(WEEKDAY($A517,2),"Lunes","Martes","Miércoles","Jueves","Viernes","Sábado","Domingo"))</f>
        <v/>
      </c>
      <c r="C517" s="17" t="n"/>
      <c r="D517" s="21">
        <f>IF($C517="","",IFERROR(INDEX(Insumos!$B$2:$B$151,MATCH($C517,Insumos!$A$2:$A$151,0)),"Código no cargado"))</f>
        <v/>
      </c>
      <c r="E517" s="21">
        <f>IF($C517="","",IFERROR(INDEX(Insumos!$C$2:$C$151,MATCH($C517,Insumos!$A$2:$A$151,0)),""))</f>
        <v/>
      </c>
      <c r="F517" s="21">
        <f>IF($C517="","",IFERROR(INDEX(Insumos!$D$2:$D$151,MATCH($C517,Insumos!$A$2:$A$151,0)),""))</f>
        <v/>
      </c>
      <c r="G517" s="18" t="n"/>
      <c r="H517" s="19">
        <f>IF(OR($A517="",$C517=""),"",IFERROR(INDEX(Insumos!$M$2:$S$151,MATCH($C517,Insumos!$A$2:$A$151,0),WEEKDAY($A517,2)),""))</f>
        <v/>
      </c>
      <c r="I517" s="19">
        <f>IF(OR($G517="",$H517=""),"",MAX(0,$H517-$G517))</f>
        <v/>
      </c>
      <c r="J517" s="21">
        <f>IF($I517="","",IF($I517=0,"OK",IF($G517&lt;=0,"Sin stock: pedir ya","Pedir o producir")))</f>
        <v/>
      </c>
      <c r="K517" s="17" t="n"/>
      <c r="L517" s="17" t="n"/>
      <c r="M517" s="21">
        <f>IF(OR($A517="",$A517&lt;&gt;'Lista para pedir'!$C$3,N($I517)&lt;=0),"",COUNTIFS($A$2:$A517,$A517,$I$2:$I517,"&gt;0"))</f>
        <v/>
      </c>
    </row>
    <row r="518">
      <c r="A518" s="20" t="n"/>
      <c r="B518" s="21">
        <f>IF($A518="","",CHOOSE(WEEKDAY($A518,2),"Lunes","Martes","Miércoles","Jueves","Viernes","Sábado","Domingo"))</f>
        <v/>
      </c>
      <c r="C518" s="17" t="n"/>
      <c r="D518" s="21">
        <f>IF($C518="","",IFERROR(INDEX(Insumos!$B$2:$B$151,MATCH($C518,Insumos!$A$2:$A$151,0)),"Código no cargado"))</f>
        <v/>
      </c>
      <c r="E518" s="21">
        <f>IF($C518="","",IFERROR(INDEX(Insumos!$C$2:$C$151,MATCH($C518,Insumos!$A$2:$A$151,0)),""))</f>
        <v/>
      </c>
      <c r="F518" s="21">
        <f>IF($C518="","",IFERROR(INDEX(Insumos!$D$2:$D$151,MATCH($C518,Insumos!$A$2:$A$151,0)),""))</f>
        <v/>
      </c>
      <c r="G518" s="18" t="n"/>
      <c r="H518" s="19">
        <f>IF(OR($A518="",$C518=""),"",IFERROR(INDEX(Insumos!$M$2:$S$151,MATCH($C518,Insumos!$A$2:$A$151,0),WEEKDAY($A518,2)),""))</f>
        <v/>
      </c>
      <c r="I518" s="19">
        <f>IF(OR($G518="",$H518=""),"",MAX(0,$H518-$G518))</f>
        <v/>
      </c>
      <c r="J518" s="21">
        <f>IF($I518="","",IF($I518=0,"OK",IF($G518&lt;=0,"Sin stock: pedir ya","Pedir o producir")))</f>
        <v/>
      </c>
      <c r="K518" s="17" t="n"/>
      <c r="L518" s="17" t="n"/>
      <c r="M518" s="21">
        <f>IF(OR($A518="",$A518&lt;&gt;'Lista para pedir'!$C$3,N($I518)&lt;=0),"",COUNTIFS($A$2:$A518,$A518,$I$2:$I518,"&gt;0"))</f>
        <v/>
      </c>
    </row>
    <row r="519">
      <c r="A519" s="20" t="n"/>
      <c r="B519" s="21">
        <f>IF($A519="","",CHOOSE(WEEKDAY($A519,2),"Lunes","Martes","Miércoles","Jueves","Viernes","Sábado","Domingo"))</f>
        <v/>
      </c>
      <c r="C519" s="17" t="n"/>
      <c r="D519" s="21">
        <f>IF($C519="","",IFERROR(INDEX(Insumos!$B$2:$B$151,MATCH($C519,Insumos!$A$2:$A$151,0)),"Código no cargado"))</f>
        <v/>
      </c>
      <c r="E519" s="21">
        <f>IF($C519="","",IFERROR(INDEX(Insumos!$C$2:$C$151,MATCH($C519,Insumos!$A$2:$A$151,0)),""))</f>
        <v/>
      </c>
      <c r="F519" s="21">
        <f>IF($C519="","",IFERROR(INDEX(Insumos!$D$2:$D$151,MATCH($C519,Insumos!$A$2:$A$151,0)),""))</f>
        <v/>
      </c>
      <c r="G519" s="18" t="n"/>
      <c r="H519" s="19">
        <f>IF(OR($A519="",$C519=""),"",IFERROR(INDEX(Insumos!$M$2:$S$151,MATCH($C519,Insumos!$A$2:$A$151,0),WEEKDAY($A519,2)),""))</f>
        <v/>
      </c>
      <c r="I519" s="19">
        <f>IF(OR($G519="",$H519=""),"",MAX(0,$H519-$G519))</f>
        <v/>
      </c>
      <c r="J519" s="21">
        <f>IF($I519="","",IF($I519=0,"OK",IF($G519&lt;=0,"Sin stock: pedir ya","Pedir o producir")))</f>
        <v/>
      </c>
      <c r="K519" s="17" t="n"/>
      <c r="L519" s="17" t="n"/>
      <c r="M519" s="21">
        <f>IF(OR($A519="",$A519&lt;&gt;'Lista para pedir'!$C$3,N($I519)&lt;=0),"",COUNTIFS($A$2:$A519,$A519,$I$2:$I519,"&gt;0"))</f>
        <v/>
      </c>
    </row>
    <row r="520">
      <c r="A520" s="20" t="n"/>
      <c r="B520" s="21">
        <f>IF($A520="","",CHOOSE(WEEKDAY($A520,2),"Lunes","Martes","Miércoles","Jueves","Viernes","Sábado","Domingo"))</f>
        <v/>
      </c>
      <c r="C520" s="17" t="n"/>
      <c r="D520" s="21">
        <f>IF($C520="","",IFERROR(INDEX(Insumos!$B$2:$B$151,MATCH($C520,Insumos!$A$2:$A$151,0)),"Código no cargado"))</f>
        <v/>
      </c>
      <c r="E520" s="21">
        <f>IF($C520="","",IFERROR(INDEX(Insumos!$C$2:$C$151,MATCH($C520,Insumos!$A$2:$A$151,0)),""))</f>
        <v/>
      </c>
      <c r="F520" s="21">
        <f>IF($C520="","",IFERROR(INDEX(Insumos!$D$2:$D$151,MATCH($C520,Insumos!$A$2:$A$151,0)),""))</f>
        <v/>
      </c>
      <c r="G520" s="18" t="n"/>
      <c r="H520" s="19">
        <f>IF(OR($A520="",$C520=""),"",IFERROR(INDEX(Insumos!$M$2:$S$151,MATCH($C520,Insumos!$A$2:$A$151,0),WEEKDAY($A520,2)),""))</f>
        <v/>
      </c>
      <c r="I520" s="19">
        <f>IF(OR($G520="",$H520=""),"",MAX(0,$H520-$G520))</f>
        <v/>
      </c>
      <c r="J520" s="21">
        <f>IF($I520="","",IF($I520=0,"OK",IF($G520&lt;=0,"Sin stock: pedir ya","Pedir o producir")))</f>
        <v/>
      </c>
      <c r="K520" s="17" t="n"/>
      <c r="L520" s="17" t="n"/>
      <c r="M520" s="21">
        <f>IF(OR($A520="",$A520&lt;&gt;'Lista para pedir'!$C$3,N($I520)&lt;=0),"",COUNTIFS($A$2:$A520,$A520,$I$2:$I520,"&gt;0"))</f>
        <v/>
      </c>
    </row>
    <row r="521">
      <c r="A521" s="20" t="n"/>
      <c r="B521" s="21">
        <f>IF($A521="","",CHOOSE(WEEKDAY($A521,2),"Lunes","Martes","Miércoles","Jueves","Viernes","Sábado","Domingo"))</f>
        <v/>
      </c>
      <c r="C521" s="17" t="n"/>
      <c r="D521" s="21">
        <f>IF($C521="","",IFERROR(INDEX(Insumos!$B$2:$B$151,MATCH($C521,Insumos!$A$2:$A$151,0)),"Código no cargado"))</f>
        <v/>
      </c>
      <c r="E521" s="21">
        <f>IF($C521="","",IFERROR(INDEX(Insumos!$C$2:$C$151,MATCH($C521,Insumos!$A$2:$A$151,0)),""))</f>
        <v/>
      </c>
      <c r="F521" s="21">
        <f>IF($C521="","",IFERROR(INDEX(Insumos!$D$2:$D$151,MATCH($C521,Insumos!$A$2:$A$151,0)),""))</f>
        <v/>
      </c>
      <c r="G521" s="18" t="n"/>
      <c r="H521" s="19">
        <f>IF(OR($A521="",$C521=""),"",IFERROR(INDEX(Insumos!$M$2:$S$151,MATCH($C521,Insumos!$A$2:$A$151,0),WEEKDAY($A521,2)),""))</f>
        <v/>
      </c>
      <c r="I521" s="19">
        <f>IF(OR($G521="",$H521=""),"",MAX(0,$H521-$G521))</f>
        <v/>
      </c>
      <c r="J521" s="21">
        <f>IF($I521="","",IF($I521=0,"OK",IF($G521&lt;=0,"Sin stock: pedir ya","Pedir o producir")))</f>
        <v/>
      </c>
      <c r="K521" s="17" t="n"/>
      <c r="L521" s="17" t="n"/>
      <c r="M521" s="21">
        <f>IF(OR($A521="",$A521&lt;&gt;'Lista para pedir'!$C$3,N($I521)&lt;=0),"",COUNTIFS($A$2:$A521,$A521,$I$2:$I521,"&gt;0"))</f>
        <v/>
      </c>
    </row>
    <row r="522">
      <c r="A522" s="20" t="n"/>
      <c r="B522" s="21">
        <f>IF($A522="","",CHOOSE(WEEKDAY($A522,2),"Lunes","Martes","Miércoles","Jueves","Viernes","Sábado","Domingo"))</f>
        <v/>
      </c>
      <c r="C522" s="17" t="n"/>
      <c r="D522" s="21">
        <f>IF($C522="","",IFERROR(INDEX(Insumos!$B$2:$B$151,MATCH($C522,Insumos!$A$2:$A$151,0)),"Código no cargado"))</f>
        <v/>
      </c>
      <c r="E522" s="21">
        <f>IF($C522="","",IFERROR(INDEX(Insumos!$C$2:$C$151,MATCH($C522,Insumos!$A$2:$A$151,0)),""))</f>
        <v/>
      </c>
      <c r="F522" s="21">
        <f>IF($C522="","",IFERROR(INDEX(Insumos!$D$2:$D$151,MATCH($C522,Insumos!$A$2:$A$151,0)),""))</f>
        <v/>
      </c>
      <c r="G522" s="18" t="n"/>
      <c r="H522" s="19">
        <f>IF(OR($A522="",$C522=""),"",IFERROR(INDEX(Insumos!$M$2:$S$151,MATCH($C522,Insumos!$A$2:$A$151,0),WEEKDAY($A522,2)),""))</f>
        <v/>
      </c>
      <c r="I522" s="19">
        <f>IF(OR($G522="",$H522=""),"",MAX(0,$H522-$G522))</f>
        <v/>
      </c>
      <c r="J522" s="21">
        <f>IF($I522="","",IF($I522=0,"OK",IF($G522&lt;=0,"Sin stock: pedir ya","Pedir o producir")))</f>
        <v/>
      </c>
      <c r="K522" s="17" t="n"/>
      <c r="L522" s="17" t="n"/>
      <c r="M522" s="21">
        <f>IF(OR($A522="",$A522&lt;&gt;'Lista para pedir'!$C$3,N($I522)&lt;=0),"",COUNTIFS($A$2:$A522,$A522,$I$2:$I522,"&gt;0"))</f>
        <v/>
      </c>
    </row>
    <row r="523">
      <c r="A523" s="20" t="n"/>
      <c r="B523" s="21">
        <f>IF($A523="","",CHOOSE(WEEKDAY($A523,2),"Lunes","Martes","Miércoles","Jueves","Viernes","Sábado","Domingo"))</f>
        <v/>
      </c>
      <c r="C523" s="17" t="n"/>
      <c r="D523" s="21">
        <f>IF($C523="","",IFERROR(INDEX(Insumos!$B$2:$B$151,MATCH($C523,Insumos!$A$2:$A$151,0)),"Código no cargado"))</f>
        <v/>
      </c>
      <c r="E523" s="21">
        <f>IF($C523="","",IFERROR(INDEX(Insumos!$C$2:$C$151,MATCH($C523,Insumos!$A$2:$A$151,0)),""))</f>
        <v/>
      </c>
      <c r="F523" s="21">
        <f>IF($C523="","",IFERROR(INDEX(Insumos!$D$2:$D$151,MATCH($C523,Insumos!$A$2:$A$151,0)),""))</f>
        <v/>
      </c>
      <c r="G523" s="18" t="n"/>
      <c r="H523" s="19">
        <f>IF(OR($A523="",$C523=""),"",IFERROR(INDEX(Insumos!$M$2:$S$151,MATCH($C523,Insumos!$A$2:$A$151,0),WEEKDAY($A523,2)),""))</f>
        <v/>
      </c>
      <c r="I523" s="19">
        <f>IF(OR($G523="",$H523=""),"",MAX(0,$H523-$G523))</f>
        <v/>
      </c>
      <c r="J523" s="21">
        <f>IF($I523="","",IF($I523=0,"OK",IF($G523&lt;=0,"Sin stock: pedir ya","Pedir o producir")))</f>
        <v/>
      </c>
      <c r="K523" s="17" t="n"/>
      <c r="L523" s="17" t="n"/>
      <c r="M523" s="21">
        <f>IF(OR($A523="",$A523&lt;&gt;'Lista para pedir'!$C$3,N($I523)&lt;=0),"",COUNTIFS($A$2:$A523,$A523,$I$2:$I523,"&gt;0"))</f>
        <v/>
      </c>
    </row>
    <row r="524">
      <c r="A524" s="20" t="n"/>
      <c r="B524" s="21">
        <f>IF($A524="","",CHOOSE(WEEKDAY($A524,2),"Lunes","Martes","Miércoles","Jueves","Viernes","Sábado","Domingo"))</f>
        <v/>
      </c>
      <c r="C524" s="17" t="n"/>
      <c r="D524" s="21">
        <f>IF($C524="","",IFERROR(INDEX(Insumos!$B$2:$B$151,MATCH($C524,Insumos!$A$2:$A$151,0)),"Código no cargado"))</f>
        <v/>
      </c>
      <c r="E524" s="21">
        <f>IF($C524="","",IFERROR(INDEX(Insumos!$C$2:$C$151,MATCH($C524,Insumos!$A$2:$A$151,0)),""))</f>
        <v/>
      </c>
      <c r="F524" s="21">
        <f>IF($C524="","",IFERROR(INDEX(Insumos!$D$2:$D$151,MATCH($C524,Insumos!$A$2:$A$151,0)),""))</f>
        <v/>
      </c>
      <c r="G524" s="18" t="n"/>
      <c r="H524" s="19">
        <f>IF(OR($A524="",$C524=""),"",IFERROR(INDEX(Insumos!$M$2:$S$151,MATCH($C524,Insumos!$A$2:$A$151,0),WEEKDAY($A524,2)),""))</f>
        <v/>
      </c>
      <c r="I524" s="19">
        <f>IF(OR($G524="",$H524=""),"",MAX(0,$H524-$G524))</f>
        <v/>
      </c>
      <c r="J524" s="21">
        <f>IF($I524="","",IF($I524=0,"OK",IF($G524&lt;=0,"Sin stock: pedir ya","Pedir o producir")))</f>
        <v/>
      </c>
      <c r="K524" s="17" t="n"/>
      <c r="L524" s="17" t="n"/>
      <c r="M524" s="21">
        <f>IF(OR($A524="",$A524&lt;&gt;'Lista para pedir'!$C$3,N($I524)&lt;=0),"",COUNTIFS($A$2:$A524,$A524,$I$2:$I524,"&gt;0"))</f>
        <v/>
      </c>
    </row>
    <row r="525">
      <c r="A525" s="20" t="n"/>
      <c r="B525" s="21">
        <f>IF($A525="","",CHOOSE(WEEKDAY($A525,2),"Lunes","Martes","Miércoles","Jueves","Viernes","Sábado","Domingo"))</f>
        <v/>
      </c>
      <c r="C525" s="17" t="n"/>
      <c r="D525" s="21">
        <f>IF($C525="","",IFERROR(INDEX(Insumos!$B$2:$B$151,MATCH($C525,Insumos!$A$2:$A$151,0)),"Código no cargado"))</f>
        <v/>
      </c>
      <c r="E525" s="21">
        <f>IF($C525="","",IFERROR(INDEX(Insumos!$C$2:$C$151,MATCH($C525,Insumos!$A$2:$A$151,0)),""))</f>
        <v/>
      </c>
      <c r="F525" s="21">
        <f>IF($C525="","",IFERROR(INDEX(Insumos!$D$2:$D$151,MATCH($C525,Insumos!$A$2:$A$151,0)),""))</f>
        <v/>
      </c>
      <c r="G525" s="18" t="n"/>
      <c r="H525" s="19">
        <f>IF(OR($A525="",$C525=""),"",IFERROR(INDEX(Insumos!$M$2:$S$151,MATCH($C525,Insumos!$A$2:$A$151,0),WEEKDAY($A525,2)),""))</f>
        <v/>
      </c>
      <c r="I525" s="19">
        <f>IF(OR($G525="",$H525=""),"",MAX(0,$H525-$G525))</f>
        <v/>
      </c>
      <c r="J525" s="21">
        <f>IF($I525="","",IF($I525=0,"OK",IF($G525&lt;=0,"Sin stock: pedir ya","Pedir o producir")))</f>
        <v/>
      </c>
      <c r="K525" s="17" t="n"/>
      <c r="L525" s="17" t="n"/>
      <c r="M525" s="21">
        <f>IF(OR($A525="",$A525&lt;&gt;'Lista para pedir'!$C$3,N($I525)&lt;=0),"",COUNTIFS($A$2:$A525,$A525,$I$2:$I525,"&gt;0"))</f>
        <v/>
      </c>
    </row>
    <row r="526">
      <c r="A526" s="20" t="n"/>
      <c r="B526" s="21">
        <f>IF($A526="","",CHOOSE(WEEKDAY($A526,2),"Lunes","Martes","Miércoles","Jueves","Viernes","Sábado","Domingo"))</f>
        <v/>
      </c>
      <c r="C526" s="17" t="n"/>
      <c r="D526" s="21">
        <f>IF($C526="","",IFERROR(INDEX(Insumos!$B$2:$B$151,MATCH($C526,Insumos!$A$2:$A$151,0)),"Código no cargado"))</f>
        <v/>
      </c>
      <c r="E526" s="21">
        <f>IF($C526="","",IFERROR(INDEX(Insumos!$C$2:$C$151,MATCH($C526,Insumos!$A$2:$A$151,0)),""))</f>
        <v/>
      </c>
      <c r="F526" s="21">
        <f>IF($C526="","",IFERROR(INDEX(Insumos!$D$2:$D$151,MATCH($C526,Insumos!$A$2:$A$151,0)),""))</f>
        <v/>
      </c>
      <c r="G526" s="18" t="n"/>
      <c r="H526" s="19">
        <f>IF(OR($A526="",$C526=""),"",IFERROR(INDEX(Insumos!$M$2:$S$151,MATCH($C526,Insumos!$A$2:$A$151,0),WEEKDAY($A526,2)),""))</f>
        <v/>
      </c>
      <c r="I526" s="19">
        <f>IF(OR($G526="",$H526=""),"",MAX(0,$H526-$G526))</f>
        <v/>
      </c>
      <c r="J526" s="21">
        <f>IF($I526="","",IF($I526=0,"OK",IF($G526&lt;=0,"Sin stock: pedir ya","Pedir o producir")))</f>
        <v/>
      </c>
      <c r="K526" s="17" t="n"/>
      <c r="L526" s="17" t="n"/>
      <c r="M526" s="21">
        <f>IF(OR($A526="",$A526&lt;&gt;'Lista para pedir'!$C$3,N($I526)&lt;=0),"",COUNTIFS($A$2:$A526,$A526,$I$2:$I526,"&gt;0"))</f>
        <v/>
      </c>
    </row>
    <row r="527">
      <c r="A527" s="20" t="n"/>
      <c r="B527" s="21">
        <f>IF($A527="","",CHOOSE(WEEKDAY($A527,2),"Lunes","Martes","Miércoles","Jueves","Viernes","Sábado","Domingo"))</f>
        <v/>
      </c>
      <c r="C527" s="17" t="n"/>
      <c r="D527" s="21">
        <f>IF($C527="","",IFERROR(INDEX(Insumos!$B$2:$B$151,MATCH($C527,Insumos!$A$2:$A$151,0)),"Código no cargado"))</f>
        <v/>
      </c>
      <c r="E527" s="21">
        <f>IF($C527="","",IFERROR(INDEX(Insumos!$C$2:$C$151,MATCH($C527,Insumos!$A$2:$A$151,0)),""))</f>
        <v/>
      </c>
      <c r="F527" s="21">
        <f>IF($C527="","",IFERROR(INDEX(Insumos!$D$2:$D$151,MATCH($C527,Insumos!$A$2:$A$151,0)),""))</f>
        <v/>
      </c>
      <c r="G527" s="18" t="n"/>
      <c r="H527" s="19">
        <f>IF(OR($A527="",$C527=""),"",IFERROR(INDEX(Insumos!$M$2:$S$151,MATCH($C527,Insumos!$A$2:$A$151,0),WEEKDAY($A527,2)),""))</f>
        <v/>
      </c>
      <c r="I527" s="19">
        <f>IF(OR($G527="",$H527=""),"",MAX(0,$H527-$G527))</f>
        <v/>
      </c>
      <c r="J527" s="21">
        <f>IF($I527="","",IF($I527=0,"OK",IF($G527&lt;=0,"Sin stock: pedir ya","Pedir o producir")))</f>
        <v/>
      </c>
      <c r="K527" s="17" t="n"/>
      <c r="L527" s="17" t="n"/>
      <c r="M527" s="21">
        <f>IF(OR($A527="",$A527&lt;&gt;'Lista para pedir'!$C$3,N($I527)&lt;=0),"",COUNTIFS($A$2:$A527,$A527,$I$2:$I527,"&gt;0"))</f>
        <v/>
      </c>
    </row>
    <row r="528">
      <c r="A528" s="20" t="n"/>
      <c r="B528" s="21">
        <f>IF($A528="","",CHOOSE(WEEKDAY($A528,2),"Lunes","Martes","Miércoles","Jueves","Viernes","Sábado","Domingo"))</f>
        <v/>
      </c>
      <c r="C528" s="17" t="n"/>
      <c r="D528" s="21">
        <f>IF($C528="","",IFERROR(INDEX(Insumos!$B$2:$B$151,MATCH($C528,Insumos!$A$2:$A$151,0)),"Código no cargado"))</f>
        <v/>
      </c>
      <c r="E528" s="21">
        <f>IF($C528="","",IFERROR(INDEX(Insumos!$C$2:$C$151,MATCH($C528,Insumos!$A$2:$A$151,0)),""))</f>
        <v/>
      </c>
      <c r="F528" s="21">
        <f>IF($C528="","",IFERROR(INDEX(Insumos!$D$2:$D$151,MATCH($C528,Insumos!$A$2:$A$151,0)),""))</f>
        <v/>
      </c>
      <c r="G528" s="18" t="n"/>
      <c r="H528" s="19">
        <f>IF(OR($A528="",$C528=""),"",IFERROR(INDEX(Insumos!$M$2:$S$151,MATCH($C528,Insumos!$A$2:$A$151,0),WEEKDAY($A528,2)),""))</f>
        <v/>
      </c>
      <c r="I528" s="19">
        <f>IF(OR($G528="",$H528=""),"",MAX(0,$H528-$G528))</f>
        <v/>
      </c>
      <c r="J528" s="21">
        <f>IF($I528="","",IF($I528=0,"OK",IF($G528&lt;=0,"Sin stock: pedir ya","Pedir o producir")))</f>
        <v/>
      </c>
      <c r="K528" s="17" t="n"/>
      <c r="L528" s="17" t="n"/>
      <c r="M528" s="21">
        <f>IF(OR($A528="",$A528&lt;&gt;'Lista para pedir'!$C$3,N($I528)&lt;=0),"",COUNTIFS($A$2:$A528,$A528,$I$2:$I528,"&gt;0"))</f>
        <v/>
      </c>
    </row>
    <row r="529">
      <c r="A529" s="20" t="n"/>
      <c r="B529" s="21">
        <f>IF($A529="","",CHOOSE(WEEKDAY($A529,2),"Lunes","Martes","Miércoles","Jueves","Viernes","Sábado","Domingo"))</f>
        <v/>
      </c>
      <c r="C529" s="17" t="n"/>
      <c r="D529" s="21">
        <f>IF($C529="","",IFERROR(INDEX(Insumos!$B$2:$B$151,MATCH($C529,Insumos!$A$2:$A$151,0)),"Código no cargado"))</f>
        <v/>
      </c>
      <c r="E529" s="21">
        <f>IF($C529="","",IFERROR(INDEX(Insumos!$C$2:$C$151,MATCH($C529,Insumos!$A$2:$A$151,0)),""))</f>
        <v/>
      </c>
      <c r="F529" s="21">
        <f>IF($C529="","",IFERROR(INDEX(Insumos!$D$2:$D$151,MATCH($C529,Insumos!$A$2:$A$151,0)),""))</f>
        <v/>
      </c>
      <c r="G529" s="18" t="n"/>
      <c r="H529" s="19">
        <f>IF(OR($A529="",$C529=""),"",IFERROR(INDEX(Insumos!$M$2:$S$151,MATCH($C529,Insumos!$A$2:$A$151,0),WEEKDAY($A529,2)),""))</f>
        <v/>
      </c>
      <c r="I529" s="19">
        <f>IF(OR($G529="",$H529=""),"",MAX(0,$H529-$G529))</f>
        <v/>
      </c>
      <c r="J529" s="21">
        <f>IF($I529="","",IF($I529=0,"OK",IF($G529&lt;=0,"Sin stock: pedir ya","Pedir o producir")))</f>
        <v/>
      </c>
      <c r="K529" s="17" t="n"/>
      <c r="L529" s="17" t="n"/>
      <c r="M529" s="21">
        <f>IF(OR($A529="",$A529&lt;&gt;'Lista para pedir'!$C$3,N($I529)&lt;=0),"",COUNTIFS($A$2:$A529,$A529,$I$2:$I529,"&gt;0"))</f>
        <v/>
      </c>
    </row>
    <row r="530">
      <c r="A530" s="20" t="n"/>
      <c r="B530" s="21">
        <f>IF($A530="","",CHOOSE(WEEKDAY($A530,2),"Lunes","Martes","Miércoles","Jueves","Viernes","Sábado","Domingo"))</f>
        <v/>
      </c>
      <c r="C530" s="17" t="n"/>
      <c r="D530" s="21">
        <f>IF($C530="","",IFERROR(INDEX(Insumos!$B$2:$B$151,MATCH($C530,Insumos!$A$2:$A$151,0)),"Código no cargado"))</f>
        <v/>
      </c>
      <c r="E530" s="21">
        <f>IF($C530="","",IFERROR(INDEX(Insumos!$C$2:$C$151,MATCH($C530,Insumos!$A$2:$A$151,0)),""))</f>
        <v/>
      </c>
      <c r="F530" s="21">
        <f>IF($C530="","",IFERROR(INDEX(Insumos!$D$2:$D$151,MATCH($C530,Insumos!$A$2:$A$151,0)),""))</f>
        <v/>
      </c>
      <c r="G530" s="18" t="n"/>
      <c r="H530" s="19">
        <f>IF(OR($A530="",$C530=""),"",IFERROR(INDEX(Insumos!$M$2:$S$151,MATCH($C530,Insumos!$A$2:$A$151,0),WEEKDAY($A530,2)),""))</f>
        <v/>
      </c>
      <c r="I530" s="19">
        <f>IF(OR($G530="",$H530=""),"",MAX(0,$H530-$G530))</f>
        <v/>
      </c>
      <c r="J530" s="21">
        <f>IF($I530="","",IF($I530=0,"OK",IF($G530&lt;=0,"Sin stock: pedir ya","Pedir o producir")))</f>
        <v/>
      </c>
      <c r="K530" s="17" t="n"/>
      <c r="L530" s="17" t="n"/>
      <c r="M530" s="21">
        <f>IF(OR($A530="",$A530&lt;&gt;'Lista para pedir'!$C$3,N($I530)&lt;=0),"",COUNTIFS($A$2:$A530,$A530,$I$2:$I530,"&gt;0"))</f>
        <v/>
      </c>
    </row>
    <row r="531">
      <c r="A531" s="20" t="n"/>
      <c r="B531" s="21">
        <f>IF($A531="","",CHOOSE(WEEKDAY($A531,2),"Lunes","Martes","Miércoles","Jueves","Viernes","Sábado","Domingo"))</f>
        <v/>
      </c>
      <c r="C531" s="17" t="n"/>
      <c r="D531" s="21">
        <f>IF($C531="","",IFERROR(INDEX(Insumos!$B$2:$B$151,MATCH($C531,Insumos!$A$2:$A$151,0)),"Código no cargado"))</f>
        <v/>
      </c>
      <c r="E531" s="21">
        <f>IF($C531="","",IFERROR(INDEX(Insumos!$C$2:$C$151,MATCH($C531,Insumos!$A$2:$A$151,0)),""))</f>
        <v/>
      </c>
      <c r="F531" s="21">
        <f>IF($C531="","",IFERROR(INDEX(Insumos!$D$2:$D$151,MATCH($C531,Insumos!$A$2:$A$151,0)),""))</f>
        <v/>
      </c>
      <c r="G531" s="18" t="n"/>
      <c r="H531" s="19">
        <f>IF(OR($A531="",$C531=""),"",IFERROR(INDEX(Insumos!$M$2:$S$151,MATCH($C531,Insumos!$A$2:$A$151,0),WEEKDAY($A531,2)),""))</f>
        <v/>
      </c>
      <c r="I531" s="19">
        <f>IF(OR($G531="",$H531=""),"",MAX(0,$H531-$G531))</f>
        <v/>
      </c>
      <c r="J531" s="21">
        <f>IF($I531="","",IF($I531=0,"OK",IF($G531&lt;=0,"Sin stock: pedir ya","Pedir o producir")))</f>
        <v/>
      </c>
      <c r="K531" s="17" t="n"/>
      <c r="L531" s="17" t="n"/>
      <c r="M531" s="21">
        <f>IF(OR($A531="",$A531&lt;&gt;'Lista para pedir'!$C$3,N($I531)&lt;=0),"",COUNTIFS($A$2:$A531,$A531,$I$2:$I531,"&gt;0"))</f>
        <v/>
      </c>
    </row>
    <row r="532">
      <c r="A532" s="20" t="n"/>
      <c r="B532" s="21">
        <f>IF($A532="","",CHOOSE(WEEKDAY($A532,2),"Lunes","Martes","Miércoles","Jueves","Viernes","Sábado","Domingo"))</f>
        <v/>
      </c>
      <c r="C532" s="17" t="n"/>
      <c r="D532" s="21">
        <f>IF($C532="","",IFERROR(INDEX(Insumos!$B$2:$B$151,MATCH($C532,Insumos!$A$2:$A$151,0)),"Código no cargado"))</f>
        <v/>
      </c>
      <c r="E532" s="21">
        <f>IF($C532="","",IFERROR(INDEX(Insumos!$C$2:$C$151,MATCH($C532,Insumos!$A$2:$A$151,0)),""))</f>
        <v/>
      </c>
      <c r="F532" s="21">
        <f>IF($C532="","",IFERROR(INDEX(Insumos!$D$2:$D$151,MATCH($C532,Insumos!$A$2:$A$151,0)),""))</f>
        <v/>
      </c>
      <c r="G532" s="18" t="n"/>
      <c r="H532" s="19">
        <f>IF(OR($A532="",$C532=""),"",IFERROR(INDEX(Insumos!$M$2:$S$151,MATCH($C532,Insumos!$A$2:$A$151,0),WEEKDAY($A532,2)),""))</f>
        <v/>
      </c>
      <c r="I532" s="19">
        <f>IF(OR($G532="",$H532=""),"",MAX(0,$H532-$G532))</f>
        <v/>
      </c>
      <c r="J532" s="21">
        <f>IF($I532="","",IF($I532=0,"OK",IF($G532&lt;=0,"Sin stock: pedir ya","Pedir o producir")))</f>
        <v/>
      </c>
      <c r="K532" s="17" t="n"/>
      <c r="L532" s="17" t="n"/>
      <c r="M532" s="21">
        <f>IF(OR($A532="",$A532&lt;&gt;'Lista para pedir'!$C$3,N($I532)&lt;=0),"",COUNTIFS($A$2:$A532,$A532,$I$2:$I532,"&gt;0"))</f>
        <v/>
      </c>
    </row>
    <row r="533">
      <c r="A533" s="20" t="n"/>
      <c r="B533" s="21">
        <f>IF($A533="","",CHOOSE(WEEKDAY($A533,2),"Lunes","Martes","Miércoles","Jueves","Viernes","Sábado","Domingo"))</f>
        <v/>
      </c>
      <c r="C533" s="17" t="n"/>
      <c r="D533" s="21">
        <f>IF($C533="","",IFERROR(INDEX(Insumos!$B$2:$B$151,MATCH($C533,Insumos!$A$2:$A$151,0)),"Código no cargado"))</f>
        <v/>
      </c>
      <c r="E533" s="21">
        <f>IF($C533="","",IFERROR(INDEX(Insumos!$C$2:$C$151,MATCH($C533,Insumos!$A$2:$A$151,0)),""))</f>
        <v/>
      </c>
      <c r="F533" s="21">
        <f>IF($C533="","",IFERROR(INDEX(Insumos!$D$2:$D$151,MATCH($C533,Insumos!$A$2:$A$151,0)),""))</f>
        <v/>
      </c>
      <c r="G533" s="18" t="n"/>
      <c r="H533" s="19">
        <f>IF(OR($A533="",$C533=""),"",IFERROR(INDEX(Insumos!$M$2:$S$151,MATCH($C533,Insumos!$A$2:$A$151,0),WEEKDAY($A533,2)),""))</f>
        <v/>
      </c>
      <c r="I533" s="19">
        <f>IF(OR($G533="",$H533=""),"",MAX(0,$H533-$G533))</f>
        <v/>
      </c>
      <c r="J533" s="21">
        <f>IF($I533="","",IF($I533=0,"OK",IF($G533&lt;=0,"Sin stock: pedir ya","Pedir o producir")))</f>
        <v/>
      </c>
      <c r="K533" s="17" t="n"/>
      <c r="L533" s="17" t="n"/>
      <c r="M533" s="21">
        <f>IF(OR($A533="",$A533&lt;&gt;'Lista para pedir'!$C$3,N($I533)&lt;=0),"",COUNTIFS($A$2:$A533,$A533,$I$2:$I533,"&gt;0"))</f>
        <v/>
      </c>
    </row>
    <row r="534">
      <c r="A534" s="20" t="n"/>
      <c r="B534" s="21">
        <f>IF($A534="","",CHOOSE(WEEKDAY($A534,2),"Lunes","Martes","Miércoles","Jueves","Viernes","Sábado","Domingo"))</f>
        <v/>
      </c>
      <c r="C534" s="17" t="n"/>
      <c r="D534" s="21">
        <f>IF($C534="","",IFERROR(INDEX(Insumos!$B$2:$B$151,MATCH($C534,Insumos!$A$2:$A$151,0)),"Código no cargado"))</f>
        <v/>
      </c>
      <c r="E534" s="21">
        <f>IF($C534="","",IFERROR(INDEX(Insumos!$C$2:$C$151,MATCH($C534,Insumos!$A$2:$A$151,0)),""))</f>
        <v/>
      </c>
      <c r="F534" s="21">
        <f>IF($C534="","",IFERROR(INDEX(Insumos!$D$2:$D$151,MATCH($C534,Insumos!$A$2:$A$151,0)),""))</f>
        <v/>
      </c>
      <c r="G534" s="18" t="n"/>
      <c r="H534" s="19">
        <f>IF(OR($A534="",$C534=""),"",IFERROR(INDEX(Insumos!$M$2:$S$151,MATCH($C534,Insumos!$A$2:$A$151,0),WEEKDAY($A534,2)),""))</f>
        <v/>
      </c>
      <c r="I534" s="19">
        <f>IF(OR($G534="",$H534=""),"",MAX(0,$H534-$G534))</f>
        <v/>
      </c>
      <c r="J534" s="21">
        <f>IF($I534="","",IF($I534=0,"OK",IF($G534&lt;=0,"Sin stock: pedir ya","Pedir o producir")))</f>
        <v/>
      </c>
      <c r="K534" s="17" t="n"/>
      <c r="L534" s="17" t="n"/>
      <c r="M534" s="21">
        <f>IF(OR($A534="",$A534&lt;&gt;'Lista para pedir'!$C$3,N($I534)&lt;=0),"",COUNTIFS($A$2:$A534,$A534,$I$2:$I534,"&gt;0"))</f>
        <v/>
      </c>
    </row>
    <row r="535">
      <c r="A535" s="20" t="n"/>
      <c r="B535" s="21">
        <f>IF($A535="","",CHOOSE(WEEKDAY($A535,2),"Lunes","Martes","Miércoles","Jueves","Viernes","Sábado","Domingo"))</f>
        <v/>
      </c>
      <c r="C535" s="17" t="n"/>
      <c r="D535" s="21">
        <f>IF($C535="","",IFERROR(INDEX(Insumos!$B$2:$B$151,MATCH($C535,Insumos!$A$2:$A$151,0)),"Código no cargado"))</f>
        <v/>
      </c>
      <c r="E535" s="21">
        <f>IF($C535="","",IFERROR(INDEX(Insumos!$C$2:$C$151,MATCH($C535,Insumos!$A$2:$A$151,0)),""))</f>
        <v/>
      </c>
      <c r="F535" s="21">
        <f>IF($C535="","",IFERROR(INDEX(Insumos!$D$2:$D$151,MATCH($C535,Insumos!$A$2:$A$151,0)),""))</f>
        <v/>
      </c>
      <c r="G535" s="18" t="n"/>
      <c r="H535" s="19">
        <f>IF(OR($A535="",$C535=""),"",IFERROR(INDEX(Insumos!$M$2:$S$151,MATCH($C535,Insumos!$A$2:$A$151,0),WEEKDAY($A535,2)),""))</f>
        <v/>
      </c>
      <c r="I535" s="19">
        <f>IF(OR($G535="",$H535=""),"",MAX(0,$H535-$G535))</f>
        <v/>
      </c>
      <c r="J535" s="21">
        <f>IF($I535="","",IF($I535=0,"OK",IF($G535&lt;=0,"Sin stock: pedir ya","Pedir o producir")))</f>
        <v/>
      </c>
      <c r="K535" s="17" t="n"/>
      <c r="L535" s="17" t="n"/>
      <c r="M535" s="21">
        <f>IF(OR($A535="",$A535&lt;&gt;'Lista para pedir'!$C$3,N($I535)&lt;=0),"",COUNTIFS($A$2:$A535,$A535,$I$2:$I535,"&gt;0"))</f>
        <v/>
      </c>
    </row>
    <row r="536">
      <c r="A536" s="20" t="n"/>
      <c r="B536" s="21">
        <f>IF($A536="","",CHOOSE(WEEKDAY($A536,2),"Lunes","Martes","Miércoles","Jueves","Viernes","Sábado","Domingo"))</f>
        <v/>
      </c>
      <c r="C536" s="17" t="n"/>
      <c r="D536" s="21">
        <f>IF($C536="","",IFERROR(INDEX(Insumos!$B$2:$B$151,MATCH($C536,Insumos!$A$2:$A$151,0)),"Código no cargado"))</f>
        <v/>
      </c>
      <c r="E536" s="21">
        <f>IF($C536="","",IFERROR(INDEX(Insumos!$C$2:$C$151,MATCH($C536,Insumos!$A$2:$A$151,0)),""))</f>
        <v/>
      </c>
      <c r="F536" s="21">
        <f>IF($C536="","",IFERROR(INDEX(Insumos!$D$2:$D$151,MATCH($C536,Insumos!$A$2:$A$151,0)),""))</f>
        <v/>
      </c>
      <c r="G536" s="18" t="n"/>
      <c r="H536" s="19">
        <f>IF(OR($A536="",$C536=""),"",IFERROR(INDEX(Insumos!$M$2:$S$151,MATCH($C536,Insumos!$A$2:$A$151,0),WEEKDAY($A536,2)),""))</f>
        <v/>
      </c>
      <c r="I536" s="19">
        <f>IF(OR($G536="",$H536=""),"",MAX(0,$H536-$G536))</f>
        <v/>
      </c>
      <c r="J536" s="21">
        <f>IF($I536="","",IF($I536=0,"OK",IF($G536&lt;=0,"Sin stock: pedir ya","Pedir o producir")))</f>
        <v/>
      </c>
      <c r="K536" s="17" t="n"/>
      <c r="L536" s="17" t="n"/>
      <c r="M536" s="21">
        <f>IF(OR($A536="",$A536&lt;&gt;'Lista para pedir'!$C$3,N($I536)&lt;=0),"",COUNTIFS($A$2:$A536,$A536,$I$2:$I536,"&gt;0"))</f>
        <v/>
      </c>
    </row>
    <row r="537">
      <c r="A537" s="20" t="n"/>
      <c r="B537" s="21">
        <f>IF($A537="","",CHOOSE(WEEKDAY($A537,2),"Lunes","Martes","Miércoles","Jueves","Viernes","Sábado","Domingo"))</f>
        <v/>
      </c>
      <c r="C537" s="17" t="n"/>
      <c r="D537" s="21">
        <f>IF($C537="","",IFERROR(INDEX(Insumos!$B$2:$B$151,MATCH($C537,Insumos!$A$2:$A$151,0)),"Código no cargado"))</f>
        <v/>
      </c>
      <c r="E537" s="21">
        <f>IF($C537="","",IFERROR(INDEX(Insumos!$C$2:$C$151,MATCH($C537,Insumos!$A$2:$A$151,0)),""))</f>
        <v/>
      </c>
      <c r="F537" s="21">
        <f>IF($C537="","",IFERROR(INDEX(Insumos!$D$2:$D$151,MATCH($C537,Insumos!$A$2:$A$151,0)),""))</f>
        <v/>
      </c>
      <c r="G537" s="18" t="n"/>
      <c r="H537" s="19">
        <f>IF(OR($A537="",$C537=""),"",IFERROR(INDEX(Insumos!$M$2:$S$151,MATCH($C537,Insumos!$A$2:$A$151,0),WEEKDAY($A537,2)),""))</f>
        <v/>
      </c>
      <c r="I537" s="19">
        <f>IF(OR($G537="",$H537=""),"",MAX(0,$H537-$G537))</f>
        <v/>
      </c>
      <c r="J537" s="21">
        <f>IF($I537="","",IF($I537=0,"OK",IF($G537&lt;=0,"Sin stock: pedir ya","Pedir o producir")))</f>
        <v/>
      </c>
      <c r="K537" s="17" t="n"/>
      <c r="L537" s="17" t="n"/>
      <c r="M537" s="21">
        <f>IF(OR($A537="",$A537&lt;&gt;'Lista para pedir'!$C$3,N($I537)&lt;=0),"",COUNTIFS($A$2:$A537,$A537,$I$2:$I537,"&gt;0"))</f>
        <v/>
      </c>
    </row>
    <row r="538">
      <c r="A538" s="20" t="n"/>
      <c r="B538" s="21">
        <f>IF($A538="","",CHOOSE(WEEKDAY($A538,2),"Lunes","Martes","Miércoles","Jueves","Viernes","Sábado","Domingo"))</f>
        <v/>
      </c>
      <c r="C538" s="17" t="n"/>
      <c r="D538" s="21">
        <f>IF($C538="","",IFERROR(INDEX(Insumos!$B$2:$B$151,MATCH($C538,Insumos!$A$2:$A$151,0)),"Código no cargado"))</f>
        <v/>
      </c>
      <c r="E538" s="21">
        <f>IF($C538="","",IFERROR(INDEX(Insumos!$C$2:$C$151,MATCH($C538,Insumos!$A$2:$A$151,0)),""))</f>
        <v/>
      </c>
      <c r="F538" s="21">
        <f>IF($C538="","",IFERROR(INDEX(Insumos!$D$2:$D$151,MATCH($C538,Insumos!$A$2:$A$151,0)),""))</f>
        <v/>
      </c>
      <c r="G538" s="18" t="n"/>
      <c r="H538" s="19">
        <f>IF(OR($A538="",$C538=""),"",IFERROR(INDEX(Insumos!$M$2:$S$151,MATCH($C538,Insumos!$A$2:$A$151,0),WEEKDAY($A538,2)),""))</f>
        <v/>
      </c>
      <c r="I538" s="19">
        <f>IF(OR($G538="",$H538=""),"",MAX(0,$H538-$G538))</f>
        <v/>
      </c>
      <c r="J538" s="21">
        <f>IF($I538="","",IF($I538=0,"OK",IF($G538&lt;=0,"Sin stock: pedir ya","Pedir o producir")))</f>
        <v/>
      </c>
      <c r="K538" s="17" t="n"/>
      <c r="L538" s="17" t="n"/>
      <c r="M538" s="21">
        <f>IF(OR($A538="",$A538&lt;&gt;'Lista para pedir'!$C$3,N($I538)&lt;=0),"",COUNTIFS($A$2:$A538,$A538,$I$2:$I538,"&gt;0"))</f>
        <v/>
      </c>
    </row>
    <row r="539">
      <c r="A539" s="20" t="n"/>
      <c r="B539" s="21">
        <f>IF($A539="","",CHOOSE(WEEKDAY($A539,2),"Lunes","Martes","Miércoles","Jueves","Viernes","Sábado","Domingo"))</f>
        <v/>
      </c>
      <c r="C539" s="17" t="n"/>
      <c r="D539" s="21">
        <f>IF($C539="","",IFERROR(INDEX(Insumos!$B$2:$B$151,MATCH($C539,Insumos!$A$2:$A$151,0)),"Código no cargado"))</f>
        <v/>
      </c>
      <c r="E539" s="21">
        <f>IF($C539="","",IFERROR(INDEX(Insumos!$C$2:$C$151,MATCH($C539,Insumos!$A$2:$A$151,0)),""))</f>
        <v/>
      </c>
      <c r="F539" s="21">
        <f>IF($C539="","",IFERROR(INDEX(Insumos!$D$2:$D$151,MATCH($C539,Insumos!$A$2:$A$151,0)),""))</f>
        <v/>
      </c>
      <c r="G539" s="18" t="n"/>
      <c r="H539" s="19">
        <f>IF(OR($A539="",$C539=""),"",IFERROR(INDEX(Insumos!$M$2:$S$151,MATCH($C539,Insumos!$A$2:$A$151,0),WEEKDAY($A539,2)),""))</f>
        <v/>
      </c>
      <c r="I539" s="19">
        <f>IF(OR($G539="",$H539=""),"",MAX(0,$H539-$G539))</f>
        <v/>
      </c>
      <c r="J539" s="21">
        <f>IF($I539="","",IF($I539=0,"OK",IF($G539&lt;=0,"Sin stock: pedir ya","Pedir o producir")))</f>
        <v/>
      </c>
      <c r="K539" s="17" t="n"/>
      <c r="L539" s="17" t="n"/>
      <c r="M539" s="21">
        <f>IF(OR($A539="",$A539&lt;&gt;'Lista para pedir'!$C$3,N($I539)&lt;=0),"",COUNTIFS($A$2:$A539,$A539,$I$2:$I539,"&gt;0"))</f>
        <v/>
      </c>
    </row>
    <row r="540">
      <c r="A540" s="20" t="n"/>
      <c r="B540" s="21">
        <f>IF($A540="","",CHOOSE(WEEKDAY($A540,2),"Lunes","Martes","Miércoles","Jueves","Viernes","Sábado","Domingo"))</f>
        <v/>
      </c>
      <c r="C540" s="17" t="n"/>
      <c r="D540" s="21">
        <f>IF($C540="","",IFERROR(INDEX(Insumos!$B$2:$B$151,MATCH($C540,Insumos!$A$2:$A$151,0)),"Código no cargado"))</f>
        <v/>
      </c>
      <c r="E540" s="21">
        <f>IF($C540="","",IFERROR(INDEX(Insumos!$C$2:$C$151,MATCH($C540,Insumos!$A$2:$A$151,0)),""))</f>
        <v/>
      </c>
      <c r="F540" s="21">
        <f>IF($C540="","",IFERROR(INDEX(Insumos!$D$2:$D$151,MATCH($C540,Insumos!$A$2:$A$151,0)),""))</f>
        <v/>
      </c>
      <c r="G540" s="18" t="n"/>
      <c r="H540" s="19">
        <f>IF(OR($A540="",$C540=""),"",IFERROR(INDEX(Insumos!$M$2:$S$151,MATCH($C540,Insumos!$A$2:$A$151,0),WEEKDAY($A540,2)),""))</f>
        <v/>
      </c>
      <c r="I540" s="19">
        <f>IF(OR($G540="",$H540=""),"",MAX(0,$H540-$G540))</f>
        <v/>
      </c>
      <c r="J540" s="21">
        <f>IF($I540="","",IF($I540=0,"OK",IF($G540&lt;=0,"Sin stock: pedir ya","Pedir o producir")))</f>
        <v/>
      </c>
      <c r="K540" s="17" t="n"/>
      <c r="L540" s="17" t="n"/>
      <c r="M540" s="21">
        <f>IF(OR($A540="",$A540&lt;&gt;'Lista para pedir'!$C$3,N($I540)&lt;=0),"",COUNTIFS($A$2:$A540,$A540,$I$2:$I540,"&gt;0"))</f>
        <v/>
      </c>
    </row>
    <row r="541">
      <c r="A541" s="20" t="n"/>
      <c r="B541" s="21">
        <f>IF($A541="","",CHOOSE(WEEKDAY($A541,2),"Lunes","Martes","Miércoles","Jueves","Viernes","Sábado","Domingo"))</f>
        <v/>
      </c>
      <c r="C541" s="17" t="n"/>
      <c r="D541" s="21">
        <f>IF($C541="","",IFERROR(INDEX(Insumos!$B$2:$B$151,MATCH($C541,Insumos!$A$2:$A$151,0)),"Código no cargado"))</f>
        <v/>
      </c>
      <c r="E541" s="21">
        <f>IF($C541="","",IFERROR(INDEX(Insumos!$C$2:$C$151,MATCH($C541,Insumos!$A$2:$A$151,0)),""))</f>
        <v/>
      </c>
      <c r="F541" s="21">
        <f>IF($C541="","",IFERROR(INDEX(Insumos!$D$2:$D$151,MATCH($C541,Insumos!$A$2:$A$151,0)),""))</f>
        <v/>
      </c>
      <c r="G541" s="18" t="n"/>
      <c r="H541" s="19">
        <f>IF(OR($A541="",$C541=""),"",IFERROR(INDEX(Insumos!$M$2:$S$151,MATCH($C541,Insumos!$A$2:$A$151,0),WEEKDAY($A541,2)),""))</f>
        <v/>
      </c>
      <c r="I541" s="19">
        <f>IF(OR($G541="",$H541=""),"",MAX(0,$H541-$G541))</f>
        <v/>
      </c>
      <c r="J541" s="21">
        <f>IF($I541="","",IF($I541=0,"OK",IF($G541&lt;=0,"Sin stock: pedir ya","Pedir o producir")))</f>
        <v/>
      </c>
      <c r="K541" s="17" t="n"/>
      <c r="L541" s="17" t="n"/>
      <c r="M541" s="21">
        <f>IF(OR($A541="",$A541&lt;&gt;'Lista para pedir'!$C$3,N($I541)&lt;=0),"",COUNTIFS($A$2:$A541,$A541,$I$2:$I541,"&gt;0"))</f>
        <v/>
      </c>
    </row>
    <row r="542">
      <c r="A542" s="20" t="n"/>
      <c r="B542" s="21">
        <f>IF($A542="","",CHOOSE(WEEKDAY($A542,2),"Lunes","Martes","Miércoles","Jueves","Viernes","Sábado","Domingo"))</f>
        <v/>
      </c>
      <c r="C542" s="17" t="n"/>
      <c r="D542" s="21">
        <f>IF($C542="","",IFERROR(INDEX(Insumos!$B$2:$B$151,MATCH($C542,Insumos!$A$2:$A$151,0)),"Código no cargado"))</f>
        <v/>
      </c>
      <c r="E542" s="21">
        <f>IF($C542="","",IFERROR(INDEX(Insumos!$C$2:$C$151,MATCH($C542,Insumos!$A$2:$A$151,0)),""))</f>
        <v/>
      </c>
      <c r="F542" s="21">
        <f>IF($C542="","",IFERROR(INDEX(Insumos!$D$2:$D$151,MATCH($C542,Insumos!$A$2:$A$151,0)),""))</f>
        <v/>
      </c>
      <c r="G542" s="18" t="n"/>
      <c r="H542" s="19">
        <f>IF(OR($A542="",$C542=""),"",IFERROR(INDEX(Insumos!$M$2:$S$151,MATCH($C542,Insumos!$A$2:$A$151,0),WEEKDAY($A542,2)),""))</f>
        <v/>
      </c>
      <c r="I542" s="19">
        <f>IF(OR($G542="",$H542=""),"",MAX(0,$H542-$G542))</f>
        <v/>
      </c>
      <c r="J542" s="21">
        <f>IF($I542="","",IF($I542=0,"OK",IF($G542&lt;=0,"Sin stock: pedir ya","Pedir o producir")))</f>
        <v/>
      </c>
      <c r="K542" s="17" t="n"/>
      <c r="L542" s="17" t="n"/>
      <c r="M542" s="21">
        <f>IF(OR($A542="",$A542&lt;&gt;'Lista para pedir'!$C$3,N($I542)&lt;=0),"",COUNTIFS($A$2:$A542,$A542,$I$2:$I542,"&gt;0"))</f>
        <v/>
      </c>
    </row>
    <row r="543">
      <c r="A543" s="20" t="n"/>
      <c r="B543" s="21">
        <f>IF($A543="","",CHOOSE(WEEKDAY($A543,2),"Lunes","Martes","Miércoles","Jueves","Viernes","Sábado","Domingo"))</f>
        <v/>
      </c>
      <c r="C543" s="17" t="n"/>
      <c r="D543" s="21">
        <f>IF($C543="","",IFERROR(INDEX(Insumos!$B$2:$B$151,MATCH($C543,Insumos!$A$2:$A$151,0)),"Código no cargado"))</f>
        <v/>
      </c>
      <c r="E543" s="21">
        <f>IF($C543="","",IFERROR(INDEX(Insumos!$C$2:$C$151,MATCH($C543,Insumos!$A$2:$A$151,0)),""))</f>
        <v/>
      </c>
      <c r="F543" s="21">
        <f>IF($C543="","",IFERROR(INDEX(Insumos!$D$2:$D$151,MATCH($C543,Insumos!$A$2:$A$151,0)),""))</f>
        <v/>
      </c>
      <c r="G543" s="18" t="n"/>
      <c r="H543" s="19">
        <f>IF(OR($A543="",$C543=""),"",IFERROR(INDEX(Insumos!$M$2:$S$151,MATCH($C543,Insumos!$A$2:$A$151,0),WEEKDAY($A543,2)),""))</f>
        <v/>
      </c>
      <c r="I543" s="19">
        <f>IF(OR($G543="",$H543=""),"",MAX(0,$H543-$G543))</f>
        <v/>
      </c>
      <c r="J543" s="21">
        <f>IF($I543="","",IF($I543=0,"OK",IF($G543&lt;=0,"Sin stock: pedir ya","Pedir o producir")))</f>
        <v/>
      </c>
      <c r="K543" s="17" t="n"/>
      <c r="L543" s="17" t="n"/>
      <c r="M543" s="21">
        <f>IF(OR($A543="",$A543&lt;&gt;'Lista para pedir'!$C$3,N($I543)&lt;=0),"",COUNTIFS($A$2:$A543,$A543,$I$2:$I543,"&gt;0"))</f>
        <v/>
      </c>
    </row>
    <row r="544">
      <c r="A544" s="20" t="n"/>
      <c r="B544" s="21">
        <f>IF($A544="","",CHOOSE(WEEKDAY($A544,2),"Lunes","Martes","Miércoles","Jueves","Viernes","Sábado","Domingo"))</f>
        <v/>
      </c>
      <c r="C544" s="17" t="n"/>
      <c r="D544" s="21">
        <f>IF($C544="","",IFERROR(INDEX(Insumos!$B$2:$B$151,MATCH($C544,Insumos!$A$2:$A$151,0)),"Código no cargado"))</f>
        <v/>
      </c>
      <c r="E544" s="21">
        <f>IF($C544="","",IFERROR(INDEX(Insumos!$C$2:$C$151,MATCH($C544,Insumos!$A$2:$A$151,0)),""))</f>
        <v/>
      </c>
      <c r="F544" s="21">
        <f>IF($C544="","",IFERROR(INDEX(Insumos!$D$2:$D$151,MATCH($C544,Insumos!$A$2:$A$151,0)),""))</f>
        <v/>
      </c>
      <c r="G544" s="18" t="n"/>
      <c r="H544" s="19">
        <f>IF(OR($A544="",$C544=""),"",IFERROR(INDEX(Insumos!$M$2:$S$151,MATCH($C544,Insumos!$A$2:$A$151,0),WEEKDAY($A544,2)),""))</f>
        <v/>
      </c>
      <c r="I544" s="19">
        <f>IF(OR($G544="",$H544=""),"",MAX(0,$H544-$G544))</f>
        <v/>
      </c>
      <c r="J544" s="21">
        <f>IF($I544="","",IF($I544=0,"OK",IF($G544&lt;=0,"Sin stock: pedir ya","Pedir o producir")))</f>
        <v/>
      </c>
      <c r="K544" s="17" t="n"/>
      <c r="L544" s="17" t="n"/>
      <c r="M544" s="21">
        <f>IF(OR($A544="",$A544&lt;&gt;'Lista para pedir'!$C$3,N($I544)&lt;=0),"",COUNTIFS($A$2:$A544,$A544,$I$2:$I544,"&gt;0"))</f>
        <v/>
      </c>
    </row>
    <row r="545">
      <c r="A545" s="20" t="n"/>
      <c r="B545" s="21">
        <f>IF($A545="","",CHOOSE(WEEKDAY($A545,2),"Lunes","Martes","Miércoles","Jueves","Viernes","Sábado","Domingo"))</f>
        <v/>
      </c>
      <c r="C545" s="17" t="n"/>
      <c r="D545" s="21">
        <f>IF($C545="","",IFERROR(INDEX(Insumos!$B$2:$B$151,MATCH($C545,Insumos!$A$2:$A$151,0)),"Código no cargado"))</f>
        <v/>
      </c>
      <c r="E545" s="21">
        <f>IF($C545="","",IFERROR(INDEX(Insumos!$C$2:$C$151,MATCH($C545,Insumos!$A$2:$A$151,0)),""))</f>
        <v/>
      </c>
      <c r="F545" s="21">
        <f>IF($C545="","",IFERROR(INDEX(Insumos!$D$2:$D$151,MATCH($C545,Insumos!$A$2:$A$151,0)),""))</f>
        <v/>
      </c>
      <c r="G545" s="18" t="n"/>
      <c r="H545" s="19">
        <f>IF(OR($A545="",$C545=""),"",IFERROR(INDEX(Insumos!$M$2:$S$151,MATCH($C545,Insumos!$A$2:$A$151,0),WEEKDAY($A545,2)),""))</f>
        <v/>
      </c>
      <c r="I545" s="19">
        <f>IF(OR($G545="",$H545=""),"",MAX(0,$H545-$G545))</f>
        <v/>
      </c>
      <c r="J545" s="21">
        <f>IF($I545="","",IF($I545=0,"OK",IF($G545&lt;=0,"Sin stock: pedir ya","Pedir o producir")))</f>
        <v/>
      </c>
      <c r="K545" s="17" t="n"/>
      <c r="L545" s="17" t="n"/>
      <c r="M545" s="21">
        <f>IF(OR($A545="",$A545&lt;&gt;'Lista para pedir'!$C$3,N($I545)&lt;=0),"",COUNTIFS($A$2:$A545,$A545,$I$2:$I545,"&gt;0"))</f>
        <v/>
      </c>
    </row>
    <row r="546">
      <c r="A546" s="20" t="n"/>
      <c r="B546" s="21">
        <f>IF($A546="","",CHOOSE(WEEKDAY($A546,2),"Lunes","Martes","Miércoles","Jueves","Viernes","Sábado","Domingo"))</f>
        <v/>
      </c>
      <c r="C546" s="17" t="n"/>
      <c r="D546" s="21">
        <f>IF($C546="","",IFERROR(INDEX(Insumos!$B$2:$B$151,MATCH($C546,Insumos!$A$2:$A$151,0)),"Código no cargado"))</f>
        <v/>
      </c>
      <c r="E546" s="21">
        <f>IF($C546="","",IFERROR(INDEX(Insumos!$C$2:$C$151,MATCH($C546,Insumos!$A$2:$A$151,0)),""))</f>
        <v/>
      </c>
      <c r="F546" s="21">
        <f>IF($C546="","",IFERROR(INDEX(Insumos!$D$2:$D$151,MATCH($C546,Insumos!$A$2:$A$151,0)),""))</f>
        <v/>
      </c>
      <c r="G546" s="18" t="n"/>
      <c r="H546" s="19">
        <f>IF(OR($A546="",$C546=""),"",IFERROR(INDEX(Insumos!$M$2:$S$151,MATCH($C546,Insumos!$A$2:$A$151,0),WEEKDAY($A546,2)),""))</f>
        <v/>
      </c>
      <c r="I546" s="19">
        <f>IF(OR($G546="",$H546=""),"",MAX(0,$H546-$G546))</f>
        <v/>
      </c>
      <c r="J546" s="21">
        <f>IF($I546="","",IF($I546=0,"OK",IF($G546&lt;=0,"Sin stock: pedir ya","Pedir o producir")))</f>
        <v/>
      </c>
      <c r="K546" s="17" t="n"/>
      <c r="L546" s="17" t="n"/>
      <c r="M546" s="21">
        <f>IF(OR($A546="",$A546&lt;&gt;'Lista para pedir'!$C$3,N($I546)&lt;=0),"",COUNTIFS($A$2:$A546,$A546,$I$2:$I546,"&gt;0"))</f>
        <v/>
      </c>
    </row>
    <row r="547">
      <c r="A547" s="20" t="n"/>
      <c r="B547" s="21">
        <f>IF($A547="","",CHOOSE(WEEKDAY($A547,2),"Lunes","Martes","Miércoles","Jueves","Viernes","Sábado","Domingo"))</f>
        <v/>
      </c>
      <c r="C547" s="17" t="n"/>
      <c r="D547" s="21">
        <f>IF($C547="","",IFERROR(INDEX(Insumos!$B$2:$B$151,MATCH($C547,Insumos!$A$2:$A$151,0)),"Código no cargado"))</f>
        <v/>
      </c>
      <c r="E547" s="21">
        <f>IF($C547="","",IFERROR(INDEX(Insumos!$C$2:$C$151,MATCH($C547,Insumos!$A$2:$A$151,0)),""))</f>
        <v/>
      </c>
      <c r="F547" s="21">
        <f>IF($C547="","",IFERROR(INDEX(Insumos!$D$2:$D$151,MATCH($C547,Insumos!$A$2:$A$151,0)),""))</f>
        <v/>
      </c>
      <c r="G547" s="18" t="n"/>
      <c r="H547" s="19">
        <f>IF(OR($A547="",$C547=""),"",IFERROR(INDEX(Insumos!$M$2:$S$151,MATCH($C547,Insumos!$A$2:$A$151,0),WEEKDAY($A547,2)),""))</f>
        <v/>
      </c>
      <c r="I547" s="19">
        <f>IF(OR($G547="",$H547=""),"",MAX(0,$H547-$G547))</f>
        <v/>
      </c>
      <c r="J547" s="21">
        <f>IF($I547="","",IF($I547=0,"OK",IF($G547&lt;=0,"Sin stock: pedir ya","Pedir o producir")))</f>
        <v/>
      </c>
      <c r="K547" s="17" t="n"/>
      <c r="L547" s="17" t="n"/>
      <c r="M547" s="21">
        <f>IF(OR($A547="",$A547&lt;&gt;'Lista para pedir'!$C$3,N($I547)&lt;=0),"",COUNTIFS($A$2:$A547,$A547,$I$2:$I547,"&gt;0"))</f>
        <v/>
      </c>
    </row>
    <row r="548">
      <c r="A548" s="20" t="n"/>
      <c r="B548" s="21">
        <f>IF($A548="","",CHOOSE(WEEKDAY($A548,2),"Lunes","Martes","Miércoles","Jueves","Viernes","Sábado","Domingo"))</f>
        <v/>
      </c>
      <c r="C548" s="17" t="n"/>
      <c r="D548" s="21">
        <f>IF($C548="","",IFERROR(INDEX(Insumos!$B$2:$B$151,MATCH($C548,Insumos!$A$2:$A$151,0)),"Código no cargado"))</f>
        <v/>
      </c>
      <c r="E548" s="21">
        <f>IF($C548="","",IFERROR(INDEX(Insumos!$C$2:$C$151,MATCH($C548,Insumos!$A$2:$A$151,0)),""))</f>
        <v/>
      </c>
      <c r="F548" s="21">
        <f>IF($C548="","",IFERROR(INDEX(Insumos!$D$2:$D$151,MATCH($C548,Insumos!$A$2:$A$151,0)),""))</f>
        <v/>
      </c>
      <c r="G548" s="18" t="n"/>
      <c r="H548" s="19">
        <f>IF(OR($A548="",$C548=""),"",IFERROR(INDEX(Insumos!$M$2:$S$151,MATCH($C548,Insumos!$A$2:$A$151,0),WEEKDAY($A548,2)),""))</f>
        <v/>
      </c>
      <c r="I548" s="19">
        <f>IF(OR($G548="",$H548=""),"",MAX(0,$H548-$G548))</f>
        <v/>
      </c>
      <c r="J548" s="21">
        <f>IF($I548="","",IF($I548=0,"OK",IF($G548&lt;=0,"Sin stock: pedir ya","Pedir o producir")))</f>
        <v/>
      </c>
      <c r="K548" s="17" t="n"/>
      <c r="L548" s="17" t="n"/>
      <c r="M548" s="21">
        <f>IF(OR($A548="",$A548&lt;&gt;'Lista para pedir'!$C$3,N($I548)&lt;=0),"",COUNTIFS($A$2:$A548,$A548,$I$2:$I548,"&gt;0"))</f>
        <v/>
      </c>
    </row>
    <row r="549">
      <c r="A549" s="20" t="n"/>
      <c r="B549" s="21">
        <f>IF($A549="","",CHOOSE(WEEKDAY($A549,2),"Lunes","Martes","Miércoles","Jueves","Viernes","Sábado","Domingo"))</f>
        <v/>
      </c>
      <c r="C549" s="17" t="n"/>
      <c r="D549" s="21">
        <f>IF($C549="","",IFERROR(INDEX(Insumos!$B$2:$B$151,MATCH($C549,Insumos!$A$2:$A$151,0)),"Código no cargado"))</f>
        <v/>
      </c>
      <c r="E549" s="21">
        <f>IF($C549="","",IFERROR(INDEX(Insumos!$C$2:$C$151,MATCH($C549,Insumos!$A$2:$A$151,0)),""))</f>
        <v/>
      </c>
      <c r="F549" s="21">
        <f>IF($C549="","",IFERROR(INDEX(Insumos!$D$2:$D$151,MATCH($C549,Insumos!$A$2:$A$151,0)),""))</f>
        <v/>
      </c>
      <c r="G549" s="18" t="n"/>
      <c r="H549" s="19">
        <f>IF(OR($A549="",$C549=""),"",IFERROR(INDEX(Insumos!$M$2:$S$151,MATCH($C549,Insumos!$A$2:$A$151,0),WEEKDAY($A549,2)),""))</f>
        <v/>
      </c>
      <c r="I549" s="19">
        <f>IF(OR($G549="",$H549=""),"",MAX(0,$H549-$G549))</f>
        <v/>
      </c>
      <c r="J549" s="21">
        <f>IF($I549="","",IF($I549=0,"OK",IF($G549&lt;=0,"Sin stock: pedir ya","Pedir o producir")))</f>
        <v/>
      </c>
      <c r="K549" s="17" t="n"/>
      <c r="L549" s="17" t="n"/>
      <c r="M549" s="21">
        <f>IF(OR($A549="",$A549&lt;&gt;'Lista para pedir'!$C$3,N($I549)&lt;=0),"",COUNTIFS($A$2:$A549,$A549,$I$2:$I549,"&gt;0"))</f>
        <v/>
      </c>
    </row>
    <row r="550">
      <c r="A550" s="20" t="n"/>
      <c r="B550" s="21">
        <f>IF($A550="","",CHOOSE(WEEKDAY($A550,2),"Lunes","Martes","Miércoles","Jueves","Viernes","Sábado","Domingo"))</f>
        <v/>
      </c>
      <c r="C550" s="17" t="n"/>
      <c r="D550" s="21">
        <f>IF($C550="","",IFERROR(INDEX(Insumos!$B$2:$B$151,MATCH($C550,Insumos!$A$2:$A$151,0)),"Código no cargado"))</f>
        <v/>
      </c>
      <c r="E550" s="21">
        <f>IF($C550="","",IFERROR(INDEX(Insumos!$C$2:$C$151,MATCH($C550,Insumos!$A$2:$A$151,0)),""))</f>
        <v/>
      </c>
      <c r="F550" s="21">
        <f>IF($C550="","",IFERROR(INDEX(Insumos!$D$2:$D$151,MATCH($C550,Insumos!$A$2:$A$151,0)),""))</f>
        <v/>
      </c>
      <c r="G550" s="18" t="n"/>
      <c r="H550" s="19">
        <f>IF(OR($A550="",$C550=""),"",IFERROR(INDEX(Insumos!$M$2:$S$151,MATCH($C550,Insumos!$A$2:$A$151,0),WEEKDAY($A550,2)),""))</f>
        <v/>
      </c>
      <c r="I550" s="19">
        <f>IF(OR($G550="",$H550=""),"",MAX(0,$H550-$G550))</f>
        <v/>
      </c>
      <c r="J550" s="21">
        <f>IF($I550="","",IF($I550=0,"OK",IF($G550&lt;=0,"Sin stock: pedir ya","Pedir o producir")))</f>
        <v/>
      </c>
      <c r="K550" s="17" t="n"/>
      <c r="L550" s="17" t="n"/>
      <c r="M550" s="21">
        <f>IF(OR($A550="",$A550&lt;&gt;'Lista para pedir'!$C$3,N($I550)&lt;=0),"",COUNTIFS($A$2:$A550,$A550,$I$2:$I550,"&gt;0"))</f>
        <v/>
      </c>
    </row>
    <row r="551">
      <c r="A551" s="20" t="n"/>
      <c r="B551" s="21">
        <f>IF($A551="","",CHOOSE(WEEKDAY($A551,2),"Lunes","Martes","Miércoles","Jueves","Viernes","Sábado","Domingo"))</f>
        <v/>
      </c>
      <c r="C551" s="17" t="n"/>
      <c r="D551" s="21">
        <f>IF($C551="","",IFERROR(INDEX(Insumos!$B$2:$B$151,MATCH($C551,Insumos!$A$2:$A$151,0)),"Código no cargado"))</f>
        <v/>
      </c>
      <c r="E551" s="21">
        <f>IF($C551="","",IFERROR(INDEX(Insumos!$C$2:$C$151,MATCH($C551,Insumos!$A$2:$A$151,0)),""))</f>
        <v/>
      </c>
      <c r="F551" s="21">
        <f>IF($C551="","",IFERROR(INDEX(Insumos!$D$2:$D$151,MATCH($C551,Insumos!$A$2:$A$151,0)),""))</f>
        <v/>
      </c>
      <c r="G551" s="18" t="n"/>
      <c r="H551" s="19">
        <f>IF(OR($A551="",$C551=""),"",IFERROR(INDEX(Insumos!$M$2:$S$151,MATCH($C551,Insumos!$A$2:$A$151,0),WEEKDAY($A551,2)),""))</f>
        <v/>
      </c>
      <c r="I551" s="19">
        <f>IF(OR($G551="",$H551=""),"",MAX(0,$H551-$G551))</f>
        <v/>
      </c>
      <c r="J551" s="21">
        <f>IF($I551="","",IF($I551=0,"OK",IF($G551&lt;=0,"Sin stock: pedir ya","Pedir o producir")))</f>
        <v/>
      </c>
      <c r="K551" s="17" t="n"/>
      <c r="L551" s="17" t="n"/>
      <c r="M551" s="21">
        <f>IF(OR($A551="",$A551&lt;&gt;'Lista para pedir'!$C$3,N($I551)&lt;=0),"",COUNTIFS($A$2:$A551,$A551,$I$2:$I551,"&gt;0"))</f>
        <v/>
      </c>
    </row>
    <row r="552">
      <c r="A552" s="20" t="n"/>
      <c r="B552" s="21">
        <f>IF($A552="","",CHOOSE(WEEKDAY($A552,2),"Lunes","Martes","Miércoles","Jueves","Viernes","Sábado","Domingo"))</f>
        <v/>
      </c>
      <c r="C552" s="17" t="n"/>
      <c r="D552" s="21">
        <f>IF($C552="","",IFERROR(INDEX(Insumos!$B$2:$B$151,MATCH($C552,Insumos!$A$2:$A$151,0)),"Código no cargado"))</f>
        <v/>
      </c>
      <c r="E552" s="21">
        <f>IF($C552="","",IFERROR(INDEX(Insumos!$C$2:$C$151,MATCH($C552,Insumos!$A$2:$A$151,0)),""))</f>
        <v/>
      </c>
      <c r="F552" s="21">
        <f>IF($C552="","",IFERROR(INDEX(Insumos!$D$2:$D$151,MATCH($C552,Insumos!$A$2:$A$151,0)),""))</f>
        <v/>
      </c>
      <c r="G552" s="18" t="n"/>
      <c r="H552" s="19">
        <f>IF(OR($A552="",$C552=""),"",IFERROR(INDEX(Insumos!$M$2:$S$151,MATCH($C552,Insumos!$A$2:$A$151,0),WEEKDAY($A552,2)),""))</f>
        <v/>
      </c>
      <c r="I552" s="19">
        <f>IF(OR($G552="",$H552=""),"",MAX(0,$H552-$G552))</f>
        <v/>
      </c>
      <c r="J552" s="21">
        <f>IF($I552="","",IF($I552=0,"OK",IF($G552&lt;=0,"Sin stock: pedir ya","Pedir o producir")))</f>
        <v/>
      </c>
      <c r="K552" s="17" t="n"/>
      <c r="L552" s="17" t="n"/>
      <c r="M552" s="21">
        <f>IF(OR($A552="",$A552&lt;&gt;'Lista para pedir'!$C$3,N($I552)&lt;=0),"",COUNTIFS($A$2:$A552,$A552,$I$2:$I552,"&gt;0"))</f>
        <v/>
      </c>
    </row>
    <row r="553">
      <c r="A553" s="20" t="n"/>
      <c r="B553" s="21">
        <f>IF($A553="","",CHOOSE(WEEKDAY($A553,2),"Lunes","Martes","Miércoles","Jueves","Viernes","Sábado","Domingo"))</f>
        <v/>
      </c>
      <c r="C553" s="17" t="n"/>
      <c r="D553" s="21">
        <f>IF($C553="","",IFERROR(INDEX(Insumos!$B$2:$B$151,MATCH($C553,Insumos!$A$2:$A$151,0)),"Código no cargado"))</f>
        <v/>
      </c>
      <c r="E553" s="21">
        <f>IF($C553="","",IFERROR(INDEX(Insumos!$C$2:$C$151,MATCH($C553,Insumos!$A$2:$A$151,0)),""))</f>
        <v/>
      </c>
      <c r="F553" s="21">
        <f>IF($C553="","",IFERROR(INDEX(Insumos!$D$2:$D$151,MATCH($C553,Insumos!$A$2:$A$151,0)),""))</f>
        <v/>
      </c>
      <c r="G553" s="18" t="n"/>
      <c r="H553" s="19">
        <f>IF(OR($A553="",$C553=""),"",IFERROR(INDEX(Insumos!$M$2:$S$151,MATCH($C553,Insumos!$A$2:$A$151,0),WEEKDAY($A553,2)),""))</f>
        <v/>
      </c>
      <c r="I553" s="19">
        <f>IF(OR($G553="",$H553=""),"",MAX(0,$H553-$G553))</f>
        <v/>
      </c>
      <c r="J553" s="21">
        <f>IF($I553="","",IF($I553=0,"OK",IF($G553&lt;=0,"Sin stock: pedir ya","Pedir o producir")))</f>
        <v/>
      </c>
      <c r="K553" s="17" t="n"/>
      <c r="L553" s="17" t="n"/>
      <c r="M553" s="21">
        <f>IF(OR($A553="",$A553&lt;&gt;'Lista para pedir'!$C$3,N($I553)&lt;=0),"",COUNTIFS($A$2:$A553,$A553,$I$2:$I553,"&gt;0"))</f>
        <v/>
      </c>
    </row>
    <row r="554">
      <c r="A554" s="20" t="n"/>
      <c r="B554" s="21">
        <f>IF($A554="","",CHOOSE(WEEKDAY($A554,2),"Lunes","Martes","Miércoles","Jueves","Viernes","Sábado","Domingo"))</f>
        <v/>
      </c>
      <c r="C554" s="17" t="n"/>
      <c r="D554" s="21">
        <f>IF($C554="","",IFERROR(INDEX(Insumos!$B$2:$B$151,MATCH($C554,Insumos!$A$2:$A$151,0)),"Código no cargado"))</f>
        <v/>
      </c>
      <c r="E554" s="21">
        <f>IF($C554="","",IFERROR(INDEX(Insumos!$C$2:$C$151,MATCH($C554,Insumos!$A$2:$A$151,0)),""))</f>
        <v/>
      </c>
      <c r="F554" s="21">
        <f>IF($C554="","",IFERROR(INDEX(Insumos!$D$2:$D$151,MATCH($C554,Insumos!$A$2:$A$151,0)),""))</f>
        <v/>
      </c>
      <c r="G554" s="18" t="n"/>
      <c r="H554" s="19">
        <f>IF(OR($A554="",$C554=""),"",IFERROR(INDEX(Insumos!$M$2:$S$151,MATCH($C554,Insumos!$A$2:$A$151,0),WEEKDAY($A554,2)),""))</f>
        <v/>
      </c>
      <c r="I554" s="19">
        <f>IF(OR($G554="",$H554=""),"",MAX(0,$H554-$G554))</f>
        <v/>
      </c>
      <c r="J554" s="21">
        <f>IF($I554="","",IF($I554=0,"OK",IF($G554&lt;=0,"Sin stock: pedir ya","Pedir o producir")))</f>
        <v/>
      </c>
      <c r="K554" s="17" t="n"/>
      <c r="L554" s="17" t="n"/>
      <c r="M554" s="21">
        <f>IF(OR($A554="",$A554&lt;&gt;'Lista para pedir'!$C$3,N($I554)&lt;=0),"",COUNTIFS($A$2:$A554,$A554,$I$2:$I554,"&gt;0"))</f>
        <v/>
      </c>
    </row>
    <row r="555">
      <c r="A555" s="20" t="n"/>
      <c r="B555" s="21">
        <f>IF($A555="","",CHOOSE(WEEKDAY($A555,2),"Lunes","Martes","Miércoles","Jueves","Viernes","Sábado","Domingo"))</f>
        <v/>
      </c>
      <c r="C555" s="17" t="n"/>
      <c r="D555" s="21">
        <f>IF($C555="","",IFERROR(INDEX(Insumos!$B$2:$B$151,MATCH($C555,Insumos!$A$2:$A$151,0)),"Código no cargado"))</f>
        <v/>
      </c>
      <c r="E555" s="21">
        <f>IF($C555="","",IFERROR(INDEX(Insumos!$C$2:$C$151,MATCH($C555,Insumos!$A$2:$A$151,0)),""))</f>
        <v/>
      </c>
      <c r="F555" s="21">
        <f>IF($C555="","",IFERROR(INDEX(Insumos!$D$2:$D$151,MATCH($C555,Insumos!$A$2:$A$151,0)),""))</f>
        <v/>
      </c>
      <c r="G555" s="18" t="n"/>
      <c r="H555" s="19">
        <f>IF(OR($A555="",$C555=""),"",IFERROR(INDEX(Insumos!$M$2:$S$151,MATCH($C555,Insumos!$A$2:$A$151,0),WEEKDAY($A555,2)),""))</f>
        <v/>
      </c>
      <c r="I555" s="19">
        <f>IF(OR($G555="",$H555=""),"",MAX(0,$H555-$G555))</f>
        <v/>
      </c>
      <c r="J555" s="21">
        <f>IF($I555="","",IF($I555=0,"OK",IF($G555&lt;=0,"Sin stock: pedir ya","Pedir o producir")))</f>
        <v/>
      </c>
      <c r="K555" s="17" t="n"/>
      <c r="L555" s="17" t="n"/>
      <c r="M555" s="21">
        <f>IF(OR($A555="",$A555&lt;&gt;'Lista para pedir'!$C$3,N($I555)&lt;=0),"",COUNTIFS($A$2:$A555,$A555,$I$2:$I555,"&gt;0"))</f>
        <v/>
      </c>
    </row>
    <row r="556">
      <c r="A556" s="20" t="n"/>
      <c r="B556" s="21">
        <f>IF($A556="","",CHOOSE(WEEKDAY($A556,2),"Lunes","Martes","Miércoles","Jueves","Viernes","Sábado","Domingo"))</f>
        <v/>
      </c>
      <c r="C556" s="17" t="n"/>
      <c r="D556" s="21">
        <f>IF($C556="","",IFERROR(INDEX(Insumos!$B$2:$B$151,MATCH($C556,Insumos!$A$2:$A$151,0)),"Código no cargado"))</f>
        <v/>
      </c>
      <c r="E556" s="21">
        <f>IF($C556="","",IFERROR(INDEX(Insumos!$C$2:$C$151,MATCH($C556,Insumos!$A$2:$A$151,0)),""))</f>
        <v/>
      </c>
      <c r="F556" s="21">
        <f>IF($C556="","",IFERROR(INDEX(Insumos!$D$2:$D$151,MATCH($C556,Insumos!$A$2:$A$151,0)),""))</f>
        <v/>
      </c>
      <c r="G556" s="18" t="n"/>
      <c r="H556" s="19">
        <f>IF(OR($A556="",$C556=""),"",IFERROR(INDEX(Insumos!$M$2:$S$151,MATCH($C556,Insumos!$A$2:$A$151,0),WEEKDAY($A556,2)),""))</f>
        <v/>
      </c>
      <c r="I556" s="19">
        <f>IF(OR($G556="",$H556=""),"",MAX(0,$H556-$G556))</f>
        <v/>
      </c>
      <c r="J556" s="21">
        <f>IF($I556="","",IF($I556=0,"OK",IF($G556&lt;=0,"Sin stock: pedir ya","Pedir o producir")))</f>
        <v/>
      </c>
      <c r="K556" s="17" t="n"/>
      <c r="L556" s="17" t="n"/>
      <c r="M556" s="21">
        <f>IF(OR($A556="",$A556&lt;&gt;'Lista para pedir'!$C$3,N($I556)&lt;=0),"",COUNTIFS($A$2:$A556,$A556,$I$2:$I556,"&gt;0"))</f>
        <v/>
      </c>
    </row>
    <row r="557">
      <c r="A557" s="20" t="n"/>
      <c r="B557" s="21">
        <f>IF($A557="","",CHOOSE(WEEKDAY($A557,2),"Lunes","Martes","Miércoles","Jueves","Viernes","Sábado","Domingo"))</f>
        <v/>
      </c>
      <c r="C557" s="17" t="n"/>
      <c r="D557" s="21">
        <f>IF($C557="","",IFERROR(INDEX(Insumos!$B$2:$B$151,MATCH($C557,Insumos!$A$2:$A$151,0)),"Código no cargado"))</f>
        <v/>
      </c>
      <c r="E557" s="21">
        <f>IF($C557="","",IFERROR(INDEX(Insumos!$C$2:$C$151,MATCH($C557,Insumos!$A$2:$A$151,0)),""))</f>
        <v/>
      </c>
      <c r="F557" s="21">
        <f>IF($C557="","",IFERROR(INDEX(Insumos!$D$2:$D$151,MATCH($C557,Insumos!$A$2:$A$151,0)),""))</f>
        <v/>
      </c>
      <c r="G557" s="18" t="n"/>
      <c r="H557" s="19">
        <f>IF(OR($A557="",$C557=""),"",IFERROR(INDEX(Insumos!$M$2:$S$151,MATCH($C557,Insumos!$A$2:$A$151,0),WEEKDAY($A557,2)),""))</f>
        <v/>
      </c>
      <c r="I557" s="19">
        <f>IF(OR($G557="",$H557=""),"",MAX(0,$H557-$G557))</f>
        <v/>
      </c>
      <c r="J557" s="21">
        <f>IF($I557="","",IF($I557=0,"OK",IF($G557&lt;=0,"Sin stock: pedir ya","Pedir o producir")))</f>
        <v/>
      </c>
      <c r="K557" s="17" t="n"/>
      <c r="L557" s="17" t="n"/>
      <c r="M557" s="21">
        <f>IF(OR($A557="",$A557&lt;&gt;'Lista para pedir'!$C$3,N($I557)&lt;=0),"",COUNTIFS($A$2:$A557,$A557,$I$2:$I557,"&gt;0"))</f>
        <v/>
      </c>
    </row>
    <row r="558">
      <c r="A558" s="20" t="n"/>
      <c r="B558" s="21">
        <f>IF($A558="","",CHOOSE(WEEKDAY($A558,2),"Lunes","Martes","Miércoles","Jueves","Viernes","Sábado","Domingo"))</f>
        <v/>
      </c>
      <c r="C558" s="17" t="n"/>
      <c r="D558" s="21">
        <f>IF($C558="","",IFERROR(INDEX(Insumos!$B$2:$B$151,MATCH($C558,Insumos!$A$2:$A$151,0)),"Código no cargado"))</f>
        <v/>
      </c>
      <c r="E558" s="21">
        <f>IF($C558="","",IFERROR(INDEX(Insumos!$C$2:$C$151,MATCH($C558,Insumos!$A$2:$A$151,0)),""))</f>
        <v/>
      </c>
      <c r="F558" s="21">
        <f>IF($C558="","",IFERROR(INDEX(Insumos!$D$2:$D$151,MATCH($C558,Insumos!$A$2:$A$151,0)),""))</f>
        <v/>
      </c>
      <c r="G558" s="18" t="n"/>
      <c r="H558" s="19">
        <f>IF(OR($A558="",$C558=""),"",IFERROR(INDEX(Insumos!$M$2:$S$151,MATCH($C558,Insumos!$A$2:$A$151,0),WEEKDAY($A558,2)),""))</f>
        <v/>
      </c>
      <c r="I558" s="19">
        <f>IF(OR($G558="",$H558=""),"",MAX(0,$H558-$G558))</f>
        <v/>
      </c>
      <c r="J558" s="21">
        <f>IF($I558="","",IF($I558=0,"OK",IF($G558&lt;=0,"Sin stock: pedir ya","Pedir o producir")))</f>
        <v/>
      </c>
      <c r="K558" s="17" t="n"/>
      <c r="L558" s="17" t="n"/>
      <c r="M558" s="21">
        <f>IF(OR($A558="",$A558&lt;&gt;'Lista para pedir'!$C$3,N($I558)&lt;=0),"",COUNTIFS($A$2:$A558,$A558,$I$2:$I558,"&gt;0"))</f>
        <v/>
      </c>
    </row>
    <row r="559">
      <c r="A559" s="20" t="n"/>
      <c r="B559" s="21">
        <f>IF($A559="","",CHOOSE(WEEKDAY($A559,2),"Lunes","Martes","Miércoles","Jueves","Viernes","Sábado","Domingo"))</f>
        <v/>
      </c>
      <c r="C559" s="17" t="n"/>
      <c r="D559" s="21">
        <f>IF($C559="","",IFERROR(INDEX(Insumos!$B$2:$B$151,MATCH($C559,Insumos!$A$2:$A$151,0)),"Código no cargado"))</f>
        <v/>
      </c>
      <c r="E559" s="21">
        <f>IF($C559="","",IFERROR(INDEX(Insumos!$C$2:$C$151,MATCH($C559,Insumos!$A$2:$A$151,0)),""))</f>
        <v/>
      </c>
      <c r="F559" s="21">
        <f>IF($C559="","",IFERROR(INDEX(Insumos!$D$2:$D$151,MATCH($C559,Insumos!$A$2:$A$151,0)),""))</f>
        <v/>
      </c>
      <c r="G559" s="18" t="n"/>
      <c r="H559" s="19">
        <f>IF(OR($A559="",$C559=""),"",IFERROR(INDEX(Insumos!$M$2:$S$151,MATCH($C559,Insumos!$A$2:$A$151,0),WEEKDAY($A559,2)),""))</f>
        <v/>
      </c>
      <c r="I559" s="19">
        <f>IF(OR($G559="",$H559=""),"",MAX(0,$H559-$G559))</f>
        <v/>
      </c>
      <c r="J559" s="21">
        <f>IF($I559="","",IF($I559=0,"OK",IF($G559&lt;=0,"Sin stock: pedir ya","Pedir o producir")))</f>
        <v/>
      </c>
      <c r="K559" s="17" t="n"/>
      <c r="L559" s="17" t="n"/>
      <c r="M559" s="21">
        <f>IF(OR($A559="",$A559&lt;&gt;'Lista para pedir'!$C$3,N($I559)&lt;=0),"",COUNTIFS($A$2:$A559,$A559,$I$2:$I559,"&gt;0"))</f>
        <v/>
      </c>
    </row>
    <row r="560">
      <c r="A560" s="20" t="n"/>
      <c r="B560" s="21">
        <f>IF($A560="","",CHOOSE(WEEKDAY($A560,2),"Lunes","Martes","Miércoles","Jueves","Viernes","Sábado","Domingo"))</f>
        <v/>
      </c>
      <c r="C560" s="17" t="n"/>
      <c r="D560" s="21">
        <f>IF($C560="","",IFERROR(INDEX(Insumos!$B$2:$B$151,MATCH($C560,Insumos!$A$2:$A$151,0)),"Código no cargado"))</f>
        <v/>
      </c>
      <c r="E560" s="21">
        <f>IF($C560="","",IFERROR(INDEX(Insumos!$C$2:$C$151,MATCH($C560,Insumos!$A$2:$A$151,0)),""))</f>
        <v/>
      </c>
      <c r="F560" s="21">
        <f>IF($C560="","",IFERROR(INDEX(Insumos!$D$2:$D$151,MATCH($C560,Insumos!$A$2:$A$151,0)),""))</f>
        <v/>
      </c>
      <c r="G560" s="18" t="n"/>
      <c r="H560" s="19">
        <f>IF(OR($A560="",$C560=""),"",IFERROR(INDEX(Insumos!$M$2:$S$151,MATCH($C560,Insumos!$A$2:$A$151,0),WEEKDAY($A560,2)),""))</f>
        <v/>
      </c>
      <c r="I560" s="19">
        <f>IF(OR($G560="",$H560=""),"",MAX(0,$H560-$G560))</f>
        <v/>
      </c>
      <c r="J560" s="21">
        <f>IF($I560="","",IF($I560=0,"OK",IF($G560&lt;=0,"Sin stock: pedir ya","Pedir o producir")))</f>
        <v/>
      </c>
      <c r="K560" s="17" t="n"/>
      <c r="L560" s="17" t="n"/>
      <c r="M560" s="21">
        <f>IF(OR($A560="",$A560&lt;&gt;'Lista para pedir'!$C$3,N($I560)&lt;=0),"",COUNTIFS($A$2:$A560,$A560,$I$2:$I560,"&gt;0"))</f>
        <v/>
      </c>
    </row>
    <row r="561">
      <c r="A561" s="20" t="n"/>
      <c r="B561" s="21">
        <f>IF($A561="","",CHOOSE(WEEKDAY($A561,2),"Lunes","Martes","Miércoles","Jueves","Viernes","Sábado","Domingo"))</f>
        <v/>
      </c>
      <c r="C561" s="17" t="n"/>
      <c r="D561" s="21">
        <f>IF($C561="","",IFERROR(INDEX(Insumos!$B$2:$B$151,MATCH($C561,Insumos!$A$2:$A$151,0)),"Código no cargado"))</f>
        <v/>
      </c>
      <c r="E561" s="21">
        <f>IF($C561="","",IFERROR(INDEX(Insumos!$C$2:$C$151,MATCH($C561,Insumos!$A$2:$A$151,0)),""))</f>
        <v/>
      </c>
      <c r="F561" s="21">
        <f>IF($C561="","",IFERROR(INDEX(Insumos!$D$2:$D$151,MATCH($C561,Insumos!$A$2:$A$151,0)),""))</f>
        <v/>
      </c>
      <c r="G561" s="18" t="n"/>
      <c r="H561" s="19">
        <f>IF(OR($A561="",$C561=""),"",IFERROR(INDEX(Insumos!$M$2:$S$151,MATCH($C561,Insumos!$A$2:$A$151,0),WEEKDAY($A561,2)),""))</f>
        <v/>
      </c>
      <c r="I561" s="19">
        <f>IF(OR($G561="",$H561=""),"",MAX(0,$H561-$G561))</f>
        <v/>
      </c>
      <c r="J561" s="21">
        <f>IF($I561="","",IF($I561=0,"OK",IF($G561&lt;=0,"Sin stock: pedir ya","Pedir o producir")))</f>
        <v/>
      </c>
      <c r="K561" s="17" t="n"/>
      <c r="L561" s="17" t="n"/>
      <c r="M561" s="21">
        <f>IF(OR($A561="",$A561&lt;&gt;'Lista para pedir'!$C$3,N($I561)&lt;=0),"",COUNTIFS($A$2:$A561,$A561,$I$2:$I561,"&gt;0"))</f>
        <v/>
      </c>
    </row>
    <row r="562">
      <c r="A562" s="20" t="n"/>
      <c r="B562" s="21">
        <f>IF($A562="","",CHOOSE(WEEKDAY($A562,2),"Lunes","Martes","Miércoles","Jueves","Viernes","Sábado","Domingo"))</f>
        <v/>
      </c>
      <c r="C562" s="17" t="n"/>
      <c r="D562" s="21">
        <f>IF($C562="","",IFERROR(INDEX(Insumos!$B$2:$B$151,MATCH($C562,Insumos!$A$2:$A$151,0)),"Código no cargado"))</f>
        <v/>
      </c>
      <c r="E562" s="21">
        <f>IF($C562="","",IFERROR(INDEX(Insumos!$C$2:$C$151,MATCH($C562,Insumos!$A$2:$A$151,0)),""))</f>
        <v/>
      </c>
      <c r="F562" s="21">
        <f>IF($C562="","",IFERROR(INDEX(Insumos!$D$2:$D$151,MATCH($C562,Insumos!$A$2:$A$151,0)),""))</f>
        <v/>
      </c>
      <c r="G562" s="18" t="n"/>
      <c r="H562" s="19">
        <f>IF(OR($A562="",$C562=""),"",IFERROR(INDEX(Insumos!$M$2:$S$151,MATCH($C562,Insumos!$A$2:$A$151,0),WEEKDAY($A562,2)),""))</f>
        <v/>
      </c>
      <c r="I562" s="19">
        <f>IF(OR($G562="",$H562=""),"",MAX(0,$H562-$G562))</f>
        <v/>
      </c>
      <c r="J562" s="21">
        <f>IF($I562="","",IF($I562=0,"OK",IF($G562&lt;=0,"Sin stock: pedir ya","Pedir o producir")))</f>
        <v/>
      </c>
      <c r="K562" s="17" t="n"/>
      <c r="L562" s="17" t="n"/>
      <c r="M562" s="21">
        <f>IF(OR($A562="",$A562&lt;&gt;'Lista para pedir'!$C$3,N($I562)&lt;=0),"",COUNTIFS($A$2:$A562,$A562,$I$2:$I562,"&gt;0"))</f>
        <v/>
      </c>
    </row>
    <row r="563">
      <c r="A563" s="20" t="n"/>
      <c r="B563" s="21">
        <f>IF($A563="","",CHOOSE(WEEKDAY($A563,2),"Lunes","Martes","Miércoles","Jueves","Viernes","Sábado","Domingo"))</f>
        <v/>
      </c>
      <c r="C563" s="17" t="n"/>
      <c r="D563" s="21">
        <f>IF($C563="","",IFERROR(INDEX(Insumos!$B$2:$B$151,MATCH($C563,Insumos!$A$2:$A$151,0)),"Código no cargado"))</f>
        <v/>
      </c>
      <c r="E563" s="21">
        <f>IF($C563="","",IFERROR(INDEX(Insumos!$C$2:$C$151,MATCH($C563,Insumos!$A$2:$A$151,0)),""))</f>
        <v/>
      </c>
      <c r="F563" s="21">
        <f>IF($C563="","",IFERROR(INDEX(Insumos!$D$2:$D$151,MATCH($C563,Insumos!$A$2:$A$151,0)),""))</f>
        <v/>
      </c>
      <c r="G563" s="18" t="n"/>
      <c r="H563" s="19">
        <f>IF(OR($A563="",$C563=""),"",IFERROR(INDEX(Insumos!$M$2:$S$151,MATCH($C563,Insumos!$A$2:$A$151,0),WEEKDAY($A563,2)),""))</f>
        <v/>
      </c>
      <c r="I563" s="19">
        <f>IF(OR($G563="",$H563=""),"",MAX(0,$H563-$G563))</f>
        <v/>
      </c>
      <c r="J563" s="21">
        <f>IF($I563="","",IF($I563=0,"OK",IF($G563&lt;=0,"Sin stock: pedir ya","Pedir o producir")))</f>
        <v/>
      </c>
      <c r="K563" s="17" t="n"/>
      <c r="L563" s="17" t="n"/>
      <c r="M563" s="21">
        <f>IF(OR($A563="",$A563&lt;&gt;'Lista para pedir'!$C$3,N($I563)&lt;=0),"",COUNTIFS($A$2:$A563,$A563,$I$2:$I563,"&gt;0"))</f>
        <v/>
      </c>
    </row>
    <row r="564">
      <c r="A564" s="20" t="n"/>
      <c r="B564" s="21">
        <f>IF($A564="","",CHOOSE(WEEKDAY($A564,2),"Lunes","Martes","Miércoles","Jueves","Viernes","Sábado","Domingo"))</f>
        <v/>
      </c>
      <c r="C564" s="17" t="n"/>
      <c r="D564" s="21">
        <f>IF($C564="","",IFERROR(INDEX(Insumos!$B$2:$B$151,MATCH($C564,Insumos!$A$2:$A$151,0)),"Código no cargado"))</f>
        <v/>
      </c>
      <c r="E564" s="21">
        <f>IF($C564="","",IFERROR(INDEX(Insumos!$C$2:$C$151,MATCH($C564,Insumos!$A$2:$A$151,0)),""))</f>
        <v/>
      </c>
      <c r="F564" s="21">
        <f>IF($C564="","",IFERROR(INDEX(Insumos!$D$2:$D$151,MATCH($C564,Insumos!$A$2:$A$151,0)),""))</f>
        <v/>
      </c>
      <c r="G564" s="18" t="n"/>
      <c r="H564" s="19">
        <f>IF(OR($A564="",$C564=""),"",IFERROR(INDEX(Insumos!$M$2:$S$151,MATCH($C564,Insumos!$A$2:$A$151,0),WEEKDAY($A564,2)),""))</f>
        <v/>
      </c>
      <c r="I564" s="19">
        <f>IF(OR($G564="",$H564=""),"",MAX(0,$H564-$G564))</f>
        <v/>
      </c>
      <c r="J564" s="21">
        <f>IF($I564="","",IF($I564=0,"OK",IF($G564&lt;=0,"Sin stock: pedir ya","Pedir o producir")))</f>
        <v/>
      </c>
      <c r="K564" s="17" t="n"/>
      <c r="L564" s="17" t="n"/>
      <c r="M564" s="21">
        <f>IF(OR($A564="",$A564&lt;&gt;'Lista para pedir'!$C$3,N($I564)&lt;=0),"",COUNTIFS($A$2:$A564,$A564,$I$2:$I564,"&gt;0"))</f>
        <v/>
      </c>
    </row>
    <row r="565">
      <c r="A565" s="20" t="n"/>
      <c r="B565" s="21">
        <f>IF($A565="","",CHOOSE(WEEKDAY($A565,2),"Lunes","Martes","Miércoles","Jueves","Viernes","Sábado","Domingo"))</f>
        <v/>
      </c>
      <c r="C565" s="17" t="n"/>
      <c r="D565" s="21">
        <f>IF($C565="","",IFERROR(INDEX(Insumos!$B$2:$B$151,MATCH($C565,Insumos!$A$2:$A$151,0)),"Código no cargado"))</f>
        <v/>
      </c>
      <c r="E565" s="21">
        <f>IF($C565="","",IFERROR(INDEX(Insumos!$C$2:$C$151,MATCH($C565,Insumos!$A$2:$A$151,0)),""))</f>
        <v/>
      </c>
      <c r="F565" s="21">
        <f>IF($C565="","",IFERROR(INDEX(Insumos!$D$2:$D$151,MATCH($C565,Insumos!$A$2:$A$151,0)),""))</f>
        <v/>
      </c>
      <c r="G565" s="18" t="n"/>
      <c r="H565" s="19">
        <f>IF(OR($A565="",$C565=""),"",IFERROR(INDEX(Insumos!$M$2:$S$151,MATCH($C565,Insumos!$A$2:$A$151,0),WEEKDAY($A565,2)),""))</f>
        <v/>
      </c>
      <c r="I565" s="19">
        <f>IF(OR($G565="",$H565=""),"",MAX(0,$H565-$G565))</f>
        <v/>
      </c>
      <c r="J565" s="21">
        <f>IF($I565="","",IF($I565=0,"OK",IF($G565&lt;=0,"Sin stock: pedir ya","Pedir o producir")))</f>
        <v/>
      </c>
      <c r="K565" s="17" t="n"/>
      <c r="L565" s="17" t="n"/>
      <c r="M565" s="21">
        <f>IF(OR($A565="",$A565&lt;&gt;'Lista para pedir'!$C$3,N($I565)&lt;=0),"",COUNTIFS($A$2:$A565,$A565,$I$2:$I565,"&gt;0"))</f>
        <v/>
      </c>
    </row>
    <row r="566">
      <c r="A566" s="20" t="n"/>
      <c r="B566" s="21">
        <f>IF($A566="","",CHOOSE(WEEKDAY($A566,2),"Lunes","Martes","Miércoles","Jueves","Viernes","Sábado","Domingo"))</f>
        <v/>
      </c>
      <c r="C566" s="17" t="n"/>
      <c r="D566" s="21">
        <f>IF($C566="","",IFERROR(INDEX(Insumos!$B$2:$B$151,MATCH($C566,Insumos!$A$2:$A$151,0)),"Código no cargado"))</f>
        <v/>
      </c>
      <c r="E566" s="21">
        <f>IF($C566="","",IFERROR(INDEX(Insumos!$C$2:$C$151,MATCH($C566,Insumos!$A$2:$A$151,0)),""))</f>
        <v/>
      </c>
      <c r="F566" s="21">
        <f>IF($C566="","",IFERROR(INDEX(Insumos!$D$2:$D$151,MATCH($C566,Insumos!$A$2:$A$151,0)),""))</f>
        <v/>
      </c>
      <c r="G566" s="18" t="n"/>
      <c r="H566" s="19">
        <f>IF(OR($A566="",$C566=""),"",IFERROR(INDEX(Insumos!$M$2:$S$151,MATCH($C566,Insumos!$A$2:$A$151,0),WEEKDAY($A566,2)),""))</f>
        <v/>
      </c>
      <c r="I566" s="19">
        <f>IF(OR($G566="",$H566=""),"",MAX(0,$H566-$G566))</f>
        <v/>
      </c>
      <c r="J566" s="21">
        <f>IF($I566="","",IF($I566=0,"OK",IF($G566&lt;=0,"Sin stock: pedir ya","Pedir o producir")))</f>
        <v/>
      </c>
      <c r="K566" s="17" t="n"/>
      <c r="L566" s="17" t="n"/>
      <c r="M566" s="21">
        <f>IF(OR($A566="",$A566&lt;&gt;'Lista para pedir'!$C$3,N($I566)&lt;=0),"",COUNTIFS($A$2:$A566,$A566,$I$2:$I566,"&gt;0"))</f>
        <v/>
      </c>
    </row>
    <row r="567">
      <c r="A567" s="20" t="n"/>
      <c r="B567" s="21">
        <f>IF($A567="","",CHOOSE(WEEKDAY($A567,2),"Lunes","Martes","Miércoles","Jueves","Viernes","Sábado","Domingo"))</f>
        <v/>
      </c>
      <c r="C567" s="17" t="n"/>
      <c r="D567" s="21">
        <f>IF($C567="","",IFERROR(INDEX(Insumos!$B$2:$B$151,MATCH($C567,Insumos!$A$2:$A$151,0)),"Código no cargado"))</f>
        <v/>
      </c>
      <c r="E567" s="21">
        <f>IF($C567="","",IFERROR(INDEX(Insumos!$C$2:$C$151,MATCH($C567,Insumos!$A$2:$A$151,0)),""))</f>
        <v/>
      </c>
      <c r="F567" s="21">
        <f>IF($C567="","",IFERROR(INDEX(Insumos!$D$2:$D$151,MATCH($C567,Insumos!$A$2:$A$151,0)),""))</f>
        <v/>
      </c>
      <c r="G567" s="18" t="n"/>
      <c r="H567" s="19">
        <f>IF(OR($A567="",$C567=""),"",IFERROR(INDEX(Insumos!$M$2:$S$151,MATCH($C567,Insumos!$A$2:$A$151,0),WEEKDAY($A567,2)),""))</f>
        <v/>
      </c>
      <c r="I567" s="19">
        <f>IF(OR($G567="",$H567=""),"",MAX(0,$H567-$G567))</f>
        <v/>
      </c>
      <c r="J567" s="21">
        <f>IF($I567="","",IF($I567=0,"OK",IF($G567&lt;=0,"Sin stock: pedir ya","Pedir o producir")))</f>
        <v/>
      </c>
      <c r="K567" s="17" t="n"/>
      <c r="L567" s="17" t="n"/>
      <c r="M567" s="21">
        <f>IF(OR($A567="",$A567&lt;&gt;'Lista para pedir'!$C$3,N($I567)&lt;=0),"",COUNTIFS($A$2:$A567,$A567,$I$2:$I567,"&gt;0"))</f>
        <v/>
      </c>
    </row>
    <row r="568">
      <c r="A568" s="20" t="n"/>
      <c r="B568" s="21">
        <f>IF($A568="","",CHOOSE(WEEKDAY($A568,2),"Lunes","Martes","Miércoles","Jueves","Viernes","Sábado","Domingo"))</f>
        <v/>
      </c>
      <c r="C568" s="17" t="n"/>
      <c r="D568" s="21">
        <f>IF($C568="","",IFERROR(INDEX(Insumos!$B$2:$B$151,MATCH($C568,Insumos!$A$2:$A$151,0)),"Código no cargado"))</f>
        <v/>
      </c>
      <c r="E568" s="21">
        <f>IF($C568="","",IFERROR(INDEX(Insumos!$C$2:$C$151,MATCH($C568,Insumos!$A$2:$A$151,0)),""))</f>
        <v/>
      </c>
      <c r="F568" s="21">
        <f>IF($C568="","",IFERROR(INDEX(Insumos!$D$2:$D$151,MATCH($C568,Insumos!$A$2:$A$151,0)),""))</f>
        <v/>
      </c>
      <c r="G568" s="18" t="n"/>
      <c r="H568" s="19">
        <f>IF(OR($A568="",$C568=""),"",IFERROR(INDEX(Insumos!$M$2:$S$151,MATCH($C568,Insumos!$A$2:$A$151,0),WEEKDAY($A568,2)),""))</f>
        <v/>
      </c>
      <c r="I568" s="19">
        <f>IF(OR($G568="",$H568=""),"",MAX(0,$H568-$G568))</f>
        <v/>
      </c>
      <c r="J568" s="21">
        <f>IF($I568="","",IF($I568=0,"OK",IF($G568&lt;=0,"Sin stock: pedir ya","Pedir o producir")))</f>
        <v/>
      </c>
      <c r="K568" s="17" t="n"/>
      <c r="L568" s="17" t="n"/>
      <c r="M568" s="21">
        <f>IF(OR($A568="",$A568&lt;&gt;'Lista para pedir'!$C$3,N($I568)&lt;=0),"",COUNTIFS($A$2:$A568,$A568,$I$2:$I568,"&gt;0"))</f>
        <v/>
      </c>
    </row>
    <row r="569">
      <c r="A569" s="20" t="n"/>
      <c r="B569" s="21">
        <f>IF($A569="","",CHOOSE(WEEKDAY($A569,2),"Lunes","Martes","Miércoles","Jueves","Viernes","Sábado","Domingo"))</f>
        <v/>
      </c>
      <c r="C569" s="17" t="n"/>
      <c r="D569" s="21">
        <f>IF($C569="","",IFERROR(INDEX(Insumos!$B$2:$B$151,MATCH($C569,Insumos!$A$2:$A$151,0)),"Código no cargado"))</f>
        <v/>
      </c>
      <c r="E569" s="21">
        <f>IF($C569="","",IFERROR(INDEX(Insumos!$C$2:$C$151,MATCH($C569,Insumos!$A$2:$A$151,0)),""))</f>
        <v/>
      </c>
      <c r="F569" s="21">
        <f>IF($C569="","",IFERROR(INDEX(Insumos!$D$2:$D$151,MATCH($C569,Insumos!$A$2:$A$151,0)),""))</f>
        <v/>
      </c>
      <c r="G569" s="18" t="n"/>
      <c r="H569" s="19">
        <f>IF(OR($A569="",$C569=""),"",IFERROR(INDEX(Insumos!$M$2:$S$151,MATCH($C569,Insumos!$A$2:$A$151,0),WEEKDAY($A569,2)),""))</f>
        <v/>
      </c>
      <c r="I569" s="19">
        <f>IF(OR($G569="",$H569=""),"",MAX(0,$H569-$G569))</f>
        <v/>
      </c>
      <c r="J569" s="21">
        <f>IF($I569="","",IF($I569=0,"OK",IF($G569&lt;=0,"Sin stock: pedir ya","Pedir o producir")))</f>
        <v/>
      </c>
      <c r="K569" s="17" t="n"/>
      <c r="L569" s="17" t="n"/>
      <c r="M569" s="21">
        <f>IF(OR($A569="",$A569&lt;&gt;'Lista para pedir'!$C$3,N($I569)&lt;=0),"",COUNTIFS($A$2:$A569,$A569,$I$2:$I569,"&gt;0"))</f>
        <v/>
      </c>
    </row>
    <row r="570">
      <c r="A570" s="20" t="n"/>
      <c r="B570" s="21">
        <f>IF($A570="","",CHOOSE(WEEKDAY($A570,2),"Lunes","Martes","Miércoles","Jueves","Viernes","Sábado","Domingo"))</f>
        <v/>
      </c>
      <c r="C570" s="17" t="n"/>
      <c r="D570" s="21">
        <f>IF($C570="","",IFERROR(INDEX(Insumos!$B$2:$B$151,MATCH($C570,Insumos!$A$2:$A$151,0)),"Código no cargado"))</f>
        <v/>
      </c>
      <c r="E570" s="21">
        <f>IF($C570="","",IFERROR(INDEX(Insumos!$C$2:$C$151,MATCH($C570,Insumos!$A$2:$A$151,0)),""))</f>
        <v/>
      </c>
      <c r="F570" s="21">
        <f>IF($C570="","",IFERROR(INDEX(Insumos!$D$2:$D$151,MATCH($C570,Insumos!$A$2:$A$151,0)),""))</f>
        <v/>
      </c>
      <c r="G570" s="18" t="n"/>
      <c r="H570" s="19">
        <f>IF(OR($A570="",$C570=""),"",IFERROR(INDEX(Insumos!$M$2:$S$151,MATCH($C570,Insumos!$A$2:$A$151,0),WEEKDAY($A570,2)),""))</f>
        <v/>
      </c>
      <c r="I570" s="19">
        <f>IF(OR($G570="",$H570=""),"",MAX(0,$H570-$G570))</f>
        <v/>
      </c>
      <c r="J570" s="21">
        <f>IF($I570="","",IF($I570=0,"OK",IF($G570&lt;=0,"Sin stock: pedir ya","Pedir o producir")))</f>
        <v/>
      </c>
      <c r="K570" s="17" t="n"/>
      <c r="L570" s="17" t="n"/>
      <c r="M570" s="21">
        <f>IF(OR($A570="",$A570&lt;&gt;'Lista para pedir'!$C$3,N($I570)&lt;=0),"",COUNTIFS($A$2:$A570,$A570,$I$2:$I570,"&gt;0"))</f>
        <v/>
      </c>
    </row>
    <row r="571">
      <c r="A571" s="20" t="n"/>
      <c r="B571" s="21">
        <f>IF($A571="","",CHOOSE(WEEKDAY($A571,2),"Lunes","Martes","Miércoles","Jueves","Viernes","Sábado","Domingo"))</f>
        <v/>
      </c>
      <c r="C571" s="17" t="n"/>
      <c r="D571" s="21">
        <f>IF($C571="","",IFERROR(INDEX(Insumos!$B$2:$B$151,MATCH($C571,Insumos!$A$2:$A$151,0)),"Código no cargado"))</f>
        <v/>
      </c>
      <c r="E571" s="21">
        <f>IF($C571="","",IFERROR(INDEX(Insumos!$C$2:$C$151,MATCH($C571,Insumos!$A$2:$A$151,0)),""))</f>
        <v/>
      </c>
      <c r="F571" s="21">
        <f>IF($C571="","",IFERROR(INDEX(Insumos!$D$2:$D$151,MATCH($C571,Insumos!$A$2:$A$151,0)),""))</f>
        <v/>
      </c>
      <c r="G571" s="18" t="n"/>
      <c r="H571" s="19">
        <f>IF(OR($A571="",$C571=""),"",IFERROR(INDEX(Insumos!$M$2:$S$151,MATCH($C571,Insumos!$A$2:$A$151,0),WEEKDAY($A571,2)),""))</f>
        <v/>
      </c>
      <c r="I571" s="19">
        <f>IF(OR($G571="",$H571=""),"",MAX(0,$H571-$G571))</f>
        <v/>
      </c>
      <c r="J571" s="21">
        <f>IF($I571="","",IF($I571=0,"OK",IF($G571&lt;=0,"Sin stock: pedir ya","Pedir o producir")))</f>
        <v/>
      </c>
      <c r="K571" s="17" t="n"/>
      <c r="L571" s="17" t="n"/>
      <c r="M571" s="21">
        <f>IF(OR($A571="",$A571&lt;&gt;'Lista para pedir'!$C$3,N($I571)&lt;=0),"",COUNTIFS($A$2:$A571,$A571,$I$2:$I571,"&gt;0"))</f>
        <v/>
      </c>
    </row>
    <row r="572">
      <c r="A572" s="20" t="n"/>
      <c r="B572" s="21">
        <f>IF($A572="","",CHOOSE(WEEKDAY($A572,2),"Lunes","Martes","Miércoles","Jueves","Viernes","Sábado","Domingo"))</f>
        <v/>
      </c>
      <c r="C572" s="17" t="n"/>
      <c r="D572" s="21">
        <f>IF($C572="","",IFERROR(INDEX(Insumos!$B$2:$B$151,MATCH($C572,Insumos!$A$2:$A$151,0)),"Código no cargado"))</f>
        <v/>
      </c>
      <c r="E572" s="21">
        <f>IF($C572="","",IFERROR(INDEX(Insumos!$C$2:$C$151,MATCH($C572,Insumos!$A$2:$A$151,0)),""))</f>
        <v/>
      </c>
      <c r="F572" s="21">
        <f>IF($C572="","",IFERROR(INDEX(Insumos!$D$2:$D$151,MATCH($C572,Insumos!$A$2:$A$151,0)),""))</f>
        <v/>
      </c>
      <c r="G572" s="18" t="n"/>
      <c r="H572" s="19">
        <f>IF(OR($A572="",$C572=""),"",IFERROR(INDEX(Insumos!$M$2:$S$151,MATCH($C572,Insumos!$A$2:$A$151,0),WEEKDAY($A572,2)),""))</f>
        <v/>
      </c>
      <c r="I572" s="19">
        <f>IF(OR($G572="",$H572=""),"",MAX(0,$H572-$G572))</f>
        <v/>
      </c>
      <c r="J572" s="21">
        <f>IF($I572="","",IF($I572=0,"OK",IF($G572&lt;=0,"Sin stock: pedir ya","Pedir o producir")))</f>
        <v/>
      </c>
      <c r="K572" s="17" t="n"/>
      <c r="L572" s="17" t="n"/>
      <c r="M572" s="21">
        <f>IF(OR($A572="",$A572&lt;&gt;'Lista para pedir'!$C$3,N($I572)&lt;=0),"",COUNTIFS($A$2:$A572,$A572,$I$2:$I572,"&gt;0"))</f>
        <v/>
      </c>
    </row>
    <row r="573">
      <c r="A573" s="20" t="n"/>
      <c r="B573" s="21">
        <f>IF($A573="","",CHOOSE(WEEKDAY($A573,2),"Lunes","Martes","Miércoles","Jueves","Viernes","Sábado","Domingo"))</f>
        <v/>
      </c>
      <c r="C573" s="17" t="n"/>
      <c r="D573" s="21">
        <f>IF($C573="","",IFERROR(INDEX(Insumos!$B$2:$B$151,MATCH($C573,Insumos!$A$2:$A$151,0)),"Código no cargado"))</f>
        <v/>
      </c>
      <c r="E573" s="21">
        <f>IF($C573="","",IFERROR(INDEX(Insumos!$C$2:$C$151,MATCH($C573,Insumos!$A$2:$A$151,0)),""))</f>
        <v/>
      </c>
      <c r="F573" s="21">
        <f>IF($C573="","",IFERROR(INDEX(Insumos!$D$2:$D$151,MATCH($C573,Insumos!$A$2:$A$151,0)),""))</f>
        <v/>
      </c>
      <c r="G573" s="18" t="n"/>
      <c r="H573" s="19">
        <f>IF(OR($A573="",$C573=""),"",IFERROR(INDEX(Insumos!$M$2:$S$151,MATCH($C573,Insumos!$A$2:$A$151,0),WEEKDAY($A573,2)),""))</f>
        <v/>
      </c>
      <c r="I573" s="19">
        <f>IF(OR($G573="",$H573=""),"",MAX(0,$H573-$G573))</f>
        <v/>
      </c>
      <c r="J573" s="21">
        <f>IF($I573="","",IF($I573=0,"OK",IF($G573&lt;=0,"Sin stock: pedir ya","Pedir o producir")))</f>
        <v/>
      </c>
      <c r="K573" s="17" t="n"/>
      <c r="L573" s="17" t="n"/>
      <c r="M573" s="21">
        <f>IF(OR($A573="",$A573&lt;&gt;'Lista para pedir'!$C$3,N($I573)&lt;=0),"",COUNTIFS($A$2:$A573,$A573,$I$2:$I573,"&gt;0"))</f>
        <v/>
      </c>
    </row>
    <row r="574">
      <c r="A574" s="20" t="n"/>
      <c r="B574" s="21">
        <f>IF($A574="","",CHOOSE(WEEKDAY($A574,2),"Lunes","Martes","Miércoles","Jueves","Viernes","Sábado","Domingo"))</f>
        <v/>
      </c>
      <c r="C574" s="17" t="n"/>
      <c r="D574" s="21">
        <f>IF($C574="","",IFERROR(INDEX(Insumos!$B$2:$B$151,MATCH($C574,Insumos!$A$2:$A$151,0)),"Código no cargado"))</f>
        <v/>
      </c>
      <c r="E574" s="21">
        <f>IF($C574="","",IFERROR(INDEX(Insumos!$C$2:$C$151,MATCH($C574,Insumos!$A$2:$A$151,0)),""))</f>
        <v/>
      </c>
      <c r="F574" s="21">
        <f>IF($C574="","",IFERROR(INDEX(Insumos!$D$2:$D$151,MATCH($C574,Insumos!$A$2:$A$151,0)),""))</f>
        <v/>
      </c>
      <c r="G574" s="18" t="n"/>
      <c r="H574" s="19">
        <f>IF(OR($A574="",$C574=""),"",IFERROR(INDEX(Insumos!$M$2:$S$151,MATCH($C574,Insumos!$A$2:$A$151,0),WEEKDAY($A574,2)),""))</f>
        <v/>
      </c>
      <c r="I574" s="19">
        <f>IF(OR($G574="",$H574=""),"",MAX(0,$H574-$G574))</f>
        <v/>
      </c>
      <c r="J574" s="21">
        <f>IF($I574="","",IF($I574=0,"OK",IF($G574&lt;=0,"Sin stock: pedir ya","Pedir o producir")))</f>
        <v/>
      </c>
      <c r="K574" s="17" t="n"/>
      <c r="L574" s="17" t="n"/>
      <c r="M574" s="21">
        <f>IF(OR($A574="",$A574&lt;&gt;'Lista para pedir'!$C$3,N($I574)&lt;=0),"",COUNTIFS($A$2:$A574,$A574,$I$2:$I574,"&gt;0"))</f>
        <v/>
      </c>
    </row>
    <row r="575">
      <c r="A575" s="20" t="n"/>
      <c r="B575" s="21">
        <f>IF($A575="","",CHOOSE(WEEKDAY($A575,2),"Lunes","Martes","Miércoles","Jueves","Viernes","Sábado","Domingo"))</f>
        <v/>
      </c>
      <c r="C575" s="17" t="n"/>
      <c r="D575" s="21">
        <f>IF($C575="","",IFERROR(INDEX(Insumos!$B$2:$B$151,MATCH($C575,Insumos!$A$2:$A$151,0)),"Código no cargado"))</f>
        <v/>
      </c>
      <c r="E575" s="21">
        <f>IF($C575="","",IFERROR(INDEX(Insumos!$C$2:$C$151,MATCH($C575,Insumos!$A$2:$A$151,0)),""))</f>
        <v/>
      </c>
      <c r="F575" s="21">
        <f>IF($C575="","",IFERROR(INDEX(Insumos!$D$2:$D$151,MATCH($C575,Insumos!$A$2:$A$151,0)),""))</f>
        <v/>
      </c>
      <c r="G575" s="18" t="n"/>
      <c r="H575" s="19">
        <f>IF(OR($A575="",$C575=""),"",IFERROR(INDEX(Insumos!$M$2:$S$151,MATCH($C575,Insumos!$A$2:$A$151,0),WEEKDAY($A575,2)),""))</f>
        <v/>
      </c>
      <c r="I575" s="19">
        <f>IF(OR($G575="",$H575=""),"",MAX(0,$H575-$G575))</f>
        <v/>
      </c>
      <c r="J575" s="21">
        <f>IF($I575="","",IF($I575=0,"OK",IF($G575&lt;=0,"Sin stock: pedir ya","Pedir o producir")))</f>
        <v/>
      </c>
      <c r="K575" s="17" t="n"/>
      <c r="L575" s="17" t="n"/>
      <c r="M575" s="21">
        <f>IF(OR($A575="",$A575&lt;&gt;'Lista para pedir'!$C$3,N($I575)&lt;=0),"",COUNTIFS($A$2:$A575,$A575,$I$2:$I575,"&gt;0"))</f>
        <v/>
      </c>
    </row>
    <row r="576">
      <c r="A576" s="20" t="n"/>
      <c r="B576" s="21">
        <f>IF($A576="","",CHOOSE(WEEKDAY($A576,2),"Lunes","Martes","Miércoles","Jueves","Viernes","Sábado","Domingo"))</f>
        <v/>
      </c>
      <c r="C576" s="17" t="n"/>
      <c r="D576" s="21">
        <f>IF($C576="","",IFERROR(INDEX(Insumos!$B$2:$B$151,MATCH($C576,Insumos!$A$2:$A$151,0)),"Código no cargado"))</f>
        <v/>
      </c>
      <c r="E576" s="21">
        <f>IF($C576="","",IFERROR(INDEX(Insumos!$C$2:$C$151,MATCH($C576,Insumos!$A$2:$A$151,0)),""))</f>
        <v/>
      </c>
      <c r="F576" s="21">
        <f>IF($C576="","",IFERROR(INDEX(Insumos!$D$2:$D$151,MATCH($C576,Insumos!$A$2:$A$151,0)),""))</f>
        <v/>
      </c>
      <c r="G576" s="18" t="n"/>
      <c r="H576" s="19">
        <f>IF(OR($A576="",$C576=""),"",IFERROR(INDEX(Insumos!$M$2:$S$151,MATCH($C576,Insumos!$A$2:$A$151,0),WEEKDAY($A576,2)),""))</f>
        <v/>
      </c>
      <c r="I576" s="19">
        <f>IF(OR($G576="",$H576=""),"",MAX(0,$H576-$G576))</f>
        <v/>
      </c>
      <c r="J576" s="21">
        <f>IF($I576="","",IF($I576=0,"OK",IF($G576&lt;=0,"Sin stock: pedir ya","Pedir o producir")))</f>
        <v/>
      </c>
      <c r="K576" s="17" t="n"/>
      <c r="L576" s="17" t="n"/>
      <c r="M576" s="21">
        <f>IF(OR($A576="",$A576&lt;&gt;'Lista para pedir'!$C$3,N($I576)&lt;=0),"",COUNTIFS($A$2:$A576,$A576,$I$2:$I576,"&gt;0"))</f>
        <v/>
      </c>
    </row>
    <row r="577">
      <c r="A577" s="20" t="n"/>
      <c r="B577" s="21">
        <f>IF($A577="","",CHOOSE(WEEKDAY($A577,2),"Lunes","Martes","Miércoles","Jueves","Viernes","Sábado","Domingo"))</f>
        <v/>
      </c>
      <c r="C577" s="17" t="n"/>
      <c r="D577" s="21">
        <f>IF($C577="","",IFERROR(INDEX(Insumos!$B$2:$B$151,MATCH($C577,Insumos!$A$2:$A$151,0)),"Código no cargado"))</f>
        <v/>
      </c>
      <c r="E577" s="21">
        <f>IF($C577="","",IFERROR(INDEX(Insumos!$C$2:$C$151,MATCH($C577,Insumos!$A$2:$A$151,0)),""))</f>
        <v/>
      </c>
      <c r="F577" s="21">
        <f>IF($C577="","",IFERROR(INDEX(Insumos!$D$2:$D$151,MATCH($C577,Insumos!$A$2:$A$151,0)),""))</f>
        <v/>
      </c>
      <c r="G577" s="18" t="n"/>
      <c r="H577" s="19">
        <f>IF(OR($A577="",$C577=""),"",IFERROR(INDEX(Insumos!$M$2:$S$151,MATCH($C577,Insumos!$A$2:$A$151,0),WEEKDAY($A577,2)),""))</f>
        <v/>
      </c>
      <c r="I577" s="19">
        <f>IF(OR($G577="",$H577=""),"",MAX(0,$H577-$G577))</f>
        <v/>
      </c>
      <c r="J577" s="21">
        <f>IF($I577="","",IF($I577=0,"OK",IF($G577&lt;=0,"Sin stock: pedir ya","Pedir o producir")))</f>
        <v/>
      </c>
      <c r="K577" s="17" t="n"/>
      <c r="L577" s="17" t="n"/>
      <c r="M577" s="21">
        <f>IF(OR($A577="",$A577&lt;&gt;'Lista para pedir'!$C$3,N($I577)&lt;=0),"",COUNTIFS($A$2:$A577,$A577,$I$2:$I577,"&gt;0"))</f>
        <v/>
      </c>
    </row>
    <row r="578">
      <c r="A578" s="20" t="n"/>
      <c r="B578" s="21">
        <f>IF($A578="","",CHOOSE(WEEKDAY($A578,2),"Lunes","Martes","Miércoles","Jueves","Viernes","Sábado","Domingo"))</f>
        <v/>
      </c>
      <c r="C578" s="17" t="n"/>
      <c r="D578" s="21">
        <f>IF($C578="","",IFERROR(INDEX(Insumos!$B$2:$B$151,MATCH($C578,Insumos!$A$2:$A$151,0)),"Código no cargado"))</f>
        <v/>
      </c>
      <c r="E578" s="21">
        <f>IF($C578="","",IFERROR(INDEX(Insumos!$C$2:$C$151,MATCH($C578,Insumos!$A$2:$A$151,0)),""))</f>
        <v/>
      </c>
      <c r="F578" s="21">
        <f>IF($C578="","",IFERROR(INDEX(Insumos!$D$2:$D$151,MATCH($C578,Insumos!$A$2:$A$151,0)),""))</f>
        <v/>
      </c>
      <c r="G578" s="18" t="n"/>
      <c r="H578" s="19">
        <f>IF(OR($A578="",$C578=""),"",IFERROR(INDEX(Insumos!$M$2:$S$151,MATCH($C578,Insumos!$A$2:$A$151,0),WEEKDAY($A578,2)),""))</f>
        <v/>
      </c>
      <c r="I578" s="19">
        <f>IF(OR($G578="",$H578=""),"",MAX(0,$H578-$G578))</f>
        <v/>
      </c>
      <c r="J578" s="21">
        <f>IF($I578="","",IF($I578=0,"OK",IF($G578&lt;=0,"Sin stock: pedir ya","Pedir o producir")))</f>
        <v/>
      </c>
      <c r="K578" s="17" t="n"/>
      <c r="L578" s="17" t="n"/>
      <c r="M578" s="21">
        <f>IF(OR($A578="",$A578&lt;&gt;'Lista para pedir'!$C$3,N($I578)&lt;=0),"",COUNTIFS($A$2:$A578,$A578,$I$2:$I578,"&gt;0"))</f>
        <v/>
      </c>
    </row>
    <row r="579">
      <c r="A579" s="20" t="n"/>
      <c r="B579" s="21">
        <f>IF($A579="","",CHOOSE(WEEKDAY($A579,2),"Lunes","Martes","Miércoles","Jueves","Viernes","Sábado","Domingo"))</f>
        <v/>
      </c>
      <c r="C579" s="17" t="n"/>
      <c r="D579" s="21">
        <f>IF($C579="","",IFERROR(INDEX(Insumos!$B$2:$B$151,MATCH($C579,Insumos!$A$2:$A$151,0)),"Código no cargado"))</f>
        <v/>
      </c>
      <c r="E579" s="21">
        <f>IF($C579="","",IFERROR(INDEX(Insumos!$C$2:$C$151,MATCH($C579,Insumos!$A$2:$A$151,0)),""))</f>
        <v/>
      </c>
      <c r="F579" s="21">
        <f>IF($C579="","",IFERROR(INDEX(Insumos!$D$2:$D$151,MATCH($C579,Insumos!$A$2:$A$151,0)),""))</f>
        <v/>
      </c>
      <c r="G579" s="18" t="n"/>
      <c r="H579" s="19">
        <f>IF(OR($A579="",$C579=""),"",IFERROR(INDEX(Insumos!$M$2:$S$151,MATCH($C579,Insumos!$A$2:$A$151,0),WEEKDAY($A579,2)),""))</f>
        <v/>
      </c>
      <c r="I579" s="19">
        <f>IF(OR($G579="",$H579=""),"",MAX(0,$H579-$G579))</f>
        <v/>
      </c>
      <c r="J579" s="21">
        <f>IF($I579="","",IF($I579=0,"OK",IF($G579&lt;=0,"Sin stock: pedir ya","Pedir o producir")))</f>
        <v/>
      </c>
      <c r="K579" s="17" t="n"/>
      <c r="L579" s="17" t="n"/>
      <c r="M579" s="21">
        <f>IF(OR($A579="",$A579&lt;&gt;'Lista para pedir'!$C$3,N($I579)&lt;=0),"",COUNTIFS($A$2:$A579,$A579,$I$2:$I579,"&gt;0"))</f>
        <v/>
      </c>
    </row>
    <row r="580">
      <c r="A580" s="20" t="n"/>
      <c r="B580" s="21">
        <f>IF($A580="","",CHOOSE(WEEKDAY($A580,2),"Lunes","Martes","Miércoles","Jueves","Viernes","Sábado","Domingo"))</f>
        <v/>
      </c>
      <c r="C580" s="17" t="n"/>
      <c r="D580" s="21">
        <f>IF($C580="","",IFERROR(INDEX(Insumos!$B$2:$B$151,MATCH($C580,Insumos!$A$2:$A$151,0)),"Código no cargado"))</f>
        <v/>
      </c>
      <c r="E580" s="21">
        <f>IF($C580="","",IFERROR(INDEX(Insumos!$C$2:$C$151,MATCH($C580,Insumos!$A$2:$A$151,0)),""))</f>
        <v/>
      </c>
      <c r="F580" s="21">
        <f>IF($C580="","",IFERROR(INDEX(Insumos!$D$2:$D$151,MATCH($C580,Insumos!$A$2:$A$151,0)),""))</f>
        <v/>
      </c>
      <c r="G580" s="18" t="n"/>
      <c r="H580" s="19">
        <f>IF(OR($A580="",$C580=""),"",IFERROR(INDEX(Insumos!$M$2:$S$151,MATCH($C580,Insumos!$A$2:$A$151,0),WEEKDAY($A580,2)),""))</f>
        <v/>
      </c>
      <c r="I580" s="19">
        <f>IF(OR($G580="",$H580=""),"",MAX(0,$H580-$G580))</f>
        <v/>
      </c>
      <c r="J580" s="21">
        <f>IF($I580="","",IF($I580=0,"OK",IF($G580&lt;=0,"Sin stock: pedir ya","Pedir o producir")))</f>
        <v/>
      </c>
      <c r="K580" s="17" t="n"/>
      <c r="L580" s="17" t="n"/>
      <c r="M580" s="21">
        <f>IF(OR($A580="",$A580&lt;&gt;'Lista para pedir'!$C$3,N($I580)&lt;=0),"",COUNTIFS($A$2:$A580,$A580,$I$2:$I580,"&gt;0"))</f>
        <v/>
      </c>
    </row>
    <row r="581">
      <c r="A581" s="20" t="n"/>
      <c r="B581" s="21">
        <f>IF($A581="","",CHOOSE(WEEKDAY($A581,2),"Lunes","Martes","Miércoles","Jueves","Viernes","Sábado","Domingo"))</f>
        <v/>
      </c>
      <c r="C581" s="17" t="n"/>
      <c r="D581" s="21">
        <f>IF($C581="","",IFERROR(INDEX(Insumos!$B$2:$B$151,MATCH($C581,Insumos!$A$2:$A$151,0)),"Código no cargado"))</f>
        <v/>
      </c>
      <c r="E581" s="21">
        <f>IF($C581="","",IFERROR(INDEX(Insumos!$C$2:$C$151,MATCH($C581,Insumos!$A$2:$A$151,0)),""))</f>
        <v/>
      </c>
      <c r="F581" s="21">
        <f>IF($C581="","",IFERROR(INDEX(Insumos!$D$2:$D$151,MATCH($C581,Insumos!$A$2:$A$151,0)),""))</f>
        <v/>
      </c>
      <c r="G581" s="18" t="n"/>
      <c r="H581" s="19">
        <f>IF(OR($A581="",$C581=""),"",IFERROR(INDEX(Insumos!$M$2:$S$151,MATCH($C581,Insumos!$A$2:$A$151,0),WEEKDAY($A581,2)),""))</f>
        <v/>
      </c>
      <c r="I581" s="19">
        <f>IF(OR($G581="",$H581=""),"",MAX(0,$H581-$G581))</f>
        <v/>
      </c>
      <c r="J581" s="21">
        <f>IF($I581="","",IF($I581=0,"OK",IF($G581&lt;=0,"Sin stock: pedir ya","Pedir o producir")))</f>
        <v/>
      </c>
      <c r="K581" s="17" t="n"/>
      <c r="L581" s="17" t="n"/>
      <c r="M581" s="21">
        <f>IF(OR($A581="",$A581&lt;&gt;'Lista para pedir'!$C$3,N($I581)&lt;=0),"",COUNTIFS($A$2:$A581,$A581,$I$2:$I581,"&gt;0"))</f>
        <v/>
      </c>
    </row>
    <row r="582">
      <c r="A582" s="20" t="n"/>
      <c r="B582" s="21">
        <f>IF($A582="","",CHOOSE(WEEKDAY($A582,2),"Lunes","Martes","Miércoles","Jueves","Viernes","Sábado","Domingo"))</f>
        <v/>
      </c>
      <c r="C582" s="17" t="n"/>
      <c r="D582" s="21">
        <f>IF($C582="","",IFERROR(INDEX(Insumos!$B$2:$B$151,MATCH($C582,Insumos!$A$2:$A$151,0)),"Código no cargado"))</f>
        <v/>
      </c>
      <c r="E582" s="21">
        <f>IF($C582="","",IFERROR(INDEX(Insumos!$C$2:$C$151,MATCH($C582,Insumos!$A$2:$A$151,0)),""))</f>
        <v/>
      </c>
      <c r="F582" s="21">
        <f>IF($C582="","",IFERROR(INDEX(Insumos!$D$2:$D$151,MATCH($C582,Insumos!$A$2:$A$151,0)),""))</f>
        <v/>
      </c>
      <c r="G582" s="18" t="n"/>
      <c r="H582" s="19">
        <f>IF(OR($A582="",$C582=""),"",IFERROR(INDEX(Insumos!$M$2:$S$151,MATCH($C582,Insumos!$A$2:$A$151,0),WEEKDAY($A582,2)),""))</f>
        <v/>
      </c>
      <c r="I582" s="19">
        <f>IF(OR($G582="",$H582=""),"",MAX(0,$H582-$G582))</f>
        <v/>
      </c>
      <c r="J582" s="21">
        <f>IF($I582="","",IF($I582=0,"OK",IF($G582&lt;=0,"Sin stock: pedir ya","Pedir o producir")))</f>
        <v/>
      </c>
      <c r="K582" s="17" t="n"/>
      <c r="L582" s="17" t="n"/>
      <c r="M582" s="21">
        <f>IF(OR($A582="",$A582&lt;&gt;'Lista para pedir'!$C$3,N($I582)&lt;=0),"",COUNTIFS($A$2:$A582,$A582,$I$2:$I582,"&gt;0"))</f>
        <v/>
      </c>
    </row>
    <row r="583">
      <c r="A583" s="20" t="n"/>
      <c r="B583" s="21">
        <f>IF($A583="","",CHOOSE(WEEKDAY($A583,2),"Lunes","Martes","Miércoles","Jueves","Viernes","Sábado","Domingo"))</f>
        <v/>
      </c>
      <c r="C583" s="17" t="n"/>
      <c r="D583" s="21">
        <f>IF($C583="","",IFERROR(INDEX(Insumos!$B$2:$B$151,MATCH($C583,Insumos!$A$2:$A$151,0)),"Código no cargado"))</f>
        <v/>
      </c>
      <c r="E583" s="21">
        <f>IF($C583="","",IFERROR(INDEX(Insumos!$C$2:$C$151,MATCH($C583,Insumos!$A$2:$A$151,0)),""))</f>
        <v/>
      </c>
      <c r="F583" s="21">
        <f>IF($C583="","",IFERROR(INDEX(Insumos!$D$2:$D$151,MATCH($C583,Insumos!$A$2:$A$151,0)),""))</f>
        <v/>
      </c>
      <c r="G583" s="18" t="n"/>
      <c r="H583" s="19">
        <f>IF(OR($A583="",$C583=""),"",IFERROR(INDEX(Insumos!$M$2:$S$151,MATCH($C583,Insumos!$A$2:$A$151,0),WEEKDAY($A583,2)),""))</f>
        <v/>
      </c>
      <c r="I583" s="19">
        <f>IF(OR($G583="",$H583=""),"",MAX(0,$H583-$G583))</f>
        <v/>
      </c>
      <c r="J583" s="21">
        <f>IF($I583="","",IF($I583=0,"OK",IF($G583&lt;=0,"Sin stock: pedir ya","Pedir o producir")))</f>
        <v/>
      </c>
      <c r="K583" s="17" t="n"/>
      <c r="L583" s="17" t="n"/>
      <c r="M583" s="21">
        <f>IF(OR($A583="",$A583&lt;&gt;'Lista para pedir'!$C$3,N($I583)&lt;=0),"",COUNTIFS($A$2:$A583,$A583,$I$2:$I583,"&gt;0"))</f>
        <v/>
      </c>
    </row>
    <row r="584">
      <c r="A584" s="20" t="n"/>
      <c r="B584" s="21">
        <f>IF($A584="","",CHOOSE(WEEKDAY($A584,2),"Lunes","Martes","Miércoles","Jueves","Viernes","Sábado","Domingo"))</f>
        <v/>
      </c>
      <c r="C584" s="17" t="n"/>
      <c r="D584" s="21">
        <f>IF($C584="","",IFERROR(INDEX(Insumos!$B$2:$B$151,MATCH($C584,Insumos!$A$2:$A$151,0)),"Código no cargado"))</f>
        <v/>
      </c>
      <c r="E584" s="21">
        <f>IF($C584="","",IFERROR(INDEX(Insumos!$C$2:$C$151,MATCH($C584,Insumos!$A$2:$A$151,0)),""))</f>
        <v/>
      </c>
      <c r="F584" s="21">
        <f>IF($C584="","",IFERROR(INDEX(Insumos!$D$2:$D$151,MATCH($C584,Insumos!$A$2:$A$151,0)),""))</f>
        <v/>
      </c>
      <c r="G584" s="18" t="n"/>
      <c r="H584" s="19">
        <f>IF(OR($A584="",$C584=""),"",IFERROR(INDEX(Insumos!$M$2:$S$151,MATCH($C584,Insumos!$A$2:$A$151,0),WEEKDAY($A584,2)),""))</f>
        <v/>
      </c>
      <c r="I584" s="19">
        <f>IF(OR($G584="",$H584=""),"",MAX(0,$H584-$G584))</f>
        <v/>
      </c>
      <c r="J584" s="21">
        <f>IF($I584="","",IF($I584=0,"OK",IF($G584&lt;=0,"Sin stock: pedir ya","Pedir o producir")))</f>
        <v/>
      </c>
      <c r="K584" s="17" t="n"/>
      <c r="L584" s="17" t="n"/>
      <c r="M584" s="21">
        <f>IF(OR($A584="",$A584&lt;&gt;'Lista para pedir'!$C$3,N($I584)&lt;=0),"",COUNTIFS($A$2:$A584,$A584,$I$2:$I584,"&gt;0"))</f>
        <v/>
      </c>
    </row>
    <row r="585">
      <c r="A585" s="20" t="n"/>
      <c r="B585" s="21">
        <f>IF($A585="","",CHOOSE(WEEKDAY($A585,2),"Lunes","Martes","Miércoles","Jueves","Viernes","Sábado","Domingo"))</f>
        <v/>
      </c>
      <c r="C585" s="17" t="n"/>
      <c r="D585" s="21">
        <f>IF($C585="","",IFERROR(INDEX(Insumos!$B$2:$B$151,MATCH($C585,Insumos!$A$2:$A$151,0)),"Código no cargado"))</f>
        <v/>
      </c>
      <c r="E585" s="21">
        <f>IF($C585="","",IFERROR(INDEX(Insumos!$C$2:$C$151,MATCH($C585,Insumos!$A$2:$A$151,0)),""))</f>
        <v/>
      </c>
      <c r="F585" s="21">
        <f>IF($C585="","",IFERROR(INDEX(Insumos!$D$2:$D$151,MATCH($C585,Insumos!$A$2:$A$151,0)),""))</f>
        <v/>
      </c>
      <c r="G585" s="18" t="n"/>
      <c r="H585" s="19">
        <f>IF(OR($A585="",$C585=""),"",IFERROR(INDEX(Insumos!$M$2:$S$151,MATCH($C585,Insumos!$A$2:$A$151,0),WEEKDAY($A585,2)),""))</f>
        <v/>
      </c>
      <c r="I585" s="19">
        <f>IF(OR($G585="",$H585=""),"",MAX(0,$H585-$G585))</f>
        <v/>
      </c>
      <c r="J585" s="21">
        <f>IF($I585="","",IF($I585=0,"OK",IF($G585&lt;=0,"Sin stock: pedir ya","Pedir o producir")))</f>
        <v/>
      </c>
      <c r="K585" s="17" t="n"/>
      <c r="L585" s="17" t="n"/>
      <c r="M585" s="21">
        <f>IF(OR($A585="",$A585&lt;&gt;'Lista para pedir'!$C$3,N($I585)&lt;=0),"",COUNTIFS($A$2:$A585,$A585,$I$2:$I585,"&gt;0"))</f>
        <v/>
      </c>
    </row>
    <row r="586">
      <c r="A586" s="20" t="n"/>
      <c r="B586" s="21">
        <f>IF($A586="","",CHOOSE(WEEKDAY($A586,2),"Lunes","Martes","Miércoles","Jueves","Viernes","Sábado","Domingo"))</f>
        <v/>
      </c>
      <c r="C586" s="17" t="n"/>
      <c r="D586" s="21">
        <f>IF($C586="","",IFERROR(INDEX(Insumos!$B$2:$B$151,MATCH($C586,Insumos!$A$2:$A$151,0)),"Código no cargado"))</f>
        <v/>
      </c>
      <c r="E586" s="21">
        <f>IF($C586="","",IFERROR(INDEX(Insumos!$C$2:$C$151,MATCH($C586,Insumos!$A$2:$A$151,0)),""))</f>
        <v/>
      </c>
      <c r="F586" s="21">
        <f>IF($C586="","",IFERROR(INDEX(Insumos!$D$2:$D$151,MATCH($C586,Insumos!$A$2:$A$151,0)),""))</f>
        <v/>
      </c>
      <c r="G586" s="18" t="n"/>
      <c r="H586" s="19">
        <f>IF(OR($A586="",$C586=""),"",IFERROR(INDEX(Insumos!$M$2:$S$151,MATCH($C586,Insumos!$A$2:$A$151,0),WEEKDAY($A586,2)),""))</f>
        <v/>
      </c>
      <c r="I586" s="19">
        <f>IF(OR($G586="",$H586=""),"",MAX(0,$H586-$G586))</f>
        <v/>
      </c>
      <c r="J586" s="21">
        <f>IF($I586="","",IF($I586=0,"OK",IF($G586&lt;=0,"Sin stock: pedir ya","Pedir o producir")))</f>
        <v/>
      </c>
      <c r="K586" s="17" t="n"/>
      <c r="L586" s="17" t="n"/>
      <c r="M586" s="21">
        <f>IF(OR($A586="",$A586&lt;&gt;'Lista para pedir'!$C$3,N($I586)&lt;=0),"",COUNTIFS($A$2:$A586,$A586,$I$2:$I586,"&gt;0"))</f>
        <v/>
      </c>
    </row>
    <row r="587">
      <c r="A587" s="20" t="n"/>
      <c r="B587" s="21">
        <f>IF($A587="","",CHOOSE(WEEKDAY($A587,2),"Lunes","Martes","Miércoles","Jueves","Viernes","Sábado","Domingo"))</f>
        <v/>
      </c>
      <c r="C587" s="17" t="n"/>
      <c r="D587" s="21">
        <f>IF($C587="","",IFERROR(INDEX(Insumos!$B$2:$B$151,MATCH($C587,Insumos!$A$2:$A$151,0)),"Código no cargado"))</f>
        <v/>
      </c>
      <c r="E587" s="21">
        <f>IF($C587="","",IFERROR(INDEX(Insumos!$C$2:$C$151,MATCH($C587,Insumos!$A$2:$A$151,0)),""))</f>
        <v/>
      </c>
      <c r="F587" s="21">
        <f>IF($C587="","",IFERROR(INDEX(Insumos!$D$2:$D$151,MATCH($C587,Insumos!$A$2:$A$151,0)),""))</f>
        <v/>
      </c>
      <c r="G587" s="18" t="n"/>
      <c r="H587" s="19">
        <f>IF(OR($A587="",$C587=""),"",IFERROR(INDEX(Insumos!$M$2:$S$151,MATCH($C587,Insumos!$A$2:$A$151,0),WEEKDAY($A587,2)),""))</f>
        <v/>
      </c>
      <c r="I587" s="19">
        <f>IF(OR($G587="",$H587=""),"",MAX(0,$H587-$G587))</f>
        <v/>
      </c>
      <c r="J587" s="21">
        <f>IF($I587="","",IF($I587=0,"OK",IF($G587&lt;=0,"Sin stock: pedir ya","Pedir o producir")))</f>
        <v/>
      </c>
      <c r="K587" s="17" t="n"/>
      <c r="L587" s="17" t="n"/>
      <c r="M587" s="21">
        <f>IF(OR($A587="",$A587&lt;&gt;'Lista para pedir'!$C$3,N($I587)&lt;=0),"",COUNTIFS($A$2:$A587,$A587,$I$2:$I587,"&gt;0"))</f>
        <v/>
      </c>
    </row>
    <row r="588">
      <c r="A588" s="20" t="n"/>
      <c r="B588" s="21">
        <f>IF($A588="","",CHOOSE(WEEKDAY($A588,2),"Lunes","Martes","Miércoles","Jueves","Viernes","Sábado","Domingo"))</f>
        <v/>
      </c>
      <c r="C588" s="17" t="n"/>
      <c r="D588" s="21">
        <f>IF($C588="","",IFERROR(INDEX(Insumos!$B$2:$B$151,MATCH($C588,Insumos!$A$2:$A$151,0)),"Código no cargado"))</f>
        <v/>
      </c>
      <c r="E588" s="21">
        <f>IF($C588="","",IFERROR(INDEX(Insumos!$C$2:$C$151,MATCH($C588,Insumos!$A$2:$A$151,0)),""))</f>
        <v/>
      </c>
      <c r="F588" s="21">
        <f>IF($C588="","",IFERROR(INDEX(Insumos!$D$2:$D$151,MATCH($C588,Insumos!$A$2:$A$151,0)),""))</f>
        <v/>
      </c>
      <c r="G588" s="18" t="n"/>
      <c r="H588" s="19">
        <f>IF(OR($A588="",$C588=""),"",IFERROR(INDEX(Insumos!$M$2:$S$151,MATCH($C588,Insumos!$A$2:$A$151,0),WEEKDAY($A588,2)),""))</f>
        <v/>
      </c>
      <c r="I588" s="19">
        <f>IF(OR($G588="",$H588=""),"",MAX(0,$H588-$G588))</f>
        <v/>
      </c>
      <c r="J588" s="21">
        <f>IF($I588="","",IF($I588=0,"OK",IF($G588&lt;=0,"Sin stock: pedir ya","Pedir o producir")))</f>
        <v/>
      </c>
      <c r="K588" s="17" t="n"/>
      <c r="L588" s="17" t="n"/>
      <c r="M588" s="21">
        <f>IF(OR($A588="",$A588&lt;&gt;'Lista para pedir'!$C$3,N($I588)&lt;=0),"",COUNTIFS($A$2:$A588,$A588,$I$2:$I588,"&gt;0"))</f>
        <v/>
      </c>
    </row>
    <row r="589">
      <c r="A589" s="20" t="n"/>
      <c r="B589" s="21">
        <f>IF($A589="","",CHOOSE(WEEKDAY($A589,2),"Lunes","Martes","Miércoles","Jueves","Viernes","Sábado","Domingo"))</f>
        <v/>
      </c>
      <c r="C589" s="17" t="n"/>
      <c r="D589" s="21">
        <f>IF($C589="","",IFERROR(INDEX(Insumos!$B$2:$B$151,MATCH($C589,Insumos!$A$2:$A$151,0)),"Código no cargado"))</f>
        <v/>
      </c>
      <c r="E589" s="21">
        <f>IF($C589="","",IFERROR(INDEX(Insumos!$C$2:$C$151,MATCH($C589,Insumos!$A$2:$A$151,0)),""))</f>
        <v/>
      </c>
      <c r="F589" s="21">
        <f>IF($C589="","",IFERROR(INDEX(Insumos!$D$2:$D$151,MATCH($C589,Insumos!$A$2:$A$151,0)),""))</f>
        <v/>
      </c>
      <c r="G589" s="18" t="n"/>
      <c r="H589" s="19">
        <f>IF(OR($A589="",$C589=""),"",IFERROR(INDEX(Insumos!$M$2:$S$151,MATCH($C589,Insumos!$A$2:$A$151,0),WEEKDAY($A589,2)),""))</f>
        <v/>
      </c>
      <c r="I589" s="19">
        <f>IF(OR($G589="",$H589=""),"",MAX(0,$H589-$G589))</f>
        <v/>
      </c>
      <c r="J589" s="21">
        <f>IF($I589="","",IF($I589=0,"OK",IF($G589&lt;=0,"Sin stock: pedir ya","Pedir o producir")))</f>
        <v/>
      </c>
      <c r="K589" s="17" t="n"/>
      <c r="L589" s="17" t="n"/>
      <c r="M589" s="21">
        <f>IF(OR($A589="",$A589&lt;&gt;'Lista para pedir'!$C$3,N($I589)&lt;=0),"",COUNTIFS($A$2:$A589,$A589,$I$2:$I589,"&gt;0"))</f>
        <v/>
      </c>
    </row>
    <row r="590">
      <c r="A590" s="20" t="n"/>
      <c r="B590" s="21">
        <f>IF($A590="","",CHOOSE(WEEKDAY($A590,2),"Lunes","Martes","Miércoles","Jueves","Viernes","Sábado","Domingo"))</f>
        <v/>
      </c>
      <c r="C590" s="17" t="n"/>
      <c r="D590" s="21">
        <f>IF($C590="","",IFERROR(INDEX(Insumos!$B$2:$B$151,MATCH($C590,Insumos!$A$2:$A$151,0)),"Código no cargado"))</f>
        <v/>
      </c>
      <c r="E590" s="21">
        <f>IF($C590="","",IFERROR(INDEX(Insumos!$C$2:$C$151,MATCH($C590,Insumos!$A$2:$A$151,0)),""))</f>
        <v/>
      </c>
      <c r="F590" s="21">
        <f>IF($C590="","",IFERROR(INDEX(Insumos!$D$2:$D$151,MATCH($C590,Insumos!$A$2:$A$151,0)),""))</f>
        <v/>
      </c>
      <c r="G590" s="18" t="n"/>
      <c r="H590" s="19">
        <f>IF(OR($A590="",$C590=""),"",IFERROR(INDEX(Insumos!$M$2:$S$151,MATCH($C590,Insumos!$A$2:$A$151,0),WEEKDAY($A590,2)),""))</f>
        <v/>
      </c>
      <c r="I590" s="19">
        <f>IF(OR($G590="",$H590=""),"",MAX(0,$H590-$G590))</f>
        <v/>
      </c>
      <c r="J590" s="21">
        <f>IF($I590="","",IF($I590=0,"OK",IF($G590&lt;=0,"Sin stock: pedir ya","Pedir o producir")))</f>
        <v/>
      </c>
      <c r="K590" s="17" t="n"/>
      <c r="L590" s="17" t="n"/>
      <c r="M590" s="21">
        <f>IF(OR($A590="",$A590&lt;&gt;'Lista para pedir'!$C$3,N($I590)&lt;=0),"",COUNTIFS($A$2:$A590,$A590,$I$2:$I590,"&gt;0"))</f>
        <v/>
      </c>
    </row>
    <row r="591">
      <c r="A591" s="20" t="n"/>
      <c r="B591" s="21">
        <f>IF($A591="","",CHOOSE(WEEKDAY($A591,2),"Lunes","Martes","Miércoles","Jueves","Viernes","Sábado","Domingo"))</f>
        <v/>
      </c>
      <c r="C591" s="17" t="n"/>
      <c r="D591" s="21">
        <f>IF($C591="","",IFERROR(INDEX(Insumos!$B$2:$B$151,MATCH($C591,Insumos!$A$2:$A$151,0)),"Código no cargado"))</f>
        <v/>
      </c>
      <c r="E591" s="21">
        <f>IF($C591="","",IFERROR(INDEX(Insumos!$C$2:$C$151,MATCH($C591,Insumos!$A$2:$A$151,0)),""))</f>
        <v/>
      </c>
      <c r="F591" s="21">
        <f>IF($C591="","",IFERROR(INDEX(Insumos!$D$2:$D$151,MATCH($C591,Insumos!$A$2:$A$151,0)),""))</f>
        <v/>
      </c>
      <c r="G591" s="18" t="n"/>
      <c r="H591" s="19">
        <f>IF(OR($A591="",$C591=""),"",IFERROR(INDEX(Insumos!$M$2:$S$151,MATCH($C591,Insumos!$A$2:$A$151,0),WEEKDAY($A591,2)),""))</f>
        <v/>
      </c>
      <c r="I591" s="19">
        <f>IF(OR($G591="",$H591=""),"",MAX(0,$H591-$G591))</f>
        <v/>
      </c>
      <c r="J591" s="21">
        <f>IF($I591="","",IF($I591=0,"OK",IF($G591&lt;=0,"Sin stock: pedir ya","Pedir o producir")))</f>
        <v/>
      </c>
      <c r="K591" s="17" t="n"/>
      <c r="L591" s="17" t="n"/>
      <c r="M591" s="21">
        <f>IF(OR($A591="",$A591&lt;&gt;'Lista para pedir'!$C$3,N($I591)&lt;=0),"",COUNTIFS($A$2:$A591,$A591,$I$2:$I591,"&gt;0"))</f>
        <v/>
      </c>
    </row>
    <row r="592">
      <c r="A592" s="20" t="n"/>
      <c r="B592" s="21">
        <f>IF($A592="","",CHOOSE(WEEKDAY($A592,2),"Lunes","Martes","Miércoles","Jueves","Viernes","Sábado","Domingo"))</f>
        <v/>
      </c>
      <c r="C592" s="17" t="n"/>
      <c r="D592" s="21">
        <f>IF($C592="","",IFERROR(INDEX(Insumos!$B$2:$B$151,MATCH($C592,Insumos!$A$2:$A$151,0)),"Código no cargado"))</f>
        <v/>
      </c>
      <c r="E592" s="21">
        <f>IF($C592="","",IFERROR(INDEX(Insumos!$C$2:$C$151,MATCH($C592,Insumos!$A$2:$A$151,0)),""))</f>
        <v/>
      </c>
      <c r="F592" s="21">
        <f>IF($C592="","",IFERROR(INDEX(Insumos!$D$2:$D$151,MATCH($C592,Insumos!$A$2:$A$151,0)),""))</f>
        <v/>
      </c>
      <c r="G592" s="18" t="n"/>
      <c r="H592" s="19">
        <f>IF(OR($A592="",$C592=""),"",IFERROR(INDEX(Insumos!$M$2:$S$151,MATCH($C592,Insumos!$A$2:$A$151,0),WEEKDAY($A592,2)),""))</f>
        <v/>
      </c>
      <c r="I592" s="19">
        <f>IF(OR($G592="",$H592=""),"",MAX(0,$H592-$G592))</f>
        <v/>
      </c>
      <c r="J592" s="21">
        <f>IF($I592="","",IF($I592=0,"OK",IF($G592&lt;=0,"Sin stock: pedir ya","Pedir o producir")))</f>
        <v/>
      </c>
      <c r="K592" s="17" t="n"/>
      <c r="L592" s="17" t="n"/>
      <c r="M592" s="21">
        <f>IF(OR($A592="",$A592&lt;&gt;'Lista para pedir'!$C$3,N($I592)&lt;=0),"",COUNTIFS($A$2:$A592,$A592,$I$2:$I592,"&gt;0"))</f>
        <v/>
      </c>
    </row>
    <row r="593">
      <c r="A593" s="20" t="n"/>
      <c r="B593" s="21">
        <f>IF($A593="","",CHOOSE(WEEKDAY($A593,2),"Lunes","Martes","Miércoles","Jueves","Viernes","Sábado","Domingo"))</f>
        <v/>
      </c>
      <c r="C593" s="17" t="n"/>
      <c r="D593" s="21">
        <f>IF($C593="","",IFERROR(INDEX(Insumos!$B$2:$B$151,MATCH($C593,Insumos!$A$2:$A$151,0)),"Código no cargado"))</f>
        <v/>
      </c>
      <c r="E593" s="21">
        <f>IF($C593="","",IFERROR(INDEX(Insumos!$C$2:$C$151,MATCH($C593,Insumos!$A$2:$A$151,0)),""))</f>
        <v/>
      </c>
      <c r="F593" s="21">
        <f>IF($C593="","",IFERROR(INDEX(Insumos!$D$2:$D$151,MATCH($C593,Insumos!$A$2:$A$151,0)),""))</f>
        <v/>
      </c>
      <c r="G593" s="18" t="n"/>
      <c r="H593" s="19">
        <f>IF(OR($A593="",$C593=""),"",IFERROR(INDEX(Insumos!$M$2:$S$151,MATCH($C593,Insumos!$A$2:$A$151,0),WEEKDAY($A593,2)),""))</f>
        <v/>
      </c>
      <c r="I593" s="19">
        <f>IF(OR($G593="",$H593=""),"",MAX(0,$H593-$G593))</f>
        <v/>
      </c>
      <c r="J593" s="21">
        <f>IF($I593="","",IF($I593=0,"OK",IF($G593&lt;=0,"Sin stock: pedir ya","Pedir o producir")))</f>
        <v/>
      </c>
      <c r="K593" s="17" t="n"/>
      <c r="L593" s="17" t="n"/>
      <c r="M593" s="21">
        <f>IF(OR($A593="",$A593&lt;&gt;'Lista para pedir'!$C$3,N($I593)&lt;=0),"",COUNTIFS($A$2:$A593,$A593,$I$2:$I593,"&gt;0"))</f>
        <v/>
      </c>
    </row>
    <row r="594">
      <c r="A594" s="20" t="n"/>
      <c r="B594" s="21">
        <f>IF($A594="","",CHOOSE(WEEKDAY($A594,2),"Lunes","Martes","Miércoles","Jueves","Viernes","Sábado","Domingo"))</f>
        <v/>
      </c>
      <c r="C594" s="17" t="n"/>
      <c r="D594" s="21">
        <f>IF($C594="","",IFERROR(INDEX(Insumos!$B$2:$B$151,MATCH($C594,Insumos!$A$2:$A$151,0)),"Código no cargado"))</f>
        <v/>
      </c>
      <c r="E594" s="21">
        <f>IF($C594="","",IFERROR(INDEX(Insumos!$C$2:$C$151,MATCH($C594,Insumos!$A$2:$A$151,0)),""))</f>
        <v/>
      </c>
      <c r="F594" s="21">
        <f>IF($C594="","",IFERROR(INDEX(Insumos!$D$2:$D$151,MATCH($C594,Insumos!$A$2:$A$151,0)),""))</f>
        <v/>
      </c>
      <c r="G594" s="18" t="n"/>
      <c r="H594" s="19">
        <f>IF(OR($A594="",$C594=""),"",IFERROR(INDEX(Insumos!$M$2:$S$151,MATCH($C594,Insumos!$A$2:$A$151,0),WEEKDAY($A594,2)),""))</f>
        <v/>
      </c>
      <c r="I594" s="19">
        <f>IF(OR($G594="",$H594=""),"",MAX(0,$H594-$G594))</f>
        <v/>
      </c>
      <c r="J594" s="21">
        <f>IF($I594="","",IF($I594=0,"OK",IF($G594&lt;=0,"Sin stock: pedir ya","Pedir o producir")))</f>
        <v/>
      </c>
      <c r="K594" s="17" t="n"/>
      <c r="L594" s="17" t="n"/>
      <c r="M594" s="21">
        <f>IF(OR($A594="",$A594&lt;&gt;'Lista para pedir'!$C$3,N($I594)&lt;=0),"",COUNTIFS($A$2:$A594,$A594,$I$2:$I594,"&gt;0"))</f>
        <v/>
      </c>
    </row>
    <row r="595">
      <c r="A595" s="20" t="n"/>
      <c r="B595" s="21">
        <f>IF($A595="","",CHOOSE(WEEKDAY($A595,2),"Lunes","Martes","Miércoles","Jueves","Viernes","Sábado","Domingo"))</f>
        <v/>
      </c>
      <c r="C595" s="17" t="n"/>
      <c r="D595" s="21">
        <f>IF($C595="","",IFERROR(INDEX(Insumos!$B$2:$B$151,MATCH($C595,Insumos!$A$2:$A$151,0)),"Código no cargado"))</f>
        <v/>
      </c>
      <c r="E595" s="21">
        <f>IF($C595="","",IFERROR(INDEX(Insumos!$C$2:$C$151,MATCH($C595,Insumos!$A$2:$A$151,0)),""))</f>
        <v/>
      </c>
      <c r="F595" s="21">
        <f>IF($C595="","",IFERROR(INDEX(Insumos!$D$2:$D$151,MATCH($C595,Insumos!$A$2:$A$151,0)),""))</f>
        <v/>
      </c>
      <c r="G595" s="18" t="n"/>
      <c r="H595" s="19">
        <f>IF(OR($A595="",$C595=""),"",IFERROR(INDEX(Insumos!$M$2:$S$151,MATCH($C595,Insumos!$A$2:$A$151,0),WEEKDAY($A595,2)),""))</f>
        <v/>
      </c>
      <c r="I595" s="19">
        <f>IF(OR($G595="",$H595=""),"",MAX(0,$H595-$G595))</f>
        <v/>
      </c>
      <c r="J595" s="21">
        <f>IF($I595="","",IF($I595=0,"OK",IF($G595&lt;=0,"Sin stock: pedir ya","Pedir o producir")))</f>
        <v/>
      </c>
      <c r="K595" s="17" t="n"/>
      <c r="L595" s="17" t="n"/>
      <c r="M595" s="21">
        <f>IF(OR($A595="",$A595&lt;&gt;'Lista para pedir'!$C$3,N($I595)&lt;=0),"",COUNTIFS($A$2:$A595,$A595,$I$2:$I595,"&gt;0"))</f>
        <v/>
      </c>
    </row>
    <row r="596">
      <c r="A596" s="20" t="n"/>
      <c r="B596" s="21">
        <f>IF($A596="","",CHOOSE(WEEKDAY($A596,2),"Lunes","Martes","Miércoles","Jueves","Viernes","Sábado","Domingo"))</f>
        <v/>
      </c>
      <c r="C596" s="17" t="n"/>
      <c r="D596" s="21">
        <f>IF($C596="","",IFERROR(INDEX(Insumos!$B$2:$B$151,MATCH($C596,Insumos!$A$2:$A$151,0)),"Código no cargado"))</f>
        <v/>
      </c>
      <c r="E596" s="21">
        <f>IF($C596="","",IFERROR(INDEX(Insumos!$C$2:$C$151,MATCH($C596,Insumos!$A$2:$A$151,0)),""))</f>
        <v/>
      </c>
      <c r="F596" s="21">
        <f>IF($C596="","",IFERROR(INDEX(Insumos!$D$2:$D$151,MATCH($C596,Insumos!$A$2:$A$151,0)),""))</f>
        <v/>
      </c>
      <c r="G596" s="18" t="n"/>
      <c r="H596" s="19">
        <f>IF(OR($A596="",$C596=""),"",IFERROR(INDEX(Insumos!$M$2:$S$151,MATCH($C596,Insumos!$A$2:$A$151,0),WEEKDAY($A596,2)),""))</f>
        <v/>
      </c>
      <c r="I596" s="19">
        <f>IF(OR($G596="",$H596=""),"",MAX(0,$H596-$G596))</f>
        <v/>
      </c>
      <c r="J596" s="21">
        <f>IF($I596="","",IF($I596=0,"OK",IF($G596&lt;=0,"Sin stock: pedir ya","Pedir o producir")))</f>
        <v/>
      </c>
      <c r="K596" s="17" t="n"/>
      <c r="L596" s="17" t="n"/>
      <c r="M596" s="21">
        <f>IF(OR($A596="",$A596&lt;&gt;'Lista para pedir'!$C$3,N($I596)&lt;=0),"",COUNTIFS($A$2:$A596,$A596,$I$2:$I596,"&gt;0"))</f>
        <v/>
      </c>
    </row>
    <row r="597">
      <c r="A597" s="20" t="n"/>
      <c r="B597" s="21">
        <f>IF($A597="","",CHOOSE(WEEKDAY($A597,2),"Lunes","Martes","Miércoles","Jueves","Viernes","Sábado","Domingo"))</f>
        <v/>
      </c>
      <c r="C597" s="17" t="n"/>
      <c r="D597" s="21">
        <f>IF($C597="","",IFERROR(INDEX(Insumos!$B$2:$B$151,MATCH($C597,Insumos!$A$2:$A$151,0)),"Código no cargado"))</f>
        <v/>
      </c>
      <c r="E597" s="21">
        <f>IF($C597="","",IFERROR(INDEX(Insumos!$C$2:$C$151,MATCH($C597,Insumos!$A$2:$A$151,0)),""))</f>
        <v/>
      </c>
      <c r="F597" s="21">
        <f>IF($C597="","",IFERROR(INDEX(Insumos!$D$2:$D$151,MATCH($C597,Insumos!$A$2:$A$151,0)),""))</f>
        <v/>
      </c>
      <c r="G597" s="18" t="n"/>
      <c r="H597" s="19">
        <f>IF(OR($A597="",$C597=""),"",IFERROR(INDEX(Insumos!$M$2:$S$151,MATCH($C597,Insumos!$A$2:$A$151,0),WEEKDAY($A597,2)),""))</f>
        <v/>
      </c>
      <c r="I597" s="19">
        <f>IF(OR($G597="",$H597=""),"",MAX(0,$H597-$G597))</f>
        <v/>
      </c>
      <c r="J597" s="21">
        <f>IF($I597="","",IF($I597=0,"OK",IF($G597&lt;=0,"Sin stock: pedir ya","Pedir o producir")))</f>
        <v/>
      </c>
      <c r="K597" s="17" t="n"/>
      <c r="L597" s="17" t="n"/>
      <c r="M597" s="21">
        <f>IF(OR($A597="",$A597&lt;&gt;'Lista para pedir'!$C$3,N($I597)&lt;=0),"",COUNTIFS($A$2:$A597,$A597,$I$2:$I597,"&gt;0"))</f>
        <v/>
      </c>
    </row>
    <row r="598">
      <c r="A598" s="20" t="n"/>
      <c r="B598" s="21">
        <f>IF($A598="","",CHOOSE(WEEKDAY($A598,2),"Lunes","Martes","Miércoles","Jueves","Viernes","Sábado","Domingo"))</f>
        <v/>
      </c>
      <c r="C598" s="17" t="n"/>
      <c r="D598" s="21">
        <f>IF($C598="","",IFERROR(INDEX(Insumos!$B$2:$B$151,MATCH($C598,Insumos!$A$2:$A$151,0)),"Código no cargado"))</f>
        <v/>
      </c>
      <c r="E598" s="21">
        <f>IF($C598="","",IFERROR(INDEX(Insumos!$C$2:$C$151,MATCH($C598,Insumos!$A$2:$A$151,0)),""))</f>
        <v/>
      </c>
      <c r="F598" s="21">
        <f>IF($C598="","",IFERROR(INDEX(Insumos!$D$2:$D$151,MATCH($C598,Insumos!$A$2:$A$151,0)),""))</f>
        <v/>
      </c>
      <c r="G598" s="18" t="n"/>
      <c r="H598" s="19">
        <f>IF(OR($A598="",$C598=""),"",IFERROR(INDEX(Insumos!$M$2:$S$151,MATCH($C598,Insumos!$A$2:$A$151,0),WEEKDAY($A598,2)),""))</f>
        <v/>
      </c>
      <c r="I598" s="19">
        <f>IF(OR($G598="",$H598=""),"",MAX(0,$H598-$G598))</f>
        <v/>
      </c>
      <c r="J598" s="21">
        <f>IF($I598="","",IF($I598=0,"OK",IF($G598&lt;=0,"Sin stock: pedir ya","Pedir o producir")))</f>
        <v/>
      </c>
      <c r="K598" s="17" t="n"/>
      <c r="L598" s="17" t="n"/>
      <c r="M598" s="21">
        <f>IF(OR($A598="",$A598&lt;&gt;'Lista para pedir'!$C$3,N($I598)&lt;=0),"",COUNTIFS($A$2:$A598,$A598,$I$2:$I598,"&gt;0"))</f>
        <v/>
      </c>
    </row>
    <row r="599">
      <c r="A599" s="20" t="n"/>
      <c r="B599" s="21">
        <f>IF($A599="","",CHOOSE(WEEKDAY($A599,2),"Lunes","Martes","Miércoles","Jueves","Viernes","Sábado","Domingo"))</f>
        <v/>
      </c>
      <c r="C599" s="17" t="n"/>
      <c r="D599" s="21">
        <f>IF($C599="","",IFERROR(INDEX(Insumos!$B$2:$B$151,MATCH($C599,Insumos!$A$2:$A$151,0)),"Código no cargado"))</f>
        <v/>
      </c>
      <c r="E599" s="21">
        <f>IF($C599="","",IFERROR(INDEX(Insumos!$C$2:$C$151,MATCH($C599,Insumos!$A$2:$A$151,0)),""))</f>
        <v/>
      </c>
      <c r="F599" s="21">
        <f>IF($C599="","",IFERROR(INDEX(Insumos!$D$2:$D$151,MATCH($C599,Insumos!$A$2:$A$151,0)),""))</f>
        <v/>
      </c>
      <c r="G599" s="18" t="n"/>
      <c r="H599" s="19">
        <f>IF(OR($A599="",$C599=""),"",IFERROR(INDEX(Insumos!$M$2:$S$151,MATCH($C599,Insumos!$A$2:$A$151,0),WEEKDAY($A599,2)),""))</f>
        <v/>
      </c>
      <c r="I599" s="19">
        <f>IF(OR($G599="",$H599=""),"",MAX(0,$H599-$G599))</f>
        <v/>
      </c>
      <c r="J599" s="21">
        <f>IF($I599="","",IF($I599=0,"OK",IF($G599&lt;=0,"Sin stock: pedir ya","Pedir o producir")))</f>
        <v/>
      </c>
      <c r="K599" s="17" t="n"/>
      <c r="L599" s="17" t="n"/>
      <c r="M599" s="21">
        <f>IF(OR($A599="",$A599&lt;&gt;'Lista para pedir'!$C$3,N($I599)&lt;=0),"",COUNTIFS($A$2:$A599,$A599,$I$2:$I599,"&gt;0"))</f>
        <v/>
      </c>
    </row>
    <row r="600">
      <c r="A600" s="20" t="n"/>
      <c r="B600" s="21">
        <f>IF($A600="","",CHOOSE(WEEKDAY($A600,2),"Lunes","Martes","Miércoles","Jueves","Viernes","Sábado","Domingo"))</f>
        <v/>
      </c>
      <c r="C600" s="17" t="n"/>
      <c r="D600" s="21">
        <f>IF($C600="","",IFERROR(INDEX(Insumos!$B$2:$B$151,MATCH($C600,Insumos!$A$2:$A$151,0)),"Código no cargado"))</f>
        <v/>
      </c>
      <c r="E600" s="21">
        <f>IF($C600="","",IFERROR(INDEX(Insumos!$C$2:$C$151,MATCH($C600,Insumos!$A$2:$A$151,0)),""))</f>
        <v/>
      </c>
      <c r="F600" s="21">
        <f>IF($C600="","",IFERROR(INDEX(Insumos!$D$2:$D$151,MATCH($C600,Insumos!$A$2:$A$151,0)),""))</f>
        <v/>
      </c>
      <c r="G600" s="18" t="n"/>
      <c r="H600" s="19">
        <f>IF(OR($A600="",$C600=""),"",IFERROR(INDEX(Insumos!$M$2:$S$151,MATCH($C600,Insumos!$A$2:$A$151,0),WEEKDAY($A600,2)),""))</f>
        <v/>
      </c>
      <c r="I600" s="19">
        <f>IF(OR($G600="",$H600=""),"",MAX(0,$H600-$G600))</f>
        <v/>
      </c>
      <c r="J600" s="21">
        <f>IF($I600="","",IF($I600=0,"OK",IF($G600&lt;=0,"Sin stock: pedir ya","Pedir o producir")))</f>
        <v/>
      </c>
      <c r="K600" s="17" t="n"/>
      <c r="L600" s="17" t="n"/>
      <c r="M600" s="21">
        <f>IF(OR($A600="",$A600&lt;&gt;'Lista para pedir'!$C$3,N($I600)&lt;=0),"",COUNTIFS($A$2:$A600,$A600,$I$2:$I600,"&gt;0"))</f>
        <v/>
      </c>
    </row>
    <row r="601">
      <c r="A601" s="20" t="n"/>
      <c r="B601" s="21">
        <f>IF($A601="","",CHOOSE(WEEKDAY($A601,2),"Lunes","Martes","Miércoles","Jueves","Viernes","Sábado","Domingo"))</f>
        <v/>
      </c>
      <c r="C601" s="17" t="n"/>
      <c r="D601" s="21">
        <f>IF($C601="","",IFERROR(INDEX(Insumos!$B$2:$B$151,MATCH($C601,Insumos!$A$2:$A$151,0)),"Código no cargado"))</f>
        <v/>
      </c>
      <c r="E601" s="21">
        <f>IF($C601="","",IFERROR(INDEX(Insumos!$C$2:$C$151,MATCH($C601,Insumos!$A$2:$A$151,0)),""))</f>
        <v/>
      </c>
      <c r="F601" s="21">
        <f>IF($C601="","",IFERROR(INDEX(Insumos!$D$2:$D$151,MATCH($C601,Insumos!$A$2:$A$151,0)),""))</f>
        <v/>
      </c>
      <c r="G601" s="18" t="n"/>
      <c r="H601" s="19">
        <f>IF(OR($A601="",$C601=""),"",IFERROR(INDEX(Insumos!$M$2:$S$151,MATCH($C601,Insumos!$A$2:$A$151,0),WEEKDAY($A601,2)),""))</f>
        <v/>
      </c>
      <c r="I601" s="19">
        <f>IF(OR($G601="",$H601=""),"",MAX(0,$H601-$G601))</f>
        <v/>
      </c>
      <c r="J601" s="21">
        <f>IF($I601="","",IF($I601=0,"OK",IF($G601&lt;=0,"Sin stock: pedir ya","Pedir o producir")))</f>
        <v/>
      </c>
      <c r="K601" s="17" t="n"/>
      <c r="L601" s="17" t="n"/>
      <c r="M601" s="21">
        <f>IF(OR($A601="",$A601&lt;&gt;'Lista para pedir'!$C$3,N($I601)&lt;=0),"",COUNTIFS($A$2:$A601,$A601,$I$2:$I601,"&gt;0"))</f>
        <v/>
      </c>
    </row>
    <row r="602">
      <c r="A602" s="20" t="n"/>
      <c r="B602" s="21">
        <f>IF($A602="","",CHOOSE(WEEKDAY($A602,2),"Lunes","Martes","Miércoles","Jueves","Viernes","Sábado","Domingo"))</f>
        <v/>
      </c>
      <c r="C602" s="17" t="n"/>
      <c r="D602" s="21">
        <f>IF($C602="","",IFERROR(INDEX(Insumos!$B$2:$B$151,MATCH($C602,Insumos!$A$2:$A$151,0)),"Código no cargado"))</f>
        <v/>
      </c>
      <c r="E602" s="21">
        <f>IF($C602="","",IFERROR(INDEX(Insumos!$C$2:$C$151,MATCH($C602,Insumos!$A$2:$A$151,0)),""))</f>
        <v/>
      </c>
      <c r="F602" s="21">
        <f>IF($C602="","",IFERROR(INDEX(Insumos!$D$2:$D$151,MATCH($C602,Insumos!$A$2:$A$151,0)),""))</f>
        <v/>
      </c>
      <c r="G602" s="18" t="n"/>
      <c r="H602" s="19">
        <f>IF(OR($A602="",$C602=""),"",IFERROR(INDEX(Insumos!$M$2:$S$151,MATCH($C602,Insumos!$A$2:$A$151,0),WEEKDAY($A602,2)),""))</f>
        <v/>
      </c>
      <c r="I602" s="19">
        <f>IF(OR($G602="",$H602=""),"",MAX(0,$H602-$G602))</f>
        <v/>
      </c>
      <c r="J602" s="21">
        <f>IF($I602="","",IF($I602=0,"OK",IF($G602&lt;=0,"Sin stock: pedir ya","Pedir o producir")))</f>
        <v/>
      </c>
      <c r="K602" s="17" t="n"/>
      <c r="L602" s="17" t="n"/>
      <c r="M602" s="21">
        <f>IF(OR($A602="",$A602&lt;&gt;'Lista para pedir'!$C$3,N($I602)&lt;=0),"",COUNTIFS($A$2:$A602,$A602,$I$2:$I602,"&gt;0"))</f>
        <v/>
      </c>
    </row>
    <row r="603">
      <c r="A603" s="20" t="n"/>
      <c r="B603" s="21">
        <f>IF($A603="","",CHOOSE(WEEKDAY($A603,2),"Lunes","Martes","Miércoles","Jueves","Viernes","Sábado","Domingo"))</f>
        <v/>
      </c>
      <c r="C603" s="17" t="n"/>
      <c r="D603" s="21">
        <f>IF($C603="","",IFERROR(INDEX(Insumos!$B$2:$B$151,MATCH($C603,Insumos!$A$2:$A$151,0)),"Código no cargado"))</f>
        <v/>
      </c>
      <c r="E603" s="21">
        <f>IF($C603="","",IFERROR(INDEX(Insumos!$C$2:$C$151,MATCH($C603,Insumos!$A$2:$A$151,0)),""))</f>
        <v/>
      </c>
      <c r="F603" s="21">
        <f>IF($C603="","",IFERROR(INDEX(Insumos!$D$2:$D$151,MATCH($C603,Insumos!$A$2:$A$151,0)),""))</f>
        <v/>
      </c>
      <c r="G603" s="18" t="n"/>
      <c r="H603" s="19">
        <f>IF(OR($A603="",$C603=""),"",IFERROR(INDEX(Insumos!$M$2:$S$151,MATCH($C603,Insumos!$A$2:$A$151,0),WEEKDAY($A603,2)),""))</f>
        <v/>
      </c>
      <c r="I603" s="19">
        <f>IF(OR($G603="",$H603=""),"",MAX(0,$H603-$G603))</f>
        <v/>
      </c>
      <c r="J603" s="21">
        <f>IF($I603="","",IF($I603=0,"OK",IF($G603&lt;=0,"Sin stock: pedir ya","Pedir o producir")))</f>
        <v/>
      </c>
      <c r="K603" s="17" t="n"/>
      <c r="L603" s="17" t="n"/>
      <c r="M603" s="21">
        <f>IF(OR($A603="",$A603&lt;&gt;'Lista para pedir'!$C$3,N($I603)&lt;=0),"",COUNTIFS($A$2:$A603,$A603,$I$2:$I603,"&gt;0"))</f>
        <v/>
      </c>
    </row>
    <row r="604">
      <c r="A604" s="20" t="n"/>
      <c r="B604" s="21">
        <f>IF($A604="","",CHOOSE(WEEKDAY($A604,2),"Lunes","Martes","Miércoles","Jueves","Viernes","Sábado","Domingo"))</f>
        <v/>
      </c>
      <c r="C604" s="17" t="n"/>
      <c r="D604" s="21">
        <f>IF($C604="","",IFERROR(INDEX(Insumos!$B$2:$B$151,MATCH($C604,Insumos!$A$2:$A$151,0)),"Código no cargado"))</f>
        <v/>
      </c>
      <c r="E604" s="21">
        <f>IF($C604="","",IFERROR(INDEX(Insumos!$C$2:$C$151,MATCH($C604,Insumos!$A$2:$A$151,0)),""))</f>
        <v/>
      </c>
      <c r="F604" s="21">
        <f>IF($C604="","",IFERROR(INDEX(Insumos!$D$2:$D$151,MATCH($C604,Insumos!$A$2:$A$151,0)),""))</f>
        <v/>
      </c>
      <c r="G604" s="18" t="n"/>
      <c r="H604" s="19">
        <f>IF(OR($A604="",$C604=""),"",IFERROR(INDEX(Insumos!$M$2:$S$151,MATCH($C604,Insumos!$A$2:$A$151,0),WEEKDAY($A604,2)),""))</f>
        <v/>
      </c>
      <c r="I604" s="19">
        <f>IF(OR($G604="",$H604=""),"",MAX(0,$H604-$G604))</f>
        <v/>
      </c>
      <c r="J604" s="21">
        <f>IF($I604="","",IF($I604=0,"OK",IF($G604&lt;=0,"Sin stock: pedir ya","Pedir o producir")))</f>
        <v/>
      </c>
      <c r="K604" s="17" t="n"/>
      <c r="L604" s="17" t="n"/>
      <c r="M604" s="21">
        <f>IF(OR($A604="",$A604&lt;&gt;'Lista para pedir'!$C$3,N($I604)&lt;=0),"",COUNTIFS($A$2:$A604,$A604,$I$2:$I604,"&gt;0"))</f>
        <v/>
      </c>
    </row>
    <row r="605">
      <c r="A605" s="20" t="n"/>
      <c r="B605" s="21">
        <f>IF($A605="","",CHOOSE(WEEKDAY($A605,2),"Lunes","Martes","Miércoles","Jueves","Viernes","Sábado","Domingo"))</f>
        <v/>
      </c>
      <c r="C605" s="17" t="n"/>
      <c r="D605" s="21">
        <f>IF($C605="","",IFERROR(INDEX(Insumos!$B$2:$B$151,MATCH($C605,Insumos!$A$2:$A$151,0)),"Código no cargado"))</f>
        <v/>
      </c>
      <c r="E605" s="21">
        <f>IF($C605="","",IFERROR(INDEX(Insumos!$C$2:$C$151,MATCH($C605,Insumos!$A$2:$A$151,0)),""))</f>
        <v/>
      </c>
      <c r="F605" s="21">
        <f>IF($C605="","",IFERROR(INDEX(Insumos!$D$2:$D$151,MATCH($C605,Insumos!$A$2:$A$151,0)),""))</f>
        <v/>
      </c>
      <c r="G605" s="18" t="n"/>
      <c r="H605" s="19">
        <f>IF(OR($A605="",$C605=""),"",IFERROR(INDEX(Insumos!$M$2:$S$151,MATCH($C605,Insumos!$A$2:$A$151,0),WEEKDAY($A605,2)),""))</f>
        <v/>
      </c>
      <c r="I605" s="19">
        <f>IF(OR($G605="",$H605=""),"",MAX(0,$H605-$G605))</f>
        <v/>
      </c>
      <c r="J605" s="21">
        <f>IF($I605="","",IF($I605=0,"OK",IF($G605&lt;=0,"Sin stock: pedir ya","Pedir o producir")))</f>
        <v/>
      </c>
      <c r="K605" s="17" t="n"/>
      <c r="L605" s="17" t="n"/>
      <c r="M605" s="21">
        <f>IF(OR($A605="",$A605&lt;&gt;'Lista para pedir'!$C$3,N($I605)&lt;=0),"",COUNTIFS($A$2:$A605,$A605,$I$2:$I605,"&gt;0"))</f>
        <v/>
      </c>
    </row>
    <row r="606">
      <c r="A606" s="20" t="n"/>
      <c r="B606" s="21">
        <f>IF($A606="","",CHOOSE(WEEKDAY($A606,2),"Lunes","Martes","Miércoles","Jueves","Viernes","Sábado","Domingo"))</f>
        <v/>
      </c>
      <c r="C606" s="17" t="n"/>
      <c r="D606" s="21">
        <f>IF($C606="","",IFERROR(INDEX(Insumos!$B$2:$B$151,MATCH($C606,Insumos!$A$2:$A$151,0)),"Código no cargado"))</f>
        <v/>
      </c>
      <c r="E606" s="21">
        <f>IF($C606="","",IFERROR(INDEX(Insumos!$C$2:$C$151,MATCH($C606,Insumos!$A$2:$A$151,0)),""))</f>
        <v/>
      </c>
      <c r="F606" s="21">
        <f>IF($C606="","",IFERROR(INDEX(Insumos!$D$2:$D$151,MATCH($C606,Insumos!$A$2:$A$151,0)),""))</f>
        <v/>
      </c>
      <c r="G606" s="18" t="n"/>
      <c r="H606" s="19">
        <f>IF(OR($A606="",$C606=""),"",IFERROR(INDEX(Insumos!$M$2:$S$151,MATCH($C606,Insumos!$A$2:$A$151,0),WEEKDAY($A606,2)),""))</f>
        <v/>
      </c>
      <c r="I606" s="19">
        <f>IF(OR($G606="",$H606=""),"",MAX(0,$H606-$G606))</f>
        <v/>
      </c>
      <c r="J606" s="21">
        <f>IF($I606="","",IF($I606=0,"OK",IF($G606&lt;=0,"Sin stock: pedir ya","Pedir o producir")))</f>
        <v/>
      </c>
      <c r="K606" s="17" t="n"/>
      <c r="L606" s="17" t="n"/>
      <c r="M606" s="21">
        <f>IF(OR($A606="",$A606&lt;&gt;'Lista para pedir'!$C$3,N($I606)&lt;=0),"",COUNTIFS($A$2:$A606,$A606,$I$2:$I606,"&gt;0"))</f>
        <v/>
      </c>
    </row>
    <row r="607">
      <c r="A607" s="20" t="n"/>
      <c r="B607" s="21">
        <f>IF($A607="","",CHOOSE(WEEKDAY($A607,2),"Lunes","Martes","Miércoles","Jueves","Viernes","Sábado","Domingo"))</f>
        <v/>
      </c>
      <c r="C607" s="17" t="n"/>
      <c r="D607" s="21">
        <f>IF($C607="","",IFERROR(INDEX(Insumos!$B$2:$B$151,MATCH($C607,Insumos!$A$2:$A$151,0)),"Código no cargado"))</f>
        <v/>
      </c>
      <c r="E607" s="21">
        <f>IF($C607="","",IFERROR(INDEX(Insumos!$C$2:$C$151,MATCH($C607,Insumos!$A$2:$A$151,0)),""))</f>
        <v/>
      </c>
      <c r="F607" s="21">
        <f>IF($C607="","",IFERROR(INDEX(Insumos!$D$2:$D$151,MATCH($C607,Insumos!$A$2:$A$151,0)),""))</f>
        <v/>
      </c>
      <c r="G607" s="18" t="n"/>
      <c r="H607" s="19">
        <f>IF(OR($A607="",$C607=""),"",IFERROR(INDEX(Insumos!$M$2:$S$151,MATCH($C607,Insumos!$A$2:$A$151,0),WEEKDAY($A607,2)),""))</f>
        <v/>
      </c>
      <c r="I607" s="19">
        <f>IF(OR($G607="",$H607=""),"",MAX(0,$H607-$G607))</f>
        <v/>
      </c>
      <c r="J607" s="21">
        <f>IF($I607="","",IF($I607=0,"OK",IF($G607&lt;=0,"Sin stock: pedir ya","Pedir o producir")))</f>
        <v/>
      </c>
      <c r="K607" s="17" t="n"/>
      <c r="L607" s="17" t="n"/>
      <c r="M607" s="21">
        <f>IF(OR($A607="",$A607&lt;&gt;'Lista para pedir'!$C$3,N($I607)&lt;=0),"",COUNTIFS($A$2:$A607,$A607,$I$2:$I607,"&gt;0"))</f>
        <v/>
      </c>
    </row>
    <row r="608">
      <c r="A608" s="20" t="n"/>
      <c r="B608" s="21">
        <f>IF($A608="","",CHOOSE(WEEKDAY($A608,2),"Lunes","Martes","Miércoles","Jueves","Viernes","Sábado","Domingo"))</f>
        <v/>
      </c>
      <c r="C608" s="17" t="n"/>
      <c r="D608" s="21">
        <f>IF($C608="","",IFERROR(INDEX(Insumos!$B$2:$B$151,MATCH($C608,Insumos!$A$2:$A$151,0)),"Código no cargado"))</f>
        <v/>
      </c>
      <c r="E608" s="21">
        <f>IF($C608="","",IFERROR(INDEX(Insumos!$C$2:$C$151,MATCH($C608,Insumos!$A$2:$A$151,0)),""))</f>
        <v/>
      </c>
      <c r="F608" s="21">
        <f>IF($C608="","",IFERROR(INDEX(Insumos!$D$2:$D$151,MATCH($C608,Insumos!$A$2:$A$151,0)),""))</f>
        <v/>
      </c>
      <c r="G608" s="18" t="n"/>
      <c r="H608" s="19">
        <f>IF(OR($A608="",$C608=""),"",IFERROR(INDEX(Insumos!$M$2:$S$151,MATCH($C608,Insumos!$A$2:$A$151,0),WEEKDAY($A608,2)),""))</f>
        <v/>
      </c>
      <c r="I608" s="19">
        <f>IF(OR($G608="",$H608=""),"",MAX(0,$H608-$G608))</f>
        <v/>
      </c>
      <c r="J608" s="21">
        <f>IF($I608="","",IF($I608=0,"OK",IF($G608&lt;=0,"Sin stock: pedir ya","Pedir o producir")))</f>
        <v/>
      </c>
      <c r="K608" s="17" t="n"/>
      <c r="L608" s="17" t="n"/>
      <c r="M608" s="21">
        <f>IF(OR($A608="",$A608&lt;&gt;'Lista para pedir'!$C$3,N($I608)&lt;=0),"",COUNTIFS($A$2:$A608,$A608,$I$2:$I608,"&gt;0"))</f>
        <v/>
      </c>
    </row>
    <row r="609">
      <c r="A609" s="20" t="n"/>
      <c r="B609" s="21">
        <f>IF($A609="","",CHOOSE(WEEKDAY($A609,2),"Lunes","Martes","Miércoles","Jueves","Viernes","Sábado","Domingo"))</f>
        <v/>
      </c>
      <c r="C609" s="17" t="n"/>
      <c r="D609" s="21">
        <f>IF($C609="","",IFERROR(INDEX(Insumos!$B$2:$B$151,MATCH($C609,Insumos!$A$2:$A$151,0)),"Código no cargado"))</f>
        <v/>
      </c>
      <c r="E609" s="21">
        <f>IF($C609="","",IFERROR(INDEX(Insumos!$C$2:$C$151,MATCH($C609,Insumos!$A$2:$A$151,0)),""))</f>
        <v/>
      </c>
      <c r="F609" s="21">
        <f>IF($C609="","",IFERROR(INDEX(Insumos!$D$2:$D$151,MATCH($C609,Insumos!$A$2:$A$151,0)),""))</f>
        <v/>
      </c>
      <c r="G609" s="18" t="n"/>
      <c r="H609" s="19">
        <f>IF(OR($A609="",$C609=""),"",IFERROR(INDEX(Insumos!$M$2:$S$151,MATCH($C609,Insumos!$A$2:$A$151,0),WEEKDAY($A609,2)),""))</f>
        <v/>
      </c>
      <c r="I609" s="19">
        <f>IF(OR($G609="",$H609=""),"",MAX(0,$H609-$G609))</f>
        <v/>
      </c>
      <c r="J609" s="21">
        <f>IF($I609="","",IF($I609=0,"OK",IF($G609&lt;=0,"Sin stock: pedir ya","Pedir o producir")))</f>
        <v/>
      </c>
      <c r="K609" s="17" t="n"/>
      <c r="L609" s="17" t="n"/>
      <c r="M609" s="21">
        <f>IF(OR($A609="",$A609&lt;&gt;'Lista para pedir'!$C$3,N($I609)&lt;=0),"",COUNTIFS($A$2:$A609,$A609,$I$2:$I609,"&gt;0"))</f>
        <v/>
      </c>
    </row>
    <row r="610">
      <c r="A610" s="20" t="n"/>
      <c r="B610" s="21">
        <f>IF($A610="","",CHOOSE(WEEKDAY($A610,2),"Lunes","Martes","Miércoles","Jueves","Viernes","Sábado","Domingo"))</f>
        <v/>
      </c>
      <c r="C610" s="17" t="n"/>
      <c r="D610" s="21">
        <f>IF($C610="","",IFERROR(INDEX(Insumos!$B$2:$B$151,MATCH($C610,Insumos!$A$2:$A$151,0)),"Código no cargado"))</f>
        <v/>
      </c>
      <c r="E610" s="21">
        <f>IF($C610="","",IFERROR(INDEX(Insumos!$C$2:$C$151,MATCH($C610,Insumos!$A$2:$A$151,0)),""))</f>
        <v/>
      </c>
      <c r="F610" s="21">
        <f>IF($C610="","",IFERROR(INDEX(Insumos!$D$2:$D$151,MATCH($C610,Insumos!$A$2:$A$151,0)),""))</f>
        <v/>
      </c>
      <c r="G610" s="18" t="n"/>
      <c r="H610" s="19">
        <f>IF(OR($A610="",$C610=""),"",IFERROR(INDEX(Insumos!$M$2:$S$151,MATCH($C610,Insumos!$A$2:$A$151,0),WEEKDAY($A610,2)),""))</f>
        <v/>
      </c>
      <c r="I610" s="19">
        <f>IF(OR($G610="",$H610=""),"",MAX(0,$H610-$G610))</f>
        <v/>
      </c>
      <c r="J610" s="21">
        <f>IF($I610="","",IF($I610=0,"OK",IF($G610&lt;=0,"Sin stock: pedir ya","Pedir o producir")))</f>
        <v/>
      </c>
      <c r="K610" s="17" t="n"/>
      <c r="L610" s="17" t="n"/>
      <c r="M610" s="21">
        <f>IF(OR($A610="",$A610&lt;&gt;'Lista para pedir'!$C$3,N($I610)&lt;=0),"",COUNTIFS($A$2:$A610,$A610,$I$2:$I610,"&gt;0"))</f>
        <v/>
      </c>
    </row>
    <row r="611">
      <c r="A611" s="20" t="n"/>
      <c r="B611" s="21">
        <f>IF($A611="","",CHOOSE(WEEKDAY($A611,2),"Lunes","Martes","Miércoles","Jueves","Viernes","Sábado","Domingo"))</f>
        <v/>
      </c>
      <c r="C611" s="17" t="n"/>
      <c r="D611" s="21">
        <f>IF($C611="","",IFERROR(INDEX(Insumos!$B$2:$B$151,MATCH($C611,Insumos!$A$2:$A$151,0)),"Código no cargado"))</f>
        <v/>
      </c>
      <c r="E611" s="21">
        <f>IF($C611="","",IFERROR(INDEX(Insumos!$C$2:$C$151,MATCH($C611,Insumos!$A$2:$A$151,0)),""))</f>
        <v/>
      </c>
      <c r="F611" s="21">
        <f>IF($C611="","",IFERROR(INDEX(Insumos!$D$2:$D$151,MATCH($C611,Insumos!$A$2:$A$151,0)),""))</f>
        <v/>
      </c>
      <c r="G611" s="18" t="n"/>
      <c r="H611" s="19">
        <f>IF(OR($A611="",$C611=""),"",IFERROR(INDEX(Insumos!$M$2:$S$151,MATCH($C611,Insumos!$A$2:$A$151,0),WEEKDAY($A611,2)),""))</f>
        <v/>
      </c>
      <c r="I611" s="19">
        <f>IF(OR($G611="",$H611=""),"",MAX(0,$H611-$G611))</f>
        <v/>
      </c>
      <c r="J611" s="21">
        <f>IF($I611="","",IF($I611=0,"OK",IF($G611&lt;=0,"Sin stock: pedir ya","Pedir o producir")))</f>
        <v/>
      </c>
      <c r="K611" s="17" t="n"/>
      <c r="L611" s="17" t="n"/>
      <c r="M611" s="21">
        <f>IF(OR($A611="",$A611&lt;&gt;'Lista para pedir'!$C$3,N($I611)&lt;=0),"",COUNTIFS($A$2:$A611,$A611,$I$2:$I611,"&gt;0"))</f>
        <v/>
      </c>
    </row>
    <row r="612">
      <c r="A612" s="20" t="n"/>
      <c r="B612" s="21">
        <f>IF($A612="","",CHOOSE(WEEKDAY($A612,2),"Lunes","Martes","Miércoles","Jueves","Viernes","Sábado","Domingo"))</f>
        <v/>
      </c>
      <c r="C612" s="17" t="n"/>
      <c r="D612" s="21">
        <f>IF($C612="","",IFERROR(INDEX(Insumos!$B$2:$B$151,MATCH($C612,Insumos!$A$2:$A$151,0)),"Código no cargado"))</f>
        <v/>
      </c>
      <c r="E612" s="21">
        <f>IF($C612="","",IFERROR(INDEX(Insumos!$C$2:$C$151,MATCH($C612,Insumos!$A$2:$A$151,0)),""))</f>
        <v/>
      </c>
      <c r="F612" s="21">
        <f>IF($C612="","",IFERROR(INDEX(Insumos!$D$2:$D$151,MATCH($C612,Insumos!$A$2:$A$151,0)),""))</f>
        <v/>
      </c>
      <c r="G612" s="18" t="n"/>
      <c r="H612" s="19">
        <f>IF(OR($A612="",$C612=""),"",IFERROR(INDEX(Insumos!$M$2:$S$151,MATCH($C612,Insumos!$A$2:$A$151,0),WEEKDAY($A612,2)),""))</f>
        <v/>
      </c>
      <c r="I612" s="19">
        <f>IF(OR($G612="",$H612=""),"",MAX(0,$H612-$G612))</f>
        <v/>
      </c>
      <c r="J612" s="21">
        <f>IF($I612="","",IF($I612=0,"OK",IF($G612&lt;=0,"Sin stock: pedir ya","Pedir o producir")))</f>
        <v/>
      </c>
      <c r="K612" s="17" t="n"/>
      <c r="L612" s="17" t="n"/>
      <c r="M612" s="21">
        <f>IF(OR($A612="",$A612&lt;&gt;'Lista para pedir'!$C$3,N($I612)&lt;=0),"",COUNTIFS($A$2:$A612,$A612,$I$2:$I612,"&gt;0"))</f>
        <v/>
      </c>
    </row>
    <row r="613">
      <c r="A613" s="20" t="n"/>
      <c r="B613" s="21">
        <f>IF($A613="","",CHOOSE(WEEKDAY($A613,2),"Lunes","Martes","Miércoles","Jueves","Viernes","Sábado","Domingo"))</f>
        <v/>
      </c>
      <c r="C613" s="17" t="n"/>
      <c r="D613" s="21">
        <f>IF($C613="","",IFERROR(INDEX(Insumos!$B$2:$B$151,MATCH($C613,Insumos!$A$2:$A$151,0)),"Código no cargado"))</f>
        <v/>
      </c>
      <c r="E613" s="21">
        <f>IF($C613="","",IFERROR(INDEX(Insumos!$C$2:$C$151,MATCH($C613,Insumos!$A$2:$A$151,0)),""))</f>
        <v/>
      </c>
      <c r="F613" s="21">
        <f>IF($C613="","",IFERROR(INDEX(Insumos!$D$2:$D$151,MATCH($C613,Insumos!$A$2:$A$151,0)),""))</f>
        <v/>
      </c>
      <c r="G613" s="18" t="n"/>
      <c r="H613" s="19">
        <f>IF(OR($A613="",$C613=""),"",IFERROR(INDEX(Insumos!$M$2:$S$151,MATCH($C613,Insumos!$A$2:$A$151,0),WEEKDAY($A613,2)),""))</f>
        <v/>
      </c>
      <c r="I613" s="19">
        <f>IF(OR($G613="",$H613=""),"",MAX(0,$H613-$G613))</f>
        <v/>
      </c>
      <c r="J613" s="21">
        <f>IF($I613="","",IF($I613=0,"OK",IF($G613&lt;=0,"Sin stock: pedir ya","Pedir o producir")))</f>
        <v/>
      </c>
      <c r="K613" s="17" t="n"/>
      <c r="L613" s="17" t="n"/>
      <c r="M613" s="21">
        <f>IF(OR($A613="",$A613&lt;&gt;'Lista para pedir'!$C$3,N($I613)&lt;=0),"",COUNTIFS($A$2:$A613,$A613,$I$2:$I613,"&gt;0"))</f>
        <v/>
      </c>
    </row>
    <row r="614">
      <c r="A614" s="20" t="n"/>
      <c r="B614" s="21">
        <f>IF($A614="","",CHOOSE(WEEKDAY($A614,2),"Lunes","Martes","Miércoles","Jueves","Viernes","Sábado","Domingo"))</f>
        <v/>
      </c>
      <c r="C614" s="17" t="n"/>
      <c r="D614" s="21">
        <f>IF($C614="","",IFERROR(INDEX(Insumos!$B$2:$B$151,MATCH($C614,Insumos!$A$2:$A$151,0)),"Código no cargado"))</f>
        <v/>
      </c>
      <c r="E614" s="21">
        <f>IF($C614="","",IFERROR(INDEX(Insumos!$C$2:$C$151,MATCH($C614,Insumos!$A$2:$A$151,0)),""))</f>
        <v/>
      </c>
      <c r="F614" s="21">
        <f>IF($C614="","",IFERROR(INDEX(Insumos!$D$2:$D$151,MATCH($C614,Insumos!$A$2:$A$151,0)),""))</f>
        <v/>
      </c>
      <c r="G614" s="18" t="n"/>
      <c r="H614" s="19">
        <f>IF(OR($A614="",$C614=""),"",IFERROR(INDEX(Insumos!$M$2:$S$151,MATCH($C614,Insumos!$A$2:$A$151,0),WEEKDAY($A614,2)),""))</f>
        <v/>
      </c>
      <c r="I614" s="19">
        <f>IF(OR($G614="",$H614=""),"",MAX(0,$H614-$G614))</f>
        <v/>
      </c>
      <c r="J614" s="21">
        <f>IF($I614="","",IF($I614=0,"OK",IF($G614&lt;=0,"Sin stock: pedir ya","Pedir o producir")))</f>
        <v/>
      </c>
      <c r="K614" s="17" t="n"/>
      <c r="L614" s="17" t="n"/>
      <c r="M614" s="21">
        <f>IF(OR($A614="",$A614&lt;&gt;'Lista para pedir'!$C$3,N($I614)&lt;=0),"",COUNTIFS($A$2:$A614,$A614,$I$2:$I614,"&gt;0"))</f>
        <v/>
      </c>
    </row>
    <row r="615">
      <c r="A615" s="20" t="n"/>
      <c r="B615" s="21">
        <f>IF($A615="","",CHOOSE(WEEKDAY($A615,2),"Lunes","Martes","Miércoles","Jueves","Viernes","Sábado","Domingo"))</f>
        <v/>
      </c>
      <c r="C615" s="17" t="n"/>
      <c r="D615" s="21">
        <f>IF($C615="","",IFERROR(INDEX(Insumos!$B$2:$B$151,MATCH($C615,Insumos!$A$2:$A$151,0)),"Código no cargado"))</f>
        <v/>
      </c>
      <c r="E615" s="21">
        <f>IF($C615="","",IFERROR(INDEX(Insumos!$C$2:$C$151,MATCH($C615,Insumos!$A$2:$A$151,0)),""))</f>
        <v/>
      </c>
      <c r="F615" s="21">
        <f>IF($C615="","",IFERROR(INDEX(Insumos!$D$2:$D$151,MATCH($C615,Insumos!$A$2:$A$151,0)),""))</f>
        <v/>
      </c>
      <c r="G615" s="18" t="n"/>
      <c r="H615" s="19">
        <f>IF(OR($A615="",$C615=""),"",IFERROR(INDEX(Insumos!$M$2:$S$151,MATCH($C615,Insumos!$A$2:$A$151,0),WEEKDAY($A615,2)),""))</f>
        <v/>
      </c>
      <c r="I615" s="19">
        <f>IF(OR($G615="",$H615=""),"",MAX(0,$H615-$G615))</f>
        <v/>
      </c>
      <c r="J615" s="21">
        <f>IF($I615="","",IF($I615=0,"OK",IF($G615&lt;=0,"Sin stock: pedir ya","Pedir o producir")))</f>
        <v/>
      </c>
      <c r="K615" s="17" t="n"/>
      <c r="L615" s="17" t="n"/>
      <c r="M615" s="21">
        <f>IF(OR($A615="",$A615&lt;&gt;'Lista para pedir'!$C$3,N($I615)&lt;=0),"",COUNTIFS($A$2:$A615,$A615,$I$2:$I615,"&gt;0"))</f>
        <v/>
      </c>
    </row>
    <row r="616">
      <c r="A616" s="20" t="n"/>
      <c r="B616" s="21">
        <f>IF($A616="","",CHOOSE(WEEKDAY($A616,2),"Lunes","Martes","Miércoles","Jueves","Viernes","Sábado","Domingo"))</f>
        <v/>
      </c>
      <c r="C616" s="17" t="n"/>
      <c r="D616" s="21">
        <f>IF($C616="","",IFERROR(INDEX(Insumos!$B$2:$B$151,MATCH($C616,Insumos!$A$2:$A$151,0)),"Código no cargado"))</f>
        <v/>
      </c>
      <c r="E616" s="21">
        <f>IF($C616="","",IFERROR(INDEX(Insumos!$C$2:$C$151,MATCH($C616,Insumos!$A$2:$A$151,0)),""))</f>
        <v/>
      </c>
      <c r="F616" s="21">
        <f>IF($C616="","",IFERROR(INDEX(Insumos!$D$2:$D$151,MATCH($C616,Insumos!$A$2:$A$151,0)),""))</f>
        <v/>
      </c>
      <c r="G616" s="18" t="n"/>
      <c r="H616" s="19">
        <f>IF(OR($A616="",$C616=""),"",IFERROR(INDEX(Insumos!$M$2:$S$151,MATCH($C616,Insumos!$A$2:$A$151,0),WEEKDAY($A616,2)),""))</f>
        <v/>
      </c>
      <c r="I616" s="19">
        <f>IF(OR($G616="",$H616=""),"",MAX(0,$H616-$G616))</f>
        <v/>
      </c>
      <c r="J616" s="21">
        <f>IF($I616="","",IF($I616=0,"OK",IF($G616&lt;=0,"Sin stock: pedir ya","Pedir o producir")))</f>
        <v/>
      </c>
      <c r="K616" s="17" t="n"/>
      <c r="L616" s="17" t="n"/>
      <c r="M616" s="21">
        <f>IF(OR($A616="",$A616&lt;&gt;'Lista para pedir'!$C$3,N($I616)&lt;=0),"",COUNTIFS($A$2:$A616,$A616,$I$2:$I616,"&gt;0"))</f>
        <v/>
      </c>
    </row>
    <row r="617">
      <c r="A617" s="20" t="n"/>
      <c r="B617" s="21">
        <f>IF($A617="","",CHOOSE(WEEKDAY($A617,2),"Lunes","Martes","Miércoles","Jueves","Viernes","Sábado","Domingo"))</f>
        <v/>
      </c>
      <c r="C617" s="17" t="n"/>
      <c r="D617" s="21">
        <f>IF($C617="","",IFERROR(INDEX(Insumos!$B$2:$B$151,MATCH($C617,Insumos!$A$2:$A$151,0)),"Código no cargado"))</f>
        <v/>
      </c>
      <c r="E617" s="21">
        <f>IF($C617="","",IFERROR(INDEX(Insumos!$C$2:$C$151,MATCH($C617,Insumos!$A$2:$A$151,0)),""))</f>
        <v/>
      </c>
      <c r="F617" s="21">
        <f>IF($C617="","",IFERROR(INDEX(Insumos!$D$2:$D$151,MATCH($C617,Insumos!$A$2:$A$151,0)),""))</f>
        <v/>
      </c>
      <c r="G617" s="18" t="n"/>
      <c r="H617" s="19">
        <f>IF(OR($A617="",$C617=""),"",IFERROR(INDEX(Insumos!$M$2:$S$151,MATCH($C617,Insumos!$A$2:$A$151,0),WEEKDAY($A617,2)),""))</f>
        <v/>
      </c>
      <c r="I617" s="19">
        <f>IF(OR($G617="",$H617=""),"",MAX(0,$H617-$G617))</f>
        <v/>
      </c>
      <c r="J617" s="21">
        <f>IF($I617="","",IF($I617=0,"OK",IF($G617&lt;=0,"Sin stock: pedir ya","Pedir o producir")))</f>
        <v/>
      </c>
      <c r="K617" s="17" t="n"/>
      <c r="L617" s="17" t="n"/>
      <c r="M617" s="21">
        <f>IF(OR($A617="",$A617&lt;&gt;'Lista para pedir'!$C$3,N($I617)&lt;=0),"",COUNTIFS($A$2:$A617,$A617,$I$2:$I617,"&gt;0"))</f>
        <v/>
      </c>
    </row>
    <row r="618">
      <c r="A618" s="20" t="n"/>
      <c r="B618" s="21">
        <f>IF($A618="","",CHOOSE(WEEKDAY($A618,2),"Lunes","Martes","Miércoles","Jueves","Viernes","Sábado","Domingo"))</f>
        <v/>
      </c>
      <c r="C618" s="17" t="n"/>
      <c r="D618" s="21">
        <f>IF($C618="","",IFERROR(INDEX(Insumos!$B$2:$B$151,MATCH($C618,Insumos!$A$2:$A$151,0)),"Código no cargado"))</f>
        <v/>
      </c>
      <c r="E618" s="21">
        <f>IF($C618="","",IFERROR(INDEX(Insumos!$C$2:$C$151,MATCH($C618,Insumos!$A$2:$A$151,0)),""))</f>
        <v/>
      </c>
      <c r="F618" s="21">
        <f>IF($C618="","",IFERROR(INDEX(Insumos!$D$2:$D$151,MATCH($C618,Insumos!$A$2:$A$151,0)),""))</f>
        <v/>
      </c>
      <c r="G618" s="18" t="n"/>
      <c r="H618" s="19">
        <f>IF(OR($A618="",$C618=""),"",IFERROR(INDEX(Insumos!$M$2:$S$151,MATCH($C618,Insumos!$A$2:$A$151,0),WEEKDAY($A618,2)),""))</f>
        <v/>
      </c>
      <c r="I618" s="19">
        <f>IF(OR($G618="",$H618=""),"",MAX(0,$H618-$G618))</f>
        <v/>
      </c>
      <c r="J618" s="21">
        <f>IF($I618="","",IF($I618=0,"OK",IF($G618&lt;=0,"Sin stock: pedir ya","Pedir o producir")))</f>
        <v/>
      </c>
      <c r="K618" s="17" t="n"/>
      <c r="L618" s="17" t="n"/>
      <c r="M618" s="21">
        <f>IF(OR($A618="",$A618&lt;&gt;'Lista para pedir'!$C$3,N($I618)&lt;=0),"",COUNTIFS($A$2:$A618,$A618,$I$2:$I618,"&gt;0"))</f>
        <v/>
      </c>
    </row>
    <row r="619">
      <c r="A619" s="20" t="n"/>
      <c r="B619" s="21">
        <f>IF($A619="","",CHOOSE(WEEKDAY($A619,2),"Lunes","Martes","Miércoles","Jueves","Viernes","Sábado","Domingo"))</f>
        <v/>
      </c>
      <c r="C619" s="17" t="n"/>
      <c r="D619" s="21">
        <f>IF($C619="","",IFERROR(INDEX(Insumos!$B$2:$B$151,MATCH($C619,Insumos!$A$2:$A$151,0)),"Código no cargado"))</f>
        <v/>
      </c>
      <c r="E619" s="21">
        <f>IF($C619="","",IFERROR(INDEX(Insumos!$C$2:$C$151,MATCH($C619,Insumos!$A$2:$A$151,0)),""))</f>
        <v/>
      </c>
      <c r="F619" s="21">
        <f>IF($C619="","",IFERROR(INDEX(Insumos!$D$2:$D$151,MATCH($C619,Insumos!$A$2:$A$151,0)),""))</f>
        <v/>
      </c>
      <c r="G619" s="18" t="n"/>
      <c r="H619" s="19">
        <f>IF(OR($A619="",$C619=""),"",IFERROR(INDEX(Insumos!$M$2:$S$151,MATCH($C619,Insumos!$A$2:$A$151,0),WEEKDAY($A619,2)),""))</f>
        <v/>
      </c>
      <c r="I619" s="19">
        <f>IF(OR($G619="",$H619=""),"",MAX(0,$H619-$G619))</f>
        <v/>
      </c>
      <c r="J619" s="21">
        <f>IF($I619="","",IF($I619=0,"OK",IF($G619&lt;=0,"Sin stock: pedir ya","Pedir o producir")))</f>
        <v/>
      </c>
      <c r="K619" s="17" t="n"/>
      <c r="L619" s="17" t="n"/>
      <c r="M619" s="21">
        <f>IF(OR($A619="",$A619&lt;&gt;'Lista para pedir'!$C$3,N($I619)&lt;=0),"",COUNTIFS($A$2:$A619,$A619,$I$2:$I619,"&gt;0"))</f>
        <v/>
      </c>
    </row>
    <row r="620">
      <c r="A620" s="20" t="n"/>
      <c r="B620" s="21">
        <f>IF($A620="","",CHOOSE(WEEKDAY($A620,2),"Lunes","Martes","Miércoles","Jueves","Viernes","Sábado","Domingo"))</f>
        <v/>
      </c>
      <c r="C620" s="17" t="n"/>
      <c r="D620" s="21">
        <f>IF($C620="","",IFERROR(INDEX(Insumos!$B$2:$B$151,MATCH($C620,Insumos!$A$2:$A$151,0)),"Código no cargado"))</f>
        <v/>
      </c>
      <c r="E620" s="21">
        <f>IF($C620="","",IFERROR(INDEX(Insumos!$C$2:$C$151,MATCH($C620,Insumos!$A$2:$A$151,0)),""))</f>
        <v/>
      </c>
      <c r="F620" s="21">
        <f>IF($C620="","",IFERROR(INDEX(Insumos!$D$2:$D$151,MATCH($C620,Insumos!$A$2:$A$151,0)),""))</f>
        <v/>
      </c>
      <c r="G620" s="18" t="n"/>
      <c r="H620" s="19">
        <f>IF(OR($A620="",$C620=""),"",IFERROR(INDEX(Insumos!$M$2:$S$151,MATCH($C620,Insumos!$A$2:$A$151,0),WEEKDAY($A620,2)),""))</f>
        <v/>
      </c>
      <c r="I620" s="19">
        <f>IF(OR($G620="",$H620=""),"",MAX(0,$H620-$G620))</f>
        <v/>
      </c>
      <c r="J620" s="21">
        <f>IF($I620="","",IF($I620=0,"OK",IF($G620&lt;=0,"Sin stock: pedir ya","Pedir o producir")))</f>
        <v/>
      </c>
      <c r="K620" s="17" t="n"/>
      <c r="L620" s="17" t="n"/>
      <c r="M620" s="21">
        <f>IF(OR($A620="",$A620&lt;&gt;'Lista para pedir'!$C$3,N($I620)&lt;=0),"",COUNTIFS($A$2:$A620,$A620,$I$2:$I620,"&gt;0"))</f>
        <v/>
      </c>
    </row>
    <row r="621">
      <c r="A621" s="20" t="n"/>
      <c r="B621" s="21">
        <f>IF($A621="","",CHOOSE(WEEKDAY($A621,2),"Lunes","Martes","Miércoles","Jueves","Viernes","Sábado","Domingo"))</f>
        <v/>
      </c>
      <c r="C621" s="17" t="n"/>
      <c r="D621" s="21">
        <f>IF($C621="","",IFERROR(INDEX(Insumos!$B$2:$B$151,MATCH($C621,Insumos!$A$2:$A$151,0)),"Código no cargado"))</f>
        <v/>
      </c>
      <c r="E621" s="21">
        <f>IF($C621="","",IFERROR(INDEX(Insumos!$C$2:$C$151,MATCH($C621,Insumos!$A$2:$A$151,0)),""))</f>
        <v/>
      </c>
      <c r="F621" s="21">
        <f>IF($C621="","",IFERROR(INDEX(Insumos!$D$2:$D$151,MATCH($C621,Insumos!$A$2:$A$151,0)),""))</f>
        <v/>
      </c>
      <c r="G621" s="18" t="n"/>
      <c r="H621" s="19">
        <f>IF(OR($A621="",$C621=""),"",IFERROR(INDEX(Insumos!$M$2:$S$151,MATCH($C621,Insumos!$A$2:$A$151,0),WEEKDAY($A621,2)),""))</f>
        <v/>
      </c>
      <c r="I621" s="19">
        <f>IF(OR($G621="",$H621=""),"",MAX(0,$H621-$G621))</f>
        <v/>
      </c>
      <c r="J621" s="21">
        <f>IF($I621="","",IF($I621=0,"OK",IF($G621&lt;=0,"Sin stock: pedir ya","Pedir o producir")))</f>
        <v/>
      </c>
      <c r="K621" s="17" t="n"/>
      <c r="L621" s="17" t="n"/>
      <c r="M621" s="21">
        <f>IF(OR($A621="",$A621&lt;&gt;'Lista para pedir'!$C$3,N($I621)&lt;=0),"",COUNTIFS($A$2:$A621,$A621,$I$2:$I621,"&gt;0"))</f>
        <v/>
      </c>
    </row>
    <row r="622">
      <c r="A622" s="20" t="n"/>
      <c r="B622" s="21">
        <f>IF($A622="","",CHOOSE(WEEKDAY($A622,2),"Lunes","Martes","Miércoles","Jueves","Viernes","Sábado","Domingo"))</f>
        <v/>
      </c>
      <c r="C622" s="17" t="n"/>
      <c r="D622" s="21">
        <f>IF($C622="","",IFERROR(INDEX(Insumos!$B$2:$B$151,MATCH($C622,Insumos!$A$2:$A$151,0)),"Código no cargado"))</f>
        <v/>
      </c>
      <c r="E622" s="21">
        <f>IF($C622="","",IFERROR(INDEX(Insumos!$C$2:$C$151,MATCH($C622,Insumos!$A$2:$A$151,0)),""))</f>
        <v/>
      </c>
      <c r="F622" s="21">
        <f>IF($C622="","",IFERROR(INDEX(Insumos!$D$2:$D$151,MATCH($C622,Insumos!$A$2:$A$151,0)),""))</f>
        <v/>
      </c>
      <c r="G622" s="18" t="n"/>
      <c r="H622" s="19">
        <f>IF(OR($A622="",$C622=""),"",IFERROR(INDEX(Insumos!$M$2:$S$151,MATCH($C622,Insumos!$A$2:$A$151,0),WEEKDAY($A622,2)),""))</f>
        <v/>
      </c>
      <c r="I622" s="19">
        <f>IF(OR($G622="",$H622=""),"",MAX(0,$H622-$G622))</f>
        <v/>
      </c>
      <c r="J622" s="21">
        <f>IF($I622="","",IF($I622=0,"OK",IF($G622&lt;=0,"Sin stock: pedir ya","Pedir o producir")))</f>
        <v/>
      </c>
      <c r="K622" s="17" t="n"/>
      <c r="L622" s="17" t="n"/>
      <c r="M622" s="21">
        <f>IF(OR($A622="",$A622&lt;&gt;'Lista para pedir'!$C$3,N($I622)&lt;=0),"",COUNTIFS($A$2:$A622,$A622,$I$2:$I622,"&gt;0"))</f>
        <v/>
      </c>
    </row>
    <row r="623">
      <c r="A623" s="20" t="n"/>
      <c r="B623" s="21">
        <f>IF($A623="","",CHOOSE(WEEKDAY($A623,2),"Lunes","Martes","Miércoles","Jueves","Viernes","Sábado","Domingo"))</f>
        <v/>
      </c>
      <c r="C623" s="17" t="n"/>
      <c r="D623" s="21">
        <f>IF($C623="","",IFERROR(INDEX(Insumos!$B$2:$B$151,MATCH($C623,Insumos!$A$2:$A$151,0)),"Código no cargado"))</f>
        <v/>
      </c>
      <c r="E623" s="21">
        <f>IF($C623="","",IFERROR(INDEX(Insumos!$C$2:$C$151,MATCH($C623,Insumos!$A$2:$A$151,0)),""))</f>
        <v/>
      </c>
      <c r="F623" s="21">
        <f>IF($C623="","",IFERROR(INDEX(Insumos!$D$2:$D$151,MATCH($C623,Insumos!$A$2:$A$151,0)),""))</f>
        <v/>
      </c>
      <c r="G623" s="18" t="n"/>
      <c r="H623" s="19">
        <f>IF(OR($A623="",$C623=""),"",IFERROR(INDEX(Insumos!$M$2:$S$151,MATCH($C623,Insumos!$A$2:$A$151,0),WEEKDAY($A623,2)),""))</f>
        <v/>
      </c>
      <c r="I623" s="19">
        <f>IF(OR($G623="",$H623=""),"",MAX(0,$H623-$G623))</f>
        <v/>
      </c>
      <c r="J623" s="21">
        <f>IF($I623="","",IF($I623=0,"OK",IF($G623&lt;=0,"Sin stock: pedir ya","Pedir o producir")))</f>
        <v/>
      </c>
      <c r="K623" s="17" t="n"/>
      <c r="L623" s="17" t="n"/>
      <c r="M623" s="21">
        <f>IF(OR($A623="",$A623&lt;&gt;'Lista para pedir'!$C$3,N($I623)&lt;=0),"",COUNTIFS($A$2:$A623,$A623,$I$2:$I623,"&gt;0"))</f>
        <v/>
      </c>
    </row>
    <row r="624">
      <c r="A624" s="20" t="n"/>
      <c r="B624" s="21">
        <f>IF($A624="","",CHOOSE(WEEKDAY($A624,2),"Lunes","Martes","Miércoles","Jueves","Viernes","Sábado","Domingo"))</f>
        <v/>
      </c>
      <c r="C624" s="17" t="n"/>
      <c r="D624" s="21">
        <f>IF($C624="","",IFERROR(INDEX(Insumos!$B$2:$B$151,MATCH($C624,Insumos!$A$2:$A$151,0)),"Código no cargado"))</f>
        <v/>
      </c>
      <c r="E624" s="21">
        <f>IF($C624="","",IFERROR(INDEX(Insumos!$C$2:$C$151,MATCH($C624,Insumos!$A$2:$A$151,0)),""))</f>
        <v/>
      </c>
      <c r="F624" s="21">
        <f>IF($C624="","",IFERROR(INDEX(Insumos!$D$2:$D$151,MATCH($C624,Insumos!$A$2:$A$151,0)),""))</f>
        <v/>
      </c>
      <c r="G624" s="18" t="n"/>
      <c r="H624" s="19">
        <f>IF(OR($A624="",$C624=""),"",IFERROR(INDEX(Insumos!$M$2:$S$151,MATCH($C624,Insumos!$A$2:$A$151,0),WEEKDAY($A624,2)),""))</f>
        <v/>
      </c>
      <c r="I624" s="19">
        <f>IF(OR($G624="",$H624=""),"",MAX(0,$H624-$G624))</f>
        <v/>
      </c>
      <c r="J624" s="21">
        <f>IF($I624="","",IF($I624=0,"OK",IF($G624&lt;=0,"Sin stock: pedir ya","Pedir o producir")))</f>
        <v/>
      </c>
      <c r="K624" s="17" t="n"/>
      <c r="L624" s="17" t="n"/>
      <c r="M624" s="21">
        <f>IF(OR($A624="",$A624&lt;&gt;'Lista para pedir'!$C$3,N($I624)&lt;=0),"",COUNTIFS($A$2:$A624,$A624,$I$2:$I624,"&gt;0"))</f>
        <v/>
      </c>
    </row>
    <row r="625">
      <c r="A625" s="20" t="n"/>
      <c r="B625" s="21">
        <f>IF($A625="","",CHOOSE(WEEKDAY($A625,2),"Lunes","Martes","Miércoles","Jueves","Viernes","Sábado","Domingo"))</f>
        <v/>
      </c>
      <c r="C625" s="17" t="n"/>
      <c r="D625" s="21">
        <f>IF($C625="","",IFERROR(INDEX(Insumos!$B$2:$B$151,MATCH($C625,Insumos!$A$2:$A$151,0)),"Código no cargado"))</f>
        <v/>
      </c>
      <c r="E625" s="21">
        <f>IF($C625="","",IFERROR(INDEX(Insumos!$C$2:$C$151,MATCH($C625,Insumos!$A$2:$A$151,0)),""))</f>
        <v/>
      </c>
      <c r="F625" s="21">
        <f>IF($C625="","",IFERROR(INDEX(Insumos!$D$2:$D$151,MATCH($C625,Insumos!$A$2:$A$151,0)),""))</f>
        <v/>
      </c>
      <c r="G625" s="18" t="n"/>
      <c r="H625" s="19">
        <f>IF(OR($A625="",$C625=""),"",IFERROR(INDEX(Insumos!$M$2:$S$151,MATCH($C625,Insumos!$A$2:$A$151,0),WEEKDAY($A625,2)),""))</f>
        <v/>
      </c>
      <c r="I625" s="19">
        <f>IF(OR($G625="",$H625=""),"",MAX(0,$H625-$G625))</f>
        <v/>
      </c>
      <c r="J625" s="21">
        <f>IF($I625="","",IF($I625=0,"OK",IF($G625&lt;=0,"Sin stock: pedir ya","Pedir o producir")))</f>
        <v/>
      </c>
      <c r="K625" s="17" t="n"/>
      <c r="L625" s="17" t="n"/>
      <c r="M625" s="21">
        <f>IF(OR($A625="",$A625&lt;&gt;'Lista para pedir'!$C$3,N($I625)&lt;=0),"",COUNTIFS($A$2:$A625,$A625,$I$2:$I625,"&gt;0"))</f>
        <v/>
      </c>
    </row>
    <row r="626">
      <c r="A626" s="20" t="n"/>
      <c r="B626" s="21">
        <f>IF($A626="","",CHOOSE(WEEKDAY($A626,2),"Lunes","Martes","Miércoles","Jueves","Viernes","Sábado","Domingo"))</f>
        <v/>
      </c>
      <c r="C626" s="17" t="n"/>
      <c r="D626" s="21">
        <f>IF($C626="","",IFERROR(INDEX(Insumos!$B$2:$B$151,MATCH($C626,Insumos!$A$2:$A$151,0)),"Código no cargado"))</f>
        <v/>
      </c>
      <c r="E626" s="21">
        <f>IF($C626="","",IFERROR(INDEX(Insumos!$C$2:$C$151,MATCH($C626,Insumos!$A$2:$A$151,0)),""))</f>
        <v/>
      </c>
      <c r="F626" s="21">
        <f>IF($C626="","",IFERROR(INDEX(Insumos!$D$2:$D$151,MATCH($C626,Insumos!$A$2:$A$151,0)),""))</f>
        <v/>
      </c>
      <c r="G626" s="18" t="n"/>
      <c r="H626" s="19">
        <f>IF(OR($A626="",$C626=""),"",IFERROR(INDEX(Insumos!$M$2:$S$151,MATCH($C626,Insumos!$A$2:$A$151,0),WEEKDAY($A626,2)),""))</f>
        <v/>
      </c>
      <c r="I626" s="19">
        <f>IF(OR($G626="",$H626=""),"",MAX(0,$H626-$G626))</f>
        <v/>
      </c>
      <c r="J626" s="21">
        <f>IF($I626="","",IF($I626=0,"OK",IF($G626&lt;=0,"Sin stock: pedir ya","Pedir o producir")))</f>
        <v/>
      </c>
      <c r="K626" s="17" t="n"/>
      <c r="L626" s="17" t="n"/>
      <c r="M626" s="21">
        <f>IF(OR($A626="",$A626&lt;&gt;'Lista para pedir'!$C$3,N($I626)&lt;=0),"",COUNTIFS($A$2:$A626,$A626,$I$2:$I626,"&gt;0"))</f>
        <v/>
      </c>
    </row>
    <row r="627">
      <c r="A627" s="20" t="n"/>
      <c r="B627" s="21">
        <f>IF($A627="","",CHOOSE(WEEKDAY($A627,2),"Lunes","Martes","Miércoles","Jueves","Viernes","Sábado","Domingo"))</f>
        <v/>
      </c>
      <c r="C627" s="17" t="n"/>
      <c r="D627" s="21">
        <f>IF($C627="","",IFERROR(INDEX(Insumos!$B$2:$B$151,MATCH($C627,Insumos!$A$2:$A$151,0)),"Código no cargado"))</f>
        <v/>
      </c>
      <c r="E627" s="21">
        <f>IF($C627="","",IFERROR(INDEX(Insumos!$C$2:$C$151,MATCH($C627,Insumos!$A$2:$A$151,0)),""))</f>
        <v/>
      </c>
      <c r="F627" s="21">
        <f>IF($C627="","",IFERROR(INDEX(Insumos!$D$2:$D$151,MATCH($C627,Insumos!$A$2:$A$151,0)),""))</f>
        <v/>
      </c>
      <c r="G627" s="18" t="n"/>
      <c r="H627" s="19">
        <f>IF(OR($A627="",$C627=""),"",IFERROR(INDEX(Insumos!$M$2:$S$151,MATCH($C627,Insumos!$A$2:$A$151,0),WEEKDAY($A627,2)),""))</f>
        <v/>
      </c>
      <c r="I627" s="19">
        <f>IF(OR($G627="",$H627=""),"",MAX(0,$H627-$G627))</f>
        <v/>
      </c>
      <c r="J627" s="21">
        <f>IF($I627="","",IF($I627=0,"OK",IF($G627&lt;=0,"Sin stock: pedir ya","Pedir o producir")))</f>
        <v/>
      </c>
      <c r="K627" s="17" t="n"/>
      <c r="L627" s="17" t="n"/>
      <c r="M627" s="21">
        <f>IF(OR($A627="",$A627&lt;&gt;'Lista para pedir'!$C$3,N($I627)&lt;=0),"",COUNTIFS($A$2:$A627,$A627,$I$2:$I627,"&gt;0"))</f>
        <v/>
      </c>
    </row>
    <row r="628">
      <c r="A628" s="20" t="n"/>
      <c r="B628" s="21">
        <f>IF($A628="","",CHOOSE(WEEKDAY($A628,2),"Lunes","Martes","Miércoles","Jueves","Viernes","Sábado","Domingo"))</f>
        <v/>
      </c>
      <c r="C628" s="17" t="n"/>
      <c r="D628" s="21">
        <f>IF($C628="","",IFERROR(INDEX(Insumos!$B$2:$B$151,MATCH($C628,Insumos!$A$2:$A$151,0)),"Código no cargado"))</f>
        <v/>
      </c>
      <c r="E628" s="21">
        <f>IF($C628="","",IFERROR(INDEX(Insumos!$C$2:$C$151,MATCH($C628,Insumos!$A$2:$A$151,0)),""))</f>
        <v/>
      </c>
      <c r="F628" s="21">
        <f>IF($C628="","",IFERROR(INDEX(Insumos!$D$2:$D$151,MATCH($C628,Insumos!$A$2:$A$151,0)),""))</f>
        <v/>
      </c>
      <c r="G628" s="18" t="n"/>
      <c r="H628" s="19">
        <f>IF(OR($A628="",$C628=""),"",IFERROR(INDEX(Insumos!$M$2:$S$151,MATCH($C628,Insumos!$A$2:$A$151,0),WEEKDAY($A628,2)),""))</f>
        <v/>
      </c>
      <c r="I628" s="19">
        <f>IF(OR($G628="",$H628=""),"",MAX(0,$H628-$G628))</f>
        <v/>
      </c>
      <c r="J628" s="21">
        <f>IF($I628="","",IF($I628=0,"OK",IF($G628&lt;=0,"Sin stock: pedir ya","Pedir o producir")))</f>
        <v/>
      </c>
      <c r="K628" s="17" t="n"/>
      <c r="L628" s="17" t="n"/>
      <c r="M628" s="21">
        <f>IF(OR($A628="",$A628&lt;&gt;'Lista para pedir'!$C$3,N($I628)&lt;=0),"",COUNTIFS($A$2:$A628,$A628,$I$2:$I628,"&gt;0"))</f>
        <v/>
      </c>
    </row>
    <row r="629">
      <c r="A629" s="20" t="n"/>
      <c r="B629" s="21">
        <f>IF($A629="","",CHOOSE(WEEKDAY($A629,2),"Lunes","Martes","Miércoles","Jueves","Viernes","Sábado","Domingo"))</f>
        <v/>
      </c>
      <c r="C629" s="17" t="n"/>
      <c r="D629" s="21">
        <f>IF($C629="","",IFERROR(INDEX(Insumos!$B$2:$B$151,MATCH($C629,Insumos!$A$2:$A$151,0)),"Código no cargado"))</f>
        <v/>
      </c>
      <c r="E629" s="21">
        <f>IF($C629="","",IFERROR(INDEX(Insumos!$C$2:$C$151,MATCH($C629,Insumos!$A$2:$A$151,0)),""))</f>
        <v/>
      </c>
      <c r="F629" s="21">
        <f>IF($C629="","",IFERROR(INDEX(Insumos!$D$2:$D$151,MATCH($C629,Insumos!$A$2:$A$151,0)),""))</f>
        <v/>
      </c>
      <c r="G629" s="18" t="n"/>
      <c r="H629" s="19">
        <f>IF(OR($A629="",$C629=""),"",IFERROR(INDEX(Insumos!$M$2:$S$151,MATCH($C629,Insumos!$A$2:$A$151,0),WEEKDAY($A629,2)),""))</f>
        <v/>
      </c>
      <c r="I629" s="19">
        <f>IF(OR($G629="",$H629=""),"",MAX(0,$H629-$G629))</f>
        <v/>
      </c>
      <c r="J629" s="21">
        <f>IF($I629="","",IF($I629=0,"OK",IF($G629&lt;=0,"Sin stock: pedir ya","Pedir o producir")))</f>
        <v/>
      </c>
      <c r="K629" s="17" t="n"/>
      <c r="L629" s="17" t="n"/>
      <c r="M629" s="21">
        <f>IF(OR($A629="",$A629&lt;&gt;'Lista para pedir'!$C$3,N($I629)&lt;=0),"",COUNTIFS($A$2:$A629,$A629,$I$2:$I629,"&gt;0"))</f>
        <v/>
      </c>
    </row>
    <row r="630">
      <c r="A630" s="20" t="n"/>
      <c r="B630" s="21">
        <f>IF($A630="","",CHOOSE(WEEKDAY($A630,2),"Lunes","Martes","Miércoles","Jueves","Viernes","Sábado","Domingo"))</f>
        <v/>
      </c>
      <c r="C630" s="17" t="n"/>
      <c r="D630" s="21">
        <f>IF($C630="","",IFERROR(INDEX(Insumos!$B$2:$B$151,MATCH($C630,Insumos!$A$2:$A$151,0)),"Código no cargado"))</f>
        <v/>
      </c>
      <c r="E630" s="21">
        <f>IF($C630="","",IFERROR(INDEX(Insumos!$C$2:$C$151,MATCH($C630,Insumos!$A$2:$A$151,0)),""))</f>
        <v/>
      </c>
      <c r="F630" s="21">
        <f>IF($C630="","",IFERROR(INDEX(Insumos!$D$2:$D$151,MATCH($C630,Insumos!$A$2:$A$151,0)),""))</f>
        <v/>
      </c>
      <c r="G630" s="18" t="n"/>
      <c r="H630" s="19">
        <f>IF(OR($A630="",$C630=""),"",IFERROR(INDEX(Insumos!$M$2:$S$151,MATCH($C630,Insumos!$A$2:$A$151,0),WEEKDAY($A630,2)),""))</f>
        <v/>
      </c>
      <c r="I630" s="19">
        <f>IF(OR($G630="",$H630=""),"",MAX(0,$H630-$G630))</f>
        <v/>
      </c>
      <c r="J630" s="21">
        <f>IF($I630="","",IF($I630=0,"OK",IF($G630&lt;=0,"Sin stock: pedir ya","Pedir o producir")))</f>
        <v/>
      </c>
      <c r="K630" s="17" t="n"/>
      <c r="L630" s="17" t="n"/>
      <c r="M630" s="21">
        <f>IF(OR($A630="",$A630&lt;&gt;'Lista para pedir'!$C$3,N($I630)&lt;=0),"",COUNTIFS($A$2:$A630,$A630,$I$2:$I630,"&gt;0"))</f>
        <v/>
      </c>
    </row>
    <row r="631">
      <c r="A631" s="20" t="n"/>
      <c r="B631" s="21">
        <f>IF($A631="","",CHOOSE(WEEKDAY($A631,2),"Lunes","Martes","Miércoles","Jueves","Viernes","Sábado","Domingo"))</f>
        <v/>
      </c>
      <c r="C631" s="17" t="n"/>
      <c r="D631" s="21">
        <f>IF($C631="","",IFERROR(INDEX(Insumos!$B$2:$B$151,MATCH($C631,Insumos!$A$2:$A$151,0)),"Código no cargado"))</f>
        <v/>
      </c>
      <c r="E631" s="21">
        <f>IF($C631="","",IFERROR(INDEX(Insumos!$C$2:$C$151,MATCH($C631,Insumos!$A$2:$A$151,0)),""))</f>
        <v/>
      </c>
      <c r="F631" s="21">
        <f>IF($C631="","",IFERROR(INDEX(Insumos!$D$2:$D$151,MATCH($C631,Insumos!$A$2:$A$151,0)),""))</f>
        <v/>
      </c>
      <c r="G631" s="18" t="n"/>
      <c r="H631" s="19">
        <f>IF(OR($A631="",$C631=""),"",IFERROR(INDEX(Insumos!$M$2:$S$151,MATCH($C631,Insumos!$A$2:$A$151,0),WEEKDAY($A631,2)),""))</f>
        <v/>
      </c>
      <c r="I631" s="19">
        <f>IF(OR($G631="",$H631=""),"",MAX(0,$H631-$G631))</f>
        <v/>
      </c>
      <c r="J631" s="21">
        <f>IF($I631="","",IF($I631=0,"OK",IF($G631&lt;=0,"Sin stock: pedir ya","Pedir o producir")))</f>
        <v/>
      </c>
      <c r="K631" s="17" t="n"/>
      <c r="L631" s="17" t="n"/>
      <c r="M631" s="21">
        <f>IF(OR($A631="",$A631&lt;&gt;'Lista para pedir'!$C$3,N($I631)&lt;=0),"",COUNTIFS($A$2:$A631,$A631,$I$2:$I631,"&gt;0"))</f>
        <v/>
      </c>
    </row>
    <row r="632">
      <c r="A632" s="20" t="n"/>
      <c r="B632" s="21">
        <f>IF($A632="","",CHOOSE(WEEKDAY($A632,2),"Lunes","Martes","Miércoles","Jueves","Viernes","Sábado","Domingo"))</f>
        <v/>
      </c>
      <c r="C632" s="17" t="n"/>
      <c r="D632" s="21">
        <f>IF($C632="","",IFERROR(INDEX(Insumos!$B$2:$B$151,MATCH($C632,Insumos!$A$2:$A$151,0)),"Código no cargado"))</f>
        <v/>
      </c>
      <c r="E632" s="21">
        <f>IF($C632="","",IFERROR(INDEX(Insumos!$C$2:$C$151,MATCH($C632,Insumos!$A$2:$A$151,0)),""))</f>
        <v/>
      </c>
      <c r="F632" s="21">
        <f>IF($C632="","",IFERROR(INDEX(Insumos!$D$2:$D$151,MATCH($C632,Insumos!$A$2:$A$151,0)),""))</f>
        <v/>
      </c>
      <c r="G632" s="18" t="n"/>
      <c r="H632" s="19">
        <f>IF(OR($A632="",$C632=""),"",IFERROR(INDEX(Insumos!$M$2:$S$151,MATCH($C632,Insumos!$A$2:$A$151,0),WEEKDAY($A632,2)),""))</f>
        <v/>
      </c>
      <c r="I632" s="19">
        <f>IF(OR($G632="",$H632=""),"",MAX(0,$H632-$G632))</f>
        <v/>
      </c>
      <c r="J632" s="21">
        <f>IF($I632="","",IF($I632=0,"OK",IF($G632&lt;=0,"Sin stock: pedir ya","Pedir o producir")))</f>
        <v/>
      </c>
      <c r="K632" s="17" t="n"/>
      <c r="L632" s="17" t="n"/>
      <c r="M632" s="21">
        <f>IF(OR($A632="",$A632&lt;&gt;'Lista para pedir'!$C$3,N($I632)&lt;=0),"",COUNTIFS($A$2:$A632,$A632,$I$2:$I632,"&gt;0"))</f>
        <v/>
      </c>
    </row>
    <row r="633">
      <c r="A633" s="20" t="n"/>
      <c r="B633" s="21">
        <f>IF($A633="","",CHOOSE(WEEKDAY($A633,2),"Lunes","Martes","Miércoles","Jueves","Viernes","Sábado","Domingo"))</f>
        <v/>
      </c>
      <c r="C633" s="17" t="n"/>
      <c r="D633" s="21">
        <f>IF($C633="","",IFERROR(INDEX(Insumos!$B$2:$B$151,MATCH($C633,Insumos!$A$2:$A$151,0)),"Código no cargado"))</f>
        <v/>
      </c>
      <c r="E633" s="21">
        <f>IF($C633="","",IFERROR(INDEX(Insumos!$C$2:$C$151,MATCH($C633,Insumos!$A$2:$A$151,0)),""))</f>
        <v/>
      </c>
      <c r="F633" s="21">
        <f>IF($C633="","",IFERROR(INDEX(Insumos!$D$2:$D$151,MATCH($C633,Insumos!$A$2:$A$151,0)),""))</f>
        <v/>
      </c>
      <c r="G633" s="18" t="n"/>
      <c r="H633" s="19">
        <f>IF(OR($A633="",$C633=""),"",IFERROR(INDEX(Insumos!$M$2:$S$151,MATCH($C633,Insumos!$A$2:$A$151,0),WEEKDAY($A633,2)),""))</f>
        <v/>
      </c>
      <c r="I633" s="19">
        <f>IF(OR($G633="",$H633=""),"",MAX(0,$H633-$G633))</f>
        <v/>
      </c>
      <c r="J633" s="21">
        <f>IF($I633="","",IF($I633=0,"OK",IF($G633&lt;=0,"Sin stock: pedir ya","Pedir o producir")))</f>
        <v/>
      </c>
      <c r="K633" s="17" t="n"/>
      <c r="L633" s="17" t="n"/>
      <c r="M633" s="21">
        <f>IF(OR($A633="",$A633&lt;&gt;'Lista para pedir'!$C$3,N($I633)&lt;=0),"",COUNTIFS($A$2:$A633,$A633,$I$2:$I633,"&gt;0"))</f>
        <v/>
      </c>
    </row>
    <row r="634">
      <c r="A634" s="20" t="n"/>
      <c r="B634" s="21">
        <f>IF($A634="","",CHOOSE(WEEKDAY($A634,2),"Lunes","Martes","Miércoles","Jueves","Viernes","Sábado","Domingo"))</f>
        <v/>
      </c>
      <c r="C634" s="17" t="n"/>
      <c r="D634" s="21">
        <f>IF($C634="","",IFERROR(INDEX(Insumos!$B$2:$B$151,MATCH($C634,Insumos!$A$2:$A$151,0)),"Código no cargado"))</f>
        <v/>
      </c>
      <c r="E634" s="21">
        <f>IF($C634="","",IFERROR(INDEX(Insumos!$C$2:$C$151,MATCH($C634,Insumos!$A$2:$A$151,0)),""))</f>
        <v/>
      </c>
      <c r="F634" s="21">
        <f>IF($C634="","",IFERROR(INDEX(Insumos!$D$2:$D$151,MATCH($C634,Insumos!$A$2:$A$151,0)),""))</f>
        <v/>
      </c>
      <c r="G634" s="18" t="n"/>
      <c r="H634" s="19">
        <f>IF(OR($A634="",$C634=""),"",IFERROR(INDEX(Insumos!$M$2:$S$151,MATCH($C634,Insumos!$A$2:$A$151,0),WEEKDAY($A634,2)),""))</f>
        <v/>
      </c>
      <c r="I634" s="19">
        <f>IF(OR($G634="",$H634=""),"",MAX(0,$H634-$G634))</f>
        <v/>
      </c>
      <c r="J634" s="21">
        <f>IF($I634="","",IF($I634=0,"OK",IF($G634&lt;=0,"Sin stock: pedir ya","Pedir o producir")))</f>
        <v/>
      </c>
      <c r="K634" s="17" t="n"/>
      <c r="L634" s="17" t="n"/>
      <c r="M634" s="21">
        <f>IF(OR($A634="",$A634&lt;&gt;'Lista para pedir'!$C$3,N($I634)&lt;=0),"",COUNTIFS($A$2:$A634,$A634,$I$2:$I634,"&gt;0"))</f>
        <v/>
      </c>
    </row>
    <row r="635">
      <c r="A635" s="20" t="n"/>
      <c r="B635" s="21">
        <f>IF($A635="","",CHOOSE(WEEKDAY($A635,2),"Lunes","Martes","Miércoles","Jueves","Viernes","Sábado","Domingo"))</f>
        <v/>
      </c>
      <c r="C635" s="17" t="n"/>
      <c r="D635" s="21">
        <f>IF($C635="","",IFERROR(INDEX(Insumos!$B$2:$B$151,MATCH($C635,Insumos!$A$2:$A$151,0)),"Código no cargado"))</f>
        <v/>
      </c>
      <c r="E635" s="21">
        <f>IF($C635="","",IFERROR(INDEX(Insumos!$C$2:$C$151,MATCH($C635,Insumos!$A$2:$A$151,0)),""))</f>
        <v/>
      </c>
      <c r="F635" s="21">
        <f>IF($C635="","",IFERROR(INDEX(Insumos!$D$2:$D$151,MATCH($C635,Insumos!$A$2:$A$151,0)),""))</f>
        <v/>
      </c>
      <c r="G635" s="18" t="n"/>
      <c r="H635" s="19">
        <f>IF(OR($A635="",$C635=""),"",IFERROR(INDEX(Insumos!$M$2:$S$151,MATCH($C635,Insumos!$A$2:$A$151,0),WEEKDAY($A635,2)),""))</f>
        <v/>
      </c>
      <c r="I635" s="19">
        <f>IF(OR($G635="",$H635=""),"",MAX(0,$H635-$G635))</f>
        <v/>
      </c>
      <c r="J635" s="21">
        <f>IF($I635="","",IF($I635=0,"OK",IF($G635&lt;=0,"Sin stock: pedir ya","Pedir o producir")))</f>
        <v/>
      </c>
      <c r="K635" s="17" t="n"/>
      <c r="L635" s="17" t="n"/>
      <c r="M635" s="21">
        <f>IF(OR($A635="",$A635&lt;&gt;'Lista para pedir'!$C$3,N($I635)&lt;=0),"",COUNTIFS($A$2:$A635,$A635,$I$2:$I635,"&gt;0"))</f>
        <v/>
      </c>
    </row>
    <row r="636">
      <c r="A636" s="20" t="n"/>
      <c r="B636" s="21">
        <f>IF($A636="","",CHOOSE(WEEKDAY($A636,2),"Lunes","Martes","Miércoles","Jueves","Viernes","Sábado","Domingo"))</f>
        <v/>
      </c>
      <c r="C636" s="17" t="n"/>
      <c r="D636" s="21">
        <f>IF($C636="","",IFERROR(INDEX(Insumos!$B$2:$B$151,MATCH($C636,Insumos!$A$2:$A$151,0)),"Código no cargado"))</f>
        <v/>
      </c>
      <c r="E636" s="21">
        <f>IF($C636="","",IFERROR(INDEX(Insumos!$C$2:$C$151,MATCH($C636,Insumos!$A$2:$A$151,0)),""))</f>
        <v/>
      </c>
      <c r="F636" s="21">
        <f>IF($C636="","",IFERROR(INDEX(Insumos!$D$2:$D$151,MATCH($C636,Insumos!$A$2:$A$151,0)),""))</f>
        <v/>
      </c>
      <c r="G636" s="18" t="n"/>
      <c r="H636" s="19">
        <f>IF(OR($A636="",$C636=""),"",IFERROR(INDEX(Insumos!$M$2:$S$151,MATCH($C636,Insumos!$A$2:$A$151,0),WEEKDAY($A636,2)),""))</f>
        <v/>
      </c>
      <c r="I636" s="19">
        <f>IF(OR($G636="",$H636=""),"",MAX(0,$H636-$G636))</f>
        <v/>
      </c>
      <c r="J636" s="21">
        <f>IF($I636="","",IF($I636=0,"OK",IF($G636&lt;=0,"Sin stock: pedir ya","Pedir o producir")))</f>
        <v/>
      </c>
      <c r="K636" s="17" t="n"/>
      <c r="L636" s="17" t="n"/>
      <c r="M636" s="21">
        <f>IF(OR($A636="",$A636&lt;&gt;'Lista para pedir'!$C$3,N($I636)&lt;=0),"",COUNTIFS($A$2:$A636,$A636,$I$2:$I636,"&gt;0"))</f>
        <v/>
      </c>
    </row>
    <row r="637">
      <c r="A637" s="20" t="n"/>
      <c r="B637" s="21">
        <f>IF($A637="","",CHOOSE(WEEKDAY($A637,2),"Lunes","Martes","Miércoles","Jueves","Viernes","Sábado","Domingo"))</f>
        <v/>
      </c>
      <c r="C637" s="17" t="n"/>
      <c r="D637" s="21">
        <f>IF($C637="","",IFERROR(INDEX(Insumos!$B$2:$B$151,MATCH($C637,Insumos!$A$2:$A$151,0)),"Código no cargado"))</f>
        <v/>
      </c>
      <c r="E637" s="21">
        <f>IF($C637="","",IFERROR(INDEX(Insumos!$C$2:$C$151,MATCH($C637,Insumos!$A$2:$A$151,0)),""))</f>
        <v/>
      </c>
      <c r="F637" s="21">
        <f>IF($C637="","",IFERROR(INDEX(Insumos!$D$2:$D$151,MATCH($C637,Insumos!$A$2:$A$151,0)),""))</f>
        <v/>
      </c>
      <c r="G637" s="18" t="n"/>
      <c r="H637" s="19">
        <f>IF(OR($A637="",$C637=""),"",IFERROR(INDEX(Insumos!$M$2:$S$151,MATCH($C637,Insumos!$A$2:$A$151,0),WEEKDAY($A637,2)),""))</f>
        <v/>
      </c>
      <c r="I637" s="19">
        <f>IF(OR($G637="",$H637=""),"",MAX(0,$H637-$G637))</f>
        <v/>
      </c>
      <c r="J637" s="21">
        <f>IF($I637="","",IF($I637=0,"OK",IF($G637&lt;=0,"Sin stock: pedir ya","Pedir o producir")))</f>
        <v/>
      </c>
      <c r="K637" s="17" t="n"/>
      <c r="L637" s="17" t="n"/>
      <c r="M637" s="21">
        <f>IF(OR($A637="",$A637&lt;&gt;'Lista para pedir'!$C$3,N($I637)&lt;=0),"",COUNTIFS($A$2:$A637,$A637,$I$2:$I637,"&gt;0"))</f>
        <v/>
      </c>
    </row>
    <row r="638">
      <c r="A638" s="20" t="n"/>
      <c r="B638" s="21">
        <f>IF($A638="","",CHOOSE(WEEKDAY($A638,2),"Lunes","Martes","Miércoles","Jueves","Viernes","Sábado","Domingo"))</f>
        <v/>
      </c>
      <c r="C638" s="17" t="n"/>
      <c r="D638" s="21">
        <f>IF($C638="","",IFERROR(INDEX(Insumos!$B$2:$B$151,MATCH($C638,Insumos!$A$2:$A$151,0)),"Código no cargado"))</f>
        <v/>
      </c>
      <c r="E638" s="21">
        <f>IF($C638="","",IFERROR(INDEX(Insumos!$C$2:$C$151,MATCH($C638,Insumos!$A$2:$A$151,0)),""))</f>
        <v/>
      </c>
      <c r="F638" s="21">
        <f>IF($C638="","",IFERROR(INDEX(Insumos!$D$2:$D$151,MATCH($C638,Insumos!$A$2:$A$151,0)),""))</f>
        <v/>
      </c>
      <c r="G638" s="18" t="n"/>
      <c r="H638" s="19">
        <f>IF(OR($A638="",$C638=""),"",IFERROR(INDEX(Insumos!$M$2:$S$151,MATCH($C638,Insumos!$A$2:$A$151,0),WEEKDAY($A638,2)),""))</f>
        <v/>
      </c>
      <c r="I638" s="19">
        <f>IF(OR($G638="",$H638=""),"",MAX(0,$H638-$G638))</f>
        <v/>
      </c>
      <c r="J638" s="21">
        <f>IF($I638="","",IF($I638=0,"OK",IF($G638&lt;=0,"Sin stock: pedir ya","Pedir o producir")))</f>
        <v/>
      </c>
      <c r="K638" s="17" t="n"/>
      <c r="L638" s="17" t="n"/>
      <c r="M638" s="21">
        <f>IF(OR($A638="",$A638&lt;&gt;'Lista para pedir'!$C$3,N($I638)&lt;=0),"",COUNTIFS($A$2:$A638,$A638,$I$2:$I638,"&gt;0"))</f>
        <v/>
      </c>
    </row>
    <row r="639">
      <c r="A639" s="20" t="n"/>
      <c r="B639" s="21">
        <f>IF($A639="","",CHOOSE(WEEKDAY($A639,2),"Lunes","Martes","Miércoles","Jueves","Viernes","Sábado","Domingo"))</f>
        <v/>
      </c>
      <c r="C639" s="17" t="n"/>
      <c r="D639" s="21">
        <f>IF($C639="","",IFERROR(INDEX(Insumos!$B$2:$B$151,MATCH($C639,Insumos!$A$2:$A$151,0)),"Código no cargado"))</f>
        <v/>
      </c>
      <c r="E639" s="21">
        <f>IF($C639="","",IFERROR(INDEX(Insumos!$C$2:$C$151,MATCH($C639,Insumos!$A$2:$A$151,0)),""))</f>
        <v/>
      </c>
      <c r="F639" s="21">
        <f>IF($C639="","",IFERROR(INDEX(Insumos!$D$2:$D$151,MATCH($C639,Insumos!$A$2:$A$151,0)),""))</f>
        <v/>
      </c>
      <c r="G639" s="18" t="n"/>
      <c r="H639" s="19">
        <f>IF(OR($A639="",$C639=""),"",IFERROR(INDEX(Insumos!$M$2:$S$151,MATCH($C639,Insumos!$A$2:$A$151,0),WEEKDAY($A639,2)),""))</f>
        <v/>
      </c>
      <c r="I639" s="19">
        <f>IF(OR($G639="",$H639=""),"",MAX(0,$H639-$G639))</f>
        <v/>
      </c>
      <c r="J639" s="21">
        <f>IF($I639="","",IF($I639=0,"OK",IF($G639&lt;=0,"Sin stock: pedir ya","Pedir o producir")))</f>
        <v/>
      </c>
      <c r="K639" s="17" t="n"/>
      <c r="L639" s="17" t="n"/>
      <c r="M639" s="21">
        <f>IF(OR($A639="",$A639&lt;&gt;'Lista para pedir'!$C$3,N($I639)&lt;=0),"",COUNTIFS($A$2:$A639,$A639,$I$2:$I639,"&gt;0"))</f>
        <v/>
      </c>
    </row>
    <row r="640">
      <c r="A640" s="20" t="n"/>
      <c r="B640" s="21">
        <f>IF($A640="","",CHOOSE(WEEKDAY($A640,2),"Lunes","Martes","Miércoles","Jueves","Viernes","Sábado","Domingo"))</f>
        <v/>
      </c>
      <c r="C640" s="17" t="n"/>
      <c r="D640" s="21">
        <f>IF($C640="","",IFERROR(INDEX(Insumos!$B$2:$B$151,MATCH($C640,Insumos!$A$2:$A$151,0)),"Código no cargado"))</f>
        <v/>
      </c>
      <c r="E640" s="21">
        <f>IF($C640="","",IFERROR(INDEX(Insumos!$C$2:$C$151,MATCH($C640,Insumos!$A$2:$A$151,0)),""))</f>
        <v/>
      </c>
      <c r="F640" s="21">
        <f>IF($C640="","",IFERROR(INDEX(Insumos!$D$2:$D$151,MATCH($C640,Insumos!$A$2:$A$151,0)),""))</f>
        <v/>
      </c>
      <c r="G640" s="18" t="n"/>
      <c r="H640" s="19">
        <f>IF(OR($A640="",$C640=""),"",IFERROR(INDEX(Insumos!$M$2:$S$151,MATCH($C640,Insumos!$A$2:$A$151,0),WEEKDAY($A640,2)),""))</f>
        <v/>
      </c>
      <c r="I640" s="19">
        <f>IF(OR($G640="",$H640=""),"",MAX(0,$H640-$G640))</f>
        <v/>
      </c>
      <c r="J640" s="21">
        <f>IF($I640="","",IF($I640=0,"OK",IF($G640&lt;=0,"Sin stock: pedir ya","Pedir o producir")))</f>
        <v/>
      </c>
      <c r="K640" s="17" t="n"/>
      <c r="L640" s="17" t="n"/>
      <c r="M640" s="21">
        <f>IF(OR($A640="",$A640&lt;&gt;'Lista para pedir'!$C$3,N($I640)&lt;=0),"",COUNTIFS($A$2:$A640,$A640,$I$2:$I640,"&gt;0"))</f>
        <v/>
      </c>
    </row>
    <row r="641">
      <c r="A641" s="20" t="n"/>
      <c r="B641" s="21">
        <f>IF($A641="","",CHOOSE(WEEKDAY($A641,2),"Lunes","Martes","Miércoles","Jueves","Viernes","Sábado","Domingo"))</f>
        <v/>
      </c>
      <c r="C641" s="17" t="n"/>
      <c r="D641" s="21">
        <f>IF($C641="","",IFERROR(INDEX(Insumos!$B$2:$B$151,MATCH($C641,Insumos!$A$2:$A$151,0)),"Código no cargado"))</f>
        <v/>
      </c>
      <c r="E641" s="21">
        <f>IF($C641="","",IFERROR(INDEX(Insumos!$C$2:$C$151,MATCH($C641,Insumos!$A$2:$A$151,0)),""))</f>
        <v/>
      </c>
      <c r="F641" s="21">
        <f>IF($C641="","",IFERROR(INDEX(Insumos!$D$2:$D$151,MATCH($C641,Insumos!$A$2:$A$151,0)),""))</f>
        <v/>
      </c>
      <c r="G641" s="18" t="n"/>
      <c r="H641" s="19">
        <f>IF(OR($A641="",$C641=""),"",IFERROR(INDEX(Insumos!$M$2:$S$151,MATCH($C641,Insumos!$A$2:$A$151,0),WEEKDAY($A641,2)),""))</f>
        <v/>
      </c>
      <c r="I641" s="19">
        <f>IF(OR($G641="",$H641=""),"",MAX(0,$H641-$G641))</f>
        <v/>
      </c>
      <c r="J641" s="21">
        <f>IF($I641="","",IF($I641=0,"OK",IF($G641&lt;=0,"Sin stock: pedir ya","Pedir o producir")))</f>
        <v/>
      </c>
      <c r="K641" s="17" t="n"/>
      <c r="L641" s="17" t="n"/>
      <c r="M641" s="21">
        <f>IF(OR($A641="",$A641&lt;&gt;'Lista para pedir'!$C$3,N($I641)&lt;=0),"",COUNTIFS($A$2:$A641,$A641,$I$2:$I641,"&gt;0"))</f>
        <v/>
      </c>
    </row>
    <row r="642">
      <c r="A642" s="20" t="n"/>
      <c r="B642" s="21">
        <f>IF($A642="","",CHOOSE(WEEKDAY($A642,2),"Lunes","Martes","Miércoles","Jueves","Viernes","Sábado","Domingo"))</f>
        <v/>
      </c>
      <c r="C642" s="17" t="n"/>
      <c r="D642" s="21">
        <f>IF($C642="","",IFERROR(INDEX(Insumos!$B$2:$B$151,MATCH($C642,Insumos!$A$2:$A$151,0)),"Código no cargado"))</f>
        <v/>
      </c>
      <c r="E642" s="21">
        <f>IF($C642="","",IFERROR(INDEX(Insumos!$C$2:$C$151,MATCH($C642,Insumos!$A$2:$A$151,0)),""))</f>
        <v/>
      </c>
      <c r="F642" s="21">
        <f>IF($C642="","",IFERROR(INDEX(Insumos!$D$2:$D$151,MATCH($C642,Insumos!$A$2:$A$151,0)),""))</f>
        <v/>
      </c>
      <c r="G642" s="18" t="n"/>
      <c r="H642" s="19">
        <f>IF(OR($A642="",$C642=""),"",IFERROR(INDEX(Insumos!$M$2:$S$151,MATCH($C642,Insumos!$A$2:$A$151,0),WEEKDAY($A642,2)),""))</f>
        <v/>
      </c>
      <c r="I642" s="19">
        <f>IF(OR($G642="",$H642=""),"",MAX(0,$H642-$G642))</f>
        <v/>
      </c>
      <c r="J642" s="21">
        <f>IF($I642="","",IF($I642=0,"OK",IF($G642&lt;=0,"Sin stock: pedir ya","Pedir o producir")))</f>
        <v/>
      </c>
      <c r="K642" s="17" t="n"/>
      <c r="L642" s="17" t="n"/>
      <c r="M642" s="21">
        <f>IF(OR($A642="",$A642&lt;&gt;'Lista para pedir'!$C$3,N($I642)&lt;=0),"",COUNTIFS($A$2:$A642,$A642,$I$2:$I642,"&gt;0"))</f>
        <v/>
      </c>
    </row>
    <row r="643">
      <c r="A643" s="20" t="n"/>
      <c r="B643" s="21">
        <f>IF($A643="","",CHOOSE(WEEKDAY($A643,2),"Lunes","Martes","Miércoles","Jueves","Viernes","Sábado","Domingo"))</f>
        <v/>
      </c>
      <c r="C643" s="17" t="n"/>
      <c r="D643" s="21">
        <f>IF($C643="","",IFERROR(INDEX(Insumos!$B$2:$B$151,MATCH($C643,Insumos!$A$2:$A$151,0)),"Código no cargado"))</f>
        <v/>
      </c>
      <c r="E643" s="21">
        <f>IF($C643="","",IFERROR(INDEX(Insumos!$C$2:$C$151,MATCH($C643,Insumos!$A$2:$A$151,0)),""))</f>
        <v/>
      </c>
      <c r="F643" s="21">
        <f>IF($C643="","",IFERROR(INDEX(Insumos!$D$2:$D$151,MATCH($C643,Insumos!$A$2:$A$151,0)),""))</f>
        <v/>
      </c>
      <c r="G643" s="18" t="n"/>
      <c r="H643" s="19">
        <f>IF(OR($A643="",$C643=""),"",IFERROR(INDEX(Insumos!$M$2:$S$151,MATCH($C643,Insumos!$A$2:$A$151,0),WEEKDAY($A643,2)),""))</f>
        <v/>
      </c>
      <c r="I643" s="19">
        <f>IF(OR($G643="",$H643=""),"",MAX(0,$H643-$G643))</f>
        <v/>
      </c>
      <c r="J643" s="21">
        <f>IF($I643="","",IF($I643=0,"OK",IF($G643&lt;=0,"Sin stock: pedir ya","Pedir o producir")))</f>
        <v/>
      </c>
      <c r="K643" s="17" t="n"/>
      <c r="L643" s="17" t="n"/>
      <c r="M643" s="21">
        <f>IF(OR($A643="",$A643&lt;&gt;'Lista para pedir'!$C$3,N($I643)&lt;=0),"",COUNTIFS($A$2:$A643,$A643,$I$2:$I643,"&gt;0"))</f>
        <v/>
      </c>
    </row>
    <row r="644">
      <c r="A644" s="20" t="n"/>
      <c r="B644" s="21">
        <f>IF($A644="","",CHOOSE(WEEKDAY($A644,2),"Lunes","Martes","Miércoles","Jueves","Viernes","Sábado","Domingo"))</f>
        <v/>
      </c>
      <c r="C644" s="17" t="n"/>
      <c r="D644" s="21">
        <f>IF($C644="","",IFERROR(INDEX(Insumos!$B$2:$B$151,MATCH($C644,Insumos!$A$2:$A$151,0)),"Código no cargado"))</f>
        <v/>
      </c>
      <c r="E644" s="21">
        <f>IF($C644="","",IFERROR(INDEX(Insumos!$C$2:$C$151,MATCH($C644,Insumos!$A$2:$A$151,0)),""))</f>
        <v/>
      </c>
      <c r="F644" s="21">
        <f>IF($C644="","",IFERROR(INDEX(Insumos!$D$2:$D$151,MATCH($C644,Insumos!$A$2:$A$151,0)),""))</f>
        <v/>
      </c>
      <c r="G644" s="18" t="n"/>
      <c r="H644" s="19">
        <f>IF(OR($A644="",$C644=""),"",IFERROR(INDEX(Insumos!$M$2:$S$151,MATCH($C644,Insumos!$A$2:$A$151,0),WEEKDAY($A644,2)),""))</f>
        <v/>
      </c>
      <c r="I644" s="19">
        <f>IF(OR($G644="",$H644=""),"",MAX(0,$H644-$G644))</f>
        <v/>
      </c>
      <c r="J644" s="21">
        <f>IF($I644="","",IF($I644=0,"OK",IF($G644&lt;=0,"Sin stock: pedir ya","Pedir o producir")))</f>
        <v/>
      </c>
      <c r="K644" s="17" t="n"/>
      <c r="L644" s="17" t="n"/>
      <c r="M644" s="21">
        <f>IF(OR($A644="",$A644&lt;&gt;'Lista para pedir'!$C$3,N($I644)&lt;=0),"",COUNTIFS($A$2:$A644,$A644,$I$2:$I644,"&gt;0"))</f>
        <v/>
      </c>
    </row>
    <row r="645">
      <c r="A645" s="20" t="n"/>
      <c r="B645" s="21">
        <f>IF($A645="","",CHOOSE(WEEKDAY($A645,2),"Lunes","Martes","Miércoles","Jueves","Viernes","Sábado","Domingo"))</f>
        <v/>
      </c>
      <c r="C645" s="17" t="n"/>
      <c r="D645" s="21">
        <f>IF($C645="","",IFERROR(INDEX(Insumos!$B$2:$B$151,MATCH($C645,Insumos!$A$2:$A$151,0)),"Código no cargado"))</f>
        <v/>
      </c>
      <c r="E645" s="21">
        <f>IF($C645="","",IFERROR(INDEX(Insumos!$C$2:$C$151,MATCH($C645,Insumos!$A$2:$A$151,0)),""))</f>
        <v/>
      </c>
      <c r="F645" s="21">
        <f>IF($C645="","",IFERROR(INDEX(Insumos!$D$2:$D$151,MATCH($C645,Insumos!$A$2:$A$151,0)),""))</f>
        <v/>
      </c>
      <c r="G645" s="18" t="n"/>
      <c r="H645" s="19">
        <f>IF(OR($A645="",$C645=""),"",IFERROR(INDEX(Insumos!$M$2:$S$151,MATCH($C645,Insumos!$A$2:$A$151,0),WEEKDAY($A645,2)),""))</f>
        <v/>
      </c>
      <c r="I645" s="19">
        <f>IF(OR($G645="",$H645=""),"",MAX(0,$H645-$G645))</f>
        <v/>
      </c>
      <c r="J645" s="21">
        <f>IF($I645="","",IF($I645=0,"OK",IF($G645&lt;=0,"Sin stock: pedir ya","Pedir o producir")))</f>
        <v/>
      </c>
      <c r="K645" s="17" t="n"/>
      <c r="L645" s="17" t="n"/>
      <c r="M645" s="21">
        <f>IF(OR($A645="",$A645&lt;&gt;'Lista para pedir'!$C$3,N($I645)&lt;=0),"",COUNTIFS($A$2:$A645,$A645,$I$2:$I645,"&gt;0"))</f>
        <v/>
      </c>
    </row>
    <row r="646">
      <c r="A646" s="20" t="n"/>
      <c r="B646" s="21">
        <f>IF($A646="","",CHOOSE(WEEKDAY($A646,2),"Lunes","Martes","Miércoles","Jueves","Viernes","Sábado","Domingo"))</f>
        <v/>
      </c>
      <c r="C646" s="17" t="n"/>
      <c r="D646" s="21">
        <f>IF($C646="","",IFERROR(INDEX(Insumos!$B$2:$B$151,MATCH($C646,Insumos!$A$2:$A$151,0)),"Código no cargado"))</f>
        <v/>
      </c>
      <c r="E646" s="21">
        <f>IF($C646="","",IFERROR(INDEX(Insumos!$C$2:$C$151,MATCH($C646,Insumos!$A$2:$A$151,0)),""))</f>
        <v/>
      </c>
      <c r="F646" s="21">
        <f>IF($C646="","",IFERROR(INDEX(Insumos!$D$2:$D$151,MATCH($C646,Insumos!$A$2:$A$151,0)),""))</f>
        <v/>
      </c>
      <c r="G646" s="18" t="n"/>
      <c r="H646" s="19">
        <f>IF(OR($A646="",$C646=""),"",IFERROR(INDEX(Insumos!$M$2:$S$151,MATCH($C646,Insumos!$A$2:$A$151,0),WEEKDAY($A646,2)),""))</f>
        <v/>
      </c>
      <c r="I646" s="19">
        <f>IF(OR($G646="",$H646=""),"",MAX(0,$H646-$G646))</f>
        <v/>
      </c>
      <c r="J646" s="21">
        <f>IF($I646="","",IF($I646=0,"OK",IF($G646&lt;=0,"Sin stock: pedir ya","Pedir o producir")))</f>
        <v/>
      </c>
      <c r="K646" s="17" t="n"/>
      <c r="L646" s="17" t="n"/>
      <c r="M646" s="21">
        <f>IF(OR($A646="",$A646&lt;&gt;'Lista para pedir'!$C$3,N($I646)&lt;=0),"",COUNTIFS($A$2:$A646,$A646,$I$2:$I646,"&gt;0"))</f>
        <v/>
      </c>
    </row>
    <row r="647">
      <c r="A647" s="20" t="n"/>
      <c r="B647" s="21">
        <f>IF($A647="","",CHOOSE(WEEKDAY($A647,2),"Lunes","Martes","Miércoles","Jueves","Viernes","Sábado","Domingo"))</f>
        <v/>
      </c>
      <c r="C647" s="17" t="n"/>
      <c r="D647" s="21">
        <f>IF($C647="","",IFERROR(INDEX(Insumos!$B$2:$B$151,MATCH($C647,Insumos!$A$2:$A$151,0)),"Código no cargado"))</f>
        <v/>
      </c>
      <c r="E647" s="21">
        <f>IF($C647="","",IFERROR(INDEX(Insumos!$C$2:$C$151,MATCH($C647,Insumos!$A$2:$A$151,0)),""))</f>
        <v/>
      </c>
      <c r="F647" s="21">
        <f>IF($C647="","",IFERROR(INDEX(Insumos!$D$2:$D$151,MATCH($C647,Insumos!$A$2:$A$151,0)),""))</f>
        <v/>
      </c>
      <c r="G647" s="18" t="n"/>
      <c r="H647" s="19">
        <f>IF(OR($A647="",$C647=""),"",IFERROR(INDEX(Insumos!$M$2:$S$151,MATCH($C647,Insumos!$A$2:$A$151,0),WEEKDAY($A647,2)),""))</f>
        <v/>
      </c>
      <c r="I647" s="19">
        <f>IF(OR($G647="",$H647=""),"",MAX(0,$H647-$G647))</f>
        <v/>
      </c>
      <c r="J647" s="21">
        <f>IF($I647="","",IF($I647=0,"OK",IF($G647&lt;=0,"Sin stock: pedir ya","Pedir o producir")))</f>
        <v/>
      </c>
      <c r="K647" s="17" t="n"/>
      <c r="L647" s="17" t="n"/>
      <c r="M647" s="21">
        <f>IF(OR($A647="",$A647&lt;&gt;'Lista para pedir'!$C$3,N($I647)&lt;=0),"",COUNTIFS($A$2:$A647,$A647,$I$2:$I647,"&gt;0"))</f>
        <v/>
      </c>
    </row>
    <row r="648">
      <c r="A648" s="20" t="n"/>
      <c r="B648" s="21">
        <f>IF($A648="","",CHOOSE(WEEKDAY($A648,2),"Lunes","Martes","Miércoles","Jueves","Viernes","Sábado","Domingo"))</f>
        <v/>
      </c>
      <c r="C648" s="17" t="n"/>
      <c r="D648" s="21">
        <f>IF($C648="","",IFERROR(INDEX(Insumos!$B$2:$B$151,MATCH($C648,Insumos!$A$2:$A$151,0)),"Código no cargado"))</f>
        <v/>
      </c>
      <c r="E648" s="21">
        <f>IF($C648="","",IFERROR(INDEX(Insumos!$C$2:$C$151,MATCH($C648,Insumos!$A$2:$A$151,0)),""))</f>
        <v/>
      </c>
      <c r="F648" s="21">
        <f>IF($C648="","",IFERROR(INDEX(Insumos!$D$2:$D$151,MATCH($C648,Insumos!$A$2:$A$151,0)),""))</f>
        <v/>
      </c>
      <c r="G648" s="18" t="n"/>
      <c r="H648" s="19">
        <f>IF(OR($A648="",$C648=""),"",IFERROR(INDEX(Insumos!$M$2:$S$151,MATCH($C648,Insumos!$A$2:$A$151,0),WEEKDAY($A648,2)),""))</f>
        <v/>
      </c>
      <c r="I648" s="19">
        <f>IF(OR($G648="",$H648=""),"",MAX(0,$H648-$G648))</f>
        <v/>
      </c>
      <c r="J648" s="21">
        <f>IF($I648="","",IF($I648=0,"OK",IF($G648&lt;=0,"Sin stock: pedir ya","Pedir o producir")))</f>
        <v/>
      </c>
      <c r="K648" s="17" t="n"/>
      <c r="L648" s="17" t="n"/>
      <c r="M648" s="21">
        <f>IF(OR($A648="",$A648&lt;&gt;'Lista para pedir'!$C$3,N($I648)&lt;=0),"",COUNTIFS($A$2:$A648,$A648,$I$2:$I648,"&gt;0"))</f>
        <v/>
      </c>
    </row>
    <row r="649">
      <c r="A649" s="20" t="n"/>
      <c r="B649" s="21">
        <f>IF($A649="","",CHOOSE(WEEKDAY($A649,2),"Lunes","Martes","Miércoles","Jueves","Viernes","Sábado","Domingo"))</f>
        <v/>
      </c>
      <c r="C649" s="17" t="n"/>
      <c r="D649" s="21">
        <f>IF($C649="","",IFERROR(INDEX(Insumos!$B$2:$B$151,MATCH($C649,Insumos!$A$2:$A$151,0)),"Código no cargado"))</f>
        <v/>
      </c>
      <c r="E649" s="21">
        <f>IF($C649="","",IFERROR(INDEX(Insumos!$C$2:$C$151,MATCH($C649,Insumos!$A$2:$A$151,0)),""))</f>
        <v/>
      </c>
      <c r="F649" s="21">
        <f>IF($C649="","",IFERROR(INDEX(Insumos!$D$2:$D$151,MATCH($C649,Insumos!$A$2:$A$151,0)),""))</f>
        <v/>
      </c>
      <c r="G649" s="18" t="n"/>
      <c r="H649" s="19">
        <f>IF(OR($A649="",$C649=""),"",IFERROR(INDEX(Insumos!$M$2:$S$151,MATCH($C649,Insumos!$A$2:$A$151,0),WEEKDAY($A649,2)),""))</f>
        <v/>
      </c>
      <c r="I649" s="19">
        <f>IF(OR($G649="",$H649=""),"",MAX(0,$H649-$G649))</f>
        <v/>
      </c>
      <c r="J649" s="21">
        <f>IF($I649="","",IF($I649=0,"OK",IF($G649&lt;=0,"Sin stock: pedir ya","Pedir o producir")))</f>
        <v/>
      </c>
      <c r="K649" s="17" t="n"/>
      <c r="L649" s="17" t="n"/>
      <c r="M649" s="21">
        <f>IF(OR($A649="",$A649&lt;&gt;'Lista para pedir'!$C$3,N($I649)&lt;=0),"",COUNTIFS($A$2:$A649,$A649,$I$2:$I649,"&gt;0"))</f>
        <v/>
      </c>
    </row>
    <row r="650">
      <c r="A650" s="20" t="n"/>
      <c r="B650" s="21">
        <f>IF($A650="","",CHOOSE(WEEKDAY($A650,2),"Lunes","Martes","Miércoles","Jueves","Viernes","Sábado","Domingo"))</f>
        <v/>
      </c>
      <c r="C650" s="17" t="n"/>
      <c r="D650" s="21">
        <f>IF($C650="","",IFERROR(INDEX(Insumos!$B$2:$B$151,MATCH($C650,Insumos!$A$2:$A$151,0)),"Código no cargado"))</f>
        <v/>
      </c>
      <c r="E650" s="21">
        <f>IF($C650="","",IFERROR(INDEX(Insumos!$C$2:$C$151,MATCH($C650,Insumos!$A$2:$A$151,0)),""))</f>
        <v/>
      </c>
      <c r="F650" s="21">
        <f>IF($C650="","",IFERROR(INDEX(Insumos!$D$2:$D$151,MATCH($C650,Insumos!$A$2:$A$151,0)),""))</f>
        <v/>
      </c>
      <c r="G650" s="18" t="n"/>
      <c r="H650" s="19">
        <f>IF(OR($A650="",$C650=""),"",IFERROR(INDEX(Insumos!$M$2:$S$151,MATCH($C650,Insumos!$A$2:$A$151,0),WEEKDAY($A650,2)),""))</f>
        <v/>
      </c>
      <c r="I650" s="19">
        <f>IF(OR($G650="",$H650=""),"",MAX(0,$H650-$G650))</f>
        <v/>
      </c>
      <c r="J650" s="21">
        <f>IF($I650="","",IF($I650=0,"OK",IF($G650&lt;=0,"Sin stock: pedir ya","Pedir o producir")))</f>
        <v/>
      </c>
      <c r="K650" s="17" t="n"/>
      <c r="L650" s="17" t="n"/>
      <c r="M650" s="21">
        <f>IF(OR($A650="",$A650&lt;&gt;'Lista para pedir'!$C$3,N($I650)&lt;=0),"",COUNTIFS($A$2:$A650,$A650,$I$2:$I650,"&gt;0"))</f>
        <v/>
      </c>
    </row>
    <row r="651">
      <c r="A651" s="20" t="n"/>
      <c r="B651" s="21">
        <f>IF($A651="","",CHOOSE(WEEKDAY($A651,2),"Lunes","Martes","Miércoles","Jueves","Viernes","Sábado","Domingo"))</f>
        <v/>
      </c>
      <c r="C651" s="17" t="n"/>
      <c r="D651" s="21">
        <f>IF($C651="","",IFERROR(INDEX(Insumos!$B$2:$B$151,MATCH($C651,Insumos!$A$2:$A$151,0)),"Código no cargado"))</f>
        <v/>
      </c>
      <c r="E651" s="21">
        <f>IF($C651="","",IFERROR(INDEX(Insumos!$C$2:$C$151,MATCH($C651,Insumos!$A$2:$A$151,0)),""))</f>
        <v/>
      </c>
      <c r="F651" s="21">
        <f>IF($C651="","",IFERROR(INDEX(Insumos!$D$2:$D$151,MATCH($C651,Insumos!$A$2:$A$151,0)),""))</f>
        <v/>
      </c>
      <c r="G651" s="18" t="n"/>
      <c r="H651" s="19">
        <f>IF(OR($A651="",$C651=""),"",IFERROR(INDEX(Insumos!$M$2:$S$151,MATCH($C651,Insumos!$A$2:$A$151,0),WEEKDAY($A651,2)),""))</f>
        <v/>
      </c>
      <c r="I651" s="19">
        <f>IF(OR($G651="",$H651=""),"",MAX(0,$H651-$G651))</f>
        <v/>
      </c>
      <c r="J651" s="21">
        <f>IF($I651="","",IF($I651=0,"OK",IF($G651&lt;=0,"Sin stock: pedir ya","Pedir o producir")))</f>
        <v/>
      </c>
      <c r="K651" s="17" t="n"/>
      <c r="L651" s="17" t="n"/>
      <c r="M651" s="21">
        <f>IF(OR($A651="",$A651&lt;&gt;'Lista para pedir'!$C$3,N($I651)&lt;=0),"",COUNTIFS($A$2:$A651,$A651,$I$2:$I651,"&gt;0"))</f>
        <v/>
      </c>
    </row>
    <row r="652">
      <c r="A652" s="20" t="n"/>
      <c r="B652" s="21">
        <f>IF($A652="","",CHOOSE(WEEKDAY($A652,2),"Lunes","Martes","Miércoles","Jueves","Viernes","Sábado","Domingo"))</f>
        <v/>
      </c>
      <c r="C652" s="17" t="n"/>
      <c r="D652" s="21">
        <f>IF($C652="","",IFERROR(INDEX(Insumos!$B$2:$B$151,MATCH($C652,Insumos!$A$2:$A$151,0)),"Código no cargado"))</f>
        <v/>
      </c>
      <c r="E652" s="21">
        <f>IF($C652="","",IFERROR(INDEX(Insumos!$C$2:$C$151,MATCH($C652,Insumos!$A$2:$A$151,0)),""))</f>
        <v/>
      </c>
      <c r="F652" s="21">
        <f>IF($C652="","",IFERROR(INDEX(Insumos!$D$2:$D$151,MATCH($C652,Insumos!$A$2:$A$151,0)),""))</f>
        <v/>
      </c>
      <c r="G652" s="18" t="n"/>
      <c r="H652" s="19">
        <f>IF(OR($A652="",$C652=""),"",IFERROR(INDEX(Insumos!$M$2:$S$151,MATCH($C652,Insumos!$A$2:$A$151,0),WEEKDAY($A652,2)),""))</f>
        <v/>
      </c>
      <c r="I652" s="19">
        <f>IF(OR($G652="",$H652=""),"",MAX(0,$H652-$G652))</f>
        <v/>
      </c>
      <c r="J652" s="21">
        <f>IF($I652="","",IF($I652=0,"OK",IF($G652&lt;=0,"Sin stock: pedir ya","Pedir o producir")))</f>
        <v/>
      </c>
      <c r="K652" s="17" t="n"/>
      <c r="L652" s="17" t="n"/>
      <c r="M652" s="21">
        <f>IF(OR($A652="",$A652&lt;&gt;'Lista para pedir'!$C$3,N($I652)&lt;=0),"",COUNTIFS($A$2:$A652,$A652,$I$2:$I652,"&gt;0"))</f>
        <v/>
      </c>
    </row>
    <row r="653">
      <c r="A653" s="20" t="n"/>
      <c r="B653" s="21">
        <f>IF($A653="","",CHOOSE(WEEKDAY($A653,2),"Lunes","Martes","Miércoles","Jueves","Viernes","Sábado","Domingo"))</f>
        <v/>
      </c>
      <c r="C653" s="17" t="n"/>
      <c r="D653" s="21">
        <f>IF($C653="","",IFERROR(INDEX(Insumos!$B$2:$B$151,MATCH($C653,Insumos!$A$2:$A$151,0)),"Código no cargado"))</f>
        <v/>
      </c>
      <c r="E653" s="21">
        <f>IF($C653="","",IFERROR(INDEX(Insumos!$C$2:$C$151,MATCH($C653,Insumos!$A$2:$A$151,0)),""))</f>
        <v/>
      </c>
      <c r="F653" s="21">
        <f>IF($C653="","",IFERROR(INDEX(Insumos!$D$2:$D$151,MATCH($C653,Insumos!$A$2:$A$151,0)),""))</f>
        <v/>
      </c>
      <c r="G653" s="18" t="n"/>
      <c r="H653" s="19">
        <f>IF(OR($A653="",$C653=""),"",IFERROR(INDEX(Insumos!$M$2:$S$151,MATCH($C653,Insumos!$A$2:$A$151,0),WEEKDAY($A653,2)),""))</f>
        <v/>
      </c>
      <c r="I653" s="19">
        <f>IF(OR($G653="",$H653=""),"",MAX(0,$H653-$G653))</f>
        <v/>
      </c>
      <c r="J653" s="21">
        <f>IF($I653="","",IF($I653=0,"OK",IF($G653&lt;=0,"Sin stock: pedir ya","Pedir o producir")))</f>
        <v/>
      </c>
      <c r="K653" s="17" t="n"/>
      <c r="L653" s="17" t="n"/>
      <c r="M653" s="21">
        <f>IF(OR($A653="",$A653&lt;&gt;'Lista para pedir'!$C$3,N($I653)&lt;=0),"",COUNTIFS($A$2:$A653,$A653,$I$2:$I653,"&gt;0"))</f>
        <v/>
      </c>
    </row>
    <row r="654">
      <c r="A654" s="20" t="n"/>
      <c r="B654" s="21">
        <f>IF($A654="","",CHOOSE(WEEKDAY($A654,2),"Lunes","Martes","Miércoles","Jueves","Viernes","Sábado","Domingo"))</f>
        <v/>
      </c>
      <c r="C654" s="17" t="n"/>
      <c r="D654" s="21">
        <f>IF($C654="","",IFERROR(INDEX(Insumos!$B$2:$B$151,MATCH($C654,Insumos!$A$2:$A$151,0)),"Código no cargado"))</f>
        <v/>
      </c>
      <c r="E654" s="21">
        <f>IF($C654="","",IFERROR(INDEX(Insumos!$C$2:$C$151,MATCH($C654,Insumos!$A$2:$A$151,0)),""))</f>
        <v/>
      </c>
      <c r="F654" s="21">
        <f>IF($C654="","",IFERROR(INDEX(Insumos!$D$2:$D$151,MATCH($C654,Insumos!$A$2:$A$151,0)),""))</f>
        <v/>
      </c>
      <c r="G654" s="18" t="n"/>
      <c r="H654" s="19">
        <f>IF(OR($A654="",$C654=""),"",IFERROR(INDEX(Insumos!$M$2:$S$151,MATCH($C654,Insumos!$A$2:$A$151,0),WEEKDAY($A654,2)),""))</f>
        <v/>
      </c>
      <c r="I654" s="19">
        <f>IF(OR($G654="",$H654=""),"",MAX(0,$H654-$G654))</f>
        <v/>
      </c>
      <c r="J654" s="21">
        <f>IF($I654="","",IF($I654=0,"OK",IF($G654&lt;=0,"Sin stock: pedir ya","Pedir o producir")))</f>
        <v/>
      </c>
      <c r="K654" s="17" t="n"/>
      <c r="L654" s="17" t="n"/>
      <c r="M654" s="21">
        <f>IF(OR($A654="",$A654&lt;&gt;'Lista para pedir'!$C$3,N($I654)&lt;=0),"",COUNTIFS($A$2:$A654,$A654,$I$2:$I654,"&gt;0"))</f>
        <v/>
      </c>
    </row>
    <row r="655">
      <c r="A655" s="20" t="n"/>
      <c r="B655" s="21">
        <f>IF($A655="","",CHOOSE(WEEKDAY($A655,2),"Lunes","Martes","Miércoles","Jueves","Viernes","Sábado","Domingo"))</f>
        <v/>
      </c>
      <c r="C655" s="17" t="n"/>
      <c r="D655" s="21">
        <f>IF($C655="","",IFERROR(INDEX(Insumos!$B$2:$B$151,MATCH($C655,Insumos!$A$2:$A$151,0)),"Código no cargado"))</f>
        <v/>
      </c>
      <c r="E655" s="21">
        <f>IF($C655="","",IFERROR(INDEX(Insumos!$C$2:$C$151,MATCH($C655,Insumos!$A$2:$A$151,0)),""))</f>
        <v/>
      </c>
      <c r="F655" s="21">
        <f>IF($C655="","",IFERROR(INDEX(Insumos!$D$2:$D$151,MATCH($C655,Insumos!$A$2:$A$151,0)),""))</f>
        <v/>
      </c>
      <c r="G655" s="18" t="n"/>
      <c r="H655" s="19">
        <f>IF(OR($A655="",$C655=""),"",IFERROR(INDEX(Insumos!$M$2:$S$151,MATCH($C655,Insumos!$A$2:$A$151,0),WEEKDAY($A655,2)),""))</f>
        <v/>
      </c>
      <c r="I655" s="19">
        <f>IF(OR($G655="",$H655=""),"",MAX(0,$H655-$G655))</f>
        <v/>
      </c>
      <c r="J655" s="21">
        <f>IF($I655="","",IF($I655=0,"OK",IF($G655&lt;=0,"Sin stock: pedir ya","Pedir o producir")))</f>
        <v/>
      </c>
      <c r="K655" s="17" t="n"/>
      <c r="L655" s="17" t="n"/>
      <c r="M655" s="21">
        <f>IF(OR($A655="",$A655&lt;&gt;'Lista para pedir'!$C$3,N($I655)&lt;=0),"",COUNTIFS($A$2:$A655,$A655,$I$2:$I655,"&gt;0"))</f>
        <v/>
      </c>
    </row>
    <row r="656">
      <c r="A656" s="20" t="n"/>
      <c r="B656" s="21">
        <f>IF($A656="","",CHOOSE(WEEKDAY($A656,2),"Lunes","Martes","Miércoles","Jueves","Viernes","Sábado","Domingo"))</f>
        <v/>
      </c>
      <c r="C656" s="17" t="n"/>
      <c r="D656" s="21">
        <f>IF($C656="","",IFERROR(INDEX(Insumos!$B$2:$B$151,MATCH($C656,Insumos!$A$2:$A$151,0)),"Código no cargado"))</f>
        <v/>
      </c>
      <c r="E656" s="21">
        <f>IF($C656="","",IFERROR(INDEX(Insumos!$C$2:$C$151,MATCH($C656,Insumos!$A$2:$A$151,0)),""))</f>
        <v/>
      </c>
      <c r="F656" s="21">
        <f>IF($C656="","",IFERROR(INDEX(Insumos!$D$2:$D$151,MATCH($C656,Insumos!$A$2:$A$151,0)),""))</f>
        <v/>
      </c>
      <c r="G656" s="18" t="n"/>
      <c r="H656" s="19">
        <f>IF(OR($A656="",$C656=""),"",IFERROR(INDEX(Insumos!$M$2:$S$151,MATCH($C656,Insumos!$A$2:$A$151,0),WEEKDAY($A656,2)),""))</f>
        <v/>
      </c>
      <c r="I656" s="19">
        <f>IF(OR($G656="",$H656=""),"",MAX(0,$H656-$G656))</f>
        <v/>
      </c>
      <c r="J656" s="21">
        <f>IF($I656="","",IF($I656=0,"OK",IF($G656&lt;=0,"Sin stock: pedir ya","Pedir o producir")))</f>
        <v/>
      </c>
      <c r="K656" s="17" t="n"/>
      <c r="L656" s="17" t="n"/>
      <c r="M656" s="21">
        <f>IF(OR($A656="",$A656&lt;&gt;'Lista para pedir'!$C$3,N($I656)&lt;=0),"",COUNTIFS($A$2:$A656,$A656,$I$2:$I656,"&gt;0"))</f>
        <v/>
      </c>
    </row>
    <row r="657">
      <c r="A657" s="20" t="n"/>
      <c r="B657" s="21">
        <f>IF($A657="","",CHOOSE(WEEKDAY($A657,2),"Lunes","Martes","Miércoles","Jueves","Viernes","Sábado","Domingo"))</f>
        <v/>
      </c>
      <c r="C657" s="17" t="n"/>
      <c r="D657" s="21">
        <f>IF($C657="","",IFERROR(INDEX(Insumos!$B$2:$B$151,MATCH($C657,Insumos!$A$2:$A$151,0)),"Código no cargado"))</f>
        <v/>
      </c>
      <c r="E657" s="21">
        <f>IF($C657="","",IFERROR(INDEX(Insumos!$C$2:$C$151,MATCH($C657,Insumos!$A$2:$A$151,0)),""))</f>
        <v/>
      </c>
      <c r="F657" s="21">
        <f>IF($C657="","",IFERROR(INDEX(Insumos!$D$2:$D$151,MATCH($C657,Insumos!$A$2:$A$151,0)),""))</f>
        <v/>
      </c>
      <c r="G657" s="18" t="n"/>
      <c r="H657" s="19">
        <f>IF(OR($A657="",$C657=""),"",IFERROR(INDEX(Insumos!$M$2:$S$151,MATCH($C657,Insumos!$A$2:$A$151,0),WEEKDAY($A657,2)),""))</f>
        <v/>
      </c>
      <c r="I657" s="19">
        <f>IF(OR($G657="",$H657=""),"",MAX(0,$H657-$G657))</f>
        <v/>
      </c>
      <c r="J657" s="21">
        <f>IF($I657="","",IF($I657=0,"OK",IF($G657&lt;=0,"Sin stock: pedir ya","Pedir o producir")))</f>
        <v/>
      </c>
      <c r="K657" s="17" t="n"/>
      <c r="L657" s="17" t="n"/>
      <c r="M657" s="21">
        <f>IF(OR($A657="",$A657&lt;&gt;'Lista para pedir'!$C$3,N($I657)&lt;=0),"",COUNTIFS($A$2:$A657,$A657,$I$2:$I657,"&gt;0"))</f>
        <v/>
      </c>
    </row>
    <row r="658">
      <c r="A658" s="20" t="n"/>
      <c r="B658" s="21">
        <f>IF($A658="","",CHOOSE(WEEKDAY($A658,2),"Lunes","Martes","Miércoles","Jueves","Viernes","Sábado","Domingo"))</f>
        <v/>
      </c>
      <c r="C658" s="17" t="n"/>
      <c r="D658" s="21">
        <f>IF($C658="","",IFERROR(INDEX(Insumos!$B$2:$B$151,MATCH($C658,Insumos!$A$2:$A$151,0)),"Código no cargado"))</f>
        <v/>
      </c>
      <c r="E658" s="21">
        <f>IF($C658="","",IFERROR(INDEX(Insumos!$C$2:$C$151,MATCH($C658,Insumos!$A$2:$A$151,0)),""))</f>
        <v/>
      </c>
      <c r="F658" s="21">
        <f>IF($C658="","",IFERROR(INDEX(Insumos!$D$2:$D$151,MATCH($C658,Insumos!$A$2:$A$151,0)),""))</f>
        <v/>
      </c>
      <c r="G658" s="18" t="n"/>
      <c r="H658" s="19">
        <f>IF(OR($A658="",$C658=""),"",IFERROR(INDEX(Insumos!$M$2:$S$151,MATCH($C658,Insumos!$A$2:$A$151,0),WEEKDAY($A658,2)),""))</f>
        <v/>
      </c>
      <c r="I658" s="19">
        <f>IF(OR($G658="",$H658=""),"",MAX(0,$H658-$G658))</f>
        <v/>
      </c>
      <c r="J658" s="21">
        <f>IF($I658="","",IF($I658=0,"OK",IF($G658&lt;=0,"Sin stock: pedir ya","Pedir o producir")))</f>
        <v/>
      </c>
      <c r="K658" s="17" t="n"/>
      <c r="L658" s="17" t="n"/>
      <c r="M658" s="21">
        <f>IF(OR($A658="",$A658&lt;&gt;'Lista para pedir'!$C$3,N($I658)&lt;=0),"",COUNTIFS($A$2:$A658,$A658,$I$2:$I658,"&gt;0"))</f>
        <v/>
      </c>
    </row>
    <row r="659">
      <c r="A659" s="20" t="n"/>
      <c r="B659" s="21">
        <f>IF($A659="","",CHOOSE(WEEKDAY($A659,2),"Lunes","Martes","Miércoles","Jueves","Viernes","Sábado","Domingo"))</f>
        <v/>
      </c>
      <c r="C659" s="17" t="n"/>
      <c r="D659" s="21">
        <f>IF($C659="","",IFERROR(INDEX(Insumos!$B$2:$B$151,MATCH($C659,Insumos!$A$2:$A$151,0)),"Código no cargado"))</f>
        <v/>
      </c>
      <c r="E659" s="21">
        <f>IF($C659="","",IFERROR(INDEX(Insumos!$C$2:$C$151,MATCH($C659,Insumos!$A$2:$A$151,0)),""))</f>
        <v/>
      </c>
      <c r="F659" s="21">
        <f>IF($C659="","",IFERROR(INDEX(Insumos!$D$2:$D$151,MATCH($C659,Insumos!$A$2:$A$151,0)),""))</f>
        <v/>
      </c>
      <c r="G659" s="18" t="n"/>
      <c r="H659" s="19">
        <f>IF(OR($A659="",$C659=""),"",IFERROR(INDEX(Insumos!$M$2:$S$151,MATCH($C659,Insumos!$A$2:$A$151,0),WEEKDAY($A659,2)),""))</f>
        <v/>
      </c>
      <c r="I659" s="19">
        <f>IF(OR($G659="",$H659=""),"",MAX(0,$H659-$G659))</f>
        <v/>
      </c>
      <c r="J659" s="21">
        <f>IF($I659="","",IF($I659=0,"OK",IF($G659&lt;=0,"Sin stock: pedir ya","Pedir o producir")))</f>
        <v/>
      </c>
      <c r="K659" s="17" t="n"/>
      <c r="L659" s="17" t="n"/>
      <c r="M659" s="21">
        <f>IF(OR($A659="",$A659&lt;&gt;'Lista para pedir'!$C$3,N($I659)&lt;=0),"",COUNTIFS($A$2:$A659,$A659,$I$2:$I659,"&gt;0"))</f>
        <v/>
      </c>
    </row>
    <row r="660">
      <c r="A660" s="20" t="n"/>
      <c r="B660" s="21">
        <f>IF($A660="","",CHOOSE(WEEKDAY($A660,2),"Lunes","Martes","Miércoles","Jueves","Viernes","Sábado","Domingo"))</f>
        <v/>
      </c>
      <c r="C660" s="17" t="n"/>
      <c r="D660" s="21">
        <f>IF($C660="","",IFERROR(INDEX(Insumos!$B$2:$B$151,MATCH($C660,Insumos!$A$2:$A$151,0)),"Código no cargado"))</f>
        <v/>
      </c>
      <c r="E660" s="21">
        <f>IF($C660="","",IFERROR(INDEX(Insumos!$C$2:$C$151,MATCH($C660,Insumos!$A$2:$A$151,0)),""))</f>
        <v/>
      </c>
      <c r="F660" s="21">
        <f>IF($C660="","",IFERROR(INDEX(Insumos!$D$2:$D$151,MATCH($C660,Insumos!$A$2:$A$151,0)),""))</f>
        <v/>
      </c>
      <c r="G660" s="18" t="n"/>
      <c r="H660" s="19">
        <f>IF(OR($A660="",$C660=""),"",IFERROR(INDEX(Insumos!$M$2:$S$151,MATCH($C660,Insumos!$A$2:$A$151,0),WEEKDAY($A660,2)),""))</f>
        <v/>
      </c>
      <c r="I660" s="19">
        <f>IF(OR($G660="",$H660=""),"",MAX(0,$H660-$G660))</f>
        <v/>
      </c>
      <c r="J660" s="21">
        <f>IF($I660="","",IF($I660=0,"OK",IF($G660&lt;=0,"Sin stock: pedir ya","Pedir o producir")))</f>
        <v/>
      </c>
      <c r="K660" s="17" t="n"/>
      <c r="L660" s="17" t="n"/>
      <c r="M660" s="21">
        <f>IF(OR($A660="",$A660&lt;&gt;'Lista para pedir'!$C$3,N($I660)&lt;=0),"",COUNTIFS($A$2:$A660,$A660,$I$2:$I660,"&gt;0"))</f>
        <v/>
      </c>
    </row>
    <row r="661">
      <c r="A661" s="20" t="n"/>
      <c r="B661" s="21">
        <f>IF($A661="","",CHOOSE(WEEKDAY($A661,2),"Lunes","Martes","Miércoles","Jueves","Viernes","Sábado","Domingo"))</f>
        <v/>
      </c>
      <c r="C661" s="17" t="n"/>
      <c r="D661" s="21">
        <f>IF($C661="","",IFERROR(INDEX(Insumos!$B$2:$B$151,MATCH($C661,Insumos!$A$2:$A$151,0)),"Código no cargado"))</f>
        <v/>
      </c>
      <c r="E661" s="21">
        <f>IF($C661="","",IFERROR(INDEX(Insumos!$C$2:$C$151,MATCH($C661,Insumos!$A$2:$A$151,0)),""))</f>
        <v/>
      </c>
      <c r="F661" s="21">
        <f>IF($C661="","",IFERROR(INDEX(Insumos!$D$2:$D$151,MATCH($C661,Insumos!$A$2:$A$151,0)),""))</f>
        <v/>
      </c>
      <c r="G661" s="18" t="n"/>
      <c r="H661" s="19">
        <f>IF(OR($A661="",$C661=""),"",IFERROR(INDEX(Insumos!$M$2:$S$151,MATCH($C661,Insumos!$A$2:$A$151,0),WEEKDAY($A661,2)),""))</f>
        <v/>
      </c>
      <c r="I661" s="19">
        <f>IF(OR($G661="",$H661=""),"",MAX(0,$H661-$G661))</f>
        <v/>
      </c>
      <c r="J661" s="21">
        <f>IF($I661="","",IF($I661=0,"OK",IF($G661&lt;=0,"Sin stock: pedir ya","Pedir o producir")))</f>
        <v/>
      </c>
      <c r="K661" s="17" t="n"/>
      <c r="L661" s="17" t="n"/>
      <c r="M661" s="21">
        <f>IF(OR($A661="",$A661&lt;&gt;'Lista para pedir'!$C$3,N($I661)&lt;=0),"",COUNTIFS($A$2:$A661,$A661,$I$2:$I661,"&gt;0"))</f>
        <v/>
      </c>
    </row>
    <row r="662">
      <c r="A662" s="20" t="n"/>
      <c r="B662" s="21">
        <f>IF($A662="","",CHOOSE(WEEKDAY($A662,2),"Lunes","Martes","Miércoles","Jueves","Viernes","Sábado","Domingo"))</f>
        <v/>
      </c>
      <c r="C662" s="17" t="n"/>
      <c r="D662" s="21">
        <f>IF($C662="","",IFERROR(INDEX(Insumos!$B$2:$B$151,MATCH($C662,Insumos!$A$2:$A$151,0)),"Código no cargado"))</f>
        <v/>
      </c>
      <c r="E662" s="21">
        <f>IF($C662="","",IFERROR(INDEX(Insumos!$C$2:$C$151,MATCH($C662,Insumos!$A$2:$A$151,0)),""))</f>
        <v/>
      </c>
      <c r="F662" s="21">
        <f>IF($C662="","",IFERROR(INDEX(Insumos!$D$2:$D$151,MATCH($C662,Insumos!$A$2:$A$151,0)),""))</f>
        <v/>
      </c>
      <c r="G662" s="18" t="n"/>
      <c r="H662" s="19">
        <f>IF(OR($A662="",$C662=""),"",IFERROR(INDEX(Insumos!$M$2:$S$151,MATCH($C662,Insumos!$A$2:$A$151,0),WEEKDAY($A662,2)),""))</f>
        <v/>
      </c>
      <c r="I662" s="19">
        <f>IF(OR($G662="",$H662=""),"",MAX(0,$H662-$G662))</f>
        <v/>
      </c>
      <c r="J662" s="21">
        <f>IF($I662="","",IF($I662=0,"OK",IF($G662&lt;=0,"Sin stock: pedir ya","Pedir o producir")))</f>
        <v/>
      </c>
      <c r="K662" s="17" t="n"/>
      <c r="L662" s="17" t="n"/>
      <c r="M662" s="21">
        <f>IF(OR($A662="",$A662&lt;&gt;'Lista para pedir'!$C$3,N($I662)&lt;=0),"",COUNTIFS($A$2:$A662,$A662,$I$2:$I662,"&gt;0"))</f>
        <v/>
      </c>
    </row>
    <row r="663">
      <c r="A663" s="20" t="n"/>
      <c r="B663" s="21">
        <f>IF($A663="","",CHOOSE(WEEKDAY($A663,2),"Lunes","Martes","Miércoles","Jueves","Viernes","Sábado","Domingo"))</f>
        <v/>
      </c>
      <c r="C663" s="17" t="n"/>
      <c r="D663" s="21">
        <f>IF($C663="","",IFERROR(INDEX(Insumos!$B$2:$B$151,MATCH($C663,Insumos!$A$2:$A$151,0)),"Código no cargado"))</f>
        <v/>
      </c>
      <c r="E663" s="21">
        <f>IF($C663="","",IFERROR(INDEX(Insumos!$C$2:$C$151,MATCH($C663,Insumos!$A$2:$A$151,0)),""))</f>
        <v/>
      </c>
      <c r="F663" s="21">
        <f>IF($C663="","",IFERROR(INDEX(Insumos!$D$2:$D$151,MATCH($C663,Insumos!$A$2:$A$151,0)),""))</f>
        <v/>
      </c>
      <c r="G663" s="18" t="n"/>
      <c r="H663" s="19">
        <f>IF(OR($A663="",$C663=""),"",IFERROR(INDEX(Insumos!$M$2:$S$151,MATCH($C663,Insumos!$A$2:$A$151,0),WEEKDAY($A663,2)),""))</f>
        <v/>
      </c>
      <c r="I663" s="19">
        <f>IF(OR($G663="",$H663=""),"",MAX(0,$H663-$G663))</f>
        <v/>
      </c>
      <c r="J663" s="21">
        <f>IF($I663="","",IF($I663=0,"OK",IF($G663&lt;=0,"Sin stock: pedir ya","Pedir o producir")))</f>
        <v/>
      </c>
      <c r="K663" s="17" t="n"/>
      <c r="L663" s="17" t="n"/>
      <c r="M663" s="21">
        <f>IF(OR($A663="",$A663&lt;&gt;'Lista para pedir'!$C$3,N($I663)&lt;=0),"",COUNTIFS($A$2:$A663,$A663,$I$2:$I663,"&gt;0"))</f>
        <v/>
      </c>
    </row>
    <row r="664">
      <c r="A664" s="20" t="n"/>
      <c r="B664" s="21">
        <f>IF($A664="","",CHOOSE(WEEKDAY($A664,2),"Lunes","Martes","Miércoles","Jueves","Viernes","Sábado","Domingo"))</f>
        <v/>
      </c>
      <c r="C664" s="17" t="n"/>
      <c r="D664" s="21">
        <f>IF($C664="","",IFERROR(INDEX(Insumos!$B$2:$B$151,MATCH($C664,Insumos!$A$2:$A$151,0)),"Código no cargado"))</f>
        <v/>
      </c>
      <c r="E664" s="21">
        <f>IF($C664="","",IFERROR(INDEX(Insumos!$C$2:$C$151,MATCH($C664,Insumos!$A$2:$A$151,0)),""))</f>
        <v/>
      </c>
      <c r="F664" s="21">
        <f>IF($C664="","",IFERROR(INDEX(Insumos!$D$2:$D$151,MATCH($C664,Insumos!$A$2:$A$151,0)),""))</f>
        <v/>
      </c>
      <c r="G664" s="18" t="n"/>
      <c r="H664" s="19">
        <f>IF(OR($A664="",$C664=""),"",IFERROR(INDEX(Insumos!$M$2:$S$151,MATCH($C664,Insumos!$A$2:$A$151,0),WEEKDAY($A664,2)),""))</f>
        <v/>
      </c>
      <c r="I664" s="19">
        <f>IF(OR($G664="",$H664=""),"",MAX(0,$H664-$G664))</f>
        <v/>
      </c>
      <c r="J664" s="21">
        <f>IF($I664="","",IF($I664=0,"OK",IF($G664&lt;=0,"Sin stock: pedir ya","Pedir o producir")))</f>
        <v/>
      </c>
      <c r="K664" s="17" t="n"/>
      <c r="L664" s="17" t="n"/>
      <c r="M664" s="21">
        <f>IF(OR($A664="",$A664&lt;&gt;'Lista para pedir'!$C$3,N($I664)&lt;=0),"",COUNTIFS($A$2:$A664,$A664,$I$2:$I664,"&gt;0"))</f>
        <v/>
      </c>
    </row>
    <row r="665">
      <c r="A665" s="20" t="n"/>
      <c r="B665" s="21">
        <f>IF($A665="","",CHOOSE(WEEKDAY($A665,2),"Lunes","Martes","Miércoles","Jueves","Viernes","Sábado","Domingo"))</f>
        <v/>
      </c>
      <c r="C665" s="17" t="n"/>
      <c r="D665" s="21">
        <f>IF($C665="","",IFERROR(INDEX(Insumos!$B$2:$B$151,MATCH($C665,Insumos!$A$2:$A$151,0)),"Código no cargado"))</f>
        <v/>
      </c>
      <c r="E665" s="21">
        <f>IF($C665="","",IFERROR(INDEX(Insumos!$C$2:$C$151,MATCH($C665,Insumos!$A$2:$A$151,0)),""))</f>
        <v/>
      </c>
      <c r="F665" s="21">
        <f>IF($C665="","",IFERROR(INDEX(Insumos!$D$2:$D$151,MATCH($C665,Insumos!$A$2:$A$151,0)),""))</f>
        <v/>
      </c>
      <c r="G665" s="18" t="n"/>
      <c r="H665" s="19">
        <f>IF(OR($A665="",$C665=""),"",IFERROR(INDEX(Insumos!$M$2:$S$151,MATCH($C665,Insumos!$A$2:$A$151,0),WEEKDAY($A665,2)),""))</f>
        <v/>
      </c>
      <c r="I665" s="19">
        <f>IF(OR($G665="",$H665=""),"",MAX(0,$H665-$G665))</f>
        <v/>
      </c>
      <c r="J665" s="21">
        <f>IF($I665="","",IF($I665=0,"OK",IF($G665&lt;=0,"Sin stock: pedir ya","Pedir o producir")))</f>
        <v/>
      </c>
      <c r="K665" s="17" t="n"/>
      <c r="L665" s="17" t="n"/>
      <c r="M665" s="21">
        <f>IF(OR($A665="",$A665&lt;&gt;'Lista para pedir'!$C$3,N($I665)&lt;=0),"",COUNTIFS($A$2:$A665,$A665,$I$2:$I665,"&gt;0"))</f>
        <v/>
      </c>
    </row>
    <row r="666">
      <c r="A666" s="20" t="n"/>
      <c r="B666" s="21">
        <f>IF($A666="","",CHOOSE(WEEKDAY($A666,2),"Lunes","Martes","Miércoles","Jueves","Viernes","Sábado","Domingo"))</f>
        <v/>
      </c>
      <c r="C666" s="17" t="n"/>
      <c r="D666" s="21">
        <f>IF($C666="","",IFERROR(INDEX(Insumos!$B$2:$B$151,MATCH($C666,Insumos!$A$2:$A$151,0)),"Código no cargado"))</f>
        <v/>
      </c>
      <c r="E666" s="21">
        <f>IF($C666="","",IFERROR(INDEX(Insumos!$C$2:$C$151,MATCH($C666,Insumos!$A$2:$A$151,0)),""))</f>
        <v/>
      </c>
      <c r="F666" s="21">
        <f>IF($C666="","",IFERROR(INDEX(Insumos!$D$2:$D$151,MATCH($C666,Insumos!$A$2:$A$151,0)),""))</f>
        <v/>
      </c>
      <c r="G666" s="18" t="n"/>
      <c r="H666" s="19">
        <f>IF(OR($A666="",$C666=""),"",IFERROR(INDEX(Insumos!$M$2:$S$151,MATCH($C666,Insumos!$A$2:$A$151,0),WEEKDAY($A666,2)),""))</f>
        <v/>
      </c>
      <c r="I666" s="19">
        <f>IF(OR($G666="",$H666=""),"",MAX(0,$H666-$G666))</f>
        <v/>
      </c>
      <c r="J666" s="21">
        <f>IF($I666="","",IF($I666=0,"OK",IF($G666&lt;=0,"Sin stock: pedir ya","Pedir o producir")))</f>
        <v/>
      </c>
      <c r="K666" s="17" t="n"/>
      <c r="L666" s="17" t="n"/>
      <c r="M666" s="21">
        <f>IF(OR($A666="",$A666&lt;&gt;'Lista para pedir'!$C$3,N($I666)&lt;=0),"",COUNTIFS($A$2:$A666,$A666,$I$2:$I666,"&gt;0"))</f>
        <v/>
      </c>
    </row>
    <row r="667">
      <c r="A667" s="20" t="n"/>
      <c r="B667" s="21">
        <f>IF($A667="","",CHOOSE(WEEKDAY($A667,2),"Lunes","Martes","Miércoles","Jueves","Viernes","Sábado","Domingo"))</f>
        <v/>
      </c>
      <c r="C667" s="17" t="n"/>
      <c r="D667" s="21">
        <f>IF($C667="","",IFERROR(INDEX(Insumos!$B$2:$B$151,MATCH($C667,Insumos!$A$2:$A$151,0)),"Código no cargado"))</f>
        <v/>
      </c>
      <c r="E667" s="21">
        <f>IF($C667="","",IFERROR(INDEX(Insumos!$C$2:$C$151,MATCH($C667,Insumos!$A$2:$A$151,0)),""))</f>
        <v/>
      </c>
      <c r="F667" s="21">
        <f>IF($C667="","",IFERROR(INDEX(Insumos!$D$2:$D$151,MATCH($C667,Insumos!$A$2:$A$151,0)),""))</f>
        <v/>
      </c>
      <c r="G667" s="18" t="n"/>
      <c r="H667" s="19">
        <f>IF(OR($A667="",$C667=""),"",IFERROR(INDEX(Insumos!$M$2:$S$151,MATCH($C667,Insumos!$A$2:$A$151,0),WEEKDAY($A667,2)),""))</f>
        <v/>
      </c>
      <c r="I667" s="19">
        <f>IF(OR($G667="",$H667=""),"",MAX(0,$H667-$G667))</f>
        <v/>
      </c>
      <c r="J667" s="21">
        <f>IF($I667="","",IF($I667=0,"OK",IF($G667&lt;=0,"Sin stock: pedir ya","Pedir o producir")))</f>
        <v/>
      </c>
      <c r="K667" s="17" t="n"/>
      <c r="L667" s="17" t="n"/>
      <c r="M667" s="21">
        <f>IF(OR($A667="",$A667&lt;&gt;'Lista para pedir'!$C$3,N($I667)&lt;=0),"",COUNTIFS($A$2:$A667,$A667,$I$2:$I667,"&gt;0"))</f>
        <v/>
      </c>
    </row>
    <row r="668">
      <c r="A668" s="20" t="n"/>
      <c r="B668" s="21">
        <f>IF($A668="","",CHOOSE(WEEKDAY($A668,2),"Lunes","Martes","Miércoles","Jueves","Viernes","Sábado","Domingo"))</f>
        <v/>
      </c>
      <c r="C668" s="17" t="n"/>
      <c r="D668" s="21">
        <f>IF($C668="","",IFERROR(INDEX(Insumos!$B$2:$B$151,MATCH($C668,Insumos!$A$2:$A$151,0)),"Código no cargado"))</f>
        <v/>
      </c>
      <c r="E668" s="21">
        <f>IF($C668="","",IFERROR(INDEX(Insumos!$C$2:$C$151,MATCH($C668,Insumos!$A$2:$A$151,0)),""))</f>
        <v/>
      </c>
      <c r="F668" s="21">
        <f>IF($C668="","",IFERROR(INDEX(Insumos!$D$2:$D$151,MATCH($C668,Insumos!$A$2:$A$151,0)),""))</f>
        <v/>
      </c>
      <c r="G668" s="18" t="n"/>
      <c r="H668" s="19">
        <f>IF(OR($A668="",$C668=""),"",IFERROR(INDEX(Insumos!$M$2:$S$151,MATCH($C668,Insumos!$A$2:$A$151,0),WEEKDAY($A668,2)),""))</f>
        <v/>
      </c>
      <c r="I668" s="19">
        <f>IF(OR($G668="",$H668=""),"",MAX(0,$H668-$G668))</f>
        <v/>
      </c>
      <c r="J668" s="21">
        <f>IF($I668="","",IF($I668=0,"OK",IF($G668&lt;=0,"Sin stock: pedir ya","Pedir o producir")))</f>
        <v/>
      </c>
      <c r="K668" s="17" t="n"/>
      <c r="L668" s="17" t="n"/>
      <c r="M668" s="21">
        <f>IF(OR($A668="",$A668&lt;&gt;'Lista para pedir'!$C$3,N($I668)&lt;=0),"",COUNTIFS($A$2:$A668,$A668,$I$2:$I668,"&gt;0"))</f>
        <v/>
      </c>
    </row>
    <row r="669">
      <c r="A669" s="20" t="n"/>
      <c r="B669" s="21">
        <f>IF($A669="","",CHOOSE(WEEKDAY($A669,2),"Lunes","Martes","Miércoles","Jueves","Viernes","Sábado","Domingo"))</f>
        <v/>
      </c>
      <c r="C669" s="17" t="n"/>
      <c r="D669" s="21">
        <f>IF($C669="","",IFERROR(INDEX(Insumos!$B$2:$B$151,MATCH($C669,Insumos!$A$2:$A$151,0)),"Código no cargado"))</f>
        <v/>
      </c>
      <c r="E669" s="21">
        <f>IF($C669="","",IFERROR(INDEX(Insumos!$C$2:$C$151,MATCH($C669,Insumos!$A$2:$A$151,0)),""))</f>
        <v/>
      </c>
      <c r="F669" s="21">
        <f>IF($C669="","",IFERROR(INDEX(Insumos!$D$2:$D$151,MATCH($C669,Insumos!$A$2:$A$151,0)),""))</f>
        <v/>
      </c>
      <c r="G669" s="18" t="n"/>
      <c r="H669" s="19">
        <f>IF(OR($A669="",$C669=""),"",IFERROR(INDEX(Insumos!$M$2:$S$151,MATCH($C669,Insumos!$A$2:$A$151,0),WEEKDAY($A669,2)),""))</f>
        <v/>
      </c>
      <c r="I669" s="19">
        <f>IF(OR($G669="",$H669=""),"",MAX(0,$H669-$G669))</f>
        <v/>
      </c>
      <c r="J669" s="21">
        <f>IF($I669="","",IF($I669=0,"OK",IF($G669&lt;=0,"Sin stock: pedir ya","Pedir o producir")))</f>
        <v/>
      </c>
      <c r="K669" s="17" t="n"/>
      <c r="L669" s="17" t="n"/>
      <c r="M669" s="21">
        <f>IF(OR($A669="",$A669&lt;&gt;'Lista para pedir'!$C$3,N($I669)&lt;=0),"",COUNTIFS($A$2:$A669,$A669,$I$2:$I669,"&gt;0"))</f>
        <v/>
      </c>
    </row>
    <row r="670">
      <c r="A670" s="20" t="n"/>
      <c r="B670" s="21">
        <f>IF($A670="","",CHOOSE(WEEKDAY($A670,2),"Lunes","Martes","Miércoles","Jueves","Viernes","Sábado","Domingo"))</f>
        <v/>
      </c>
      <c r="C670" s="17" t="n"/>
      <c r="D670" s="21">
        <f>IF($C670="","",IFERROR(INDEX(Insumos!$B$2:$B$151,MATCH($C670,Insumos!$A$2:$A$151,0)),"Código no cargado"))</f>
        <v/>
      </c>
      <c r="E670" s="21">
        <f>IF($C670="","",IFERROR(INDEX(Insumos!$C$2:$C$151,MATCH($C670,Insumos!$A$2:$A$151,0)),""))</f>
        <v/>
      </c>
      <c r="F670" s="21">
        <f>IF($C670="","",IFERROR(INDEX(Insumos!$D$2:$D$151,MATCH($C670,Insumos!$A$2:$A$151,0)),""))</f>
        <v/>
      </c>
      <c r="G670" s="18" t="n"/>
      <c r="H670" s="19">
        <f>IF(OR($A670="",$C670=""),"",IFERROR(INDEX(Insumos!$M$2:$S$151,MATCH($C670,Insumos!$A$2:$A$151,0),WEEKDAY($A670,2)),""))</f>
        <v/>
      </c>
      <c r="I670" s="19">
        <f>IF(OR($G670="",$H670=""),"",MAX(0,$H670-$G670))</f>
        <v/>
      </c>
      <c r="J670" s="21">
        <f>IF($I670="","",IF($I670=0,"OK",IF($G670&lt;=0,"Sin stock: pedir ya","Pedir o producir")))</f>
        <v/>
      </c>
      <c r="K670" s="17" t="n"/>
      <c r="L670" s="17" t="n"/>
      <c r="M670" s="21">
        <f>IF(OR($A670="",$A670&lt;&gt;'Lista para pedir'!$C$3,N($I670)&lt;=0),"",COUNTIFS($A$2:$A670,$A670,$I$2:$I670,"&gt;0"))</f>
        <v/>
      </c>
    </row>
    <row r="671">
      <c r="A671" s="20" t="n"/>
      <c r="B671" s="21">
        <f>IF($A671="","",CHOOSE(WEEKDAY($A671,2),"Lunes","Martes","Miércoles","Jueves","Viernes","Sábado","Domingo"))</f>
        <v/>
      </c>
      <c r="C671" s="17" t="n"/>
      <c r="D671" s="21">
        <f>IF($C671="","",IFERROR(INDEX(Insumos!$B$2:$B$151,MATCH($C671,Insumos!$A$2:$A$151,0)),"Código no cargado"))</f>
        <v/>
      </c>
      <c r="E671" s="21">
        <f>IF($C671="","",IFERROR(INDEX(Insumos!$C$2:$C$151,MATCH($C671,Insumos!$A$2:$A$151,0)),""))</f>
        <v/>
      </c>
      <c r="F671" s="21">
        <f>IF($C671="","",IFERROR(INDEX(Insumos!$D$2:$D$151,MATCH($C671,Insumos!$A$2:$A$151,0)),""))</f>
        <v/>
      </c>
      <c r="G671" s="18" t="n"/>
      <c r="H671" s="19">
        <f>IF(OR($A671="",$C671=""),"",IFERROR(INDEX(Insumos!$M$2:$S$151,MATCH($C671,Insumos!$A$2:$A$151,0),WEEKDAY($A671,2)),""))</f>
        <v/>
      </c>
      <c r="I671" s="19">
        <f>IF(OR($G671="",$H671=""),"",MAX(0,$H671-$G671))</f>
        <v/>
      </c>
      <c r="J671" s="21">
        <f>IF($I671="","",IF($I671=0,"OK",IF($G671&lt;=0,"Sin stock: pedir ya","Pedir o producir")))</f>
        <v/>
      </c>
      <c r="K671" s="17" t="n"/>
      <c r="L671" s="17" t="n"/>
      <c r="M671" s="21">
        <f>IF(OR($A671="",$A671&lt;&gt;'Lista para pedir'!$C$3,N($I671)&lt;=0),"",COUNTIFS($A$2:$A671,$A671,$I$2:$I671,"&gt;0"))</f>
        <v/>
      </c>
    </row>
    <row r="672">
      <c r="A672" s="20" t="n"/>
      <c r="B672" s="21">
        <f>IF($A672="","",CHOOSE(WEEKDAY($A672,2),"Lunes","Martes","Miércoles","Jueves","Viernes","Sábado","Domingo"))</f>
        <v/>
      </c>
      <c r="C672" s="17" t="n"/>
      <c r="D672" s="21">
        <f>IF($C672="","",IFERROR(INDEX(Insumos!$B$2:$B$151,MATCH($C672,Insumos!$A$2:$A$151,0)),"Código no cargado"))</f>
        <v/>
      </c>
      <c r="E672" s="21">
        <f>IF($C672="","",IFERROR(INDEX(Insumos!$C$2:$C$151,MATCH($C672,Insumos!$A$2:$A$151,0)),""))</f>
        <v/>
      </c>
      <c r="F672" s="21">
        <f>IF($C672="","",IFERROR(INDEX(Insumos!$D$2:$D$151,MATCH($C672,Insumos!$A$2:$A$151,0)),""))</f>
        <v/>
      </c>
      <c r="G672" s="18" t="n"/>
      <c r="H672" s="19">
        <f>IF(OR($A672="",$C672=""),"",IFERROR(INDEX(Insumos!$M$2:$S$151,MATCH($C672,Insumos!$A$2:$A$151,0),WEEKDAY($A672,2)),""))</f>
        <v/>
      </c>
      <c r="I672" s="19">
        <f>IF(OR($G672="",$H672=""),"",MAX(0,$H672-$G672))</f>
        <v/>
      </c>
      <c r="J672" s="21">
        <f>IF($I672="","",IF($I672=0,"OK",IF($G672&lt;=0,"Sin stock: pedir ya","Pedir o producir")))</f>
        <v/>
      </c>
      <c r="K672" s="17" t="n"/>
      <c r="L672" s="17" t="n"/>
      <c r="M672" s="21">
        <f>IF(OR($A672="",$A672&lt;&gt;'Lista para pedir'!$C$3,N($I672)&lt;=0),"",COUNTIFS($A$2:$A672,$A672,$I$2:$I672,"&gt;0"))</f>
        <v/>
      </c>
    </row>
    <row r="673">
      <c r="A673" s="20" t="n"/>
      <c r="B673" s="21">
        <f>IF($A673="","",CHOOSE(WEEKDAY($A673,2),"Lunes","Martes","Miércoles","Jueves","Viernes","Sábado","Domingo"))</f>
        <v/>
      </c>
      <c r="C673" s="17" t="n"/>
      <c r="D673" s="21">
        <f>IF($C673="","",IFERROR(INDEX(Insumos!$B$2:$B$151,MATCH($C673,Insumos!$A$2:$A$151,0)),"Código no cargado"))</f>
        <v/>
      </c>
      <c r="E673" s="21">
        <f>IF($C673="","",IFERROR(INDEX(Insumos!$C$2:$C$151,MATCH($C673,Insumos!$A$2:$A$151,0)),""))</f>
        <v/>
      </c>
      <c r="F673" s="21">
        <f>IF($C673="","",IFERROR(INDEX(Insumos!$D$2:$D$151,MATCH($C673,Insumos!$A$2:$A$151,0)),""))</f>
        <v/>
      </c>
      <c r="G673" s="18" t="n"/>
      <c r="H673" s="19">
        <f>IF(OR($A673="",$C673=""),"",IFERROR(INDEX(Insumos!$M$2:$S$151,MATCH($C673,Insumos!$A$2:$A$151,0),WEEKDAY($A673,2)),""))</f>
        <v/>
      </c>
      <c r="I673" s="19">
        <f>IF(OR($G673="",$H673=""),"",MAX(0,$H673-$G673))</f>
        <v/>
      </c>
      <c r="J673" s="21">
        <f>IF($I673="","",IF($I673=0,"OK",IF($G673&lt;=0,"Sin stock: pedir ya","Pedir o producir")))</f>
        <v/>
      </c>
      <c r="K673" s="17" t="n"/>
      <c r="L673" s="17" t="n"/>
      <c r="M673" s="21">
        <f>IF(OR($A673="",$A673&lt;&gt;'Lista para pedir'!$C$3,N($I673)&lt;=0),"",COUNTIFS($A$2:$A673,$A673,$I$2:$I673,"&gt;0"))</f>
        <v/>
      </c>
    </row>
    <row r="674">
      <c r="A674" s="20" t="n"/>
      <c r="B674" s="21">
        <f>IF($A674="","",CHOOSE(WEEKDAY($A674,2),"Lunes","Martes","Miércoles","Jueves","Viernes","Sábado","Domingo"))</f>
        <v/>
      </c>
      <c r="C674" s="17" t="n"/>
      <c r="D674" s="21">
        <f>IF($C674="","",IFERROR(INDEX(Insumos!$B$2:$B$151,MATCH($C674,Insumos!$A$2:$A$151,0)),"Código no cargado"))</f>
        <v/>
      </c>
      <c r="E674" s="21">
        <f>IF($C674="","",IFERROR(INDEX(Insumos!$C$2:$C$151,MATCH($C674,Insumos!$A$2:$A$151,0)),""))</f>
        <v/>
      </c>
      <c r="F674" s="21">
        <f>IF($C674="","",IFERROR(INDEX(Insumos!$D$2:$D$151,MATCH($C674,Insumos!$A$2:$A$151,0)),""))</f>
        <v/>
      </c>
      <c r="G674" s="18" t="n"/>
      <c r="H674" s="19">
        <f>IF(OR($A674="",$C674=""),"",IFERROR(INDEX(Insumos!$M$2:$S$151,MATCH($C674,Insumos!$A$2:$A$151,0),WEEKDAY($A674,2)),""))</f>
        <v/>
      </c>
      <c r="I674" s="19">
        <f>IF(OR($G674="",$H674=""),"",MAX(0,$H674-$G674))</f>
        <v/>
      </c>
      <c r="J674" s="21">
        <f>IF($I674="","",IF($I674=0,"OK",IF($G674&lt;=0,"Sin stock: pedir ya","Pedir o producir")))</f>
        <v/>
      </c>
      <c r="K674" s="17" t="n"/>
      <c r="L674" s="17" t="n"/>
      <c r="M674" s="21">
        <f>IF(OR($A674="",$A674&lt;&gt;'Lista para pedir'!$C$3,N($I674)&lt;=0),"",COUNTIFS($A$2:$A674,$A674,$I$2:$I674,"&gt;0"))</f>
        <v/>
      </c>
    </row>
    <row r="675">
      <c r="A675" s="20" t="n"/>
      <c r="B675" s="21">
        <f>IF($A675="","",CHOOSE(WEEKDAY($A675,2),"Lunes","Martes","Miércoles","Jueves","Viernes","Sábado","Domingo"))</f>
        <v/>
      </c>
      <c r="C675" s="17" t="n"/>
      <c r="D675" s="21">
        <f>IF($C675="","",IFERROR(INDEX(Insumos!$B$2:$B$151,MATCH($C675,Insumos!$A$2:$A$151,0)),"Código no cargado"))</f>
        <v/>
      </c>
      <c r="E675" s="21">
        <f>IF($C675="","",IFERROR(INDEX(Insumos!$C$2:$C$151,MATCH($C675,Insumos!$A$2:$A$151,0)),""))</f>
        <v/>
      </c>
      <c r="F675" s="21">
        <f>IF($C675="","",IFERROR(INDEX(Insumos!$D$2:$D$151,MATCH($C675,Insumos!$A$2:$A$151,0)),""))</f>
        <v/>
      </c>
      <c r="G675" s="18" t="n"/>
      <c r="H675" s="19">
        <f>IF(OR($A675="",$C675=""),"",IFERROR(INDEX(Insumos!$M$2:$S$151,MATCH($C675,Insumos!$A$2:$A$151,0),WEEKDAY($A675,2)),""))</f>
        <v/>
      </c>
      <c r="I675" s="19">
        <f>IF(OR($G675="",$H675=""),"",MAX(0,$H675-$G675))</f>
        <v/>
      </c>
      <c r="J675" s="21">
        <f>IF($I675="","",IF($I675=0,"OK",IF($G675&lt;=0,"Sin stock: pedir ya","Pedir o producir")))</f>
        <v/>
      </c>
      <c r="K675" s="17" t="n"/>
      <c r="L675" s="17" t="n"/>
      <c r="M675" s="21">
        <f>IF(OR($A675="",$A675&lt;&gt;'Lista para pedir'!$C$3,N($I675)&lt;=0),"",COUNTIFS($A$2:$A675,$A675,$I$2:$I675,"&gt;0"))</f>
        <v/>
      </c>
    </row>
    <row r="676">
      <c r="A676" s="20" t="n"/>
      <c r="B676" s="21">
        <f>IF($A676="","",CHOOSE(WEEKDAY($A676,2),"Lunes","Martes","Miércoles","Jueves","Viernes","Sábado","Domingo"))</f>
        <v/>
      </c>
      <c r="C676" s="17" t="n"/>
      <c r="D676" s="21">
        <f>IF($C676="","",IFERROR(INDEX(Insumos!$B$2:$B$151,MATCH($C676,Insumos!$A$2:$A$151,0)),"Código no cargado"))</f>
        <v/>
      </c>
      <c r="E676" s="21">
        <f>IF($C676="","",IFERROR(INDEX(Insumos!$C$2:$C$151,MATCH($C676,Insumos!$A$2:$A$151,0)),""))</f>
        <v/>
      </c>
      <c r="F676" s="21">
        <f>IF($C676="","",IFERROR(INDEX(Insumos!$D$2:$D$151,MATCH($C676,Insumos!$A$2:$A$151,0)),""))</f>
        <v/>
      </c>
      <c r="G676" s="18" t="n"/>
      <c r="H676" s="19">
        <f>IF(OR($A676="",$C676=""),"",IFERROR(INDEX(Insumos!$M$2:$S$151,MATCH($C676,Insumos!$A$2:$A$151,0),WEEKDAY($A676,2)),""))</f>
        <v/>
      </c>
      <c r="I676" s="19">
        <f>IF(OR($G676="",$H676=""),"",MAX(0,$H676-$G676))</f>
        <v/>
      </c>
      <c r="J676" s="21">
        <f>IF($I676="","",IF($I676=0,"OK",IF($G676&lt;=0,"Sin stock: pedir ya","Pedir o producir")))</f>
        <v/>
      </c>
      <c r="K676" s="17" t="n"/>
      <c r="L676" s="17" t="n"/>
      <c r="M676" s="21">
        <f>IF(OR($A676="",$A676&lt;&gt;'Lista para pedir'!$C$3,N($I676)&lt;=0),"",COUNTIFS($A$2:$A676,$A676,$I$2:$I676,"&gt;0"))</f>
        <v/>
      </c>
    </row>
    <row r="677">
      <c r="A677" s="20" t="n"/>
      <c r="B677" s="21">
        <f>IF($A677="","",CHOOSE(WEEKDAY($A677,2),"Lunes","Martes","Miércoles","Jueves","Viernes","Sábado","Domingo"))</f>
        <v/>
      </c>
      <c r="C677" s="17" t="n"/>
      <c r="D677" s="21">
        <f>IF($C677="","",IFERROR(INDEX(Insumos!$B$2:$B$151,MATCH($C677,Insumos!$A$2:$A$151,0)),"Código no cargado"))</f>
        <v/>
      </c>
      <c r="E677" s="21">
        <f>IF($C677="","",IFERROR(INDEX(Insumos!$C$2:$C$151,MATCH($C677,Insumos!$A$2:$A$151,0)),""))</f>
        <v/>
      </c>
      <c r="F677" s="21">
        <f>IF($C677="","",IFERROR(INDEX(Insumos!$D$2:$D$151,MATCH($C677,Insumos!$A$2:$A$151,0)),""))</f>
        <v/>
      </c>
      <c r="G677" s="18" t="n"/>
      <c r="H677" s="19">
        <f>IF(OR($A677="",$C677=""),"",IFERROR(INDEX(Insumos!$M$2:$S$151,MATCH($C677,Insumos!$A$2:$A$151,0),WEEKDAY($A677,2)),""))</f>
        <v/>
      </c>
      <c r="I677" s="19">
        <f>IF(OR($G677="",$H677=""),"",MAX(0,$H677-$G677))</f>
        <v/>
      </c>
      <c r="J677" s="21">
        <f>IF($I677="","",IF($I677=0,"OK",IF($G677&lt;=0,"Sin stock: pedir ya","Pedir o producir")))</f>
        <v/>
      </c>
      <c r="K677" s="17" t="n"/>
      <c r="L677" s="17" t="n"/>
      <c r="M677" s="21">
        <f>IF(OR($A677="",$A677&lt;&gt;'Lista para pedir'!$C$3,N($I677)&lt;=0),"",COUNTIFS($A$2:$A677,$A677,$I$2:$I677,"&gt;0"))</f>
        <v/>
      </c>
    </row>
    <row r="678">
      <c r="A678" s="20" t="n"/>
      <c r="B678" s="21">
        <f>IF($A678="","",CHOOSE(WEEKDAY($A678,2),"Lunes","Martes","Miércoles","Jueves","Viernes","Sábado","Domingo"))</f>
        <v/>
      </c>
      <c r="C678" s="17" t="n"/>
      <c r="D678" s="21">
        <f>IF($C678="","",IFERROR(INDEX(Insumos!$B$2:$B$151,MATCH($C678,Insumos!$A$2:$A$151,0)),"Código no cargado"))</f>
        <v/>
      </c>
      <c r="E678" s="21">
        <f>IF($C678="","",IFERROR(INDEX(Insumos!$C$2:$C$151,MATCH($C678,Insumos!$A$2:$A$151,0)),""))</f>
        <v/>
      </c>
      <c r="F678" s="21">
        <f>IF($C678="","",IFERROR(INDEX(Insumos!$D$2:$D$151,MATCH($C678,Insumos!$A$2:$A$151,0)),""))</f>
        <v/>
      </c>
      <c r="G678" s="18" t="n"/>
      <c r="H678" s="19">
        <f>IF(OR($A678="",$C678=""),"",IFERROR(INDEX(Insumos!$M$2:$S$151,MATCH($C678,Insumos!$A$2:$A$151,0),WEEKDAY($A678,2)),""))</f>
        <v/>
      </c>
      <c r="I678" s="19">
        <f>IF(OR($G678="",$H678=""),"",MAX(0,$H678-$G678))</f>
        <v/>
      </c>
      <c r="J678" s="21">
        <f>IF($I678="","",IF($I678=0,"OK",IF($G678&lt;=0,"Sin stock: pedir ya","Pedir o producir")))</f>
        <v/>
      </c>
      <c r="K678" s="17" t="n"/>
      <c r="L678" s="17" t="n"/>
      <c r="M678" s="21">
        <f>IF(OR($A678="",$A678&lt;&gt;'Lista para pedir'!$C$3,N($I678)&lt;=0),"",COUNTIFS($A$2:$A678,$A678,$I$2:$I678,"&gt;0"))</f>
        <v/>
      </c>
    </row>
    <row r="679">
      <c r="A679" s="20" t="n"/>
      <c r="B679" s="21">
        <f>IF($A679="","",CHOOSE(WEEKDAY($A679,2),"Lunes","Martes","Miércoles","Jueves","Viernes","Sábado","Domingo"))</f>
        <v/>
      </c>
      <c r="C679" s="17" t="n"/>
      <c r="D679" s="21">
        <f>IF($C679="","",IFERROR(INDEX(Insumos!$B$2:$B$151,MATCH($C679,Insumos!$A$2:$A$151,0)),"Código no cargado"))</f>
        <v/>
      </c>
      <c r="E679" s="21">
        <f>IF($C679="","",IFERROR(INDEX(Insumos!$C$2:$C$151,MATCH($C679,Insumos!$A$2:$A$151,0)),""))</f>
        <v/>
      </c>
      <c r="F679" s="21">
        <f>IF($C679="","",IFERROR(INDEX(Insumos!$D$2:$D$151,MATCH($C679,Insumos!$A$2:$A$151,0)),""))</f>
        <v/>
      </c>
      <c r="G679" s="18" t="n"/>
      <c r="H679" s="19">
        <f>IF(OR($A679="",$C679=""),"",IFERROR(INDEX(Insumos!$M$2:$S$151,MATCH($C679,Insumos!$A$2:$A$151,0),WEEKDAY($A679,2)),""))</f>
        <v/>
      </c>
      <c r="I679" s="19">
        <f>IF(OR($G679="",$H679=""),"",MAX(0,$H679-$G679))</f>
        <v/>
      </c>
      <c r="J679" s="21">
        <f>IF($I679="","",IF($I679=0,"OK",IF($G679&lt;=0,"Sin stock: pedir ya","Pedir o producir")))</f>
        <v/>
      </c>
      <c r="K679" s="17" t="n"/>
      <c r="L679" s="17" t="n"/>
      <c r="M679" s="21">
        <f>IF(OR($A679="",$A679&lt;&gt;'Lista para pedir'!$C$3,N($I679)&lt;=0),"",COUNTIFS($A$2:$A679,$A679,$I$2:$I679,"&gt;0"))</f>
        <v/>
      </c>
    </row>
    <row r="680">
      <c r="A680" s="20" t="n"/>
      <c r="B680" s="21">
        <f>IF($A680="","",CHOOSE(WEEKDAY($A680,2),"Lunes","Martes","Miércoles","Jueves","Viernes","Sábado","Domingo"))</f>
        <v/>
      </c>
      <c r="C680" s="17" t="n"/>
      <c r="D680" s="21">
        <f>IF($C680="","",IFERROR(INDEX(Insumos!$B$2:$B$151,MATCH($C680,Insumos!$A$2:$A$151,0)),"Código no cargado"))</f>
        <v/>
      </c>
      <c r="E680" s="21">
        <f>IF($C680="","",IFERROR(INDEX(Insumos!$C$2:$C$151,MATCH($C680,Insumos!$A$2:$A$151,0)),""))</f>
        <v/>
      </c>
      <c r="F680" s="21">
        <f>IF($C680="","",IFERROR(INDEX(Insumos!$D$2:$D$151,MATCH($C680,Insumos!$A$2:$A$151,0)),""))</f>
        <v/>
      </c>
      <c r="G680" s="18" t="n"/>
      <c r="H680" s="19">
        <f>IF(OR($A680="",$C680=""),"",IFERROR(INDEX(Insumos!$M$2:$S$151,MATCH($C680,Insumos!$A$2:$A$151,0),WEEKDAY($A680,2)),""))</f>
        <v/>
      </c>
      <c r="I680" s="19">
        <f>IF(OR($G680="",$H680=""),"",MAX(0,$H680-$G680))</f>
        <v/>
      </c>
      <c r="J680" s="21">
        <f>IF($I680="","",IF($I680=0,"OK",IF($G680&lt;=0,"Sin stock: pedir ya","Pedir o producir")))</f>
        <v/>
      </c>
      <c r="K680" s="17" t="n"/>
      <c r="L680" s="17" t="n"/>
      <c r="M680" s="21">
        <f>IF(OR($A680="",$A680&lt;&gt;'Lista para pedir'!$C$3,N($I680)&lt;=0),"",COUNTIFS($A$2:$A680,$A680,$I$2:$I680,"&gt;0"))</f>
        <v/>
      </c>
    </row>
    <row r="681">
      <c r="A681" s="20" t="n"/>
      <c r="B681" s="21">
        <f>IF($A681="","",CHOOSE(WEEKDAY($A681,2),"Lunes","Martes","Miércoles","Jueves","Viernes","Sábado","Domingo"))</f>
        <v/>
      </c>
      <c r="C681" s="17" t="n"/>
      <c r="D681" s="21">
        <f>IF($C681="","",IFERROR(INDEX(Insumos!$B$2:$B$151,MATCH($C681,Insumos!$A$2:$A$151,0)),"Código no cargado"))</f>
        <v/>
      </c>
      <c r="E681" s="21">
        <f>IF($C681="","",IFERROR(INDEX(Insumos!$C$2:$C$151,MATCH($C681,Insumos!$A$2:$A$151,0)),""))</f>
        <v/>
      </c>
      <c r="F681" s="21">
        <f>IF($C681="","",IFERROR(INDEX(Insumos!$D$2:$D$151,MATCH($C681,Insumos!$A$2:$A$151,0)),""))</f>
        <v/>
      </c>
      <c r="G681" s="18" t="n"/>
      <c r="H681" s="19">
        <f>IF(OR($A681="",$C681=""),"",IFERROR(INDEX(Insumos!$M$2:$S$151,MATCH($C681,Insumos!$A$2:$A$151,0),WEEKDAY($A681,2)),""))</f>
        <v/>
      </c>
      <c r="I681" s="19">
        <f>IF(OR($G681="",$H681=""),"",MAX(0,$H681-$G681))</f>
        <v/>
      </c>
      <c r="J681" s="21">
        <f>IF($I681="","",IF($I681=0,"OK",IF($G681&lt;=0,"Sin stock: pedir ya","Pedir o producir")))</f>
        <v/>
      </c>
      <c r="K681" s="17" t="n"/>
      <c r="L681" s="17" t="n"/>
      <c r="M681" s="21">
        <f>IF(OR($A681="",$A681&lt;&gt;'Lista para pedir'!$C$3,N($I681)&lt;=0),"",COUNTIFS($A$2:$A681,$A681,$I$2:$I681,"&gt;0"))</f>
        <v/>
      </c>
    </row>
    <row r="682">
      <c r="A682" s="20" t="n"/>
      <c r="B682" s="21">
        <f>IF($A682="","",CHOOSE(WEEKDAY($A682,2),"Lunes","Martes","Miércoles","Jueves","Viernes","Sábado","Domingo"))</f>
        <v/>
      </c>
      <c r="C682" s="17" t="n"/>
      <c r="D682" s="21">
        <f>IF($C682="","",IFERROR(INDEX(Insumos!$B$2:$B$151,MATCH($C682,Insumos!$A$2:$A$151,0)),"Código no cargado"))</f>
        <v/>
      </c>
      <c r="E682" s="21">
        <f>IF($C682="","",IFERROR(INDEX(Insumos!$C$2:$C$151,MATCH($C682,Insumos!$A$2:$A$151,0)),""))</f>
        <v/>
      </c>
      <c r="F682" s="21">
        <f>IF($C682="","",IFERROR(INDEX(Insumos!$D$2:$D$151,MATCH($C682,Insumos!$A$2:$A$151,0)),""))</f>
        <v/>
      </c>
      <c r="G682" s="18" t="n"/>
      <c r="H682" s="19">
        <f>IF(OR($A682="",$C682=""),"",IFERROR(INDEX(Insumos!$M$2:$S$151,MATCH($C682,Insumos!$A$2:$A$151,0),WEEKDAY($A682,2)),""))</f>
        <v/>
      </c>
      <c r="I682" s="19">
        <f>IF(OR($G682="",$H682=""),"",MAX(0,$H682-$G682))</f>
        <v/>
      </c>
      <c r="J682" s="21">
        <f>IF($I682="","",IF($I682=0,"OK",IF($G682&lt;=0,"Sin stock: pedir ya","Pedir o producir")))</f>
        <v/>
      </c>
      <c r="K682" s="17" t="n"/>
      <c r="L682" s="17" t="n"/>
      <c r="M682" s="21">
        <f>IF(OR($A682="",$A682&lt;&gt;'Lista para pedir'!$C$3,N($I682)&lt;=0),"",COUNTIFS($A$2:$A682,$A682,$I$2:$I682,"&gt;0"))</f>
        <v/>
      </c>
    </row>
    <row r="683">
      <c r="A683" s="20" t="n"/>
      <c r="B683" s="21">
        <f>IF($A683="","",CHOOSE(WEEKDAY($A683,2),"Lunes","Martes","Miércoles","Jueves","Viernes","Sábado","Domingo"))</f>
        <v/>
      </c>
      <c r="C683" s="17" t="n"/>
      <c r="D683" s="21">
        <f>IF($C683="","",IFERROR(INDEX(Insumos!$B$2:$B$151,MATCH($C683,Insumos!$A$2:$A$151,0)),"Código no cargado"))</f>
        <v/>
      </c>
      <c r="E683" s="21">
        <f>IF($C683="","",IFERROR(INDEX(Insumos!$C$2:$C$151,MATCH($C683,Insumos!$A$2:$A$151,0)),""))</f>
        <v/>
      </c>
      <c r="F683" s="21">
        <f>IF($C683="","",IFERROR(INDEX(Insumos!$D$2:$D$151,MATCH($C683,Insumos!$A$2:$A$151,0)),""))</f>
        <v/>
      </c>
      <c r="G683" s="18" t="n"/>
      <c r="H683" s="19">
        <f>IF(OR($A683="",$C683=""),"",IFERROR(INDEX(Insumos!$M$2:$S$151,MATCH($C683,Insumos!$A$2:$A$151,0),WEEKDAY($A683,2)),""))</f>
        <v/>
      </c>
      <c r="I683" s="19">
        <f>IF(OR($G683="",$H683=""),"",MAX(0,$H683-$G683))</f>
        <v/>
      </c>
      <c r="J683" s="21">
        <f>IF($I683="","",IF($I683=0,"OK",IF($G683&lt;=0,"Sin stock: pedir ya","Pedir o producir")))</f>
        <v/>
      </c>
      <c r="K683" s="17" t="n"/>
      <c r="L683" s="17" t="n"/>
      <c r="M683" s="21">
        <f>IF(OR($A683="",$A683&lt;&gt;'Lista para pedir'!$C$3,N($I683)&lt;=0),"",COUNTIFS($A$2:$A683,$A683,$I$2:$I683,"&gt;0"))</f>
        <v/>
      </c>
    </row>
    <row r="684">
      <c r="A684" s="20" t="n"/>
      <c r="B684" s="21">
        <f>IF($A684="","",CHOOSE(WEEKDAY($A684,2),"Lunes","Martes","Miércoles","Jueves","Viernes","Sábado","Domingo"))</f>
        <v/>
      </c>
      <c r="C684" s="17" t="n"/>
      <c r="D684" s="21">
        <f>IF($C684="","",IFERROR(INDEX(Insumos!$B$2:$B$151,MATCH($C684,Insumos!$A$2:$A$151,0)),"Código no cargado"))</f>
        <v/>
      </c>
      <c r="E684" s="21">
        <f>IF($C684="","",IFERROR(INDEX(Insumos!$C$2:$C$151,MATCH($C684,Insumos!$A$2:$A$151,0)),""))</f>
        <v/>
      </c>
      <c r="F684" s="21">
        <f>IF($C684="","",IFERROR(INDEX(Insumos!$D$2:$D$151,MATCH($C684,Insumos!$A$2:$A$151,0)),""))</f>
        <v/>
      </c>
      <c r="G684" s="18" t="n"/>
      <c r="H684" s="19">
        <f>IF(OR($A684="",$C684=""),"",IFERROR(INDEX(Insumos!$M$2:$S$151,MATCH($C684,Insumos!$A$2:$A$151,0),WEEKDAY($A684,2)),""))</f>
        <v/>
      </c>
      <c r="I684" s="19">
        <f>IF(OR($G684="",$H684=""),"",MAX(0,$H684-$G684))</f>
        <v/>
      </c>
      <c r="J684" s="21">
        <f>IF($I684="","",IF($I684=0,"OK",IF($G684&lt;=0,"Sin stock: pedir ya","Pedir o producir")))</f>
        <v/>
      </c>
      <c r="K684" s="17" t="n"/>
      <c r="L684" s="17" t="n"/>
      <c r="M684" s="21">
        <f>IF(OR($A684="",$A684&lt;&gt;'Lista para pedir'!$C$3,N($I684)&lt;=0),"",COUNTIFS($A$2:$A684,$A684,$I$2:$I684,"&gt;0"))</f>
        <v/>
      </c>
    </row>
    <row r="685">
      <c r="A685" s="20" t="n"/>
      <c r="B685" s="21">
        <f>IF($A685="","",CHOOSE(WEEKDAY($A685,2),"Lunes","Martes","Miércoles","Jueves","Viernes","Sábado","Domingo"))</f>
        <v/>
      </c>
      <c r="C685" s="17" t="n"/>
      <c r="D685" s="21">
        <f>IF($C685="","",IFERROR(INDEX(Insumos!$B$2:$B$151,MATCH($C685,Insumos!$A$2:$A$151,0)),"Código no cargado"))</f>
        <v/>
      </c>
      <c r="E685" s="21">
        <f>IF($C685="","",IFERROR(INDEX(Insumos!$C$2:$C$151,MATCH($C685,Insumos!$A$2:$A$151,0)),""))</f>
        <v/>
      </c>
      <c r="F685" s="21">
        <f>IF($C685="","",IFERROR(INDEX(Insumos!$D$2:$D$151,MATCH($C685,Insumos!$A$2:$A$151,0)),""))</f>
        <v/>
      </c>
      <c r="G685" s="18" t="n"/>
      <c r="H685" s="19">
        <f>IF(OR($A685="",$C685=""),"",IFERROR(INDEX(Insumos!$M$2:$S$151,MATCH($C685,Insumos!$A$2:$A$151,0),WEEKDAY($A685,2)),""))</f>
        <v/>
      </c>
      <c r="I685" s="19">
        <f>IF(OR($G685="",$H685=""),"",MAX(0,$H685-$G685))</f>
        <v/>
      </c>
      <c r="J685" s="21">
        <f>IF($I685="","",IF($I685=0,"OK",IF($G685&lt;=0,"Sin stock: pedir ya","Pedir o producir")))</f>
        <v/>
      </c>
      <c r="K685" s="17" t="n"/>
      <c r="L685" s="17" t="n"/>
      <c r="M685" s="21">
        <f>IF(OR($A685="",$A685&lt;&gt;'Lista para pedir'!$C$3,N($I685)&lt;=0),"",COUNTIFS($A$2:$A685,$A685,$I$2:$I685,"&gt;0"))</f>
        <v/>
      </c>
    </row>
    <row r="686">
      <c r="A686" s="20" t="n"/>
      <c r="B686" s="21">
        <f>IF($A686="","",CHOOSE(WEEKDAY($A686,2),"Lunes","Martes","Miércoles","Jueves","Viernes","Sábado","Domingo"))</f>
        <v/>
      </c>
      <c r="C686" s="17" t="n"/>
      <c r="D686" s="21">
        <f>IF($C686="","",IFERROR(INDEX(Insumos!$B$2:$B$151,MATCH($C686,Insumos!$A$2:$A$151,0)),"Código no cargado"))</f>
        <v/>
      </c>
      <c r="E686" s="21">
        <f>IF($C686="","",IFERROR(INDEX(Insumos!$C$2:$C$151,MATCH($C686,Insumos!$A$2:$A$151,0)),""))</f>
        <v/>
      </c>
      <c r="F686" s="21">
        <f>IF($C686="","",IFERROR(INDEX(Insumos!$D$2:$D$151,MATCH($C686,Insumos!$A$2:$A$151,0)),""))</f>
        <v/>
      </c>
      <c r="G686" s="18" t="n"/>
      <c r="H686" s="19">
        <f>IF(OR($A686="",$C686=""),"",IFERROR(INDEX(Insumos!$M$2:$S$151,MATCH($C686,Insumos!$A$2:$A$151,0),WEEKDAY($A686,2)),""))</f>
        <v/>
      </c>
      <c r="I686" s="19">
        <f>IF(OR($G686="",$H686=""),"",MAX(0,$H686-$G686))</f>
        <v/>
      </c>
      <c r="J686" s="21">
        <f>IF($I686="","",IF($I686=0,"OK",IF($G686&lt;=0,"Sin stock: pedir ya","Pedir o producir")))</f>
        <v/>
      </c>
      <c r="K686" s="17" t="n"/>
      <c r="L686" s="17" t="n"/>
      <c r="M686" s="21">
        <f>IF(OR($A686="",$A686&lt;&gt;'Lista para pedir'!$C$3,N($I686)&lt;=0),"",COUNTIFS($A$2:$A686,$A686,$I$2:$I686,"&gt;0"))</f>
        <v/>
      </c>
    </row>
    <row r="687">
      <c r="A687" s="20" t="n"/>
      <c r="B687" s="21">
        <f>IF($A687="","",CHOOSE(WEEKDAY($A687,2),"Lunes","Martes","Miércoles","Jueves","Viernes","Sábado","Domingo"))</f>
        <v/>
      </c>
      <c r="C687" s="17" t="n"/>
      <c r="D687" s="21">
        <f>IF($C687="","",IFERROR(INDEX(Insumos!$B$2:$B$151,MATCH($C687,Insumos!$A$2:$A$151,0)),"Código no cargado"))</f>
        <v/>
      </c>
      <c r="E687" s="21">
        <f>IF($C687="","",IFERROR(INDEX(Insumos!$C$2:$C$151,MATCH($C687,Insumos!$A$2:$A$151,0)),""))</f>
        <v/>
      </c>
      <c r="F687" s="21">
        <f>IF($C687="","",IFERROR(INDEX(Insumos!$D$2:$D$151,MATCH($C687,Insumos!$A$2:$A$151,0)),""))</f>
        <v/>
      </c>
      <c r="G687" s="18" t="n"/>
      <c r="H687" s="19">
        <f>IF(OR($A687="",$C687=""),"",IFERROR(INDEX(Insumos!$M$2:$S$151,MATCH($C687,Insumos!$A$2:$A$151,0),WEEKDAY($A687,2)),""))</f>
        <v/>
      </c>
      <c r="I687" s="19">
        <f>IF(OR($G687="",$H687=""),"",MAX(0,$H687-$G687))</f>
        <v/>
      </c>
      <c r="J687" s="21">
        <f>IF($I687="","",IF($I687=0,"OK",IF($G687&lt;=0,"Sin stock: pedir ya","Pedir o producir")))</f>
        <v/>
      </c>
      <c r="K687" s="17" t="n"/>
      <c r="L687" s="17" t="n"/>
      <c r="M687" s="21">
        <f>IF(OR($A687="",$A687&lt;&gt;'Lista para pedir'!$C$3,N($I687)&lt;=0),"",COUNTIFS($A$2:$A687,$A687,$I$2:$I687,"&gt;0"))</f>
        <v/>
      </c>
    </row>
    <row r="688">
      <c r="A688" s="20" t="n"/>
      <c r="B688" s="21">
        <f>IF($A688="","",CHOOSE(WEEKDAY($A688,2),"Lunes","Martes","Miércoles","Jueves","Viernes","Sábado","Domingo"))</f>
        <v/>
      </c>
      <c r="C688" s="17" t="n"/>
      <c r="D688" s="21">
        <f>IF($C688="","",IFERROR(INDEX(Insumos!$B$2:$B$151,MATCH($C688,Insumos!$A$2:$A$151,0)),"Código no cargado"))</f>
        <v/>
      </c>
      <c r="E688" s="21">
        <f>IF($C688="","",IFERROR(INDEX(Insumos!$C$2:$C$151,MATCH($C688,Insumos!$A$2:$A$151,0)),""))</f>
        <v/>
      </c>
      <c r="F688" s="21">
        <f>IF($C688="","",IFERROR(INDEX(Insumos!$D$2:$D$151,MATCH($C688,Insumos!$A$2:$A$151,0)),""))</f>
        <v/>
      </c>
      <c r="G688" s="18" t="n"/>
      <c r="H688" s="19">
        <f>IF(OR($A688="",$C688=""),"",IFERROR(INDEX(Insumos!$M$2:$S$151,MATCH($C688,Insumos!$A$2:$A$151,0),WEEKDAY($A688,2)),""))</f>
        <v/>
      </c>
      <c r="I688" s="19">
        <f>IF(OR($G688="",$H688=""),"",MAX(0,$H688-$G688))</f>
        <v/>
      </c>
      <c r="J688" s="21">
        <f>IF($I688="","",IF($I688=0,"OK",IF($G688&lt;=0,"Sin stock: pedir ya","Pedir o producir")))</f>
        <v/>
      </c>
      <c r="K688" s="17" t="n"/>
      <c r="L688" s="17" t="n"/>
      <c r="M688" s="21">
        <f>IF(OR($A688="",$A688&lt;&gt;'Lista para pedir'!$C$3,N($I688)&lt;=0),"",COUNTIFS($A$2:$A688,$A688,$I$2:$I688,"&gt;0"))</f>
        <v/>
      </c>
    </row>
    <row r="689">
      <c r="A689" s="20" t="n"/>
      <c r="B689" s="21">
        <f>IF($A689="","",CHOOSE(WEEKDAY($A689,2),"Lunes","Martes","Miércoles","Jueves","Viernes","Sábado","Domingo"))</f>
        <v/>
      </c>
      <c r="C689" s="17" t="n"/>
      <c r="D689" s="21">
        <f>IF($C689="","",IFERROR(INDEX(Insumos!$B$2:$B$151,MATCH($C689,Insumos!$A$2:$A$151,0)),"Código no cargado"))</f>
        <v/>
      </c>
      <c r="E689" s="21">
        <f>IF($C689="","",IFERROR(INDEX(Insumos!$C$2:$C$151,MATCH($C689,Insumos!$A$2:$A$151,0)),""))</f>
        <v/>
      </c>
      <c r="F689" s="21">
        <f>IF($C689="","",IFERROR(INDEX(Insumos!$D$2:$D$151,MATCH($C689,Insumos!$A$2:$A$151,0)),""))</f>
        <v/>
      </c>
      <c r="G689" s="18" t="n"/>
      <c r="H689" s="19">
        <f>IF(OR($A689="",$C689=""),"",IFERROR(INDEX(Insumos!$M$2:$S$151,MATCH($C689,Insumos!$A$2:$A$151,0),WEEKDAY($A689,2)),""))</f>
        <v/>
      </c>
      <c r="I689" s="19">
        <f>IF(OR($G689="",$H689=""),"",MAX(0,$H689-$G689))</f>
        <v/>
      </c>
      <c r="J689" s="21">
        <f>IF($I689="","",IF($I689=0,"OK",IF($G689&lt;=0,"Sin stock: pedir ya","Pedir o producir")))</f>
        <v/>
      </c>
      <c r="K689" s="17" t="n"/>
      <c r="L689" s="17" t="n"/>
      <c r="M689" s="21">
        <f>IF(OR($A689="",$A689&lt;&gt;'Lista para pedir'!$C$3,N($I689)&lt;=0),"",COUNTIFS($A$2:$A689,$A689,$I$2:$I689,"&gt;0"))</f>
        <v/>
      </c>
    </row>
    <row r="690">
      <c r="A690" s="20" t="n"/>
      <c r="B690" s="21">
        <f>IF($A690="","",CHOOSE(WEEKDAY($A690,2),"Lunes","Martes","Miércoles","Jueves","Viernes","Sábado","Domingo"))</f>
        <v/>
      </c>
      <c r="C690" s="17" t="n"/>
      <c r="D690" s="21">
        <f>IF($C690="","",IFERROR(INDEX(Insumos!$B$2:$B$151,MATCH($C690,Insumos!$A$2:$A$151,0)),"Código no cargado"))</f>
        <v/>
      </c>
      <c r="E690" s="21">
        <f>IF($C690="","",IFERROR(INDEX(Insumos!$C$2:$C$151,MATCH($C690,Insumos!$A$2:$A$151,0)),""))</f>
        <v/>
      </c>
      <c r="F690" s="21">
        <f>IF($C690="","",IFERROR(INDEX(Insumos!$D$2:$D$151,MATCH($C690,Insumos!$A$2:$A$151,0)),""))</f>
        <v/>
      </c>
      <c r="G690" s="18" t="n"/>
      <c r="H690" s="19">
        <f>IF(OR($A690="",$C690=""),"",IFERROR(INDEX(Insumos!$M$2:$S$151,MATCH($C690,Insumos!$A$2:$A$151,0),WEEKDAY($A690,2)),""))</f>
        <v/>
      </c>
      <c r="I690" s="19">
        <f>IF(OR($G690="",$H690=""),"",MAX(0,$H690-$G690))</f>
        <v/>
      </c>
      <c r="J690" s="21">
        <f>IF($I690="","",IF($I690=0,"OK",IF($G690&lt;=0,"Sin stock: pedir ya","Pedir o producir")))</f>
        <v/>
      </c>
      <c r="K690" s="17" t="n"/>
      <c r="L690" s="17" t="n"/>
      <c r="M690" s="21">
        <f>IF(OR($A690="",$A690&lt;&gt;'Lista para pedir'!$C$3,N($I690)&lt;=0),"",COUNTIFS($A$2:$A690,$A690,$I$2:$I690,"&gt;0"))</f>
        <v/>
      </c>
    </row>
    <row r="691">
      <c r="A691" s="20" t="n"/>
      <c r="B691" s="21">
        <f>IF($A691="","",CHOOSE(WEEKDAY($A691,2),"Lunes","Martes","Miércoles","Jueves","Viernes","Sábado","Domingo"))</f>
        <v/>
      </c>
      <c r="C691" s="17" t="n"/>
      <c r="D691" s="21">
        <f>IF($C691="","",IFERROR(INDEX(Insumos!$B$2:$B$151,MATCH($C691,Insumos!$A$2:$A$151,0)),"Código no cargado"))</f>
        <v/>
      </c>
      <c r="E691" s="21">
        <f>IF($C691="","",IFERROR(INDEX(Insumos!$C$2:$C$151,MATCH($C691,Insumos!$A$2:$A$151,0)),""))</f>
        <v/>
      </c>
      <c r="F691" s="21">
        <f>IF($C691="","",IFERROR(INDEX(Insumos!$D$2:$D$151,MATCH($C691,Insumos!$A$2:$A$151,0)),""))</f>
        <v/>
      </c>
      <c r="G691" s="18" t="n"/>
      <c r="H691" s="19">
        <f>IF(OR($A691="",$C691=""),"",IFERROR(INDEX(Insumos!$M$2:$S$151,MATCH($C691,Insumos!$A$2:$A$151,0),WEEKDAY($A691,2)),""))</f>
        <v/>
      </c>
      <c r="I691" s="19">
        <f>IF(OR($G691="",$H691=""),"",MAX(0,$H691-$G691))</f>
        <v/>
      </c>
      <c r="J691" s="21">
        <f>IF($I691="","",IF($I691=0,"OK",IF($G691&lt;=0,"Sin stock: pedir ya","Pedir o producir")))</f>
        <v/>
      </c>
      <c r="K691" s="17" t="n"/>
      <c r="L691" s="17" t="n"/>
      <c r="M691" s="21">
        <f>IF(OR($A691="",$A691&lt;&gt;'Lista para pedir'!$C$3,N($I691)&lt;=0),"",COUNTIFS($A$2:$A691,$A691,$I$2:$I691,"&gt;0"))</f>
        <v/>
      </c>
    </row>
    <row r="692">
      <c r="A692" s="20" t="n"/>
      <c r="B692" s="21">
        <f>IF($A692="","",CHOOSE(WEEKDAY($A692,2),"Lunes","Martes","Miércoles","Jueves","Viernes","Sábado","Domingo"))</f>
        <v/>
      </c>
      <c r="C692" s="17" t="n"/>
      <c r="D692" s="21">
        <f>IF($C692="","",IFERROR(INDEX(Insumos!$B$2:$B$151,MATCH($C692,Insumos!$A$2:$A$151,0)),"Código no cargado"))</f>
        <v/>
      </c>
      <c r="E692" s="21">
        <f>IF($C692="","",IFERROR(INDEX(Insumos!$C$2:$C$151,MATCH($C692,Insumos!$A$2:$A$151,0)),""))</f>
        <v/>
      </c>
      <c r="F692" s="21">
        <f>IF($C692="","",IFERROR(INDEX(Insumos!$D$2:$D$151,MATCH($C692,Insumos!$A$2:$A$151,0)),""))</f>
        <v/>
      </c>
      <c r="G692" s="18" t="n"/>
      <c r="H692" s="19">
        <f>IF(OR($A692="",$C692=""),"",IFERROR(INDEX(Insumos!$M$2:$S$151,MATCH($C692,Insumos!$A$2:$A$151,0),WEEKDAY($A692,2)),""))</f>
        <v/>
      </c>
      <c r="I692" s="19">
        <f>IF(OR($G692="",$H692=""),"",MAX(0,$H692-$G692))</f>
        <v/>
      </c>
      <c r="J692" s="21">
        <f>IF($I692="","",IF($I692=0,"OK",IF($G692&lt;=0,"Sin stock: pedir ya","Pedir o producir")))</f>
        <v/>
      </c>
      <c r="K692" s="17" t="n"/>
      <c r="L692" s="17" t="n"/>
      <c r="M692" s="21">
        <f>IF(OR($A692="",$A692&lt;&gt;'Lista para pedir'!$C$3,N($I692)&lt;=0),"",COUNTIFS($A$2:$A692,$A692,$I$2:$I692,"&gt;0"))</f>
        <v/>
      </c>
    </row>
    <row r="693">
      <c r="A693" s="20" t="n"/>
      <c r="B693" s="21">
        <f>IF($A693="","",CHOOSE(WEEKDAY($A693,2),"Lunes","Martes","Miércoles","Jueves","Viernes","Sábado","Domingo"))</f>
        <v/>
      </c>
      <c r="C693" s="17" t="n"/>
      <c r="D693" s="21">
        <f>IF($C693="","",IFERROR(INDEX(Insumos!$B$2:$B$151,MATCH($C693,Insumos!$A$2:$A$151,0)),"Código no cargado"))</f>
        <v/>
      </c>
      <c r="E693" s="21">
        <f>IF($C693="","",IFERROR(INDEX(Insumos!$C$2:$C$151,MATCH($C693,Insumos!$A$2:$A$151,0)),""))</f>
        <v/>
      </c>
      <c r="F693" s="21">
        <f>IF($C693="","",IFERROR(INDEX(Insumos!$D$2:$D$151,MATCH($C693,Insumos!$A$2:$A$151,0)),""))</f>
        <v/>
      </c>
      <c r="G693" s="18" t="n"/>
      <c r="H693" s="19">
        <f>IF(OR($A693="",$C693=""),"",IFERROR(INDEX(Insumos!$M$2:$S$151,MATCH($C693,Insumos!$A$2:$A$151,0),WEEKDAY($A693,2)),""))</f>
        <v/>
      </c>
      <c r="I693" s="19">
        <f>IF(OR($G693="",$H693=""),"",MAX(0,$H693-$G693))</f>
        <v/>
      </c>
      <c r="J693" s="21">
        <f>IF($I693="","",IF($I693=0,"OK",IF($G693&lt;=0,"Sin stock: pedir ya","Pedir o producir")))</f>
        <v/>
      </c>
      <c r="K693" s="17" t="n"/>
      <c r="L693" s="17" t="n"/>
      <c r="M693" s="21">
        <f>IF(OR($A693="",$A693&lt;&gt;'Lista para pedir'!$C$3,N($I693)&lt;=0),"",COUNTIFS($A$2:$A693,$A693,$I$2:$I693,"&gt;0"))</f>
        <v/>
      </c>
    </row>
    <row r="694">
      <c r="A694" s="20" t="n"/>
      <c r="B694" s="21">
        <f>IF($A694="","",CHOOSE(WEEKDAY($A694,2),"Lunes","Martes","Miércoles","Jueves","Viernes","Sábado","Domingo"))</f>
        <v/>
      </c>
      <c r="C694" s="17" t="n"/>
      <c r="D694" s="21">
        <f>IF($C694="","",IFERROR(INDEX(Insumos!$B$2:$B$151,MATCH($C694,Insumos!$A$2:$A$151,0)),"Código no cargado"))</f>
        <v/>
      </c>
      <c r="E694" s="21">
        <f>IF($C694="","",IFERROR(INDEX(Insumos!$C$2:$C$151,MATCH($C694,Insumos!$A$2:$A$151,0)),""))</f>
        <v/>
      </c>
      <c r="F694" s="21">
        <f>IF($C694="","",IFERROR(INDEX(Insumos!$D$2:$D$151,MATCH($C694,Insumos!$A$2:$A$151,0)),""))</f>
        <v/>
      </c>
      <c r="G694" s="18" t="n"/>
      <c r="H694" s="19">
        <f>IF(OR($A694="",$C694=""),"",IFERROR(INDEX(Insumos!$M$2:$S$151,MATCH($C694,Insumos!$A$2:$A$151,0),WEEKDAY($A694,2)),""))</f>
        <v/>
      </c>
      <c r="I694" s="19">
        <f>IF(OR($G694="",$H694=""),"",MAX(0,$H694-$G694))</f>
        <v/>
      </c>
      <c r="J694" s="21">
        <f>IF($I694="","",IF($I694=0,"OK",IF($G694&lt;=0,"Sin stock: pedir ya","Pedir o producir")))</f>
        <v/>
      </c>
      <c r="K694" s="17" t="n"/>
      <c r="L694" s="17" t="n"/>
      <c r="M694" s="21">
        <f>IF(OR($A694="",$A694&lt;&gt;'Lista para pedir'!$C$3,N($I694)&lt;=0),"",COUNTIFS($A$2:$A694,$A694,$I$2:$I694,"&gt;0"))</f>
        <v/>
      </c>
    </row>
    <row r="695">
      <c r="A695" s="20" t="n"/>
      <c r="B695" s="21">
        <f>IF($A695="","",CHOOSE(WEEKDAY($A695,2),"Lunes","Martes","Miércoles","Jueves","Viernes","Sábado","Domingo"))</f>
        <v/>
      </c>
      <c r="C695" s="17" t="n"/>
      <c r="D695" s="21">
        <f>IF($C695="","",IFERROR(INDEX(Insumos!$B$2:$B$151,MATCH($C695,Insumos!$A$2:$A$151,0)),"Código no cargado"))</f>
        <v/>
      </c>
      <c r="E695" s="21">
        <f>IF($C695="","",IFERROR(INDEX(Insumos!$C$2:$C$151,MATCH($C695,Insumos!$A$2:$A$151,0)),""))</f>
        <v/>
      </c>
      <c r="F695" s="21">
        <f>IF($C695="","",IFERROR(INDEX(Insumos!$D$2:$D$151,MATCH($C695,Insumos!$A$2:$A$151,0)),""))</f>
        <v/>
      </c>
      <c r="G695" s="18" t="n"/>
      <c r="H695" s="19">
        <f>IF(OR($A695="",$C695=""),"",IFERROR(INDEX(Insumos!$M$2:$S$151,MATCH($C695,Insumos!$A$2:$A$151,0),WEEKDAY($A695,2)),""))</f>
        <v/>
      </c>
      <c r="I695" s="19">
        <f>IF(OR($G695="",$H695=""),"",MAX(0,$H695-$G695))</f>
        <v/>
      </c>
      <c r="J695" s="21">
        <f>IF($I695="","",IF($I695=0,"OK",IF($G695&lt;=0,"Sin stock: pedir ya","Pedir o producir")))</f>
        <v/>
      </c>
      <c r="K695" s="17" t="n"/>
      <c r="L695" s="17" t="n"/>
      <c r="M695" s="21">
        <f>IF(OR($A695="",$A695&lt;&gt;'Lista para pedir'!$C$3,N($I695)&lt;=0),"",COUNTIFS($A$2:$A695,$A695,$I$2:$I695,"&gt;0"))</f>
        <v/>
      </c>
    </row>
    <row r="696">
      <c r="A696" s="20" t="n"/>
      <c r="B696" s="21">
        <f>IF($A696="","",CHOOSE(WEEKDAY($A696,2),"Lunes","Martes","Miércoles","Jueves","Viernes","Sábado","Domingo"))</f>
        <v/>
      </c>
      <c r="C696" s="17" t="n"/>
      <c r="D696" s="21">
        <f>IF($C696="","",IFERROR(INDEX(Insumos!$B$2:$B$151,MATCH($C696,Insumos!$A$2:$A$151,0)),"Código no cargado"))</f>
        <v/>
      </c>
      <c r="E696" s="21">
        <f>IF($C696="","",IFERROR(INDEX(Insumos!$C$2:$C$151,MATCH($C696,Insumos!$A$2:$A$151,0)),""))</f>
        <v/>
      </c>
      <c r="F696" s="21">
        <f>IF($C696="","",IFERROR(INDEX(Insumos!$D$2:$D$151,MATCH($C696,Insumos!$A$2:$A$151,0)),""))</f>
        <v/>
      </c>
      <c r="G696" s="18" t="n"/>
      <c r="H696" s="19">
        <f>IF(OR($A696="",$C696=""),"",IFERROR(INDEX(Insumos!$M$2:$S$151,MATCH($C696,Insumos!$A$2:$A$151,0),WEEKDAY($A696,2)),""))</f>
        <v/>
      </c>
      <c r="I696" s="19">
        <f>IF(OR($G696="",$H696=""),"",MAX(0,$H696-$G696))</f>
        <v/>
      </c>
      <c r="J696" s="21">
        <f>IF($I696="","",IF($I696=0,"OK",IF($G696&lt;=0,"Sin stock: pedir ya","Pedir o producir")))</f>
        <v/>
      </c>
      <c r="K696" s="17" t="n"/>
      <c r="L696" s="17" t="n"/>
      <c r="M696" s="21">
        <f>IF(OR($A696="",$A696&lt;&gt;'Lista para pedir'!$C$3,N($I696)&lt;=0),"",COUNTIFS($A$2:$A696,$A696,$I$2:$I696,"&gt;0"))</f>
        <v/>
      </c>
    </row>
    <row r="697">
      <c r="A697" s="20" t="n"/>
      <c r="B697" s="21">
        <f>IF($A697="","",CHOOSE(WEEKDAY($A697,2),"Lunes","Martes","Miércoles","Jueves","Viernes","Sábado","Domingo"))</f>
        <v/>
      </c>
      <c r="C697" s="17" t="n"/>
      <c r="D697" s="21">
        <f>IF($C697="","",IFERROR(INDEX(Insumos!$B$2:$B$151,MATCH($C697,Insumos!$A$2:$A$151,0)),"Código no cargado"))</f>
        <v/>
      </c>
      <c r="E697" s="21">
        <f>IF($C697="","",IFERROR(INDEX(Insumos!$C$2:$C$151,MATCH($C697,Insumos!$A$2:$A$151,0)),""))</f>
        <v/>
      </c>
      <c r="F697" s="21">
        <f>IF($C697="","",IFERROR(INDEX(Insumos!$D$2:$D$151,MATCH($C697,Insumos!$A$2:$A$151,0)),""))</f>
        <v/>
      </c>
      <c r="G697" s="18" t="n"/>
      <c r="H697" s="19">
        <f>IF(OR($A697="",$C697=""),"",IFERROR(INDEX(Insumos!$M$2:$S$151,MATCH($C697,Insumos!$A$2:$A$151,0),WEEKDAY($A697,2)),""))</f>
        <v/>
      </c>
      <c r="I697" s="19">
        <f>IF(OR($G697="",$H697=""),"",MAX(0,$H697-$G697))</f>
        <v/>
      </c>
      <c r="J697" s="21">
        <f>IF($I697="","",IF($I697=0,"OK",IF($G697&lt;=0,"Sin stock: pedir ya","Pedir o producir")))</f>
        <v/>
      </c>
      <c r="K697" s="17" t="n"/>
      <c r="L697" s="17" t="n"/>
      <c r="M697" s="21">
        <f>IF(OR($A697="",$A697&lt;&gt;'Lista para pedir'!$C$3,N($I697)&lt;=0),"",COUNTIFS($A$2:$A697,$A697,$I$2:$I697,"&gt;0"))</f>
        <v/>
      </c>
    </row>
    <row r="698">
      <c r="A698" s="20" t="n"/>
      <c r="B698" s="21">
        <f>IF($A698="","",CHOOSE(WEEKDAY($A698,2),"Lunes","Martes","Miércoles","Jueves","Viernes","Sábado","Domingo"))</f>
        <v/>
      </c>
      <c r="C698" s="17" t="n"/>
      <c r="D698" s="21">
        <f>IF($C698="","",IFERROR(INDEX(Insumos!$B$2:$B$151,MATCH($C698,Insumos!$A$2:$A$151,0)),"Código no cargado"))</f>
        <v/>
      </c>
      <c r="E698" s="21">
        <f>IF($C698="","",IFERROR(INDEX(Insumos!$C$2:$C$151,MATCH($C698,Insumos!$A$2:$A$151,0)),""))</f>
        <v/>
      </c>
      <c r="F698" s="21">
        <f>IF($C698="","",IFERROR(INDEX(Insumos!$D$2:$D$151,MATCH($C698,Insumos!$A$2:$A$151,0)),""))</f>
        <v/>
      </c>
      <c r="G698" s="18" t="n"/>
      <c r="H698" s="19">
        <f>IF(OR($A698="",$C698=""),"",IFERROR(INDEX(Insumos!$M$2:$S$151,MATCH($C698,Insumos!$A$2:$A$151,0),WEEKDAY($A698,2)),""))</f>
        <v/>
      </c>
      <c r="I698" s="19">
        <f>IF(OR($G698="",$H698=""),"",MAX(0,$H698-$G698))</f>
        <v/>
      </c>
      <c r="J698" s="21">
        <f>IF($I698="","",IF($I698=0,"OK",IF($G698&lt;=0,"Sin stock: pedir ya","Pedir o producir")))</f>
        <v/>
      </c>
      <c r="K698" s="17" t="n"/>
      <c r="L698" s="17" t="n"/>
      <c r="M698" s="21">
        <f>IF(OR($A698="",$A698&lt;&gt;'Lista para pedir'!$C$3,N($I698)&lt;=0),"",COUNTIFS($A$2:$A698,$A698,$I$2:$I698,"&gt;0"))</f>
        <v/>
      </c>
    </row>
    <row r="699">
      <c r="A699" s="20" t="n"/>
      <c r="B699" s="21">
        <f>IF($A699="","",CHOOSE(WEEKDAY($A699,2),"Lunes","Martes","Miércoles","Jueves","Viernes","Sábado","Domingo"))</f>
        <v/>
      </c>
      <c r="C699" s="17" t="n"/>
      <c r="D699" s="21">
        <f>IF($C699="","",IFERROR(INDEX(Insumos!$B$2:$B$151,MATCH($C699,Insumos!$A$2:$A$151,0)),"Código no cargado"))</f>
        <v/>
      </c>
      <c r="E699" s="21">
        <f>IF($C699="","",IFERROR(INDEX(Insumos!$C$2:$C$151,MATCH($C699,Insumos!$A$2:$A$151,0)),""))</f>
        <v/>
      </c>
      <c r="F699" s="21">
        <f>IF($C699="","",IFERROR(INDEX(Insumos!$D$2:$D$151,MATCH($C699,Insumos!$A$2:$A$151,0)),""))</f>
        <v/>
      </c>
      <c r="G699" s="18" t="n"/>
      <c r="H699" s="19">
        <f>IF(OR($A699="",$C699=""),"",IFERROR(INDEX(Insumos!$M$2:$S$151,MATCH($C699,Insumos!$A$2:$A$151,0),WEEKDAY($A699,2)),""))</f>
        <v/>
      </c>
      <c r="I699" s="19">
        <f>IF(OR($G699="",$H699=""),"",MAX(0,$H699-$G699))</f>
        <v/>
      </c>
      <c r="J699" s="21">
        <f>IF($I699="","",IF($I699=0,"OK",IF($G699&lt;=0,"Sin stock: pedir ya","Pedir o producir")))</f>
        <v/>
      </c>
      <c r="K699" s="17" t="n"/>
      <c r="L699" s="17" t="n"/>
      <c r="M699" s="21">
        <f>IF(OR($A699="",$A699&lt;&gt;'Lista para pedir'!$C$3,N($I699)&lt;=0),"",COUNTIFS($A$2:$A699,$A699,$I$2:$I699,"&gt;0"))</f>
        <v/>
      </c>
    </row>
    <row r="700">
      <c r="A700" s="20" t="n"/>
      <c r="B700" s="21">
        <f>IF($A700="","",CHOOSE(WEEKDAY($A700,2),"Lunes","Martes","Miércoles","Jueves","Viernes","Sábado","Domingo"))</f>
        <v/>
      </c>
      <c r="C700" s="17" t="n"/>
      <c r="D700" s="21">
        <f>IF($C700="","",IFERROR(INDEX(Insumos!$B$2:$B$151,MATCH($C700,Insumos!$A$2:$A$151,0)),"Código no cargado"))</f>
        <v/>
      </c>
      <c r="E700" s="21">
        <f>IF($C700="","",IFERROR(INDEX(Insumos!$C$2:$C$151,MATCH($C700,Insumos!$A$2:$A$151,0)),""))</f>
        <v/>
      </c>
      <c r="F700" s="21">
        <f>IF($C700="","",IFERROR(INDEX(Insumos!$D$2:$D$151,MATCH($C700,Insumos!$A$2:$A$151,0)),""))</f>
        <v/>
      </c>
      <c r="G700" s="18" t="n"/>
      <c r="H700" s="19">
        <f>IF(OR($A700="",$C700=""),"",IFERROR(INDEX(Insumos!$M$2:$S$151,MATCH($C700,Insumos!$A$2:$A$151,0),WEEKDAY($A700,2)),""))</f>
        <v/>
      </c>
      <c r="I700" s="19">
        <f>IF(OR($G700="",$H700=""),"",MAX(0,$H700-$G700))</f>
        <v/>
      </c>
      <c r="J700" s="21">
        <f>IF($I700="","",IF($I700=0,"OK",IF($G700&lt;=0,"Sin stock: pedir ya","Pedir o producir")))</f>
        <v/>
      </c>
      <c r="K700" s="17" t="n"/>
      <c r="L700" s="17" t="n"/>
      <c r="M700" s="21">
        <f>IF(OR($A700="",$A700&lt;&gt;'Lista para pedir'!$C$3,N($I700)&lt;=0),"",COUNTIFS($A$2:$A700,$A700,$I$2:$I700,"&gt;0"))</f>
        <v/>
      </c>
    </row>
    <row r="701">
      <c r="A701" s="20" t="n"/>
      <c r="B701" s="21">
        <f>IF($A701="","",CHOOSE(WEEKDAY($A701,2),"Lunes","Martes","Miércoles","Jueves","Viernes","Sábado","Domingo"))</f>
        <v/>
      </c>
      <c r="C701" s="17" t="n"/>
      <c r="D701" s="21">
        <f>IF($C701="","",IFERROR(INDEX(Insumos!$B$2:$B$151,MATCH($C701,Insumos!$A$2:$A$151,0)),"Código no cargado"))</f>
        <v/>
      </c>
      <c r="E701" s="21">
        <f>IF($C701="","",IFERROR(INDEX(Insumos!$C$2:$C$151,MATCH($C701,Insumos!$A$2:$A$151,0)),""))</f>
        <v/>
      </c>
      <c r="F701" s="21">
        <f>IF($C701="","",IFERROR(INDEX(Insumos!$D$2:$D$151,MATCH($C701,Insumos!$A$2:$A$151,0)),""))</f>
        <v/>
      </c>
      <c r="G701" s="18" t="n"/>
      <c r="H701" s="19">
        <f>IF(OR($A701="",$C701=""),"",IFERROR(INDEX(Insumos!$M$2:$S$151,MATCH($C701,Insumos!$A$2:$A$151,0),WEEKDAY($A701,2)),""))</f>
        <v/>
      </c>
      <c r="I701" s="19">
        <f>IF(OR($G701="",$H701=""),"",MAX(0,$H701-$G701))</f>
        <v/>
      </c>
      <c r="J701" s="21">
        <f>IF($I701="","",IF($I701=0,"OK",IF($G701&lt;=0,"Sin stock: pedir ya","Pedir o producir")))</f>
        <v/>
      </c>
      <c r="K701" s="17" t="n"/>
      <c r="L701" s="17" t="n"/>
      <c r="M701" s="21">
        <f>IF(OR($A701="",$A701&lt;&gt;'Lista para pedir'!$C$3,N($I701)&lt;=0),"",COUNTIFS($A$2:$A701,$A701,$I$2:$I701,"&gt;0"))</f>
        <v/>
      </c>
    </row>
    <row r="702">
      <c r="A702" s="20" t="n"/>
      <c r="B702" s="21">
        <f>IF($A702="","",CHOOSE(WEEKDAY($A702,2),"Lunes","Martes","Miércoles","Jueves","Viernes","Sábado","Domingo"))</f>
        <v/>
      </c>
      <c r="C702" s="17" t="n"/>
      <c r="D702" s="21">
        <f>IF($C702="","",IFERROR(INDEX(Insumos!$B$2:$B$151,MATCH($C702,Insumos!$A$2:$A$151,0)),"Código no cargado"))</f>
        <v/>
      </c>
      <c r="E702" s="21">
        <f>IF($C702="","",IFERROR(INDEX(Insumos!$C$2:$C$151,MATCH($C702,Insumos!$A$2:$A$151,0)),""))</f>
        <v/>
      </c>
      <c r="F702" s="21">
        <f>IF($C702="","",IFERROR(INDEX(Insumos!$D$2:$D$151,MATCH($C702,Insumos!$A$2:$A$151,0)),""))</f>
        <v/>
      </c>
      <c r="G702" s="18" t="n"/>
      <c r="H702" s="19">
        <f>IF(OR($A702="",$C702=""),"",IFERROR(INDEX(Insumos!$M$2:$S$151,MATCH($C702,Insumos!$A$2:$A$151,0),WEEKDAY($A702,2)),""))</f>
        <v/>
      </c>
      <c r="I702" s="19">
        <f>IF(OR($G702="",$H702=""),"",MAX(0,$H702-$G702))</f>
        <v/>
      </c>
      <c r="J702" s="21">
        <f>IF($I702="","",IF($I702=0,"OK",IF($G702&lt;=0,"Sin stock: pedir ya","Pedir o producir")))</f>
        <v/>
      </c>
      <c r="K702" s="17" t="n"/>
      <c r="L702" s="17" t="n"/>
      <c r="M702" s="21">
        <f>IF(OR($A702="",$A702&lt;&gt;'Lista para pedir'!$C$3,N($I702)&lt;=0),"",COUNTIFS($A$2:$A702,$A702,$I$2:$I702,"&gt;0"))</f>
        <v/>
      </c>
    </row>
    <row r="703">
      <c r="A703" s="20" t="n"/>
      <c r="B703" s="21">
        <f>IF($A703="","",CHOOSE(WEEKDAY($A703,2),"Lunes","Martes","Miércoles","Jueves","Viernes","Sábado","Domingo"))</f>
        <v/>
      </c>
      <c r="C703" s="17" t="n"/>
      <c r="D703" s="21">
        <f>IF($C703="","",IFERROR(INDEX(Insumos!$B$2:$B$151,MATCH($C703,Insumos!$A$2:$A$151,0)),"Código no cargado"))</f>
        <v/>
      </c>
      <c r="E703" s="21">
        <f>IF($C703="","",IFERROR(INDEX(Insumos!$C$2:$C$151,MATCH($C703,Insumos!$A$2:$A$151,0)),""))</f>
        <v/>
      </c>
      <c r="F703" s="21">
        <f>IF($C703="","",IFERROR(INDEX(Insumos!$D$2:$D$151,MATCH($C703,Insumos!$A$2:$A$151,0)),""))</f>
        <v/>
      </c>
      <c r="G703" s="18" t="n"/>
      <c r="H703" s="19">
        <f>IF(OR($A703="",$C703=""),"",IFERROR(INDEX(Insumos!$M$2:$S$151,MATCH($C703,Insumos!$A$2:$A$151,0),WEEKDAY($A703,2)),""))</f>
        <v/>
      </c>
      <c r="I703" s="19">
        <f>IF(OR($G703="",$H703=""),"",MAX(0,$H703-$G703))</f>
        <v/>
      </c>
      <c r="J703" s="21">
        <f>IF($I703="","",IF($I703=0,"OK",IF($G703&lt;=0,"Sin stock: pedir ya","Pedir o producir")))</f>
        <v/>
      </c>
      <c r="K703" s="17" t="n"/>
      <c r="L703" s="17" t="n"/>
      <c r="M703" s="21">
        <f>IF(OR($A703="",$A703&lt;&gt;'Lista para pedir'!$C$3,N($I703)&lt;=0),"",COUNTIFS($A$2:$A703,$A703,$I$2:$I703,"&gt;0"))</f>
        <v/>
      </c>
    </row>
    <row r="704">
      <c r="A704" s="20" t="n"/>
      <c r="B704" s="21">
        <f>IF($A704="","",CHOOSE(WEEKDAY($A704,2),"Lunes","Martes","Miércoles","Jueves","Viernes","Sábado","Domingo"))</f>
        <v/>
      </c>
      <c r="C704" s="17" t="n"/>
      <c r="D704" s="21">
        <f>IF($C704="","",IFERROR(INDEX(Insumos!$B$2:$B$151,MATCH($C704,Insumos!$A$2:$A$151,0)),"Código no cargado"))</f>
        <v/>
      </c>
      <c r="E704" s="21">
        <f>IF($C704="","",IFERROR(INDEX(Insumos!$C$2:$C$151,MATCH($C704,Insumos!$A$2:$A$151,0)),""))</f>
        <v/>
      </c>
      <c r="F704" s="21">
        <f>IF($C704="","",IFERROR(INDEX(Insumos!$D$2:$D$151,MATCH($C704,Insumos!$A$2:$A$151,0)),""))</f>
        <v/>
      </c>
      <c r="G704" s="18" t="n"/>
      <c r="H704" s="19">
        <f>IF(OR($A704="",$C704=""),"",IFERROR(INDEX(Insumos!$M$2:$S$151,MATCH($C704,Insumos!$A$2:$A$151,0),WEEKDAY($A704,2)),""))</f>
        <v/>
      </c>
      <c r="I704" s="19">
        <f>IF(OR($G704="",$H704=""),"",MAX(0,$H704-$G704))</f>
        <v/>
      </c>
      <c r="J704" s="21">
        <f>IF($I704="","",IF($I704=0,"OK",IF($G704&lt;=0,"Sin stock: pedir ya","Pedir o producir")))</f>
        <v/>
      </c>
      <c r="K704" s="17" t="n"/>
      <c r="L704" s="17" t="n"/>
      <c r="M704" s="21">
        <f>IF(OR($A704="",$A704&lt;&gt;'Lista para pedir'!$C$3,N($I704)&lt;=0),"",COUNTIFS($A$2:$A704,$A704,$I$2:$I704,"&gt;0"))</f>
        <v/>
      </c>
    </row>
    <row r="705">
      <c r="A705" s="20" t="n"/>
      <c r="B705" s="21">
        <f>IF($A705="","",CHOOSE(WEEKDAY($A705,2),"Lunes","Martes","Miércoles","Jueves","Viernes","Sábado","Domingo"))</f>
        <v/>
      </c>
      <c r="C705" s="17" t="n"/>
      <c r="D705" s="21">
        <f>IF($C705="","",IFERROR(INDEX(Insumos!$B$2:$B$151,MATCH($C705,Insumos!$A$2:$A$151,0)),"Código no cargado"))</f>
        <v/>
      </c>
      <c r="E705" s="21">
        <f>IF($C705="","",IFERROR(INDEX(Insumos!$C$2:$C$151,MATCH($C705,Insumos!$A$2:$A$151,0)),""))</f>
        <v/>
      </c>
      <c r="F705" s="21">
        <f>IF($C705="","",IFERROR(INDEX(Insumos!$D$2:$D$151,MATCH($C705,Insumos!$A$2:$A$151,0)),""))</f>
        <v/>
      </c>
      <c r="G705" s="18" t="n"/>
      <c r="H705" s="19">
        <f>IF(OR($A705="",$C705=""),"",IFERROR(INDEX(Insumos!$M$2:$S$151,MATCH($C705,Insumos!$A$2:$A$151,0),WEEKDAY($A705,2)),""))</f>
        <v/>
      </c>
      <c r="I705" s="19">
        <f>IF(OR($G705="",$H705=""),"",MAX(0,$H705-$G705))</f>
        <v/>
      </c>
      <c r="J705" s="21">
        <f>IF($I705="","",IF($I705=0,"OK",IF($G705&lt;=0,"Sin stock: pedir ya","Pedir o producir")))</f>
        <v/>
      </c>
      <c r="K705" s="17" t="n"/>
      <c r="L705" s="17" t="n"/>
      <c r="M705" s="21">
        <f>IF(OR($A705="",$A705&lt;&gt;'Lista para pedir'!$C$3,N($I705)&lt;=0),"",COUNTIFS($A$2:$A705,$A705,$I$2:$I705,"&gt;0"))</f>
        <v/>
      </c>
    </row>
    <row r="706">
      <c r="A706" s="20" t="n"/>
      <c r="B706" s="21">
        <f>IF($A706="","",CHOOSE(WEEKDAY($A706,2),"Lunes","Martes","Miércoles","Jueves","Viernes","Sábado","Domingo"))</f>
        <v/>
      </c>
      <c r="C706" s="17" t="n"/>
      <c r="D706" s="21">
        <f>IF($C706="","",IFERROR(INDEX(Insumos!$B$2:$B$151,MATCH($C706,Insumos!$A$2:$A$151,0)),"Código no cargado"))</f>
        <v/>
      </c>
      <c r="E706" s="21">
        <f>IF($C706="","",IFERROR(INDEX(Insumos!$C$2:$C$151,MATCH($C706,Insumos!$A$2:$A$151,0)),""))</f>
        <v/>
      </c>
      <c r="F706" s="21">
        <f>IF($C706="","",IFERROR(INDEX(Insumos!$D$2:$D$151,MATCH($C706,Insumos!$A$2:$A$151,0)),""))</f>
        <v/>
      </c>
      <c r="G706" s="18" t="n"/>
      <c r="H706" s="19">
        <f>IF(OR($A706="",$C706=""),"",IFERROR(INDEX(Insumos!$M$2:$S$151,MATCH($C706,Insumos!$A$2:$A$151,0),WEEKDAY($A706,2)),""))</f>
        <v/>
      </c>
      <c r="I706" s="19">
        <f>IF(OR($G706="",$H706=""),"",MAX(0,$H706-$G706))</f>
        <v/>
      </c>
      <c r="J706" s="21">
        <f>IF($I706="","",IF($I706=0,"OK",IF($G706&lt;=0,"Sin stock: pedir ya","Pedir o producir")))</f>
        <v/>
      </c>
      <c r="K706" s="17" t="n"/>
      <c r="L706" s="17" t="n"/>
      <c r="M706" s="21">
        <f>IF(OR($A706="",$A706&lt;&gt;'Lista para pedir'!$C$3,N($I706)&lt;=0),"",COUNTIFS($A$2:$A706,$A706,$I$2:$I706,"&gt;0"))</f>
        <v/>
      </c>
    </row>
    <row r="707">
      <c r="A707" s="20" t="n"/>
      <c r="B707" s="21">
        <f>IF($A707="","",CHOOSE(WEEKDAY($A707,2),"Lunes","Martes","Miércoles","Jueves","Viernes","Sábado","Domingo"))</f>
        <v/>
      </c>
      <c r="C707" s="17" t="n"/>
      <c r="D707" s="21">
        <f>IF($C707="","",IFERROR(INDEX(Insumos!$B$2:$B$151,MATCH($C707,Insumos!$A$2:$A$151,0)),"Código no cargado"))</f>
        <v/>
      </c>
      <c r="E707" s="21">
        <f>IF($C707="","",IFERROR(INDEX(Insumos!$C$2:$C$151,MATCH($C707,Insumos!$A$2:$A$151,0)),""))</f>
        <v/>
      </c>
      <c r="F707" s="21">
        <f>IF($C707="","",IFERROR(INDEX(Insumos!$D$2:$D$151,MATCH($C707,Insumos!$A$2:$A$151,0)),""))</f>
        <v/>
      </c>
      <c r="G707" s="18" t="n"/>
      <c r="H707" s="19">
        <f>IF(OR($A707="",$C707=""),"",IFERROR(INDEX(Insumos!$M$2:$S$151,MATCH($C707,Insumos!$A$2:$A$151,0),WEEKDAY($A707,2)),""))</f>
        <v/>
      </c>
      <c r="I707" s="19">
        <f>IF(OR($G707="",$H707=""),"",MAX(0,$H707-$G707))</f>
        <v/>
      </c>
      <c r="J707" s="21">
        <f>IF($I707="","",IF($I707=0,"OK",IF($G707&lt;=0,"Sin stock: pedir ya","Pedir o producir")))</f>
        <v/>
      </c>
      <c r="K707" s="17" t="n"/>
      <c r="L707" s="17" t="n"/>
      <c r="M707" s="21">
        <f>IF(OR($A707="",$A707&lt;&gt;'Lista para pedir'!$C$3,N($I707)&lt;=0),"",COUNTIFS($A$2:$A707,$A707,$I$2:$I707,"&gt;0"))</f>
        <v/>
      </c>
    </row>
    <row r="708">
      <c r="A708" s="20" t="n"/>
      <c r="B708" s="21">
        <f>IF($A708="","",CHOOSE(WEEKDAY($A708,2),"Lunes","Martes","Miércoles","Jueves","Viernes","Sábado","Domingo"))</f>
        <v/>
      </c>
      <c r="C708" s="17" t="n"/>
      <c r="D708" s="21">
        <f>IF($C708="","",IFERROR(INDEX(Insumos!$B$2:$B$151,MATCH($C708,Insumos!$A$2:$A$151,0)),"Código no cargado"))</f>
        <v/>
      </c>
      <c r="E708" s="21">
        <f>IF($C708="","",IFERROR(INDEX(Insumos!$C$2:$C$151,MATCH($C708,Insumos!$A$2:$A$151,0)),""))</f>
        <v/>
      </c>
      <c r="F708" s="21">
        <f>IF($C708="","",IFERROR(INDEX(Insumos!$D$2:$D$151,MATCH($C708,Insumos!$A$2:$A$151,0)),""))</f>
        <v/>
      </c>
      <c r="G708" s="18" t="n"/>
      <c r="H708" s="19">
        <f>IF(OR($A708="",$C708=""),"",IFERROR(INDEX(Insumos!$M$2:$S$151,MATCH($C708,Insumos!$A$2:$A$151,0),WEEKDAY($A708,2)),""))</f>
        <v/>
      </c>
      <c r="I708" s="19">
        <f>IF(OR($G708="",$H708=""),"",MAX(0,$H708-$G708))</f>
        <v/>
      </c>
      <c r="J708" s="21">
        <f>IF($I708="","",IF($I708=0,"OK",IF($G708&lt;=0,"Sin stock: pedir ya","Pedir o producir")))</f>
        <v/>
      </c>
      <c r="K708" s="17" t="n"/>
      <c r="L708" s="17" t="n"/>
      <c r="M708" s="21">
        <f>IF(OR($A708="",$A708&lt;&gt;'Lista para pedir'!$C$3,N($I708)&lt;=0),"",COUNTIFS($A$2:$A708,$A708,$I$2:$I708,"&gt;0"))</f>
        <v/>
      </c>
    </row>
    <row r="709">
      <c r="A709" s="20" t="n"/>
      <c r="B709" s="21">
        <f>IF($A709="","",CHOOSE(WEEKDAY($A709,2),"Lunes","Martes","Miércoles","Jueves","Viernes","Sábado","Domingo"))</f>
        <v/>
      </c>
      <c r="C709" s="17" t="n"/>
      <c r="D709" s="21">
        <f>IF($C709="","",IFERROR(INDEX(Insumos!$B$2:$B$151,MATCH($C709,Insumos!$A$2:$A$151,0)),"Código no cargado"))</f>
        <v/>
      </c>
      <c r="E709" s="21">
        <f>IF($C709="","",IFERROR(INDEX(Insumos!$C$2:$C$151,MATCH($C709,Insumos!$A$2:$A$151,0)),""))</f>
        <v/>
      </c>
      <c r="F709" s="21">
        <f>IF($C709="","",IFERROR(INDEX(Insumos!$D$2:$D$151,MATCH($C709,Insumos!$A$2:$A$151,0)),""))</f>
        <v/>
      </c>
      <c r="G709" s="18" t="n"/>
      <c r="H709" s="19">
        <f>IF(OR($A709="",$C709=""),"",IFERROR(INDEX(Insumos!$M$2:$S$151,MATCH($C709,Insumos!$A$2:$A$151,0),WEEKDAY($A709,2)),""))</f>
        <v/>
      </c>
      <c r="I709" s="19">
        <f>IF(OR($G709="",$H709=""),"",MAX(0,$H709-$G709))</f>
        <v/>
      </c>
      <c r="J709" s="21">
        <f>IF($I709="","",IF($I709=0,"OK",IF($G709&lt;=0,"Sin stock: pedir ya","Pedir o producir")))</f>
        <v/>
      </c>
      <c r="K709" s="17" t="n"/>
      <c r="L709" s="17" t="n"/>
      <c r="M709" s="21">
        <f>IF(OR($A709="",$A709&lt;&gt;'Lista para pedir'!$C$3,N($I709)&lt;=0),"",COUNTIFS($A$2:$A709,$A709,$I$2:$I709,"&gt;0"))</f>
        <v/>
      </c>
    </row>
    <row r="710">
      <c r="A710" s="20" t="n"/>
      <c r="B710" s="21">
        <f>IF($A710="","",CHOOSE(WEEKDAY($A710,2),"Lunes","Martes","Miércoles","Jueves","Viernes","Sábado","Domingo"))</f>
        <v/>
      </c>
      <c r="C710" s="17" t="n"/>
      <c r="D710" s="21">
        <f>IF($C710="","",IFERROR(INDEX(Insumos!$B$2:$B$151,MATCH($C710,Insumos!$A$2:$A$151,0)),"Código no cargado"))</f>
        <v/>
      </c>
      <c r="E710" s="21">
        <f>IF($C710="","",IFERROR(INDEX(Insumos!$C$2:$C$151,MATCH($C710,Insumos!$A$2:$A$151,0)),""))</f>
        <v/>
      </c>
      <c r="F710" s="21">
        <f>IF($C710="","",IFERROR(INDEX(Insumos!$D$2:$D$151,MATCH($C710,Insumos!$A$2:$A$151,0)),""))</f>
        <v/>
      </c>
      <c r="G710" s="18" t="n"/>
      <c r="H710" s="19">
        <f>IF(OR($A710="",$C710=""),"",IFERROR(INDEX(Insumos!$M$2:$S$151,MATCH($C710,Insumos!$A$2:$A$151,0),WEEKDAY($A710,2)),""))</f>
        <v/>
      </c>
      <c r="I710" s="19">
        <f>IF(OR($G710="",$H710=""),"",MAX(0,$H710-$G710))</f>
        <v/>
      </c>
      <c r="J710" s="21">
        <f>IF($I710="","",IF($I710=0,"OK",IF($G710&lt;=0,"Sin stock: pedir ya","Pedir o producir")))</f>
        <v/>
      </c>
      <c r="K710" s="17" t="n"/>
      <c r="L710" s="17" t="n"/>
      <c r="M710" s="21">
        <f>IF(OR($A710="",$A710&lt;&gt;'Lista para pedir'!$C$3,N($I710)&lt;=0),"",COUNTIFS($A$2:$A710,$A710,$I$2:$I710,"&gt;0"))</f>
        <v/>
      </c>
    </row>
    <row r="711">
      <c r="A711" s="20" t="n"/>
      <c r="B711" s="21">
        <f>IF($A711="","",CHOOSE(WEEKDAY($A711,2),"Lunes","Martes","Miércoles","Jueves","Viernes","Sábado","Domingo"))</f>
        <v/>
      </c>
      <c r="C711" s="17" t="n"/>
      <c r="D711" s="21">
        <f>IF($C711="","",IFERROR(INDEX(Insumos!$B$2:$B$151,MATCH($C711,Insumos!$A$2:$A$151,0)),"Código no cargado"))</f>
        <v/>
      </c>
      <c r="E711" s="21">
        <f>IF($C711="","",IFERROR(INDEX(Insumos!$C$2:$C$151,MATCH($C711,Insumos!$A$2:$A$151,0)),""))</f>
        <v/>
      </c>
      <c r="F711" s="21">
        <f>IF($C711="","",IFERROR(INDEX(Insumos!$D$2:$D$151,MATCH($C711,Insumos!$A$2:$A$151,0)),""))</f>
        <v/>
      </c>
      <c r="G711" s="18" t="n"/>
      <c r="H711" s="19">
        <f>IF(OR($A711="",$C711=""),"",IFERROR(INDEX(Insumos!$M$2:$S$151,MATCH($C711,Insumos!$A$2:$A$151,0),WEEKDAY($A711,2)),""))</f>
        <v/>
      </c>
      <c r="I711" s="19">
        <f>IF(OR($G711="",$H711=""),"",MAX(0,$H711-$G711))</f>
        <v/>
      </c>
      <c r="J711" s="21">
        <f>IF($I711="","",IF($I711=0,"OK",IF($G711&lt;=0,"Sin stock: pedir ya","Pedir o producir")))</f>
        <v/>
      </c>
      <c r="K711" s="17" t="n"/>
      <c r="L711" s="17" t="n"/>
      <c r="M711" s="21">
        <f>IF(OR($A711="",$A711&lt;&gt;'Lista para pedir'!$C$3,N($I711)&lt;=0),"",COUNTIFS($A$2:$A711,$A711,$I$2:$I711,"&gt;0"))</f>
        <v/>
      </c>
    </row>
    <row r="712">
      <c r="A712" s="20" t="n"/>
      <c r="B712" s="21">
        <f>IF($A712="","",CHOOSE(WEEKDAY($A712,2),"Lunes","Martes","Miércoles","Jueves","Viernes","Sábado","Domingo"))</f>
        <v/>
      </c>
      <c r="C712" s="17" t="n"/>
      <c r="D712" s="21">
        <f>IF($C712="","",IFERROR(INDEX(Insumos!$B$2:$B$151,MATCH($C712,Insumos!$A$2:$A$151,0)),"Código no cargado"))</f>
        <v/>
      </c>
      <c r="E712" s="21">
        <f>IF($C712="","",IFERROR(INDEX(Insumos!$C$2:$C$151,MATCH($C712,Insumos!$A$2:$A$151,0)),""))</f>
        <v/>
      </c>
      <c r="F712" s="21">
        <f>IF($C712="","",IFERROR(INDEX(Insumos!$D$2:$D$151,MATCH($C712,Insumos!$A$2:$A$151,0)),""))</f>
        <v/>
      </c>
      <c r="G712" s="18" t="n"/>
      <c r="H712" s="19">
        <f>IF(OR($A712="",$C712=""),"",IFERROR(INDEX(Insumos!$M$2:$S$151,MATCH($C712,Insumos!$A$2:$A$151,0),WEEKDAY($A712,2)),""))</f>
        <v/>
      </c>
      <c r="I712" s="19">
        <f>IF(OR($G712="",$H712=""),"",MAX(0,$H712-$G712))</f>
        <v/>
      </c>
      <c r="J712" s="21">
        <f>IF($I712="","",IF($I712=0,"OK",IF($G712&lt;=0,"Sin stock: pedir ya","Pedir o producir")))</f>
        <v/>
      </c>
      <c r="K712" s="17" t="n"/>
      <c r="L712" s="17" t="n"/>
      <c r="M712" s="21">
        <f>IF(OR($A712="",$A712&lt;&gt;'Lista para pedir'!$C$3,N($I712)&lt;=0),"",COUNTIFS($A$2:$A712,$A712,$I$2:$I712,"&gt;0"))</f>
        <v/>
      </c>
    </row>
    <row r="713">
      <c r="A713" s="20" t="n"/>
      <c r="B713" s="21">
        <f>IF($A713="","",CHOOSE(WEEKDAY($A713,2),"Lunes","Martes","Miércoles","Jueves","Viernes","Sábado","Domingo"))</f>
        <v/>
      </c>
      <c r="C713" s="17" t="n"/>
      <c r="D713" s="21">
        <f>IF($C713="","",IFERROR(INDEX(Insumos!$B$2:$B$151,MATCH($C713,Insumos!$A$2:$A$151,0)),"Código no cargado"))</f>
        <v/>
      </c>
      <c r="E713" s="21">
        <f>IF($C713="","",IFERROR(INDEX(Insumos!$C$2:$C$151,MATCH($C713,Insumos!$A$2:$A$151,0)),""))</f>
        <v/>
      </c>
      <c r="F713" s="21">
        <f>IF($C713="","",IFERROR(INDEX(Insumos!$D$2:$D$151,MATCH($C713,Insumos!$A$2:$A$151,0)),""))</f>
        <v/>
      </c>
      <c r="G713" s="18" t="n"/>
      <c r="H713" s="19">
        <f>IF(OR($A713="",$C713=""),"",IFERROR(INDEX(Insumos!$M$2:$S$151,MATCH($C713,Insumos!$A$2:$A$151,0),WEEKDAY($A713,2)),""))</f>
        <v/>
      </c>
      <c r="I713" s="19">
        <f>IF(OR($G713="",$H713=""),"",MAX(0,$H713-$G713))</f>
        <v/>
      </c>
      <c r="J713" s="21">
        <f>IF($I713="","",IF($I713=0,"OK",IF($G713&lt;=0,"Sin stock: pedir ya","Pedir o producir")))</f>
        <v/>
      </c>
      <c r="K713" s="17" t="n"/>
      <c r="L713" s="17" t="n"/>
      <c r="M713" s="21">
        <f>IF(OR($A713="",$A713&lt;&gt;'Lista para pedir'!$C$3,N($I713)&lt;=0),"",COUNTIFS($A$2:$A713,$A713,$I$2:$I713,"&gt;0"))</f>
        <v/>
      </c>
    </row>
    <row r="714">
      <c r="A714" s="20" t="n"/>
      <c r="B714" s="21">
        <f>IF($A714="","",CHOOSE(WEEKDAY($A714,2),"Lunes","Martes","Miércoles","Jueves","Viernes","Sábado","Domingo"))</f>
        <v/>
      </c>
      <c r="C714" s="17" t="n"/>
      <c r="D714" s="21">
        <f>IF($C714="","",IFERROR(INDEX(Insumos!$B$2:$B$151,MATCH($C714,Insumos!$A$2:$A$151,0)),"Código no cargado"))</f>
        <v/>
      </c>
      <c r="E714" s="21">
        <f>IF($C714="","",IFERROR(INDEX(Insumos!$C$2:$C$151,MATCH($C714,Insumos!$A$2:$A$151,0)),""))</f>
        <v/>
      </c>
      <c r="F714" s="21">
        <f>IF($C714="","",IFERROR(INDEX(Insumos!$D$2:$D$151,MATCH($C714,Insumos!$A$2:$A$151,0)),""))</f>
        <v/>
      </c>
      <c r="G714" s="18" t="n"/>
      <c r="H714" s="19">
        <f>IF(OR($A714="",$C714=""),"",IFERROR(INDEX(Insumos!$M$2:$S$151,MATCH($C714,Insumos!$A$2:$A$151,0),WEEKDAY($A714,2)),""))</f>
        <v/>
      </c>
      <c r="I714" s="19">
        <f>IF(OR($G714="",$H714=""),"",MAX(0,$H714-$G714))</f>
        <v/>
      </c>
      <c r="J714" s="21">
        <f>IF($I714="","",IF($I714=0,"OK",IF($G714&lt;=0,"Sin stock: pedir ya","Pedir o producir")))</f>
        <v/>
      </c>
      <c r="K714" s="17" t="n"/>
      <c r="L714" s="17" t="n"/>
      <c r="M714" s="21">
        <f>IF(OR($A714="",$A714&lt;&gt;'Lista para pedir'!$C$3,N($I714)&lt;=0),"",COUNTIFS($A$2:$A714,$A714,$I$2:$I714,"&gt;0"))</f>
        <v/>
      </c>
    </row>
    <row r="715">
      <c r="A715" s="20" t="n"/>
      <c r="B715" s="21">
        <f>IF($A715="","",CHOOSE(WEEKDAY($A715,2),"Lunes","Martes","Miércoles","Jueves","Viernes","Sábado","Domingo"))</f>
        <v/>
      </c>
      <c r="C715" s="17" t="n"/>
      <c r="D715" s="21">
        <f>IF($C715="","",IFERROR(INDEX(Insumos!$B$2:$B$151,MATCH($C715,Insumos!$A$2:$A$151,0)),"Código no cargado"))</f>
        <v/>
      </c>
      <c r="E715" s="21">
        <f>IF($C715="","",IFERROR(INDEX(Insumos!$C$2:$C$151,MATCH($C715,Insumos!$A$2:$A$151,0)),""))</f>
        <v/>
      </c>
      <c r="F715" s="21">
        <f>IF($C715="","",IFERROR(INDEX(Insumos!$D$2:$D$151,MATCH($C715,Insumos!$A$2:$A$151,0)),""))</f>
        <v/>
      </c>
      <c r="G715" s="18" t="n"/>
      <c r="H715" s="19">
        <f>IF(OR($A715="",$C715=""),"",IFERROR(INDEX(Insumos!$M$2:$S$151,MATCH($C715,Insumos!$A$2:$A$151,0),WEEKDAY($A715,2)),""))</f>
        <v/>
      </c>
      <c r="I715" s="19">
        <f>IF(OR($G715="",$H715=""),"",MAX(0,$H715-$G715))</f>
        <v/>
      </c>
      <c r="J715" s="21">
        <f>IF($I715="","",IF($I715=0,"OK",IF($G715&lt;=0,"Sin stock: pedir ya","Pedir o producir")))</f>
        <v/>
      </c>
      <c r="K715" s="17" t="n"/>
      <c r="L715" s="17" t="n"/>
      <c r="M715" s="21">
        <f>IF(OR($A715="",$A715&lt;&gt;'Lista para pedir'!$C$3,N($I715)&lt;=0),"",COUNTIFS($A$2:$A715,$A715,$I$2:$I715,"&gt;0"))</f>
        <v/>
      </c>
    </row>
    <row r="716">
      <c r="A716" s="20" t="n"/>
      <c r="B716" s="21">
        <f>IF($A716="","",CHOOSE(WEEKDAY($A716,2),"Lunes","Martes","Miércoles","Jueves","Viernes","Sábado","Domingo"))</f>
        <v/>
      </c>
      <c r="C716" s="17" t="n"/>
      <c r="D716" s="21">
        <f>IF($C716="","",IFERROR(INDEX(Insumos!$B$2:$B$151,MATCH($C716,Insumos!$A$2:$A$151,0)),"Código no cargado"))</f>
        <v/>
      </c>
      <c r="E716" s="21">
        <f>IF($C716="","",IFERROR(INDEX(Insumos!$C$2:$C$151,MATCH($C716,Insumos!$A$2:$A$151,0)),""))</f>
        <v/>
      </c>
      <c r="F716" s="21">
        <f>IF($C716="","",IFERROR(INDEX(Insumos!$D$2:$D$151,MATCH($C716,Insumos!$A$2:$A$151,0)),""))</f>
        <v/>
      </c>
      <c r="G716" s="18" t="n"/>
      <c r="H716" s="19">
        <f>IF(OR($A716="",$C716=""),"",IFERROR(INDEX(Insumos!$M$2:$S$151,MATCH($C716,Insumos!$A$2:$A$151,0),WEEKDAY($A716,2)),""))</f>
        <v/>
      </c>
      <c r="I716" s="19">
        <f>IF(OR($G716="",$H716=""),"",MAX(0,$H716-$G716))</f>
        <v/>
      </c>
      <c r="J716" s="21">
        <f>IF($I716="","",IF($I716=0,"OK",IF($G716&lt;=0,"Sin stock: pedir ya","Pedir o producir")))</f>
        <v/>
      </c>
      <c r="K716" s="17" t="n"/>
      <c r="L716" s="17" t="n"/>
      <c r="M716" s="21">
        <f>IF(OR($A716="",$A716&lt;&gt;'Lista para pedir'!$C$3,N($I716)&lt;=0),"",COUNTIFS($A$2:$A716,$A716,$I$2:$I716,"&gt;0"))</f>
        <v/>
      </c>
    </row>
    <row r="717">
      <c r="A717" s="20" t="n"/>
      <c r="B717" s="21">
        <f>IF($A717="","",CHOOSE(WEEKDAY($A717,2),"Lunes","Martes","Miércoles","Jueves","Viernes","Sábado","Domingo"))</f>
        <v/>
      </c>
      <c r="C717" s="17" t="n"/>
      <c r="D717" s="21">
        <f>IF($C717="","",IFERROR(INDEX(Insumos!$B$2:$B$151,MATCH($C717,Insumos!$A$2:$A$151,0)),"Código no cargado"))</f>
        <v/>
      </c>
      <c r="E717" s="21">
        <f>IF($C717="","",IFERROR(INDEX(Insumos!$C$2:$C$151,MATCH($C717,Insumos!$A$2:$A$151,0)),""))</f>
        <v/>
      </c>
      <c r="F717" s="21">
        <f>IF($C717="","",IFERROR(INDEX(Insumos!$D$2:$D$151,MATCH($C717,Insumos!$A$2:$A$151,0)),""))</f>
        <v/>
      </c>
      <c r="G717" s="18" t="n"/>
      <c r="H717" s="19">
        <f>IF(OR($A717="",$C717=""),"",IFERROR(INDEX(Insumos!$M$2:$S$151,MATCH($C717,Insumos!$A$2:$A$151,0),WEEKDAY($A717,2)),""))</f>
        <v/>
      </c>
      <c r="I717" s="19">
        <f>IF(OR($G717="",$H717=""),"",MAX(0,$H717-$G717))</f>
        <v/>
      </c>
      <c r="J717" s="21">
        <f>IF($I717="","",IF($I717=0,"OK",IF($G717&lt;=0,"Sin stock: pedir ya","Pedir o producir")))</f>
        <v/>
      </c>
      <c r="K717" s="17" t="n"/>
      <c r="L717" s="17" t="n"/>
      <c r="M717" s="21">
        <f>IF(OR($A717="",$A717&lt;&gt;'Lista para pedir'!$C$3,N($I717)&lt;=0),"",COUNTIFS($A$2:$A717,$A717,$I$2:$I717,"&gt;0"))</f>
        <v/>
      </c>
    </row>
    <row r="718">
      <c r="A718" s="20" t="n"/>
      <c r="B718" s="21">
        <f>IF($A718="","",CHOOSE(WEEKDAY($A718,2),"Lunes","Martes","Miércoles","Jueves","Viernes","Sábado","Domingo"))</f>
        <v/>
      </c>
      <c r="C718" s="17" t="n"/>
      <c r="D718" s="21">
        <f>IF($C718="","",IFERROR(INDEX(Insumos!$B$2:$B$151,MATCH($C718,Insumos!$A$2:$A$151,0)),"Código no cargado"))</f>
        <v/>
      </c>
      <c r="E718" s="21">
        <f>IF($C718="","",IFERROR(INDEX(Insumos!$C$2:$C$151,MATCH($C718,Insumos!$A$2:$A$151,0)),""))</f>
        <v/>
      </c>
      <c r="F718" s="21">
        <f>IF($C718="","",IFERROR(INDEX(Insumos!$D$2:$D$151,MATCH($C718,Insumos!$A$2:$A$151,0)),""))</f>
        <v/>
      </c>
      <c r="G718" s="18" t="n"/>
      <c r="H718" s="19">
        <f>IF(OR($A718="",$C718=""),"",IFERROR(INDEX(Insumos!$M$2:$S$151,MATCH($C718,Insumos!$A$2:$A$151,0),WEEKDAY($A718,2)),""))</f>
        <v/>
      </c>
      <c r="I718" s="19">
        <f>IF(OR($G718="",$H718=""),"",MAX(0,$H718-$G718))</f>
        <v/>
      </c>
      <c r="J718" s="21">
        <f>IF($I718="","",IF($I718=0,"OK",IF($G718&lt;=0,"Sin stock: pedir ya","Pedir o producir")))</f>
        <v/>
      </c>
      <c r="K718" s="17" t="n"/>
      <c r="L718" s="17" t="n"/>
      <c r="M718" s="21">
        <f>IF(OR($A718="",$A718&lt;&gt;'Lista para pedir'!$C$3,N($I718)&lt;=0),"",COUNTIFS($A$2:$A718,$A718,$I$2:$I718,"&gt;0"))</f>
        <v/>
      </c>
    </row>
    <row r="719">
      <c r="A719" s="20" t="n"/>
      <c r="B719" s="21">
        <f>IF($A719="","",CHOOSE(WEEKDAY($A719,2),"Lunes","Martes","Miércoles","Jueves","Viernes","Sábado","Domingo"))</f>
        <v/>
      </c>
      <c r="C719" s="17" t="n"/>
      <c r="D719" s="21">
        <f>IF($C719="","",IFERROR(INDEX(Insumos!$B$2:$B$151,MATCH($C719,Insumos!$A$2:$A$151,0)),"Código no cargado"))</f>
        <v/>
      </c>
      <c r="E719" s="21">
        <f>IF($C719="","",IFERROR(INDEX(Insumos!$C$2:$C$151,MATCH($C719,Insumos!$A$2:$A$151,0)),""))</f>
        <v/>
      </c>
      <c r="F719" s="21">
        <f>IF($C719="","",IFERROR(INDEX(Insumos!$D$2:$D$151,MATCH($C719,Insumos!$A$2:$A$151,0)),""))</f>
        <v/>
      </c>
      <c r="G719" s="18" t="n"/>
      <c r="H719" s="19">
        <f>IF(OR($A719="",$C719=""),"",IFERROR(INDEX(Insumos!$M$2:$S$151,MATCH($C719,Insumos!$A$2:$A$151,0),WEEKDAY($A719,2)),""))</f>
        <v/>
      </c>
      <c r="I719" s="19">
        <f>IF(OR($G719="",$H719=""),"",MAX(0,$H719-$G719))</f>
        <v/>
      </c>
      <c r="J719" s="21">
        <f>IF($I719="","",IF($I719=0,"OK",IF($G719&lt;=0,"Sin stock: pedir ya","Pedir o producir")))</f>
        <v/>
      </c>
      <c r="K719" s="17" t="n"/>
      <c r="L719" s="17" t="n"/>
      <c r="M719" s="21">
        <f>IF(OR($A719="",$A719&lt;&gt;'Lista para pedir'!$C$3,N($I719)&lt;=0),"",COUNTIFS($A$2:$A719,$A719,$I$2:$I719,"&gt;0"))</f>
        <v/>
      </c>
    </row>
    <row r="720">
      <c r="A720" s="20" t="n"/>
      <c r="B720" s="21">
        <f>IF($A720="","",CHOOSE(WEEKDAY($A720,2),"Lunes","Martes","Miércoles","Jueves","Viernes","Sábado","Domingo"))</f>
        <v/>
      </c>
      <c r="C720" s="17" t="n"/>
      <c r="D720" s="21">
        <f>IF($C720="","",IFERROR(INDEX(Insumos!$B$2:$B$151,MATCH($C720,Insumos!$A$2:$A$151,0)),"Código no cargado"))</f>
        <v/>
      </c>
      <c r="E720" s="21">
        <f>IF($C720="","",IFERROR(INDEX(Insumos!$C$2:$C$151,MATCH($C720,Insumos!$A$2:$A$151,0)),""))</f>
        <v/>
      </c>
      <c r="F720" s="21">
        <f>IF($C720="","",IFERROR(INDEX(Insumos!$D$2:$D$151,MATCH($C720,Insumos!$A$2:$A$151,0)),""))</f>
        <v/>
      </c>
      <c r="G720" s="18" t="n"/>
      <c r="H720" s="19">
        <f>IF(OR($A720="",$C720=""),"",IFERROR(INDEX(Insumos!$M$2:$S$151,MATCH($C720,Insumos!$A$2:$A$151,0),WEEKDAY($A720,2)),""))</f>
        <v/>
      </c>
      <c r="I720" s="19">
        <f>IF(OR($G720="",$H720=""),"",MAX(0,$H720-$G720))</f>
        <v/>
      </c>
      <c r="J720" s="21">
        <f>IF($I720="","",IF($I720=0,"OK",IF($G720&lt;=0,"Sin stock: pedir ya","Pedir o producir")))</f>
        <v/>
      </c>
      <c r="K720" s="17" t="n"/>
      <c r="L720" s="17" t="n"/>
      <c r="M720" s="21">
        <f>IF(OR($A720="",$A720&lt;&gt;'Lista para pedir'!$C$3,N($I720)&lt;=0),"",COUNTIFS($A$2:$A720,$A720,$I$2:$I720,"&gt;0"))</f>
        <v/>
      </c>
    </row>
    <row r="721">
      <c r="A721" s="20" t="n"/>
      <c r="B721" s="21">
        <f>IF($A721="","",CHOOSE(WEEKDAY($A721,2),"Lunes","Martes","Miércoles","Jueves","Viernes","Sábado","Domingo"))</f>
        <v/>
      </c>
      <c r="C721" s="17" t="n"/>
      <c r="D721" s="21">
        <f>IF($C721="","",IFERROR(INDEX(Insumos!$B$2:$B$151,MATCH($C721,Insumos!$A$2:$A$151,0)),"Código no cargado"))</f>
        <v/>
      </c>
      <c r="E721" s="21">
        <f>IF($C721="","",IFERROR(INDEX(Insumos!$C$2:$C$151,MATCH($C721,Insumos!$A$2:$A$151,0)),""))</f>
        <v/>
      </c>
      <c r="F721" s="21">
        <f>IF($C721="","",IFERROR(INDEX(Insumos!$D$2:$D$151,MATCH($C721,Insumos!$A$2:$A$151,0)),""))</f>
        <v/>
      </c>
      <c r="G721" s="18" t="n"/>
      <c r="H721" s="19">
        <f>IF(OR($A721="",$C721=""),"",IFERROR(INDEX(Insumos!$M$2:$S$151,MATCH($C721,Insumos!$A$2:$A$151,0),WEEKDAY($A721,2)),""))</f>
        <v/>
      </c>
      <c r="I721" s="19">
        <f>IF(OR($G721="",$H721=""),"",MAX(0,$H721-$G721))</f>
        <v/>
      </c>
      <c r="J721" s="21">
        <f>IF($I721="","",IF($I721=0,"OK",IF($G721&lt;=0,"Sin stock: pedir ya","Pedir o producir")))</f>
        <v/>
      </c>
      <c r="K721" s="17" t="n"/>
      <c r="L721" s="17" t="n"/>
      <c r="M721" s="21">
        <f>IF(OR($A721="",$A721&lt;&gt;'Lista para pedir'!$C$3,N($I721)&lt;=0),"",COUNTIFS($A$2:$A721,$A721,$I$2:$I721,"&gt;0"))</f>
        <v/>
      </c>
    </row>
    <row r="722">
      <c r="A722" s="20" t="n"/>
      <c r="B722" s="21">
        <f>IF($A722="","",CHOOSE(WEEKDAY($A722,2),"Lunes","Martes","Miércoles","Jueves","Viernes","Sábado","Domingo"))</f>
        <v/>
      </c>
      <c r="C722" s="17" t="n"/>
      <c r="D722" s="21">
        <f>IF($C722="","",IFERROR(INDEX(Insumos!$B$2:$B$151,MATCH($C722,Insumos!$A$2:$A$151,0)),"Código no cargado"))</f>
        <v/>
      </c>
      <c r="E722" s="21">
        <f>IF($C722="","",IFERROR(INDEX(Insumos!$C$2:$C$151,MATCH($C722,Insumos!$A$2:$A$151,0)),""))</f>
        <v/>
      </c>
      <c r="F722" s="21">
        <f>IF($C722="","",IFERROR(INDEX(Insumos!$D$2:$D$151,MATCH($C722,Insumos!$A$2:$A$151,0)),""))</f>
        <v/>
      </c>
      <c r="G722" s="18" t="n"/>
      <c r="H722" s="19">
        <f>IF(OR($A722="",$C722=""),"",IFERROR(INDEX(Insumos!$M$2:$S$151,MATCH($C722,Insumos!$A$2:$A$151,0),WEEKDAY($A722,2)),""))</f>
        <v/>
      </c>
      <c r="I722" s="19">
        <f>IF(OR($G722="",$H722=""),"",MAX(0,$H722-$G722))</f>
        <v/>
      </c>
      <c r="J722" s="21">
        <f>IF($I722="","",IF($I722=0,"OK",IF($G722&lt;=0,"Sin stock: pedir ya","Pedir o producir")))</f>
        <v/>
      </c>
      <c r="K722" s="17" t="n"/>
      <c r="L722" s="17" t="n"/>
      <c r="M722" s="21">
        <f>IF(OR($A722="",$A722&lt;&gt;'Lista para pedir'!$C$3,N($I722)&lt;=0),"",COUNTIFS($A$2:$A722,$A722,$I$2:$I722,"&gt;0"))</f>
        <v/>
      </c>
    </row>
    <row r="723">
      <c r="A723" s="20" t="n"/>
      <c r="B723" s="21">
        <f>IF($A723="","",CHOOSE(WEEKDAY($A723,2),"Lunes","Martes","Miércoles","Jueves","Viernes","Sábado","Domingo"))</f>
        <v/>
      </c>
      <c r="C723" s="17" t="n"/>
      <c r="D723" s="21">
        <f>IF($C723="","",IFERROR(INDEX(Insumos!$B$2:$B$151,MATCH($C723,Insumos!$A$2:$A$151,0)),"Código no cargado"))</f>
        <v/>
      </c>
      <c r="E723" s="21">
        <f>IF($C723="","",IFERROR(INDEX(Insumos!$C$2:$C$151,MATCH($C723,Insumos!$A$2:$A$151,0)),""))</f>
        <v/>
      </c>
      <c r="F723" s="21">
        <f>IF($C723="","",IFERROR(INDEX(Insumos!$D$2:$D$151,MATCH($C723,Insumos!$A$2:$A$151,0)),""))</f>
        <v/>
      </c>
      <c r="G723" s="18" t="n"/>
      <c r="H723" s="19">
        <f>IF(OR($A723="",$C723=""),"",IFERROR(INDEX(Insumos!$M$2:$S$151,MATCH($C723,Insumos!$A$2:$A$151,0),WEEKDAY($A723,2)),""))</f>
        <v/>
      </c>
      <c r="I723" s="19">
        <f>IF(OR($G723="",$H723=""),"",MAX(0,$H723-$G723))</f>
        <v/>
      </c>
      <c r="J723" s="21">
        <f>IF($I723="","",IF($I723=0,"OK",IF($G723&lt;=0,"Sin stock: pedir ya","Pedir o producir")))</f>
        <v/>
      </c>
      <c r="K723" s="17" t="n"/>
      <c r="L723" s="17" t="n"/>
      <c r="M723" s="21">
        <f>IF(OR($A723="",$A723&lt;&gt;'Lista para pedir'!$C$3,N($I723)&lt;=0),"",COUNTIFS($A$2:$A723,$A723,$I$2:$I723,"&gt;0"))</f>
        <v/>
      </c>
    </row>
    <row r="724">
      <c r="A724" s="20" t="n"/>
      <c r="B724" s="21">
        <f>IF($A724="","",CHOOSE(WEEKDAY($A724,2),"Lunes","Martes","Miércoles","Jueves","Viernes","Sábado","Domingo"))</f>
        <v/>
      </c>
      <c r="C724" s="17" t="n"/>
      <c r="D724" s="21">
        <f>IF($C724="","",IFERROR(INDEX(Insumos!$B$2:$B$151,MATCH($C724,Insumos!$A$2:$A$151,0)),"Código no cargado"))</f>
        <v/>
      </c>
      <c r="E724" s="21">
        <f>IF($C724="","",IFERROR(INDEX(Insumos!$C$2:$C$151,MATCH($C724,Insumos!$A$2:$A$151,0)),""))</f>
        <v/>
      </c>
      <c r="F724" s="21">
        <f>IF($C724="","",IFERROR(INDEX(Insumos!$D$2:$D$151,MATCH($C724,Insumos!$A$2:$A$151,0)),""))</f>
        <v/>
      </c>
      <c r="G724" s="18" t="n"/>
      <c r="H724" s="19">
        <f>IF(OR($A724="",$C724=""),"",IFERROR(INDEX(Insumos!$M$2:$S$151,MATCH($C724,Insumos!$A$2:$A$151,0),WEEKDAY($A724,2)),""))</f>
        <v/>
      </c>
      <c r="I724" s="19">
        <f>IF(OR($G724="",$H724=""),"",MAX(0,$H724-$G724))</f>
        <v/>
      </c>
      <c r="J724" s="21">
        <f>IF($I724="","",IF($I724=0,"OK",IF($G724&lt;=0,"Sin stock: pedir ya","Pedir o producir")))</f>
        <v/>
      </c>
      <c r="K724" s="17" t="n"/>
      <c r="L724" s="17" t="n"/>
      <c r="M724" s="21">
        <f>IF(OR($A724="",$A724&lt;&gt;'Lista para pedir'!$C$3,N($I724)&lt;=0),"",COUNTIFS($A$2:$A724,$A724,$I$2:$I724,"&gt;0"))</f>
        <v/>
      </c>
    </row>
    <row r="725">
      <c r="A725" s="20" t="n"/>
      <c r="B725" s="21">
        <f>IF($A725="","",CHOOSE(WEEKDAY($A725,2),"Lunes","Martes","Miércoles","Jueves","Viernes","Sábado","Domingo"))</f>
        <v/>
      </c>
      <c r="C725" s="17" t="n"/>
      <c r="D725" s="21">
        <f>IF($C725="","",IFERROR(INDEX(Insumos!$B$2:$B$151,MATCH($C725,Insumos!$A$2:$A$151,0)),"Código no cargado"))</f>
        <v/>
      </c>
      <c r="E725" s="21">
        <f>IF($C725="","",IFERROR(INDEX(Insumos!$C$2:$C$151,MATCH($C725,Insumos!$A$2:$A$151,0)),""))</f>
        <v/>
      </c>
      <c r="F725" s="21">
        <f>IF($C725="","",IFERROR(INDEX(Insumos!$D$2:$D$151,MATCH($C725,Insumos!$A$2:$A$151,0)),""))</f>
        <v/>
      </c>
      <c r="G725" s="18" t="n"/>
      <c r="H725" s="19">
        <f>IF(OR($A725="",$C725=""),"",IFERROR(INDEX(Insumos!$M$2:$S$151,MATCH($C725,Insumos!$A$2:$A$151,0),WEEKDAY($A725,2)),""))</f>
        <v/>
      </c>
      <c r="I725" s="19">
        <f>IF(OR($G725="",$H725=""),"",MAX(0,$H725-$G725))</f>
        <v/>
      </c>
      <c r="J725" s="21">
        <f>IF($I725="","",IF($I725=0,"OK",IF($G725&lt;=0,"Sin stock: pedir ya","Pedir o producir")))</f>
        <v/>
      </c>
      <c r="K725" s="17" t="n"/>
      <c r="L725" s="17" t="n"/>
      <c r="M725" s="21">
        <f>IF(OR($A725="",$A725&lt;&gt;'Lista para pedir'!$C$3,N($I725)&lt;=0),"",COUNTIFS($A$2:$A725,$A725,$I$2:$I725,"&gt;0"))</f>
        <v/>
      </c>
    </row>
    <row r="726">
      <c r="A726" s="20" t="n"/>
      <c r="B726" s="21">
        <f>IF($A726="","",CHOOSE(WEEKDAY($A726,2),"Lunes","Martes","Miércoles","Jueves","Viernes","Sábado","Domingo"))</f>
        <v/>
      </c>
      <c r="C726" s="17" t="n"/>
      <c r="D726" s="21">
        <f>IF($C726="","",IFERROR(INDEX(Insumos!$B$2:$B$151,MATCH($C726,Insumos!$A$2:$A$151,0)),"Código no cargado"))</f>
        <v/>
      </c>
      <c r="E726" s="21">
        <f>IF($C726="","",IFERROR(INDEX(Insumos!$C$2:$C$151,MATCH($C726,Insumos!$A$2:$A$151,0)),""))</f>
        <v/>
      </c>
      <c r="F726" s="21">
        <f>IF($C726="","",IFERROR(INDEX(Insumos!$D$2:$D$151,MATCH($C726,Insumos!$A$2:$A$151,0)),""))</f>
        <v/>
      </c>
      <c r="G726" s="18" t="n"/>
      <c r="H726" s="19">
        <f>IF(OR($A726="",$C726=""),"",IFERROR(INDEX(Insumos!$M$2:$S$151,MATCH($C726,Insumos!$A$2:$A$151,0),WEEKDAY($A726,2)),""))</f>
        <v/>
      </c>
      <c r="I726" s="19">
        <f>IF(OR($G726="",$H726=""),"",MAX(0,$H726-$G726))</f>
        <v/>
      </c>
      <c r="J726" s="21">
        <f>IF($I726="","",IF($I726=0,"OK",IF($G726&lt;=0,"Sin stock: pedir ya","Pedir o producir")))</f>
        <v/>
      </c>
      <c r="K726" s="17" t="n"/>
      <c r="L726" s="17" t="n"/>
      <c r="M726" s="21">
        <f>IF(OR($A726="",$A726&lt;&gt;'Lista para pedir'!$C$3,N($I726)&lt;=0),"",COUNTIFS($A$2:$A726,$A726,$I$2:$I726,"&gt;0"))</f>
        <v/>
      </c>
    </row>
    <row r="727">
      <c r="A727" s="20" t="n"/>
      <c r="B727" s="21">
        <f>IF($A727="","",CHOOSE(WEEKDAY($A727,2),"Lunes","Martes","Miércoles","Jueves","Viernes","Sábado","Domingo"))</f>
        <v/>
      </c>
      <c r="C727" s="17" t="n"/>
      <c r="D727" s="21">
        <f>IF($C727="","",IFERROR(INDEX(Insumos!$B$2:$B$151,MATCH($C727,Insumos!$A$2:$A$151,0)),"Código no cargado"))</f>
        <v/>
      </c>
      <c r="E727" s="21">
        <f>IF($C727="","",IFERROR(INDEX(Insumos!$C$2:$C$151,MATCH($C727,Insumos!$A$2:$A$151,0)),""))</f>
        <v/>
      </c>
      <c r="F727" s="21">
        <f>IF($C727="","",IFERROR(INDEX(Insumos!$D$2:$D$151,MATCH($C727,Insumos!$A$2:$A$151,0)),""))</f>
        <v/>
      </c>
      <c r="G727" s="18" t="n"/>
      <c r="H727" s="19">
        <f>IF(OR($A727="",$C727=""),"",IFERROR(INDEX(Insumos!$M$2:$S$151,MATCH($C727,Insumos!$A$2:$A$151,0),WEEKDAY($A727,2)),""))</f>
        <v/>
      </c>
      <c r="I727" s="19">
        <f>IF(OR($G727="",$H727=""),"",MAX(0,$H727-$G727))</f>
        <v/>
      </c>
      <c r="J727" s="21">
        <f>IF($I727="","",IF($I727=0,"OK",IF($G727&lt;=0,"Sin stock: pedir ya","Pedir o producir")))</f>
        <v/>
      </c>
      <c r="K727" s="17" t="n"/>
      <c r="L727" s="17" t="n"/>
      <c r="M727" s="21">
        <f>IF(OR($A727="",$A727&lt;&gt;'Lista para pedir'!$C$3,N($I727)&lt;=0),"",COUNTIFS($A$2:$A727,$A727,$I$2:$I727,"&gt;0"))</f>
        <v/>
      </c>
    </row>
    <row r="728">
      <c r="A728" s="20" t="n"/>
      <c r="B728" s="21">
        <f>IF($A728="","",CHOOSE(WEEKDAY($A728,2),"Lunes","Martes","Miércoles","Jueves","Viernes","Sábado","Domingo"))</f>
        <v/>
      </c>
      <c r="C728" s="17" t="n"/>
      <c r="D728" s="21">
        <f>IF($C728="","",IFERROR(INDEX(Insumos!$B$2:$B$151,MATCH($C728,Insumos!$A$2:$A$151,0)),"Código no cargado"))</f>
        <v/>
      </c>
      <c r="E728" s="21">
        <f>IF($C728="","",IFERROR(INDEX(Insumos!$C$2:$C$151,MATCH($C728,Insumos!$A$2:$A$151,0)),""))</f>
        <v/>
      </c>
      <c r="F728" s="21">
        <f>IF($C728="","",IFERROR(INDEX(Insumos!$D$2:$D$151,MATCH($C728,Insumos!$A$2:$A$151,0)),""))</f>
        <v/>
      </c>
      <c r="G728" s="18" t="n"/>
      <c r="H728" s="19">
        <f>IF(OR($A728="",$C728=""),"",IFERROR(INDEX(Insumos!$M$2:$S$151,MATCH($C728,Insumos!$A$2:$A$151,0),WEEKDAY($A728,2)),""))</f>
        <v/>
      </c>
      <c r="I728" s="19">
        <f>IF(OR($G728="",$H728=""),"",MAX(0,$H728-$G728))</f>
        <v/>
      </c>
      <c r="J728" s="21">
        <f>IF($I728="","",IF($I728=0,"OK",IF($G728&lt;=0,"Sin stock: pedir ya","Pedir o producir")))</f>
        <v/>
      </c>
      <c r="K728" s="17" t="n"/>
      <c r="L728" s="17" t="n"/>
      <c r="M728" s="21">
        <f>IF(OR($A728="",$A728&lt;&gt;'Lista para pedir'!$C$3,N($I728)&lt;=0),"",COUNTIFS($A$2:$A728,$A728,$I$2:$I728,"&gt;0"))</f>
        <v/>
      </c>
    </row>
    <row r="729">
      <c r="A729" s="20" t="n"/>
      <c r="B729" s="21">
        <f>IF($A729="","",CHOOSE(WEEKDAY($A729,2),"Lunes","Martes","Miércoles","Jueves","Viernes","Sábado","Domingo"))</f>
        <v/>
      </c>
      <c r="C729" s="17" t="n"/>
      <c r="D729" s="21">
        <f>IF($C729="","",IFERROR(INDEX(Insumos!$B$2:$B$151,MATCH($C729,Insumos!$A$2:$A$151,0)),"Código no cargado"))</f>
        <v/>
      </c>
      <c r="E729" s="21">
        <f>IF($C729="","",IFERROR(INDEX(Insumos!$C$2:$C$151,MATCH($C729,Insumos!$A$2:$A$151,0)),""))</f>
        <v/>
      </c>
      <c r="F729" s="21">
        <f>IF($C729="","",IFERROR(INDEX(Insumos!$D$2:$D$151,MATCH($C729,Insumos!$A$2:$A$151,0)),""))</f>
        <v/>
      </c>
      <c r="G729" s="18" t="n"/>
      <c r="H729" s="19">
        <f>IF(OR($A729="",$C729=""),"",IFERROR(INDEX(Insumos!$M$2:$S$151,MATCH($C729,Insumos!$A$2:$A$151,0),WEEKDAY($A729,2)),""))</f>
        <v/>
      </c>
      <c r="I729" s="19">
        <f>IF(OR($G729="",$H729=""),"",MAX(0,$H729-$G729))</f>
        <v/>
      </c>
      <c r="J729" s="21">
        <f>IF($I729="","",IF($I729=0,"OK",IF($G729&lt;=0,"Sin stock: pedir ya","Pedir o producir")))</f>
        <v/>
      </c>
      <c r="K729" s="17" t="n"/>
      <c r="L729" s="17" t="n"/>
      <c r="M729" s="21">
        <f>IF(OR($A729="",$A729&lt;&gt;'Lista para pedir'!$C$3,N($I729)&lt;=0),"",COUNTIFS($A$2:$A729,$A729,$I$2:$I729,"&gt;0"))</f>
        <v/>
      </c>
    </row>
    <row r="730">
      <c r="A730" s="20" t="n"/>
      <c r="B730" s="21">
        <f>IF($A730="","",CHOOSE(WEEKDAY($A730,2),"Lunes","Martes","Miércoles","Jueves","Viernes","Sábado","Domingo"))</f>
        <v/>
      </c>
      <c r="C730" s="17" t="n"/>
      <c r="D730" s="21">
        <f>IF($C730="","",IFERROR(INDEX(Insumos!$B$2:$B$151,MATCH($C730,Insumos!$A$2:$A$151,0)),"Código no cargado"))</f>
        <v/>
      </c>
      <c r="E730" s="21">
        <f>IF($C730="","",IFERROR(INDEX(Insumos!$C$2:$C$151,MATCH($C730,Insumos!$A$2:$A$151,0)),""))</f>
        <v/>
      </c>
      <c r="F730" s="21">
        <f>IF($C730="","",IFERROR(INDEX(Insumos!$D$2:$D$151,MATCH($C730,Insumos!$A$2:$A$151,0)),""))</f>
        <v/>
      </c>
      <c r="G730" s="18" t="n"/>
      <c r="H730" s="19">
        <f>IF(OR($A730="",$C730=""),"",IFERROR(INDEX(Insumos!$M$2:$S$151,MATCH($C730,Insumos!$A$2:$A$151,0),WEEKDAY($A730,2)),""))</f>
        <v/>
      </c>
      <c r="I730" s="19">
        <f>IF(OR($G730="",$H730=""),"",MAX(0,$H730-$G730))</f>
        <v/>
      </c>
      <c r="J730" s="21">
        <f>IF($I730="","",IF($I730=0,"OK",IF($G730&lt;=0,"Sin stock: pedir ya","Pedir o producir")))</f>
        <v/>
      </c>
      <c r="K730" s="17" t="n"/>
      <c r="L730" s="17" t="n"/>
      <c r="M730" s="21">
        <f>IF(OR($A730="",$A730&lt;&gt;'Lista para pedir'!$C$3,N($I730)&lt;=0),"",COUNTIFS($A$2:$A730,$A730,$I$2:$I730,"&gt;0"))</f>
        <v/>
      </c>
    </row>
    <row r="731">
      <c r="A731" s="20" t="n"/>
      <c r="B731" s="21">
        <f>IF($A731="","",CHOOSE(WEEKDAY($A731,2),"Lunes","Martes","Miércoles","Jueves","Viernes","Sábado","Domingo"))</f>
        <v/>
      </c>
      <c r="C731" s="17" t="n"/>
      <c r="D731" s="21">
        <f>IF($C731="","",IFERROR(INDEX(Insumos!$B$2:$B$151,MATCH($C731,Insumos!$A$2:$A$151,0)),"Código no cargado"))</f>
        <v/>
      </c>
      <c r="E731" s="21">
        <f>IF($C731="","",IFERROR(INDEX(Insumos!$C$2:$C$151,MATCH($C731,Insumos!$A$2:$A$151,0)),""))</f>
        <v/>
      </c>
      <c r="F731" s="21">
        <f>IF($C731="","",IFERROR(INDEX(Insumos!$D$2:$D$151,MATCH($C731,Insumos!$A$2:$A$151,0)),""))</f>
        <v/>
      </c>
      <c r="G731" s="18" t="n"/>
      <c r="H731" s="19">
        <f>IF(OR($A731="",$C731=""),"",IFERROR(INDEX(Insumos!$M$2:$S$151,MATCH($C731,Insumos!$A$2:$A$151,0),WEEKDAY($A731,2)),""))</f>
        <v/>
      </c>
      <c r="I731" s="19">
        <f>IF(OR($G731="",$H731=""),"",MAX(0,$H731-$G731))</f>
        <v/>
      </c>
      <c r="J731" s="21">
        <f>IF($I731="","",IF($I731=0,"OK",IF($G731&lt;=0,"Sin stock: pedir ya","Pedir o producir")))</f>
        <v/>
      </c>
      <c r="K731" s="17" t="n"/>
      <c r="L731" s="17" t="n"/>
      <c r="M731" s="21">
        <f>IF(OR($A731="",$A731&lt;&gt;'Lista para pedir'!$C$3,N($I731)&lt;=0),"",COUNTIFS($A$2:$A731,$A731,$I$2:$I731,"&gt;0"))</f>
        <v/>
      </c>
    </row>
    <row r="732">
      <c r="A732" s="20" t="n"/>
      <c r="B732" s="21">
        <f>IF($A732="","",CHOOSE(WEEKDAY($A732,2),"Lunes","Martes","Miércoles","Jueves","Viernes","Sábado","Domingo"))</f>
        <v/>
      </c>
      <c r="C732" s="17" t="n"/>
      <c r="D732" s="21">
        <f>IF($C732="","",IFERROR(INDEX(Insumos!$B$2:$B$151,MATCH($C732,Insumos!$A$2:$A$151,0)),"Código no cargado"))</f>
        <v/>
      </c>
      <c r="E732" s="21">
        <f>IF($C732="","",IFERROR(INDEX(Insumos!$C$2:$C$151,MATCH($C732,Insumos!$A$2:$A$151,0)),""))</f>
        <v/>
      </c>
      <c r="F732" s="21">
        <f>IF($C732="","",IFERROR(INDEX(Insumos!$D$2:$D$151,MATCH($C732,Insumos!$A$2:$A$151,0)),""))</f>
        <v/>
      </c>
      <c r="G732" s="18" t="n"/>
      <c r="H732" s="19">
        <f>IF(OR($A732="",$C732=""),"",IFERROR(INDEX(Insumos!$M$2:$S$151,MATCH($C732,Insumos!$A$2:$A$151,0),WEEKDAY($A732,2)),""))</f>
        <v/>
      </c>
      <c r="I732" s="19">
        <f>IF(OR($G732="",$H732=""),"",MAX(0,$H732-$G732))</f>
        <v/>
      </c>
      <c r="J732" s="21">
        <f>IF($I732="","",IF($I732=0,"OK",IF($G732&lt;=0,"Sin stock: pedir ya","Pedir o producir")))</f>
        <v/>
      </c>
      <c r="K732" s="17" t="n"/>
      <c r="L732" s="17" t="n"/>
      <c r="M732" s="21">
        <f>IF(OR($A732="",$A732&lt;&gt;'Lista para pedir'!$C$3,N($I732)&lt;=0),"",COUNTIFS($A$2:$A732,$A732,$I$2:$I732,"&gt;0"))</f>
        <v/>
      </c>
    </row>
    <row r="733">
      <c r="A733" s="20" t="n"/>
      <c r="B733" s="21">
        <f>IF($A733="","",CHOOSE(WEEKDAY($A733,2),"Lunes","Martes","Miércoles","Jueves","Viernes","Sábado","Domingo"))</f>
        <v/>
      </c>
      <c r="C733" s="17" t="n"/>
      <c r="D733" s="21">
        <f>IF($C733="","",IFERROR(INDEX(Insumos!$B$2:$B$151,MATCH($C733,Insumos!$A$2:$A$151,0)),"Código no cargado"))</f>
        <v/>
      </c>
      <c r="E733" s="21">
        <f>IF($C733="","",IFERROR(INDEX(Insumos!$C$2:$C$151,MATCH($C733,Insumos!$A$2:$A$151,0)),""))</f>
        <v/>
      </c>
      <c r="F733" s="21">
        <f>IF($C733="","",IFERROR(INDEX(Insumos!$D$2:$D$151,MATCH($C733,Insumos!$A$2:$A$151,0)),""))</f>
        <v/>
      </c>
      <c r="G733" s="18" t="n"/>
      <c r="H733" s="19">
        <f>IF(OR($A733="",$C733=""),"",IFERROR(INDEX(Insumos!$M$2:$S$151,MATCH($C733,Insumos!$A$2:$A$151,0),WEEKDAY($A733,2)),""))</f>
        <v/>
      </c>
      <c r="I733" s="19">
        <f>IF(OR($G733="",$H733=""),"",MAX(0,$H733-$G733))</f>
        <v/>
      </c>
      <c r="J733" s="21">
        <f>IF($I733="","",IF($I733=0,"OK",IF($G733&lt;=0,"Sin stock: pedir ya","Pedir o producir")))</f>
        <v/>
      </c>
      <c r="K733" s="17" t="n"/>
      <c r="L733" s="17" t="n"/>
      <c r="M733" s="21">
        <f>IF(OR($A733="",$A733&lt;&gt;'Lista para pedir'!$C$3,N($I733)&lt;=0),"",COUNTIFS($A$2:$A733,$A733,$I$2:$I733,"&gt;0"))</f>
        <v/>
      </c>
    </row>
    <row r="734">
      <c r="A734" s="20" t="n"/>
      <c r="B734" s="21">
        <f>IF($A734="","",CHOOSE(WEEKDAY($A734,2),"Lunes","Martes","Miércoles","Jueves","Viernes","Sábado","Domingo"))</f>
        <v/>
      </c>
      <c r="C734" s="17" t="n"/>
      <c r="D734" s="21">
        <f>IF($C734="","",IFERROR(INDEX(Insumos!$B$2:$B$151,MATCH($C734,Insumos!$A$2:$A$151,0)),"Código no cargado"))</f>
        <v/>
      </c>
      <c r="E734" s="21">
        <f>IF($C734="","",IFERROR(INDEX(Insumos!$C$2:$C$151,MATCH($C734,Insumos!$A$2:$A$151,0)),""))</f>
        <v/>
      </c>
      <c r="F734" s="21">
        <f>IF($C734="","",IFERROR(INDEX(Insumos!$D$2:$D$151,MATCH($C734,Insumos!$A$2:$A$151,0)),""))</f>
        <v/>
      </c>
      <c r="G734" s="18" t="n"/>
      <c r="H734" s="19">
        <f>IF(OR($A734="",$C734=""),"",IFERROR(INDEX(Insumos!$M$2:$S$151,MATCH($C734,Insumos!$A$2:$A$151,0),WEEKDAY($A734,2)),""))</f>
        <v/>
      </c>
      <c r="I734" s="19">
        <f>IF(OR($G734="",$H734=""),"",MAX(0,$H734-$G734))</f>
        <v/>
      </c>
      <c r="J734" s="21">
        <f>IF($I734="","",IF($I734=0,"OK",IF($G734&lt;=0,"Sin stock: pedir ya","Pedir o producir")))</f>
        <v/>
      </c>
      <c r="K734" s="17" t="n"/>
      <c r="L734" s="17" t="n"/>
      <c r="M734" s="21">
        <f>IF(OR($A734="",$A734&lt;&gt;'Lista para pedir'!$C$3,N($I734)&lt;=0),"",COUNTIFS($A$2:$A734,$A734,$I$2:$I734,"&gt;0"))</f>
        <v/>
      </c>
    </row>
    <row r="735">
      <c r="A735" s="20" t="n"/>
      <c r="B735" s="21">
        <f>IF($A735="","",CHOOSE(WEEKDAY($A735,2),"Lunes","Martes","Miércoles","Jueves","Viernes","Sábado","Domingo"))</f>
        <v/>
      </c>
      <c r="C735" s="17" t="n"/>
      <c r="D735" s="21">
        <f>IF($C735="","",IFERROR(INDEX(Insumos!$B$2:$B$151,MATCH($C735,Insumos!$A$2:$A$151,0)),"Código no cargado"))</f>
        <v/>
      </c>
      <c r="E735" s="21">
        <f>IF($C735="","",IFERROR(INDEX(Insumos!$C$2:$C$151,MATCH($C735,Insumos!$A$2:$A$151,0)),""))</f>
        <v/>
      </c>
      <c r="F735" s="21">
        <f>IF($C735="","",IFERROR(INDEX(Insumos!$D$2:$D$151,MATCH($C735,Insumos!$A$2:$A$151,0)),""))</f>
        <v/>
      </c>
      <c r="G735" s="18" t="n"/>
      <c r="H735" s="19">
        <f>IF(OR($A735="",$C735=""),"",IFERROR(INDEX(Insumos!$M$2:$S$151,MATCH($C735,Insumos!$A$2:$A$151,0),WEEKDAY($A735,2)),""))</f>
        <v/>
      </c>
      <c r="I735" s="19">
        <f>IF(OR($G735="",$H735=""),"",MAX(0,$H735-$G735))</f>
        <v/>
      </c>
      <c r="J735" s="21">
        <f>IF($I735="","",IF($I735=0,"OK",IF($G735&lt;=0,"Sin stock: pedir ya","Pedir o producir")))</f>
        <v/>
      </c>
      <c r="K735" s="17" t="n"/>
      <c r="L735" s="17" t="n"/>
      <c r="M735" s="21">
        <f>IF(OR($A735="",$A735&lt;&gt;'Lista para pedir'!$C$3,N($I735)&lt;=0),"",COUNTIFS($A$2:$A735,$A735,$I$2:$I735,"&gt;0"))</f>
        <v/>
      </c>
    </row>
    <row r="736">
      <c r="A736" s="20" t="n"/>
      <c r="B736" s="21">
        <f>IF($A736="","",CHOOSE(WEEKDAY($A736,2),"Lunes","Martes","Miércoles","Jueves","Viernes","Sábado","Domingo"))</f>
        <v/>
      </c>
      <c r="C736" s="17" t="n"/>
      <c r="D736" s="21">
        <f>IF($C736="","",IFERROR(INDEX(Insumos!$B$2:$B$151,MATCH($C736,Insumos!$A$2:$A$151,0)),"Código no cargado"))</f>
        <v/>
      </c>
      <c r="E736" s="21">
        <f>IF($C736="","",IFERROR(INDEX(Insumos!$C$2:$C$151,MATCH($C736,Insumos!$A$2:$A$151,0)),""))</f>
        <v/>
      </c>
      <c r="F736" s="21">
        <f>IF($C736="","",IFERROR(INDEX(Insumos!$D$2:$D$151,MATCH($C736,Insumos!$A$2:$A$151,0)),""))</f>
        <v/>
      </c>
      <c r="G736" s="18" t="n"/>
      <c r="H736" s="19">
        <f>IF(OR($A736="",$C736=""),"",IFERROR(INDEX(Insumos!$M$2:$S$151,MATCH($C736,Insumos!$A$2:$A$151,0),WEEKDAY($A736,2)),""))</f>
        <v/>
      </c>
      <c r="I736" s="19">
        <f>IF(OR($G736="",$H736=""),"",MAX(0,$H736-$G736))</f>
        <v/>
      </c>
      <c r="J736" s="21">
        <f>IF($I736="","",IF($I736=0,"OK",IF($G736&lt;=0,"Sin stock: pedir ya","Pedir o producir")))</f>
        <v/>
      </c>
      <c r="K736" s="17" t="n"/>
      <c r="L736" s="17" t="n"/>
      <c r="M736" s="21">
        <f>IF(OR($A736="",$A736&lt;&gt;'Lista para pedir'!$C$3,N($I736)&lt;=0),"",COUNTIFS($A$2:$A736,$A736,$I$2:$I736,"&gt;0"))</f>
        <v/>
      </c>
    </row>
    <row r="737">
      <c r="A737" s="20" t="n"/>
      <c r="B737" s="21">
        <f>IF($A737="","",CHOOSE(WEEKDAY($A737,2),"Lunes","Martes","Miércoles","Jueves","Viernes","Sábado","Domingo"))</f>
        <v/>
      </c>
      <c r="C737" s="17" t="n"/>
      <c r="D737" s="21">
        <f>IF($C737="","",IFERROR(INDEX(Insumos!$B$2:$B$151,MATCH($C737,Insumos!$A$2:$A$151,0)),"Código no cargado"))</f>
        <v/>
      </c>
      <c r="E737" s="21">
        <f>IF($C737="","",IFERROR(INDEX(Insumos!$C$2:$C$151,MATCH($C737,Insumos!$A$2:$A$151,0)),""))</f>
        <v/>
      </c>
      <c r="F737" s="21">
        <f>IF($C737="","",IFERROR(INDEX(Insumos!$D$2:$D$151,MATCH($C737,Insumos!$A$2:$A$151,0)),""))</f>
        <v/>
      </c>
      <c r="G737" s="18" t="n"/>
      <c r="H737" s="19">
        <f>IF(OR($A737="",$C737=""),"",IFERROR(INDEX(Insumos!$M$2:$S$151,MATCH($C737,Insumos!$A$2:$A$151,0),WEEKDAY($A737,2)),""))</f>
        <v/>
      </c>
      <c r="I737" s="19">
        <f>IF(OR($G737="",$H737=""),"",MAX(0,$H737-$G737))</f>
        <v/>
      </c>
      <c r="J737" s="21">
        <f>IF($I737="","",IF($I737=0,"OK",IF($G737&lt;=0,"Sin stock: pedir ya","Pedir o producir")))</f>
        <v/>
      </c>
      <c r="K737" s="17" t="n"/>
      <c r="L737" s="17" t="n"/>
      <c r="M737" s="21">
        <f>IF(OR($A737="",$A737&lt;&gt;'Lista para pedir'!$C$3,N($I737)&lt;=0),"",COUNTIFS($A$2:$A737,$A737,$I$2:$I737,"&gt;0"))</f>
        <v/>
      </c>
    </row>
    <row r="738">
      <c r="A738" s="20" t="n"/>
      <c r="B738" s="21">
        <f>IF($A738="","",CHOOSE(WEEKDAY($A738,2),"Lunes","Martes","Miércoles","Jueves","Viernes","Sábado","Domingo"))</f>
        <v/>
      </c>
      <c r="C738" s="17" t="n"/>
      <c r="D738" s="21">
        <f>IF($C738="","",IFERROR(INDEX(Insumos!$B$2:$B$151,MATCH($C738,Insumos!$A$2:$A$151,0)),"Código no cargado"))</f>
        <v/>
      </c>
      <c r="E738" s="21">
        <f>IF($C738="","",IFERROR(INDEX(Insumos!$C$2:$C$151,MATCH($C738,Insumos!$A$2:$A$151,0)),""))</f>
        <v/>
      </c>
      <c r="F738" s="21">
        <f>IF($C738="","",IFERROR(INDEX(Insumos!$D$2:$D$151,MATCH($C738,Insumos!$A$2:$A$151,0)),""))</f>
        <v/>
      </c>
      <c r="G738" s="18" t="n"/>
      <c r="H738" s="19">
        <f>IF(OR($A738="",$C738=""),"",IFERROR(INDEX(Insumos!$M$2:$S$151,MATCH($C738,Insumos!$A$2:$A$151,0),WEEKDAY($A738,2)),""))</f>
        <v/>
      </c>
      <c r="I738" s="19">
        <f>IF(OR($G738="",$H738=""),"",MAX(0,$H738-$G738))</f>
        <v/>
      </c>
      <c r="J738" s="21">
        <f>IF($I738="","",IF($I738=0,"OK",IF($G738&lt;=0,"Sin stock: pedir ya","Pedir o producir")))</f>
        <v/>
      </c>
      <c r="K738" s="17" t="n"/>
      <c r="L738" s="17" t="n"/>
      <c r="M738" s="21">
        <f>IF(OR($A738="",$A738&lt;&gt;'Lista para pedir'!$C$3,N($I738)&lt;=0),"",COUNTIFS($A$2:$A738,$A738,$I$2:$I738,"&gt;0"))</f>
        <v/>
      </c>
    </row>
    <row r="739">
      <c r="A739" s="20" t="n"/>
      <c r="B739" s="21">
        <f>IF($A739="","",CHOOSE(WEEKDAY($A739,2),"Lunes","Martes","Miércoles","Jueves","Viernes","Sábado","Domingo"))</f>
        <v/>
      </c>
      <c r="C739" s="17" t="n"/>
      <c r="D739" s="21">
        <f>IF($C739="","",IFERROR(INDEX(Insumos!$B$2:$B$151,MATCH($C739,Insumos!$A$2:$A$151,0)),"Código no cargado"))</f>
        <v/>
      </c>
      <c r="E739" s="21">
        <f>IF($C739="","",IFERROR(INDEX(Insumos!$C$2:$C$151,MATCH($C739,Insumos!$A$2:$A$151,0)),""))</f>
        <v/>
      </c>
      <c r="F739" s="21">
        <f>IF($C739="","",IFERROR(INDEX(Insumos!$D$2:$D$151,MATCH($C739,Insumos!$A$2:$A$151,0)),""))</f>
        <v/>
      </c>
      <c r="G739" s="18" t="n"/>
      <c r="H739" s="19">
        <f>IF(OR($A739="",$C739=""),"",IFERROR(INDEX(Insumos!$M$2:$S$151,MATCH($C739,Insumos!$A$2:$A$151,0),WEEKDAY($A739,2)),""))</f>
        <v/>
      </c>
      <c r="I739" s="19">
        <f>IF(OR($G739="",$H739=""),"",MAX(0,$H739-$G739))</f>
        <v/>
      </c>
      <c r="J739" s="21">
        <f>IF($I739="","",IF($I739=0,"OK",IF($G739&lt;=0,"Sin stock: pedir ya","Pedir o producir")))</f>
        <v/>
      </c>
      <c r="K739" s="17" t="n"/>
      <c r="L739" s="17" t="n"/>
      <c r="M739" s="21">
        <f>IF(OR($A739="",$A739&lt;&gt;'Lista para pedir'!$C$3,N($I739)&lt;=0),"",COUNTIFS($A$2:$A739,$A739,$I$2:$I739,"&gt;0"))</f>
        <v/>
      </c>
    </row>
    <row r="740">
      <c r="A740" s="20" t="n"/>
      <c r="B740" s="21">
        <f>IF($A740="","",CHOOSE(WEEKDAY($A740,2),"Lunes","Martes","Miércoles","Jueves","Viernes","Sábado","Domingo"))</f>
        <v/>
      </c>
      <c r="C740" s="17" t="n"/>
      <c r="D740" s="21">
        <f>IF($C740="","",IFERROR(INDEX(Insumos!$B$2:$B$151,MATCH($C740,Insumos!$A$2:$A$151,0)),"Código no cargado"))</f>
        <v/>
      </c>
      <c r="E740" s="21">
        <f>IF($C740="","",IFERROR(INDEX(Insumos!$C$2:$C$151,MATCH($C740,Insumos!$A$2:$A$151,0)),""))</f>
        <v/>
      </c>
      <c r="F740" s="21">
        <f>IF($C740="","",IFERROR(INDEX(Insumos!$D$2:$D$151,MATCH($C740,Insumos!$A$2:$A$151,0)),""))</f>
        <v/>
      </c>
      <c r="G740" s="18" t="n"/>
      <c r="H740" s="19">
        <f>IF(OR($A740="",$C740=""),"",IFERROR(INDEX(Insumos!$M$2:$S$151,MATCH($C740,Insumos!$A$2:$A$151,0),WEEKDAY($A740,2)),""))</f>
        <v/>
      </c>
      <c r="I740" s="19">
        <f>IF(OR($G740="",$H740=""),"",MAX(0,$H740-$G740))</f>
        <v/>
      </c>
      <c r="J740" s="21">
        <f>IF($I740="","",IF($I740=0,"OK",IF($G740&lt;=0,"Sin stock: pedir ya","Pedir o producir")))</f>
        <v/>
      </c>
      <c r="K740" s="17" t="n"/>
      <c r="L740" s="17" t="n"/>
      <c r="M740" s="21">
        <f>IF(OR($A740="",$A740&lt;&gt;'Lista para pedir'!$C$3,N($I740)&lt;=0),"",COUNTIFS($A$2:$A740,$A740,$I$2:$I740,"&gt;0"))</f>
        <v/>
      </c>
    </row>
    <row r="741">
      <c r="A741" s="20" t="n"/>
      <c r="B741" s="21">
        <f>IF($A741="","",CHOOSE(WEEKDAY($A741,2),"Lunes","Martes","Miércoles","Jueves","Viernes","Sábado","Domingo"))</f>
        <v/>
      </c>
      <c r="C741" s="17" t="n"/>
      <c r="D741" s="21">
        <f>IF($C741="","",IFERROR(INDEX(Insumos!$B$2:$B$151,MATCH($C741,Insumos!$A$2:$A$151,0)),"Código no cargado"))</f>
        <v/>
      </c>
      <c r="E741" s="21">
        <f>IF($C741="","",IFERROR(INDEX(Insumos!$C$2:$C$151,MATCH($C741,Insumos!$A$2:$A$151,0)),""))</f>
        <v/>
      </c>
      <c r="F741" s="21">
        <f>IF($C741="","",IFERROR(INDEX(Insumos!$D$2:$D$151,MATCH($C741,Insumos!$A$2:$A$151,0)),""))</f>
        <v/>
      </c>
      <c r="G741" s="18" t="n"/>
      <c r="H741" s="19">
        <f>IF(OR($A741="",$C741=""),"",IFERROR(INDEX(Insumos!$M$2:$S$151,MATCH($C741,Insumos!$A$2:$A$151,0),WEEKDAY($A741,2)),""))</f>
        <v/>
      </c>
      <c r="I741" s="19">
        <f>IF(OR($G741="",$H741=""),"",MAX(0,$H741-$G741))</f>
        <v/>
      </c>
      <c r="J741" s="21">
        <f>IF($I741="","",IF($I741=0,"OK",IF($G741&lt;=0,"Sin stock: pedir ya","Pedir o producir")))</f>
        <v/>
      </c>
      <c r="K741" s="17" t="n"/>
      <c r="L741" s="17" t="n"/>
      <c r="M741" s="21">
        <f>IF(OR($A741="",$A741&lt;&gt;'Lista para pedir'!$C$3,N($I741)&lt;=0),"",COUNTIFS($A$2:$A741,$A741,$I$2:$I741,"&gt;0"))</f>
        <v/>
      </c>
    </row>
    <row r="742">
      <c r="A742" s="20" t="n"/>
      <c r="B742" s="21">
        <f>IF($A742="","",CHOOSE(WEEKDAY($A742,2),"Lunes","Martes","Miércoles","Jueves","Viernes","Sábado","Domingo"))</f>
        <v/>
      </c>
      <c r="C742" s="17" t="n"/>
      <c r="D742" s="21">
        <f>IF($C742="","",IFERROR(INDEX(Insumos!$B$2:$B$151,MATCH($C742,Insumos!$A$2:$A$151,0)),"Código no cargado"))</f>
        <v/>
      </c>
      <c r="E742" s="21">
        <f>IF($C742="","",IFERROR(INDEX(Insumos!$C$2:$C$151,MATCH($C742,Insumos!$A$2:$A$151,0)),""))</f>
        <v/>
      </c>
      <c r="F742" s="21">
        <f>IF($C742="","",IFERROR(INDEX(Insumos!$D$2:$D$151,MATCH($C742,Insumos!$A$2:$A$151,0)),""))</f>
        <v/>
      </c>
      <c r="G742" s="18" t="n"/>
      <c r="H742" s="19">
        <f>IF(OR($A742="",$C742=""),"",IFERROR(INDEX(Insumos!$M$2:$S$151,MATCH($C742,Insumos!$A$2:$A$151,0),WEEKDAY($A742,2)),""))</f>
        <v/>
      </c>
      <c r="I742" s="19">
        <f>IF(OR($G742="",$H742=""),"",MAX(0,$H742-$G742))</f>
        <v/>
      </c>
      <c r="J742" s="21">
        <f>IF($I742="","",IF($I742=0,"OK",IF($G742&lt;=0,"Sin stock: pedir ya","Pedir o producir")))</f>
        <v/>
      </c>
      <c r="K742" s="17" t="n"/>
      <c r="L742" s="17" t="n"/>
      <c r="M742" s="21">
        <f>IF(OR($A742="",$A742&lt;&gt;'Lista para pedir'!$C$3,N($I742)&lt;=0),"",COUNTIFS($A$2:$A742,$A742,$I$2:$I742,"&gt;0"))</f>
        <v/>
      </c>
    </row>
    <row r="743">
      <c r="A743" s="20" t="n"/>
      <c r="B743" s="21">
        <f>IF($A743="","",CHOOSE(WEEKDAY($A743,2),"Lunes","Martes","Miércoles","Jueves","Viernes","Sábado","Domingo"))</f>
        <v/>
      </c>
      <c r="C743" s="17" t="n"/>
      <c r="D743" s="21">
        <f>IF($C743="","",IFERROR(INDEX(Insumos!$B$2:$B$151,MATCH($C743,Insumos!$A$2:$A$151,0)),"Código no cargado"))</f>
        <v/>
      </c>
      <c r="E743" s="21">
        <f>IF($C743="","",IFERROR(INDEX(Insumos!$C$2:$C$151,MATCH($C743,Insumos!$A$2:$A$151,0)),""))</f>
        <v/>
      </c>
      <c r="F743" s="21">
        <f>IF($C743="","",IFERROR(INDEX(Insumos!$D$2:$D$151,MATCH($C743,Insumos!$A$2:$A$151,0)),""))</f>
        <v/>
      </c>
      <c r="G743" s="18" t="n"/>
      <c r="H743" s="19">
        <f>IF(OR($A743="",$C743=""),"",IFERROR(INDEX(Insumos!$M$2:$S$151,MATCH($C743,Insumos!$A$2:$A$151,0),WEEKDAY($A743,2)),""))</f>
        <v/>
      </c>
      <c r="I743" s="19">
        <f>IF(OR($G743="",$H743=""),"",MAX(0,$H743-$G743))</f>
        <v/>
      </c>
      <c r="J743" s="21">
        <f>IF($I743="","",IF($I743=0,"OK",IF($G743&lt;=0,"Sin stock: pedir ya","Pedir o producir")))</f>
        <v/>
      </c>
      <c r="K743" s="17" t="n"/>
      <c r="L743" s="17" t="n"/>
      <c r="M743" s="21">
        <f>IF(OR($A743="",$A743&lt;&gt;'Lista para pedir'!$C$3,N($I743)&lt;=0),"",COUNTIFS($A$2:$A743,$A743,$I$2:$I743,"&gt;0"))</f>
        <v/>
      </c>
    </row>
    <row r="744">
      <c r="A744" s="20" t="n"/>
      <c r="B744" s="21">
        <f>IF($A744="","",CHOOSE(WEEKDAY($A744,2),"Lunes","Martes","Miércoles","Jueves","Viernes","Sábado","Domingo"))</f>
        <v/>
      </c>
      <c r="C744" s="17" t="n"/>
      <c r="D744" s="21">
        <f>IF($C744="","",IFERROR(INDEX(Insumos!$B$2:$B$151,MATCH($C744,Insumos!$A$2:$A$151,0)),"Código no cargado"))</f>
        <v/>
      </c>
      <c r="E744" s="21">
        <f>IF($C744="","",IFERROR(INDEX(Insumos!$C$2:$C$151,MATCH($C744,Insumos!$A$2:$A$151,0)),""))</f>
        <v/>
      </c>
      <c r="F744" s="21">
        <f>IF($C744="","",IFERROR(INDEX(Insumos!$D$2:$D$151,MATCH($C744,Insumos!$A$2:$A$151,0)),""))</f>
        <v/>
      </c>
      <c r="G744" s="18" t="n"/>
      <c r="H744" s="19">
        <f>IF(OR($A744="",$C744=""),"",IFERROR(INDEX(Insumos!$M$2:$S$151,MATCH($C744,Insumos!$A$2:$A$151,0),WEEKDAY($A744,2)),""))</f>
        <v/>
      </c>
      <c r="I744" s="19">
        <f>IF(OR($G744="",$H744=""),"",MAX(0,$H744-$G744))</f>
        <v/>
      </c>
      <c r="J744" s="21">
        <f>IF($I744="","",IF($I744=0,"OK",IF($G744&lt;=0,"Sin stock: pedir ya","Pedir o producir")))</f>
        <v/>
      </c>
      <c r="K744" s="17" t="n"/>
      <c r="L744" s="17" t="n"/>
      <c r="M744" s="21">
        <f>IF(OR($A744="",$A744&lt;&gt;'Lista para pedir'!$C$3,N($I744)&lt;=0),"",COUNTIFS($A$2:$A744,$A744,$I$2:$I744,"&gt;0"))</f>
        <v/>
      </c>
    </row>
    <row r="745">
      <c r="A745" s="20" t="n"/>
      <c r="B745" s="21">
        <f>IF($A745="","",CHOOSE(WEEKDAY($A745,2),"Lunes","Martes","Miércoles","Jueves","Viernes","Sábado","Domingo"))</f>
        <v/>
      </c>
      <c r="C745" s="17" t="n"/>
      <c r="D745" s="21">
        <f>IF($C745="","",IFERROR(INDEX(Insumos!$B$2:$B$151,MATCH($C745,Insumos!$A$2:$A$151,0)),"Código no cargado"))</f>
        <v/>
      </c>
      <c r="E745" s="21">
        <f>IF($C745="","",IFERROR(INDEX(Insumos!$C$2:$C$151,MATCH($C745,Insumos!$A$2:$A$151,0)),""))</f>
        <v/>
      </c>
      <c r="F745" s="21">
        <f>IF($C745="","",IFERROR(INDEX(Insumos!$D$2:$D$151,MATCH($C745,Insumos!$A$2:$A$151,0)),""))</f>
        <v/>
      </c>
      <c r="G745" s="18" t="n"/>
      <c r="H745" s="19">
        <f>IF(OR($A745="",$C745=""),"",IFERROR(INDEX(Insumos!$M$2:$S$151,MATCH($C745,Insumos!$A$2:$A$151,0),WEEKDAY($A745,2)),""))</f>
        <v/>
      </c>
      <c r="I745" s="19">
        <f>IF(OR($G745="",$H745=""),"",MAX(0,$H745-$G745))</f>
        <v/>
      </c>
      <c r="J745" s="21">
        <f>IF($I745="","",IF($I745=0,"OK",IF($G745&lt;=0,"Sin stock: pedir ya","Pedir o producir")))</f>
        <v/>
      </c>
      <c r="K745" s="17" t="n"/>
      <c r="L745" s="17" t="n"/>
      <c r="M745" s="21">
        <f>IF(OR($A745="",$A745&lt;&gt;'Lista para pedir'!$C$3,N($I745)&lt;=0),"",COUNTIFS($A$2:$A745,$A745,$I$2:$I745,"&gt;0"))</f>
        <v/>
      </c>
    </row>
    <row r="746">
      <c r="A746" s="20" t="n"/>
      <c r="B746" s="21">
        <f>IF($A746="","",CHOOSE(WEEKDAY($A746,2),"Lunes","Martes","Miércoles","Jueves","Viernes","Sábado","Domingo"))</f>
        <v/>
      </c>
      <c r="C746" s="17" t="n"/>
      <c r="D746" s="21">
        <f>IF($C746="","",IFERROR(INDEX(Insumos!$B$2:$B$151,MATCH($C746,Insumos!$A$2:$A$151,0)),"Código no cargado"))</f>
        <v/>
      </c>
      <c r="E746" s="21">
        <f>IF($C746="","",IFERROR(INDEX(Insumos!$C$2:$C$151,MATCH($C746,Insumos!$A$2:$A$151,0)),""))</f>
        <v/>
      </c>
      <c r="F746" s="21">
        <f>IF($C746="","",IFERROR(INDEX(Insumos!$D$2:$D$151,MATCH($C746,Insumos!$A$2:$A$151,0)),""))</f>
        <v/>
      </c>
      <c r="G746" s="18" t="n"/>
      <c r="H746" s="19">
        <f>IF(OR($A746="",$C746=""),"",IFERROR(INDEX(Insumos!$M$2:$S$151,MATCH($C746,Insumos!$A$2:$A$151,0),WEEKDAY($A746,2)),""))</f>
        <v/>
      </c>
      <c r="I746" s="19">
        <f>IF(OR($G746="",$H746=""),"",MAX(0,$H746-$G746))</f>
        <v/>
      </c>
      <c r="J746" s="21">
        <f>IF($I746="","",IF($I746=0,"OK",IF($G746&lt;=0,"Sin stock: pedir ya","Pedir o producir")))</f>
        <v/>
      </c>
      <c r="K746" s="17" t="n"/>
      <c r="L746" s="17" t="n"/>
      <c r="M746" s="21">
        <f>IF(OR($A746="",$A746&lt;&gt;'Lista para pedir'!$C$3,N($I746)&lt;=0),"",COUNTIFS($A$2:$A746,$A746,$I$2:$I746,"&gt;0"))</f>
        <v/>
      </c>
    </row>
    <row r="747">
      <c r="A747" s="20" t="n"/>
      <c r="B747" s="21">
        <f>IF($A747="","",CHOOSE(WEEKDAY($A747,2),"Lunes","Martes","Miércoles","Jueves","Viernes","Sábado","Domingo"))</f>
        <v/>
      </c>
      <c r="C747" s="17" t="n"/>
      <c r="D747" s="21">
        <f>IF($C747="","",IFERROR(INDEX(Insumos!$B$2:$B$151,MATCH($C747,Insumos!$A$2:$A$151,0)),"Código no cargado"))</f>
        <v/>
      </c>
      <c r="E747" s="21">
        <f>IF($C747="","",IFERROR(INDEX(Insumos!$C$2:$C$151,MATCH($C747,Insumos!$A$2:$A$151,0)),""))</f>
        <v/>
      </c>
      <c r="F747" s="21">
        <f>IF($C747="","",IFERROR(INDEX(Insumos!$D$2:$D$151,MATCH($C747,Insumos!$A$2:$A$151,0)),""))</f>
        <v/>
      </c>
      <c r="G747" s="18" t="n"/>
      <c r="H747" s="19">
        <f>IF(OR($A747="",$C747=""),"",IFERROR(INDEX(Insumos!$M$2:$S$151,MATCH($C747,Insumos!$A$2:$A$151,0),WEEKDAY($A747,2)),""))</f>
        <v/>
      </c>
      <c r="I747" s="19">
        <f>IF(OR($G747="",$H747=""),"",MAX(0,$H747-$G747))</f>
        <v/>
      </c>
      <c r="J747" s="21">
        <f>IF($I747="","",IF($I747=0,"OK",IF($G747&lt;=0,"Sin stock: pedir ya","Pedir o producir")))</f>
        <v/>
      </c>
      <c r="K747" s="17" t="n"/>
      <c r="L747" s="17" t="n"/>
      <c r="M747" s="21">
        <f>IF(OR($A747="",$A747&lt;&gt;'Lista para pedir'!$C$3,N($I747)&lt;=0),"",COUNTIFS($A$2:$A747,$A747,$I$2:$I747,"&gt;0"))</f>
        <v/>
      </c>
    </row>
    <row r="748">
      <c r="A748" s="20" t="n"/>
      <c r="B748" s="21">
        <f>IF($A748="","",CHOOSE(WEEKDAY($A748,2),"Lunes","Martes","Miércoles","Jueves","Viernes","Sábado","Domingo"))</f>
        <v/>
      </c>
      <c r="C748" s="17" t="n"/>
      <c r="D748" s="21">
        <f>IF($C748="","",IFERROR(INDEX(Insumos!$B$2:$B$151,MATCH($C748,Insumos!$A$2:$A$151,0)),"Código no cargado"))</f>
        <v/>
      </c>
      <c r="E748" s="21">
        <f>IF($C748="","",IFERROR(INDEX(Insumos!$C$2:$C$151,MATCH($C748,Insumos!$A$2:$A$151,0)),""))</f>
        <v/>
      </c>
      <c r="F748" s="21">
        <f>IF($C748="","",IFERROR(INDEX(Insumos!$D$2:$D$151,MATCH($C748,Insumos!$A$2:$A$151,0)),""))</f>
        <v/>
      </c>
      <c r="G748" s="18" t="n"/>
      <c r="H748" s="19">
        <f>IF(OR($A748="",$C748=""),"",IFERROR(INDEX(Insumos!$M$2:$S$151,MATCH($C748,Insumos!$A$2:$A$151,0),WEEKDAY($A748,2)),""))</f>
        <v/>
      </c>
      <c r="I748" s="19">
        <f>IF(OR($G748="",$H748=""),"",MAX(0,$H748-$G748))</f>
        <v/>
      </c>
      <c r="J748" s="21">
        <f>IF($I748="","",IF($I748=0,"OK",IF($G748&lt;=0,"Sin stock: pedir ya","Pedir o producir")))</f>
        <v/>
      </c>
      <c r="K748" s="17" t="n"/>
      <c r="L748" s="17" t="n"/>
      <c r="M748" s="21">
        <f>IF(OR($A748="",$A748&lt;&gt;'Lista para pedir'!$C$3,N($I748)&lt;=0),"",COUNTIFS($A$2:$A748,$A748,$I$2:$I748,"&gt;0"))</f>
        <v/>
      </c>
    </row>
    <row r="749">
      <c r="A749" s="20" t="n"/>
      <c r="B749" s="21">
        <f>IF($A749="","",CHOOSE(WEEKDAY($A749,2),"Lunes","Martes","Miércoles","Jueves","Viernes","Sábado","Domingo"))</f>
        <v/>
      </c>
      <c r="C749" s="17" t="n"/>
      <c r="D749" s="21">
        <f>IF($C749="","",IFERROR(INDEX(Insumos!$B$2:$B$151,MATCH($C749,Insumos!$A$2:$A$151,0)),"Código no cargado"))</f>
        <v/>
      </c>
      <c r="E749" s="21">
        <f>IF($C749="","",IFERROR(INDEX(Insumos!$C$2:$C$151,MATCH($C749,Insumos!$A$2:$A$151,0)),""))</f>
        <v/>
      </c>
      <c r="F749" s="21">
        <f>IF($C749="","",IFERROR(INDEX(Insumos!$D$2:$D$151,MATCH($C749,Insumos!$A$2:$A$151,0)),""))</f>
        <v/>
      </c>
      <c r="G749" s="18" t="n"/>
      <c r="H749" s="19">
        <f>IF(OR($A749="",$C749=""),"",IFERROR(INDEX(Insumos!$M$2:$S$151,MATCH($C749,Insumos!$A$2:$A$151,0),WEEKDAY($A749,2)),""))</f>
        <v/>
      </c>
      <c r="I749" s="19">
        <f>IF(OR($G749="",$H749=""),"",MAX(0,$H749-$G749))</f>
        <v/>
      </c>
      <c r="J749" s="21">
        <f>IF($I749="","",IF($I749=0,"OK",IF($G749&lt;=0,"Sin stock: pedir ya","Pedir o producir")))</f>
        <v/>
      </c>
      <c r="K749" s="17" t="n"/>
      <c r="L749" s="17" t="n"/>
      <c r="M749" s="21">
        <f>IF(OR($A749="",$A749&lt;&gt;'Lista para pedir'!$C$3,N($I749)&lt;=0),"",COUNTIFS($A$2:$A749,$A749,$I$2:$I749,"&gt;0"))</f>
        <v/>
      </c>
    </row>
    <row r="750">
      <c r="A750" s="20" t="n"/>
      <c r="B750" s="21">
        <f>IF($A750="","",CHOOSE(WEEKDAY($A750,2),"Lunes","Martes","Miércoles","Jueves","Viernes","Sábado","Domingo"))</f>
        <v/>
      </c>
      <c r="C750" s="17" t="n"/>
      <c r="D750" s="21">
        <f>IF($C750="","",IFERROR(INDEX(Insumos!$B$2:$B$151,MATCH($C750,Insumos!$A$2:$A$151,0)),"Código no cargado"))</f>
        <v/>
      </c>
      <c r="E750" s="21">
        <f>IF($C750="","",IFERROR(INDEX(Insumos!$C$2:$C$151,MATCH($C750,Insumos!$A$2:$A$151,0)),""))</f>
        <v/>
      </c>
      <c r="F750" s="21">
        <f>IF($C750="","",IFERROR(INDEX(Insumos!$D$2:$D$151,MATCH($C750,Insumos!$A$2:$A$151,0)),""))</f>
        <v/>
      </c>
      <c r="G750" s="18" t="n"/>
      <c r="H750" s="19">
        <f>IF(OR($A750="",$C750=""),"",IFERROR(INDEX(Insumos!$M$2:$S$151,MATCH($C750,Insumos!$A$2:$A$151,0),WEEKDAY($A750,2)),""))</f>
        <v/>
      </c>
      <c r="I750" s="19">
        <f>IF(OR($G750="",$H750=""),"",MAX(0,$H750-$G750))</f>
        <v/>
      </c>
      <c r="J750" s="21">
        <f>IF($I750="","",IF($I750=0,"OK",IF($G750&lt;=0,"Sin stock: pedir ya","Pedir o producir")))</f>
        <v/>
      </c>
      <c r="K750" s="17" t="n"/>
      <c r="L750" s="17" t="n"/>
      <c r="M750" s="21">
        <f>IF(OR($A750="",$A750&lt;&gt;'Lista para pedir'!$C$3,N($I750)&lt;=0),"",COUNTIFS($A$2:$A750,$A750,$I$2:$I750,"&gt;0"))</f>
        <v/>
      </c>
    </row>
    <row r="751">
      <c r="A751" s="20" t="n"/>
      <c r="B751" s="21">
        <f>IF($A751="","",CHOOSE(WEEKDAY($A751,2),"Lunes","Martes","Miércoles","Jueves","Viernes","Sábado","Domingo"))</f>
        <v/>
      </c>
      <c r="C751" s="17" t="n"/>
      <c r="D751" s="21">
        <f>IF($C751="","",IFERROR(INDEX(Insumos!$B$2:$B$151,MATCH($C751,Insumos!$A$2:$A$151,0)),"Código no cargado"))</f>
        <v/>
      </c>
      <c r="E751" s="21">
        <f>IF($C751="","",IFERROR(INDEX(Insumos!$C$2:$C$151,MATCH($C751,Insumos!$A$2:$A$151,0)),""))</f>
        <v/>
      </c>
      <c r="F751" s="21">
        <f>IF($C751="","",IFERROR(INDEX(Insumos!$D$2:$D$151,MATCH($C751,Insumos!$A$2:$A$151,0)),""))</f>
        <v/>
      </c>
      <c r="G751" s="18" t="n"/>
      <c r="H751" s="19">
        <f>IF(OR($A751="",$C751=""),"",IFERROR(INDEX(Insumos!$M$2:$S$151,MATCH($C751,Insumos!$A$2:$A$151,0),WEEKDAY($A751,2)),""))</f>
        <v/>
      </c>
      <c r="I751" s="19">
        <f>IF(OR($G751="",$H751=""),"",MAX(0,$H751-$G751))</f>
        <v/>
      </c>
      <c r="J751" s="21">
        <f>IF($I751="","",IF($I751=0,"OK",IF($G751&lt;=0,"Sin stock: pedir ya","Pedir o producir")))</f>
        <v/>
      </c>
      <c r="K751" s="17" t="n"/>
      <c r="L751" s="17" t="n"/>
      <c r="M751" s="21">
        <f>IF(OR($A751="",$A751&lt;&gt;'Lista para pedir'!$C$3,N($I751)&lt;=0),"",COUNTIFS($A$2:$A751,$A751,$I$2:$I751,"&gt;0"))</f>
        <v/>
      </c>
    </row>
    <row r="752">
      <c r="A752" s="20" t="n"/>
      <c r="B752" s="21">
        <f>IF($A752="","",CHOOSE(WEEKDAY($A752,2),"Lunes","Martes","Miércoles","Jueves","Viernes","Sábado","Domingo"))</f>
        <v/>
      </c>
      <c r="C752" s="17" t="n"/>
      <c r="D752" s="21">
        <f>IF($C752="","",IFERROR(INDEX(Insumos!$B$2:$B$151,MATCH($C752,Insumos!$A$2:$A$151,0)),"Código no cargado"))</f>
        <v/>
      </c>
      <c r="E752" s="21">
        <f>IF($C752="","",IFERROR(INDEX(Insumos!$C$2:$C$151,MATCH($C752,Insumos!$A$2:$A$151,0)),""))</f>
        <v/>
      </c>
      <c r="F752" s="21">
        <f>IF($C752="","",IFERROR(INDEX(Insumos!$D$2:$D$151,MATCH($C752,Insumos!$A$2:$A$151,0)),""))</f>
        <v/>
      </c>
      <c r="G752" s="18" t="n"/>
      <c r="H752" s="19">
        <f>IF(OR($A752="",$C752=""),"",IFERROR(INDEX(Insumos!$M$2:$S$151,MATCH($C752,Insumos!$A$2:$A$151,0),WEEKDAY($A752,2)),""))</f>
        <v/>
      </c>
      <c r="I752" s="19">
        <f>IF(OR($G752="",$H752=""),"",MAX(0,$H752-$G752))</f>
        <v/>
      </c>
      <c r="J752" s="21">
        <f>IF($I752="","",IF($I752=0,"OK",IF($G752&lt;=0,"Sin stock: pedir ya","Pedir o producir")))</f>
        <v/>
      </c>
      <c r="K752" s="17" t="n"/>
      <c r="L752" s="17" t="n"/>
      <c r="M752" s="21">
        <f>IF(OR($A752="",$A752&lt;&gt;'Lista para pedir'!$C$3,N($I752)&lt;=0),"",COUNTIFS($A$2:$A752,$A752,$I$2:$I752,"&gt;0"))</f>
        <v/>
      </c>
    </row>
    <row r="753">
      <c r="A753" s="20" t="n"/>
      <c r="B753" s="21">
        <f>IF($A753="","",CHOOSE(WEEKDAY($A753,2),"Lunes","Martes","Miércoles","Jueves","Viernes","Sábado","Domingo"))</f>
        <v/>
      </c>
      <c r="C753" s="17" t="n"/>
      <c r="D753" s="21">
        <f>IF($C753="","",IFERROR(INDEX(Insumos!$B$2:$B$151,MATCH($C753,Insumos!$A$2:$A$151,0)),"Código no cargado"))</f>
        <v/>
      </c>
      <c r="E753" s="21">
        <f>IF($C753="","",IFERROR(INDEX(Insumos!$C$2:$C$151,MATCH($C753,Insumos!$A$2:$A$151,0)),""))</f>
        <v/>
      </c>
      <c r="F753" s="21">
        <f>IF($C753="","",IFERROR(INDEX(Insumos!$D$2:$D$151,MATCH($C753,Insumos!$A$2:$A$151,0)),""))</f>
        <v/>
      </c>
      <c r="G753" s="18" t="n"/>
      <c r="H753" s="19">
        <f>IF(OR($A753="",$C753=""),"",IFERROR(INDEX(Insumos!$M$2:$S$151,MATCH($C753,Insumos!$A$2:$A$151,0),WEEKDAY($A753,2)),""))</f>
        <v/>
      </c>
      <c r="I753" s="19">
        <f>IF(OR($G753="",$H753=""),"",MAX(0,$H753-$G753))</f>
        <v/>
      </c>
      <c r="J753" s="21">
        <f>IF($I753="","",IF($I753=0,"OK",IF($G753&lt;=0,"Sin stock: pedir ya","Pedir o producir")))</f>
        <v/>
      </c>
      <c r="K753" s="17" t="n"/>
      <c r="L753" s="17" t="n"/>
      <c r="M753" s="21">
        <f>IF(OR($A753="",$A753&lt;&gt;'Lista para pedir'!$C$3,N($I753)&lt;=0),"",COUNTIFS($A$2:$A753,$A753,$I$2:$I753,"&gt;0"))</f>
        <v/>
      </c>
    </row>
    <row r="754">
      <c r="A754" s="20" t="n"/>
      <c r="B754" s="21">
        <f>IF($A754="","",CHOOSE(WEEKDAY($A754,2),"Lunes","Martes","Miércoles","Jueves","Viernes","Sábado","Domingo"))</f>
        <v/>
      </c>
      <c r="C754" s="17" t="n"/>
      <c r="D754" s="21">
        <f>IF($C754="","",IFERROR(INDEX(Insumos!$B$2:$B$151,MATCH($C754,Insumos!$A$2:$A$151,0)),"Código no cargado"))</f>
        <v/>
      </c>
      <c r="E754" s="21">
        <f>IF($C754="","",IFERROR(INDEX(Insumos!$C$2:$C$151,MATCH($C754,Insumos!$A$2:$A$151,0)),""))</f>
        <v/>
      </c>
      <c r="F754" s="21">
        <f>IF($C754="","",IFERROR(INDEX(Insumos!$D$2:$D$151,MATCH($C754,Insumos!$A$2:$A$151,0)),""))</f>
        <v/>
      </c>
      <c r="G754" s="18" t="n"/>
      <c r="H754" s="19">
        <f>IF(OR($A754="",$C754=""),"",IFERROR(INDEX(Insumos!$M$2:$S$151,MATCH($C754,Insumos!$A$2:$A$151,0),WEEKDAY($A754,2)),""))</f>
        <v/>
      </c>
      <c r="I754" s="19">
        <f>IF(OR($G754="",$H754=""),"",MAX(0,$H754-$G754))</f>
        <v/>
      </c>
      <c r="J754" s="21">
        <f>IF($I754="","",IF($I754=0,"OK",IF($G754&lt;=0,"Sin stock: pedir ya","Pedir o producir")))</f>
        <v/>
      </c>
      <c r="K754" s="17" t="n"/>
      <c r="L754" s="17" t="n"/>
      <c r="M754" s="21">
        <f>IF(OR($A754="",$A754&lt;&gt;'Lista para pedir'!$C$3,N($I754)&lt;=0),"",COUNTIFS($A$2:$A754,$A754,$I$2:$I754,"&gt;0"))</f>
        <v/>
      </c>
    </row>
    <row r="755">
      <c r="A755" s="20" t="n"/>
      <c r="B755" s="21">
        <f>IF($A755="","",CHOOSE(WEEKDAY($A755,2),"Lunes","Martes","Miércoles","Jueves","Viernes","Sábado","Domingo"))</f>
        <v/>
      </c>
      <c r="C755" s="17" t="n"/>
      <c r="D755" s="21">
        <f>IF($C755="","",IFERROR(INDEX(Insumos!$B$2:$B$151,MATCH($C755,Insumos!$A$2:$A$151,0)),"Código no cargado"))</f>
        <v/>
      </c>
      <c r="E755" s="21">
        <f>IF($C755="","",IFERROR(INDEX(Insumos!$C$2:$C$151,MATCH($C755,Insumos!$A$2:$A$151,0)),""))</f>
        <v/>
      </c>
      <c r="F755" s="21">
        <f>IF($C755="","",IFERROR(INDEX(Insumos!$D$2:$D$151,MATCH($C755,Insumos!$A$2:$A$151,0)),""))</f>
        <v/>
      </c>
      <c r="G755" s="18" t="n"/>
      <c r="H755" s="19">
        <f>IF(OR($A755="",$C755=""),"",IFERROR(INDEX(Insumos!$M$2:$S$151,MATCH($C755,Insumos!$A$2:$A$151,0),WEEKDAY($A755,2)),""))</f>
        <v/>
      </c>
      <c r="I755" s="19">
        <f>IF(OR($G755="",$H755=""),"",MAX(0,$H755-$G755))</f>
        <v/>
      </c>
      <c r="J755" s="21">
        <f>IF($I755="","",IF($I755=0,"OK",IF($G755&lt;=0,"Sin stock: pedir ya","Pedir o producir")))</f>
        <v/>
      </c>
      <c r="K755" s="17" t="n"/>
      <c r="L755" s="17" t="n"/>
      <c r="M755" s="21">
        <f>IF(OR($A755="",$A755&lt;&gt;'Lista para pedir'!$C$3,N($I755)&lt;=0),"",COUNTIFS($A$2:$A755,$A755,$I$2:$I755,"&gt;0"))</f>
        <v/>
      </c>
    </row>
    <row r="756">
      <c r="A756" s="20" t="n"/>
      <c r="B756" s="21">
        <f>IF($A756="","",CHOOSE(WEEKDAY($A756,2),"Lunes","Martes","Miércoles","Jueves","Viernes","Sábado","Domingo"))</f>
        <v/>
      </c>
      <c r="C756" s="17" t="n"/>
      <c r="D756" s="21">
        <f>IF($C756="","",IFERROR(INDEX(Insumos!$B$2:$B$151,MATCH($C756,Insumos!$A$2:$A$151,0)),"Código no cargado"))</f>
        <v/>
      </c>
      <c r="E756" s="21">
        <f>IF($C756="","",IFERROR(INDEX(Insumos!$C$2:$C$151,MATCH($C756,Insumos!$A$2:$A$151,0)),""))</f>
        <v/>
      </c>
      <c r="F756" s="21">
        <f>IF($C756="","",IFERROR(INDEX(Insumos!$D$2:$D$151,MATCH($C756,Insumos!$A$2:$A$151,0)),""))</f>
        <v/>
      </c>
      <c r="G756" s="18" t="n"/>
      <c r="H756" s="19">
        <f>IF(OR($A756="",$C756=""),"",IFERROR(INDEX(Insumos!$M$2:$S$151,MATCH($C756,Insumos!$A$2:$A$151,0),WEEKDAY($A756,2)),""))</f>
        <v/>
      </c>
      <c r="I756" s="19">
        <f>IF(OR($G756="",$H756=""),"",MAX(0,$H756-$G756))</f>
        <v/>
      </c>
      <c r="J756" s="21">
        <f>IF($I756="","",IF($I756=0,"OK",IF($G756&lt;=0,"Sin stock: pedir ya","Pedir o producir")))</f>
        <v/>
      </c>
      <c r="K756" s="17" t="n"/>
      <c r="L756" s="17" t="n"/>
      <c r="M756" s="21">
        <f>IF(OR($A756="",$A756&lt;&gt;'Lista para pedir'!$C$3,N($I756)&lt;=0),"",COUNTIFS($A$2:$A756,$A756,$I$2:$I756,"&gt;0"))</f>
        <v/>
      </c>
    </row>
    <row r="757">
      <c r="A757" s="20" t="n"/>
      <c r="B757" s="21">
        <f>IF($A757="","",CHOOSE(WEEKDAY($A757,2),"Lunes","Martes","Miércoles","Jueves","Viernes","Sábado","Domingo"))</f>
        <v/>
      </c>
      <c r="C757" s="17" t="n"/>
      <c r="D757" s="21">
        <f>IF($C757="","",IFERROR(INDEX(Insumos!$B$2:$B$151,MATCH($C757,Insumos!$A$2:$A$151,0)),"Código no cargado"))</f>
        <v/>
      </c>
      <c r="E757" s="21">
        <f>IF($C757="","",IFERROR(INDEX(Insumos!$C$2:$C$151,MATCH($C757,Insumos!$A$2:$A$151,0)),""))</f>
        <v/>
      </c>
      <c r="F757" s="21">
        <f>IF($C757="","",IFERROR(INDEX(Insumos!$D$2:$D$151,MATCH($C757,Insumos!$A$2:$A$151,0)),""))</f>
        <v/>
      </c>
      <c r="G757" s="18" t="n"/>
      <c r="H757" s="19">
        <f>IF(OR($A757="",$C757=""),"",IFERROR(INDEX(Insumos!$M$2:$S$151,MATCH($C757,Insumos!$A$2:$A$151,0),WEEKDAY($A757,2)),""))</f>
        <v/>
      </c>
      <c r="I757" s="19">
        <f>IF(OR($G757="",$H757=""),"",MAX(0,$H757-$G757))</f>
        <v/>
      </c>
      <c r="J757" s="21">
        <f>IF($I757="","",IF($I757=0,"OK",IF($G757&lt;=0,"Sin stock: pedir ya","Pedir o producir")))</f>
        <v/>
      </c>
      <c r="K757" s="17" t="n"/>
      <c r="L757" s="17" t="n"/>
      <c r="M757" s="21">
        <f>IF(OR($A757="",$A757&lt;&gt;'Lista para pedir'!$C$3,N($I757)&lt;=0),"",COUNTIFS($A$2:$A757,$A757,$I$2:$I757,"&gt;0"))</f>
        <v/>
      </c>
    </row>
    <row r="758">
      <c r="A758" s="20" t="n"/>
      <c r="B758" s="21">
        <f>IF($A758="","",CHOOSE(WEEKDAY($A758,2),"Lunes","Martes","Miércoles","Jueves","Viernes","Sábado","Domingo"))</f>
        <v/>
      </c>
      <c r="C758" s="17" t="n"/>
      <c r="D758" s="21">
        <f>IF($C758="","",IFERROR(INDEX(Insumos!$B$2:$B$151,MATCH($C758,Insumos!$A$2:$A$151,0)),"Código no cargado"))</f>
        <v/>
      </c>
      <c r="E758" s="21">
        <f>IF($C758="","",IFERROR(INDEX(Insumos!$C$2:$C$151,MATCH($C758,Insumos!$A$2:$A$151,0)),""))</f>
        <v/>
      </c>
      <c r="F758" s="21">
        <f>IF($C758="","",IFERROR(INDEX(Insumos!$D$2:$D$151,MATCH($C758,Insumos!$A$2:$A$151,0)),""))</f>
        <v/>
      </c>
      <c r="G758" s="18" t="n"/>
      <c r="H758" s="19">
        <f>IF(OR($A758="",$C758=""),"",IFERROR(INDEX(Insumos!$M$2:$S$151,MATCH($C758,Insumos!$A$2:$A$151,0),WEEKDAY($A758,2)),""))</f>
        <v/>
      </c>
      <c r="I758" s="19">
        <f>IF(OR($G758="",$H758=""),"",MAX(0,$H758-$G758))</f>
        <v/>
      </c>
      <c r="J758" s="21">
        <f>IF($I758="","",IF($I758=0,"OK",IF($G758&lt;=0,"Sin stock: pedir ya","Pedir o producir")))</f>
        <v/>
      </c>
      <c r="K758" s="17" t="n"/>
      <c r="L758" s="17" t="n"/>
      <c r="M758" s="21">
        <f>IF(OR($A758="",$A758&lt;&gt;'Lista para pedir'!$C$3,N($I758)&lt;=0),"",COUNTIFS($A$2:$A758,$A758,$I$2:$I758,"&gt;0"))</f>
        <v/>
      </c>
    </row>
    <row r="759">
      <c r="A759" s="20" t="n"/>
      <c r="B759" s="21">
        <f>IF($A759="","",CHOOSE(WEEKDAY($A759,2),"Lunes","Martes","Miércoles","Jueves","Viernes","Sábado","Domingo"))</f>
        <v/>
      </c>
      <c r="C759" s="17" t="n"/>
      <c r="D759" s="21">
        <f>IF($C759="","",IFERROR(INDEX(Insumos!$B$2:$B$151,MATCH($C759,Insumos!$A$2:$A$151,0)),"Código no cargado"))</f>
        <v/>
      </c>
      <c r="E759" s="21">
        <f>IF($C759="","",IFERROR(INDEX(Insumos!$C$2:$C$151,MATCH($C759,Insumos!$A$2:$A$151,0)),""))</f>
        <v/>
      </c>
      <c r="F759" s="21">
        <f>IF($C759="","",IFERROR(INDEX(Insumos!$D$2:$D$151,MATCH($C759,Insumos!$A$2:$A$151,0)),""))</f>
        <v/>
      </c>
      <c r="G759" s="18" t="n"/>
      <c r="H759" s="19">
        <f>IF(OR($A759="",$C759=""),"",IFERROR(INDEX(Insumos!$M$2:$S$151,MATCH($C759,Insumos!$A$2:$A$151,0),WEEKDAY($A759,2)),""))</f>
        <v/>
      </c>
      <c r="I759" s="19">
        <f>IF(OR($G759="",$H759=""),"",MAX(0,$H759-$G759))</f>
        <v/>
      </c>
      <c r="J759" s="21">
        <f>IF($I759="","",IF($I759=0,"OK",IF($G759&lt;=0,"Sin stock: pedir ya","Pedir o producir")))</f>
        <v/>
      </c>
      <c r="K759" s="17" t="n"/>
      <c r="L759" s="17" t="n"/>
      <c r="M759" s="21">
        <f>IF(OR($A759="",$A759&lt;&gt;'Lista para pedir'!$C$3,N($I759)&lt;=0),"",COUNTIFS($A$2:$A759,$A759,$I$2:$I759,"&gt;0"))</f>
        <v/>
      </c>
    </row>
    <row r="760">
      <c r="A760" s="20" t="n"/>
      <c r="B760" s="21">
        <f>IF($A760="","",CHOOSE(WEEKDAY($A760,2),"Lunes","Martes","Miércoles","Jueves","Viernes","Sábado","Domingo"))</f>
        <v/>
      </c>
      <c r="C760" s="17" t="n"/>
      <c r="D760" s="21">
        <f>IF($C760="","",IFERROR(INDEX(Insumos!$B$2:$B$151,MATCH($C760,Insumos!$A$2:$A$151,0)),"Código no cargado"))</f>
        <v/>
      </c>
      <c r="E760" s="21">
        <f>IF($C760="","",IFERROR(INDEX(Insumos!$C$2:$C$151,MATCH($C760,Insumos!$A$2:$A$151,0)),""))</f>
        <v/>
      </c>
      <c r="F760" s="21">
        <f>IF($C760="","",IFERROR(INDEX(Insumos!$D$2:$D$151,MATCH($C760,Insumos!$A$2:$A$151,0)),""))</f>
        <v/>
      </c>
      <c r="G760" s="18" t="n"/>
      <c r="H760" s="19">
        <f>IF(OR($A760="",$C760=""),"",IFERROR(INDEX(Insumos!$M$2:$S$151,MATCH($C760,Insumos!$A$2:$A$151,0),WEEKDAY($A760,2)),""))</f>
        <v/>
      </c>
      <c r="I760" s="19">
        <f>IF(OR($G760="",$H760=""),"",MAX(0,$H760-$G760))</f>
        <v/>
      </c>
      <c r="J760" s="21">
        <f>IF($I760="","",IF($I760=0,"OK",IF($G760&lt;=0,"Sin stock: pedir ya","Pedir o producir")))</f>
        <v/>
      </c>
      <c r="K760" s="17" t="n"/>
      <c r="L760" s="17" t="n"/>
      <c r="M760" s="21">
        <f>IF(OR($A760="",$A760&lt;&gt;'Lista para pedir'!$C$3,N($I760)&lt;=0),"",COUNTIFS($A$2:$A760,$A760,$I$2:$I760,"&gt;0"))</f>
        <v/>
      </c>
    </row>
    <row r="761">
      <c r="A761" s="20" t="n"/>
      <c r="B761" s="21">
        <f>IF($A761="","",CHOOSE(WEEKDAY($A761,2),"Lunes","Martes","Miércoles","Jueves","Viernes","Sábado","Domingo"))</f>
        <v/>
      </c>
      <c r="C761" s="17" t="n"/>
      <c r="D761" s="21">
        <f>IF($C761="","",IFERROR(INDEX(Insumos!$B$2:$B$151,MATCH($C761,Insumos!$A$2:$A$151,0)),"Código no cargado"))</f>
        <v/>
      </c>
      <c r="E761" s="21">
        <f>IF($C761="","",IFERROR(INDEX(Insumos!$C$2:$C$151,MATCH($C761,Insumos!$A$2:$A$151,0)),""))</f>
        <v/>
      </c>
      <c r="F761" s="21">
        <f>IF($C761="","",IFERROR(INDEX(Insumos!$D$2:$D$151,MATCH($C761,Insumos!$A$2:$A$151,0)),""))</f>
        <v/>
      </c>
      <c r="G761" s="18" t="n"/>
      <c r="H761" s="19">
        <f>IF(OR($A761="",$C761=""),"",IFERROR(INDEX(Insumos!$M$2:$S$151,MATCH($C761,Insumos!$A$2:$A$151,0),WEEKDAY($A761,2)),""))</f>
        <v/>
      </c>
      <c r="I761" s="19">
        <f>IF(OR($G761="",$H761=""),"",MAX(0,$H761-$G761))</f>
        <v/>
      </c>
      <c r="J761" s="21">
        <f>IF($I761="","",IF($I761=0,"OK",IF($G761&lt;=0,"Sin stock: pedir ya","Pedir o producir")))</f>
        <v/>
      </c>
      <c r="K761" s="17" t="n"/>
      <c r="L761" s="17" t="n"/>
      <c r="M761" s="21">
        <f>IF(OR($A761="",$A761&lt;&gt;'Lista para pedir'!$C$3,N($I761)&lt;=0),"",COUNTIFS($A$2:$A761,$A761,$I$2:$I761,"&gt;0"))</f>
        <v/>
      </c>
    </row>
    <row r="762">
      <c r="A762" s="20" t="n"/>
      <c r="B762" s="21">
        <f>IF($A762="","",CHOOSE(WEEKDAY($A762,2),"Lunes","Martes","Miércoles","Jueves","Viernes","Sábado","Domingo"))</f>
        <v/>
      </c>
      <c r="C762" s="17" t="n"/>
      <c r="D762" s="21">
        <f>IF($C762="","",IFERROR(INDEX(Insumos!$B$2:$B$151,MATCH($C762,Insumos!$A$2:$A$151,0)),"Código no cargado"))</f>
        <v/>
      </c>
      <c r="E762" s="21">
        <f>IF($C762="","",IFERROR(INDEX(Insumos!$C$2:$C$151,MATCH($C762,Insumos!$A$2:$A$151,0)),""))</f>
        <v/>
      </c>
      <c r="F762" s="21">
        <f>IF($C762="","",IFERROR(INDEX(Insumos!$D$2:$D$151,MATCH($C762,Insumos!$A$2:$A$151,0)),""))</f>
        <v/>
      </c>
      <c r="G762" s="18" t="n"/>
      <c r="H762" s="19">
        <f>IF(OR($A762="",$C762=""),"",IFERROR(INDEX(Insumos!$M$2:$S$151,MATCH($C762,Insumos!$A$2:$A$151,0),WEEKDAY($A762,2)),""))</f>
        <v/>
      </c>
      <c r="I762" s="19">
        <f>IF(OR($G762="",$H762=""),"",MAX(0,$H762-$G762))</f>
        <v/>
      </c>
      <c r="J762" s="21">
        <f>IF($I762="","",IF($I762=0,"OK",IF($G762&lt;=0,"Sin stock: pedir ya","Pedir o producir")))</f>
        <v/>
      </c>
      <c r="K762" s="17" t="n"/>
      <c r="L762" s="17" t="n"/>
      <c r="M762" s="21">
        <f>IF(OR($A762="",$A762&lt;&gt;'Lista para pedir'!$C$3,N($I762)&lt;=0),"",COUNTIFS($A$2:$A762,$A762,$I$2:$I762,"&gt;0"))</f>
        <v/>
      </c>
    </row>
    <row r="763">
      <c r="A763" s="20" t="n"/>
      <c r="B763" s="21">
        <f>IF($A763="","",CHOOSE(WEEKDAY($A763,2),"Lunes","Martes","Miércoles","Jueves","Viernes","Sábado","Domingo"))</f>
        <v/>
      </c>
      <c r="C763" s="17" t="n"/>
      <c r="D763" s="21">
        <f>IF($C763="","",IFERROR(INDEX(Insumos!$B$2:$B$151,MATCH($C763,Insumos!$A$2:$A$151,0)),"Código no cargado"))</f>
        <v/>
      </c>
      <c r="E763" s="21">
        <f>IF($C763="","",IFERROR(INDEX(Insumos!$C$2:$C$151,MATCH($C763,Insumos!$A$2:$A$151,0)),""))</f>
        <v/>
      </c>
      <c r="F763" s="21">
        <f>IF($C763="","",IFERROR(INDEX(Insumos!$D$2:$D$151,MATCH($C763,Insumos!$A$2:$A$151,0)),""))</f>
        <v/>
      </c>
      <c r="G763" s="18" t="n"/>
      <c r="H763" s="19">
        <f>IF(OR($A763="",$C763=""),"",IFERROR(INDEX(Insumos!$M$2:$S$151,MATCH($C763,Insumos!$A$2:$A$151,0),WEEKDAY($A763,2)),""))</f>
        <v/>
      </c>
      <c r="I763" s="19">
        <f>IF(OR($G763="",$H763=""),"",MAX(0,$H763-$G763))</f>
        <v/>
      </c>
      <c r="J763" s="21">
        <f>IF($I763="","",IF($I763=0,"OK",IF($G763&lt;=0,"Sin stock: pedir ya","Pedir o producir")))</f>
        <v/>
      </c>
      <c r="K763" s="17" t="n"/>
      <c r="L763" s="17" t="n"/>
      <c r="M763" s="21">
        <f>IF(OR($A763="",$A763&lt;&gt;'Lista para pedir'!$C$3,N($I763)&lt;=0),"",COUNTIFS($A$2:$A763,$A763,$I$2:$I763,"&gt;0"))</f>
        <v/>
      </c>
    </row>
    <row r="764">
      <c r="A764" s="20" t="n"/>
      <c r="B764" s="21">
        <f>IF($A764="","",CHOOSE(WEEKDAY($A764,2),"Lunes","Martes","Miércoles","Jueves","Viernes","Sábado","Domingo"))</f>
        <v/>
      </c>
      <c r="C764" s="17" t="n"/>
      <c r="D764" s="21">
        <f>IF($C764="","",IFERROR(INDEX(Insumos!$B$2:$B$151,MATCH($C764,Insumos!$A$2:$A$151,0)),"Código no cargado"))</f>
        <v/>
      </c>
      <c r="E764" s="21">
        <f>IF($C764="","",IFERROR(INDEX(Insumos!$C$2:$C$151,MATCH($C764,Insumos!$A$2:$A$151,0)),""))</f>
        <v/>
      </c>
      <c r="F764" s="21">
        <f>IF($C764="","",IFERROR(INDEX(Insumos!$D$2:$D$151,MATCH($C764,Insumos!$A$2:$A$151,0)),""))</f>
        <v/>
      </c>
      <c r="G764" s="18" t="n"/>
      <c r="H764" s="19">
        <f>IF(OR($A764="",$C764=""),"",IFERROR(INDEX(Insumos!$M$2:$S$151,MATCH($C764,Insumos!$A$2:$A$151,0),WEEKDAY($A764,2)),""))</f>
        <v/>
      </c>
      <c r="I764" s="19">
        <f>IF(OR($G764="",$H764=""),"",MAX(0,$H764-$G764))</f>
        <v/>
      </c>
      <c r="J764" s="21">
        <f>IF($I764="","",IF($I764=0,"OK",IF($G764&lt;=0,"Sin stock: pedir ya","Pedir o producir")))</f>
        <v/>
      </c>
      <c r="K764" s="17" t="n"/>
      <c r="L764" s="17" t="n"/>
      <c r="M764" s="21">
        <f>IF(OR($A764="",$A764&lt;&gt;'Lista para pedir'!$C$3,N($I764)&lt;=0),"",COUNTIFS($A$2:$A764,$A764,$I$2:$I764,"&gt;0"))</f>
        <v/>
      </c>
    </row>
    <row r="765">
      <c r="A765" s="20" t="n"/>
      <c r="B765" s="21">
        <f>IF($A765="","",CHOOSE(WEEKDAY($A765,2),"Lunes","Martes","Miércoles","Jueves","Viernes","Sábado","Domingo"))</f>
        <v/>
      </c>
      <c r="C765" s="17" t="n"/>
      <c r="D765" s="21">
        <f>IF($C765="","",IFERROR(INDEX(Insumos!$B$2:$B$151,MATCH($C765,Insumos!$A$2:$A$151,0)),"Código no cargado"))</f>
        <v/>
      </c>
      <c r="E765" s="21">
        <f>IF($C765="","",IFERROR(INDEX(Insumos!$C$2:$C$151,MATCH($C765,Insumos!$A$2:$A$151,0)),""))</f>
        <v/>
      </c>
      <c r="F765" s="21">
        <f>IF($C765="","",IFERROR(INDEX(Insumos!$D$2:$D$151,MATCH($C765,Insumos!$A$2:$A$151,0)),""))</f>
        <v/>
      </c>
      <c r="G765" s="18" t="n"/>
      <c r="H765" s="19">
        <f>IF(OR($A765="",$C765=""),"",IFERROR(INDEX(Insumos!$M$2:$S$151,MATCH($C765,Insumos!$A$2:$A$151,0),WEEKDAY($A765,2)),""))</f>
        <v/>
      </c>
      <c r="I765" s="19">
        <f>IF(OR($G765="",$H765=""),"",MAX(0,$H765-$G765))</f>
        <v/>
      </c>
      <c r="J765" s="21">
        <f>IF($I765="","",IF($I765=0,"OK",IF($G765&lt;=0,"Sin stock: pedir ya","Pedir o producir")))</f>
        <v/>
      </c>
      <c r="K765" s="17" t="n"/>
      <c r="L765" s="17" t="n"/>
      <c r="M765" s="21">
        <f>IF(OR($A765="",$A765&lt;&gt;'Lista para pedir'!$C$3,N($I765)&lt;=0),"",COUNTIFS($A$2:$A765,$A765,$I$2:$I765,"&gt;0"))</f>
        <v/>
      </c>
    </row>
    <row r="766">
      <c r="A766" s="20" t="n"/>
      <c r="B766" s="21">
        <f>IF($A766="","",CHOOSE(WEEKDAY($A766,2),"Lunes","Martes","Miércoles","Jueves","Viernes","Sábado","Domingo"))</f>
        <v/>
      </c>
      <c r="C766" s="17" t="n"/>
      <c r="D766" s="21">
        <f>IF($C766="","",IFERROR(INDEX(Insumos!$B$2:$B$151,MATCH($C766,Insumos!$A$2:$A$151,0)),"Código no cargado"))</f>
        <v/>
      </c>
      <c r="E766" s="21">
        <f>IF($C766="","",IFERROR(INDEX(Insumos!$C$2:$C$151,MATCH($C766,Insumos!$A$2:$A$151,0)),""))</f>
        <v/>
      </c>
      <c r="F766" s="21">
        <f>IF($C766="","",IFERROR(INDEX(Insumos!$D$2:$D$151,MATCH($C766,Insumos!$A$2:$A$151,0)),""))</f>
        <v/>
      </c>
      <c r="G766" s="18" t="n"/>
      <c r="H766" s="19">
        <f>IF(OR($A766="",$C766=""),"",IFERROR(INDEX(Insumos!$M$2:$S$151,MATCH($C766,Insumos!$A$2:$A$151,0),WEEKDAY($A766,2)),""))</f>
        <v/>
      </c>
      <c r="I766" s="19">
        <f>IF(OR($G766="",$H766=""),"",MAX(0,$H766-$G766))</f>
        <v/>
      </c>
      <c r="J766" s="21">
        <f>IF($I766="","",IF($I766=0,"OK",IF($G766&lt;=0,"Sin stock: pedir ya","Pedir o producir")))</f>
        <v/>
      </c>
      <c r="K766" s="17" t="n"/>
      <c r="L766" s="17" t="n"/>
      <c r="M766" s="21">
        <f>IF(OR($A766="",$A766&lt;&gt;'Lista para pedir'!$C$3,N($I766)&lt;=0),"",COUNTIFS($A$2:$A766,$A766,$I$2:$I766,"&gt;0"))</f>
        <v/>
      </c>
    </row>
    <row r="767">
      <c r="A767" s="20" t="n"/>
      <c r="B767" s="21">
        <f>IF($A767="","",CHOOSE(WEEKDAY($A767,2),"Lunes","Martes","Miércoles","Jueves","Viernes","Sábado","Domingo"))</f>
        <v/>
      </c>
      <c r="C767" s="17" t="n"/>
      <c r="D767" s="21">
        <f>IF($C767="","",IFERROR(INDEX(Insumos!$B$2:$B$151,MATCH($C767,Insumos!$A$2:$A$151,0)),"Código no cargado"))</f>
        <v/>
      </c>
      <c r="E767" s="21">
        <f>IF($C767="","",IFERROR(INDEX(Insumos!$C$2:$C$151,MATCH($C767,Insumos!$A$2:$A$151,0)),""))</f>
        <v/>
      </c>
      <c r="F767" s="21">
        <f>IF($C767="","",IFERROR(INDEX(Insumos!$D$2:$D$151,MATCH($C767,Insumos!$A$2:$A$151,0)),""))</f>
        <v/>
      </c>
      <c r="G767" s="18" t="n"/>
      <c r="H767" s="19">
        <f>IF(OR($A767="",$C767=""),"",IFERROR(INDEX(Insumos!$M$2:$S$151,MATCH($C767,Insumos!$A$2:$A$151,0),WEEKDAY($A767,2)),""))</f>
        <v/>
      </c>
      <c r="I767" s="19">
        <f>IF(OR($G767="",$H767=""),"",MAX(0,$H767-$G767))</f>
        <v/>
      </c>
      <c r="J767" s="21">
        <f>IF($I767="","",IF($I767=0,"OK",IF($G767&lt;=0,"Sin stock: pedir ya","Pedir o producir")))</f>
        <v/>
      </c>
      <c r="K767" s="17" t="n"/>
      <c r="L767" s="17" t="n"/>
      <c r="M767" s="21">
        <f>IF(OR($A767="",$A767&lt;&gt;'Lista para pedir'!$C$3,N($I767)&lt;=0),"",COUNTIFS($A$2:$A767,$A767,$I$2:$I767,"&gt;0"))</f>
        <v/>
      </c>
    </row>
    <row r="768">
      <c r="A768" s="20" t="n"/>
      <c r="B768" s="21">
        <f>IF($A768="","",CHOOSE(WEEKDAY($A768,2),"Lunes","Martes","Miércoles","Jueves","Viernes","Sábado","Domingo"))</f>
        <v/>
      </c>
      <c r="C768" s="17" t="n"/>
      <c r="D768" s="21">
        <f>IF($C768="","",IFERROR(INDEX(Insumos!$B$2:$B$151,MATCH($C768,Insumos!$A$2:$A$151,0)),"Código no cargado"))</f>
        <v/>
      </c>
      <c r="E768" s="21">
        <f>IF($C768="","",IFERROR(INDEX(Insumos!$C$2:$C$151,MATCH($C768,Insumos!$A$2:$A$151,0)),""))</f>
        <v/>
      </c>
      <c r="F768" s="21">
        <f>IF($C768="","",IFERROR(INDEX(Insumos!$D$2:$D$151,MATCH($C768,Insumos!$A$2:$A$151,0)),""))</f>
        <v/>
      </c>
      <c r="G768" s="18" t="n"/>
      <c r="H768" s="19">
        <f>IF(OR($A768="",$C768=""),"",IFERROR(INDEX(Insumos!$M$2:$S$151,MATCH($C768,Insumos!$A$2:$A$151,0),WEEKDAY($A768,2)),""))</f>
        <v/>
      </c>
      <c r="I768" s="19">
        <f>IF(OR($G768="",$H768=""),"",MAX(0,$H768-$G768))</f>
        <v/>
      </c>
      <c r="J768" s="21">
        <f>IF($I768="","",IF($I768=0,"OK",IF($G768&lt;=0,"Sin stock: pedir ya","Pedir o producir")))</f>
        <v/>
      </c>
      <c r="K768" s="17" t="n"/>
      <c r="L768" s="17" t="n"/>
      <c r="M768" s="21">
        <f>IF(OR($A768="",$A768&lt;&gt;'Lista para pedir'!$C$3,N($I768)&lt;=0),"",COUNTIFS($A$2:$A768,$A768,$I$2:$I768,"&gt;0"))</f>
        <v/>
      </c>
    </row>
    <row r="769">
      <c r="A769" s="20" t="n"/>
      <c r="B769" s="21">
        <f>IF($A769="","",CHOOSE(WEEKDAY($A769,2),"Lunes","Martes","Miércoles","Jueves","Viernes","Sábado","Domingo"))</f>
        <v/>
      </c>
      <c r="C769" s="17" t="n"/>
      <c r="D769" s="21">
        <f>IF($C769="","",IFERROR(INDEX(Insumos!$B$2:$B$151,MATCH($C769,Insumos!$A$2:$A$151,0)),"Código no cargado"))</f>
        <v/>
      </c>
      <c r="E769" s="21">
        <f>IF($C769="","",IFERROR(INDEX(Insumos!$C$2:$C$151,MATCH($C769,Insumos!$A$2:$A$151,0)),""))</f>
        <v/>
      </c>
      <c r="F769" s="21">
        <f>IF($C769="","",IFERROR(INDEX(Insumos!$D$2:$D$151,MATCH($C769,Insumos!$A$2:$A$151,0)),""))</f>
        <v/>
      </c>
      <c r="G769" s="18" t="n"/>
      <c r="H769" s="19">
        <f>IF(OR($A769="",$C769=""),"",IFERROR(INDEX(Insumos!$M$2:$S$151,MATCH($C769,Insumos!$A$2:$A$151,0),WEEKDAY($A769,2)),""))</f>
        <v/>
      </c>
      <c r="I769" s="19">
        <f>IF(OR($G769="",$H769=""),"",MAX(0,$H769-$G769))</f>
        <v/>
      </c>
      <c r="J769" s="21">
        <f>IF($I769="","",IF($I769=0,"OK",IF($G769&lt;=0,"Sin stock: pedir ya","Pedir o producir")))</f>
        <v/>
      </c>
      <c r="K769" s="17" t="n"/>
      <c r="L769" s="17" t="n"/>
      <c r="M769" s="21">
        <f>IF(OR($A769="",$A769&lt;&gt;'Lista para pedir'!$C$3,N($I769)&lt;=0),"",COUNTIFS($A$2:$A769,$A769,$I$2:$I769,"&gt;0"))</f>
        <v/>
      </c>
    </row>
    <row r="770">
      <c r="A770" s="20" t="n"/>
      <c r="B770" s="21">
        <f>IF($A770="","",CHOOSE(WEEKDAY($A770,2),"Lunes","Martes","Miércoles","Jueves","Viernes","Sábado","Domingo"))</f>
        <v/>
      </c>
      <c r="C770" s="17" t="n"/>
      <c r="D770" s="21">
        <f>IF($C770="","",IFERROR(INDEX(Insumos!$B$2:$B$151,MATCH($C770,Insumos!$A$2:$A$151,0)),"Código no cargado"))</f>
        <v/>
      </c>
      <c r="E770" s="21">
        <f>IF($C770="","",IFERROR(INDEX(Insumos!$C$2:$C$151,MATCH($C770,Insumos!$A$2:$A$151,0)),""))</f>
        <v/>
      </c>
      <c r="F770" s="21">
        <f>IF($C770="","",IFERROR(INDEX(Insumos!$D$2:$D$151,MATCH($C770,Insumos!$A$2:$A$151,0)),""))</f>
        <v/>
      </c>
      <c r="G770" s="18" t="n"/>
      <c r="H770" s="19">
        <f>IF(OR($A770="",$C770=""),"",IFERROR(INDEX(Insumos!$M$2:$S$151,MATCH($C770,Insumos!$A$2:$A$151,0),WEEKDAY($A770,2)),""))</f>
        <v/>
      </c>
      <c r="I770" s="19">
        <f>IF(OR($G770="",$H770=""),"",MAX(0,$H770-$G770))</f>
        <v/>
      </c>
      <c r="J770" s="21">
        <f>IF($I770="","",IF($I770=0,"OK",IF($G770&lt;=0,"Sin stock: pedir ya","Pedir o producir")))</f>
        <v/>
      </c>
      <c r="K770" s="17" t="n"/>
      <c r="L770" s="17" t="n"/>
      <c r="M770" s="21">
        <f>IF(OR($A770="",$A770&lt;&gt;'Lista para pedir'!$C$3,N($I770)&lt;=0),"",COUNTIFS($A$2:$A770,$A770,$I$2:$I770,"&gt;0"))</f>
        <v/>
      </c>
    </row>
    <row r="771">
      <c r="A771" s="20" t="n"/>
      <c r="B771" s="21">
        <f>IF($A771="","",CHOOSE(WEEKDAY($A771,2),"Lunes","Martes","Miércoles","Jueves","Viernes","Sábado","Domingo"))</f>
        <v/>
      </c>
      <c r="C771" s="17" t="n"/>
      <c r="D771" s="21">
        <f>IF($C771="","",IFERROR(INDEX(Insumos!$B$2:$B$151,MATCH($C771,Insumos!$A$2:$A$151,0)),"Código no cargado"))</f>
        <v/>
      </c>
      <c r="E771" s="21">
        <f>IF($C771="","",IFERROR(INDEX(Insumos!$C$2:$C$151,MATCH($C771,Insumos!$A$2:$A$151,0)),""))</f>
        <v/>
      </c>
      <c r="F771" s="21">
        <f>IF($C771="","",IFERROR(INDEX(Insumos!$D$2:$D$151,MATCH($C771,Insumos!$A$2:$A$151,0)),""))</f>
        <v/>
      </c>
      <c r="G771" s="18" t="n"/>
      <c r="H771" s="19">
        <f>IF(OR($A771="",$C771=""),"",IFERROR(INDEX(Insumos!$M$2:$S$151,MATCH($C771,Insumos!$A$2:$A$151,0),WEEKDAY($A771,2)),""))</f>
        <v/>
      </c>
      <c r="I771" s="19">
        <f>IF(OR($G771="",$H771=""),"",MAX(0,$H771-$G771))</f>
        <v/>
      </c>
      <c r="J771" s="21">
        <f>IF($I771="","",IF($I771=0,"OK",IF($G771&lt;=0,"Sin stock: pedir ya","Pedir o producir")))</f>
        <v/>
      </c>
      <c r="K771" s="17" t="n"/>
      <c r="L771" s="17" t="n"/>
      <c r="M771" s="21">
        <f>IF(OR($A771="",$A771&lt;&gt;'Lista para pedir'!$C$3,N($I771)&lt;=0),"",COUNTIFS($A$2:$A771,$A771,$I$2:$I771,"&gt;0"))</f>
        <v/>
      </c>
    </row>
    <row r="772">
      <c r="A772" s="20" t="n"/>
      <c r="B772" s="21">
        <f>IF($A772="","",CHOOSE(WEEKDAY($A772,2),"Lunes","Martes","Miércoles","Jueves","Viernes","Sábado","Domingo"))</f>
        <v/>
      </c>
      <c r="C772" s="17" t="n"/>
      <c r="D772" s="21">
        <f>IF($C772="","",IFERROR(INDEX(Insumos!$B$2:$B$151,MATCH($C772,Insumos!$A$2:$A$151,0)),"Código no cargado"))</f>
        <v/>
      </c>
      <c r="E772" s="21">
        <f>IF($C772="","",IFERROR(INDEX(Insumos!$C$2:$C$151,MATCH($C772,Insumos!$A$2:$A$151,0)),""))</f>
        <v/>
      </c>
      <c r="F772" s="21">
        <f>IF($C772="","",IFERROR(INDEX(Insumos!$D$2:$D$151,MATCH($C772,Insumos!$A$2:$A$151,0)),""))</f>
        <v/>
      </c>
      <c r="G772" s="18" t="n"/>
      <c r="H772" s="19">
        <f>IF(OR($A772="",$C772=""),"",IFERROR(INDEX(Insumos!$M$2:$S$151,MATCH($C772,Insumos!$A$2:$A$151,0),WEEKDAY($A772,2)),""))</f>
        <v/>
      </c>
      <c r="I772" s="19">
        <f>IF(OR($G772="",$H772=""),"",MAX(0,$H772-$G772))</f>
        <v/>
      </c>
      <c r="J772" s="21">
        <f>IF($I772="","",IF($I772=0,"OK",IF($G772&lt;=0,"Sin stock: pedir ya","Pedir o producir")))</f>
        <v/>
      </c>
      <c r="K772" s="17" t="n"/>
      <c r="L772" s="17" t="n"/>
      <c r="M772" s="21">
        <f>IF(OR($A772="",$A772&lt;&gt;'Lista para pedir'!$C$3,N($I772)&lt;=0),"",COUNTIFS($A$2:$A772,$A772,$I$2:$I772,"&gt;0"))</f>
        <v/>
      </c>
    </row>
    <row r="773">
      <c r="A773" s="20" t="n"/>
      <c r="B773" s="21">
        <f>IF($A773="","",CHOOSE(WEEKDAY($A773,2),"Lunes","Martes","Miércoles","Jueves","Viernes","Sábado","Domingo"))</f>
        <v/>
      </c>
      <c r="C773" s="17" t="n"/>
      <c r="D773" s="21">
        <f>IF($C773="","",IFERROR(INDEX(Insumos!$B$2:$B$151,MATCH($C773,Insumos!$A$2:$A$151,0)),"Código no cargado"))</f>
        <v/>
      </c>
      <c r="E773" s="21">
        <f>IF($C773="","",IFERROR(INDEX(Insumos!$C$2:$C$151,MATCH($C773,Insumos!$A$2:$A$151,0)),""))</f>
        <v/>
      </c>
      <c r="F773" s="21">
        <f>IF($C773="","",IFERROR(INDEX(Insumos!$D$2:$D$151,MATCH($C773,Insumos!$A$2:$A$151,0)),""))</f>
        <v/>
      </c>
      <c r="G773" s="18" t="n"/>
      <c r="H773" s="19">
        <f>IF(OR($A773="",$C773=""),"",IFERROR(INDEX(Insumos!$M$2:$S$151,MATCH($C773,Insumos!$A$2:$A$151,0),WEEKDAY($A773,2)),""))</f>
        <v/>
      </c>
      <c r="I773" s="19">
        <f>IF(OR($G773="",$H773=""),"",MAX(0,$H773-$G773))</f>
        <v/>
      </c>
      <c r="J773" s="21">
        <f>IF($I773="","",IF($I773=0,"OK",IF($G773&lt;=0,"Sin stock: pedir ya","Pedir o producir")))</f>
        <v/>
      </c>
      <c r="K773" s="17" t="n"/>
      <c r="L773" s="17" t="n"/>
      <c r="M773" s="21">
        <f>IF(OR($A773="",$A773&lt;&gt;'Lista para pedir'!$C$3,N($I773)&lt;=0),"",COUNTIFS($A$2:$A773,$A773,$I$2:$I773,"&gt;0"))</f>
        <v/>
      </c>
    </row>
    <row r="774">
      <c r="A774" s="20" t="n"/>
      <c r="B774" s="21">
        <f>IF($A774="","",CHOOSE(WEEKDAY($A774,2),"Lunes","Martes","Miércoles","Jueves","Viernes","Sábado","Domingo"))</f>
        <v/>
      </c>
      <c r="C774" s="17" t="n"/>
      <c r="D774" s="21">
        <f>IF($C774="","",IFERROR(INDEX(Insumos!$B$2:$B$151,MATCH($C774,Insumos!$A$2:$A$151,0)),"Código no cargado"))</f>
        <v/>
      </c>
      <c r="E774" s="21">
        <f>IF($C774="","",IFERROR(INDEX(Insumos!$C$2:$C$151,MATCH($C774,Insumos!$A$2:$A$151,0)),""))</f>
        <v/>
      </c>
      <c r="F774" s="21">
        <f>IF($C774="","",IFERROR(INDEX(Insumos!$D$2:$D$151,MATCH($C774,Insumos!$A$2:$A$151,0)),""))</f>
        <v/>
      </c>
      <c r="G774" s="18" t="n"/>
      <c r="H774" s="19">
        <f>IF(OR($A774="",$C774=""),"",IFERROR(INDEX(Insumos!$M$2:$S$151,MATCH($C774,Insumos!$A$2:$A$151,0),WEEKDAY($A774,2)),""))</f>
        <v/>
      </c>
      <c r="I774" s="19">
        <f>IF(OR($G774="",$H774=""),"",MAX(0,$H774-$G774))</f>
        <v/>
      </c>
      <c r="J774" s="21">
        <f>IF($I774="","",IF($I774=0,"OK",IF($G774&lt;=0,"Sin stock: pedir ya","Pedir o producir")))</f>
        <v/>
      </c>
      <c r="K774" s="17" t="n"/>
      <c r="L774" s="17" t="n"/>
      <c r="M774" s="21">
        <f>IF(OR($A774="",$A774&lt;&gt;'Lista para pedir'!$C$3,N($I774)&lt;=0),"",COUNTIFS($A$2:$A774,$A774,$I$2:$I774,"&gt;0"))</f>
        <v/>
      </c>
    </row>
    <row r="775">
      <c r="A775" s="20" t="n"/>
      <c r="B775" s="21">
        <f>IF($A775="","",CHOOSE(WEEKDAY($A775,2),"Lunes","Martes","Miércoles","Jueves","Viernes","Sábado","Domingo"))</f>
        <v/>
      </c>
      <c r="C775" s="17" t="n"/>
      <c r="D775" s="21">
        <f>IF($C775="","",IFERROR(INDEX(Insumos!$B$2:$B$151,MATCH($C775,Insumos!$A$2:$A$151,0)),"Código no cargado"))</f>
        <v/>
      </c>
      <c r="E775" s="21">
        <f>IF($C775="","",IFERROR(INDEX(Insumos!$C$2:$C$151,MATCH($C775,Insumos!$A$2:$A$151,0)),""))</f>
        <v/>
      </c>
      <c r="F775" s="21">
        <f>IF($C775="","",IFERROR(INDEX(Insumos!$D$2:$D$151,MATCH($C775,Insumos!$A$2:$A$151,0)),""))</f>
        <v/>
      </c>
      <c r="G775" s="18" t="n"/>
      <c r="H775" s="19">
        <f>IF(OR($A775="",$C775=""),"",IFERROR(INDEX(Insumos!$M$2:$S$151,MATCH($C775,Insumos!$A$2:$A$151,0),WEEKDAY($A775,2)),""))</f>
        <v/>
      </c>
      <c r="I775" s="19">
        <f>IF(OR($G775="",$H775=""),"",MAX(0,$H775-$G775))</f>
        <v/>
      </c>
      <c r="J775" s="21">
        <f>IF($I775="","",IF($I775=0,"OK",IF($G775&lt;=0,"Sin stock: pedir ya","Pedir o producir")))</f>
        <v/>
      </c>
      <c r="K775" s="17" t="n"/>
      <c r="L775" s="17" t="n"/>
      <c r="M775" s="21">
        <f>IF(OR($A775="",$A775&lt;&gt;'Lista para pedir'!$C$3,N($I775)&lt;=0),"",COUNTIFS($A$2:$A775,$A775,$I$2:$I775,"&gt;0"))</f>
        <v/>
      </c>
    </row>
    <row r="776">
      <c r="A776" s="20" t="n"/>
      <c r="B776" s="21">
        <f>IF($A776="","",CHOOSE(WEEKDAY($A776,2),"Lunes","Martes","Miércoles","Jueves","Viernes","Sábado","Domingo"))</f>
        <v/>
      </c>
      <c r="C776" s="17" t="n"/>
      <c r="D776" s="21">
        <f>IF($C776="","",IFERROR(INDEX(Insumos!$B$2:$B$151,MATCH($C776,Insumos!$A$2:$A$151,0)),"Código no cargado"))</f>
        <v/>
      </c>
      <c r="E776" s="21">
        <f>IF($C776="","",IFERROR(INDEX(Insumos!$C$2:$C$151,MATCH($C776,Insumos!$A$2:$A$151,0)),""))</f>
        <v/>
      </c>
      <c r="F776" s="21">
        <f>IF($C776="","",IFERROR(INDEX(Insumos!$D$2:$D$151,MATCH($C776,Insumos!$A$2:$A$151,0)),""))</f>
        <v/>
      </c>
      <c r="G776" s="18" t="n"/>
      <c r="H776" s="19">
        <f>IF(OR($A776="",$C776=""),"",IFERROR(INDEX(Insumos!$M$2:$S$151,MATCH($C776,Insumos!$A$2:$A$151,0),WEEKDAY($A776,2)),""))</f>
        <v/>
      </c>
      <c r="I776" s="19">
        <f>IF(OR($G776="",$H776=""),"",MAX(0,$H776-$G776))</f>
        <v/>
      </c>
      <c r="J776" s="21">
        <f>IF($I776="","",IF($I776=0,"OK",IF($G776&lt;=0,"Sin stock: pedir ya","Pedir o producir")))</f>
        <v/>
      </c>
      <c r="K776" s="17" t="n"/>
      <c r="L776" s="17" t="n"/>
      <c r="M776" s="21">
        <f>IF(OR($A776="",$A776&lt;&gt;'Lista para pedir'!$C$3,N($I776)&lt;=0),"",COUNTIFS($A$2:$A776,$A776,$I$2:$I776,"&gt;0"))</f>
        <v/>
      </c>
    </row>
    <row r="777">
      <c r="A777" s="20" t="n"/>
      <c r="B777" s="21">
        <f>IF($A777="","",CHOOSE(WEEKDAY($A777,2),"Lunes","Martes","Miércoles","Jueves","Viernes","Sábado","Domingo"))</f>
        <v/>
      </c>
      <c r="C777" s="17" t="n"/>
      <c r="D777" s="21">
        <f>IF($C777="","",IFERROR(INDEX(Insumos!$B$2:$B$151,MATCH($C777,Insumos!$A$2:$A$151,0)),"Código no cargado"))</f>
        <v/>
      </c>
      <c r="E777" s="21">
        <f>IF($C777="","",IFERROR(INDEX(Insumos!$C$2:$C$151,MATCH($C777,Insumos!$A$2:$A$151,0)),""))</f>
        <v/>
      </c>
      <c r="F777" s="21">
        <f>IF($C777="","",IFERROR(INDEX(Insumos!$D$2:$D$151,MATCH($C777,Insumos!$A$2:$A$151,0)),""))</f>
        <v/>
      </c>
      <c r="G777" s="18" t="n"/>
      <c r="H777" s="19">
        <f>IF(OR($A777="",$C777=""),"",IFERROR(INDEX(Insumos!$M$2:$S$151,MATCH($C777,Insumos!$A$2:$A$151,0),WEEKDAY($A777,2)),""))</f>
        <v/>
      </c>
      <c r="I777" s="19">
        <f>IF(OR($G777="",$H777=""),"",MAX(0,$H777-$G777))</f>
        <v/>
      </c>
      <c r="J777" s="21">
        <f>IF($I777="","",IF($I777=0,"OK",IF($G777&lt;=0,"Sin stock: pedir ya","Pedir o producir")))</f>
        <v/>
      </c>
      <c r="K777" s="17" t="n"/>
      <c r="L777" s="17" t="n"/>
      <c r="M777" s="21">
        <f>IF(OR($A777="",$A777&lt;&gt;'Lista para pedir'!$C$3,N($I777)&lt;=0),"",COUNTIFS($A$2:$A777,$A777,$I$2:$I777,"&gt;0"))</f>
        <v/>
      </c>
    </row>
    <row r="778">
      <c r="A778" s="20" t="n"/>
      <c r="B778" s="21">
        <f>IF($A778="","",CHOOSE(WEEKDAY($A778,2),"Lunes","Martes","Miércoles","Jueves","Viernes","Sábado","Domingo"))</f>
        <v/>
      </c>
      <c r="C778" s="17" t="n"/>
      <c r="D778" s="21">
        <f>IF($C778="","",IFERROR(INDEX(Insumos!$B$2:$B$151,MATCH($C778,Insumos!$A$2:$A$151,0)),"Código no cargado"))</f>
        <v/>
      </c>
      <c r="E778" s="21">
        <f>IF($C778="","",IFERROR(INDEX(Insumos!$C$2:$C$151,MATCH($C778,Insumos!$A$2:$A$151,0)),""))</f>
        <v/>
      </c>
      <c r="F778" s="21">
        <f>IF($C778="","",IFERROR(INDEX(Insumos!$D$2:$D$151,MATCH($C778,Insumos!$A$2:$A$151,0)),""))</f>
        <v/>
      </c>
      <c r="G778" s="18" t="n"/>
      <c r="H778" s="19">
        <f>IF(OR($A778="",$C778=""),"",IFERROR(INDEX(Insumos!$M$2:$S$151,MATCH($C778,Insumos!$A$2:$A$151,0),WEEKDAY($A778,2)),""))</f>
        <v/>
      </c>
      <c r="I778" s="19">
        <f>IF(OR($G778="",$H778=""),"",MAX(0,$H778-$G778))</f>
        <v/>
      </c>
      <c r="J778" s="21">
        <f>IF($I778="","",IF($I778=0,"OK",IF($G778&lt;=0,"Sin stock: pedir ya","Pedir o producir")))</f>
        <v/>
      </c>
      <c r="K778" s="17" t="n"/>
      <c r="L778" s="17" t="n"/>
      <c r="M778" s="21">
        <f>IF(OR($A778="",$A778&lt;&gt;'Lista para pedir'!$C$3,N($I778)&lt;=0),"",COUNTIFS($A$2:$A778,$A778,$I$2:$I778,"&gt;0"))</f>
        <v/>
      </c>
    </row>
    <row r="779">
      <c r="A779" s="20" t="n"/>
      <c r="B779" s="21">
        <f>IF($A779="","",CHOOSE(WEEKDAY($A779,2),"Lunes","Martes","Miércoles","Jueves","Viernes","Sábado","Domingo"))</f>
        <v/>
      </c>
      <c r="C779" s="17" t="n"/>
      <c r="D779" s="21">
        <f>IF($C779="","",IFERROR(INDEX(Insumos!$B$2:$B$151,MATCH($C779,Insumos!$A$2:$A$151,0)),"Código no cargado"))</f>
        <v/>
      </c>
      <c r="E779" s="21">
        <f>IF($C779="","",IFERROR(INDEX(Insumos!$C$2:$C$151,MATCH($C779,Insumos!$A$2:$A$151,0)),""))</f>
        <v/>
      </c>
      <c r="F779" s="21">
        <f>IF($C779="","",IFERROR(INDEX(Insumos!$D$2:$D$151,MATCH($C779,Insumos!$A$2:$A$151,0)),""))</f>
        <v/>
      </c>
      <c r="G779" s="18" t="n"/>
      <c r="H779" s="19">
        <f>IF(OR($A779="",$C779=""),"",IFERROR(INDEX(Insumos!$M$2:$S$151,MATCH($C779,Insumos!$A$2:$A$151,0),WEEKDAY($A779,2)),""))</f>
        <v/>
      </c>
      <c r="I779" s="19">
        <f>IF(OR($G779="",$H779=""),"",MAX(0,$H779-$G779))</f>
        <v/>
      </c>
      <c r="J779" s="21">
        <f>IF($I779="","",IF($I779=0,"OK",IF($G779&lt;=0,"Sin stock: pedir ya","Pedir o producir")))</f>
        <v/>
      </c>
      <c r="K779" s="17" t="n"/>
      <c r="L779" s="17" t="n"/>
      <c r="M779" s="21">
        <f>IF(OR($A779="",$A779&lt;&gt;'Lista para pedir'!$C$3,N($I779)&lt;=0),"",COUNTIFS($A$2:$A779,$A779,$I$2:$I779,"&gt;0"))</f>
        <v/>
      </c>
    </row>
    <row r="780">
      <c r="A780" s="20" t="n"/>
      <c r="B780" s="21">
        <f>IF($A780="","",CHOOSE(WEEKDAY($A780,2),"Lunes","Martes","Miércoles","Jueves","Viernes","Sábado","Domingo"))</f>
        <v/>
      </c>
      <c r="C780" s="17" t="n"/>
      <c r="D780" s="21">
        <f>IF($C780="","",IFERROR(INDEX(Insumos!$B$2:$B$151,MATCH($C780,Insumos!$A$2:$A$151,0)),"Código no cargado"))</f>
        <v/>
      </c>
      <c r="E780" s="21">
        <f>IF($C780="","",IFERROR(INDEX(Insumos!$C$2:$C$151,MATCH($C780,Insumos!$A$2:$A$151,0)),""))</f>
        <v/>
      </c>
      <c r="F780" s="21">
        <f>IF($C780="","",IFERROR(INDEX(Insumos!$D$2:$D$151,MATCH($C780,Insumos!$A$2:$A$151,0)),""))</f>
        <v/>
      </c>
      <c r="G780" s="18" t="n"/>
      <c r="H780" s="19">
        <f>IF(OR($A780="",$C780=""),"",IFERROR(INDEX(Insumos!$M$2:$S$151,MATCH($C780,Insumos!$A$2:$A$151,0),WEEKDAY($A780,2)),""))</f>
        <v/>
      </c>
      <c r="I780" s="19">
        <f>IF(OR($G780="",$H780=""),"",MAX(0,$H780-$G780))</f>
        <v/>
      </c>
      <c r="J780" s="21">
        <f>IF($I780="","",IF($I780=0,"OK",IF($G780&lt;=0,"Sin stock: pedir ya","Pedir o producir")))</f>
        <v/>
      </c>
      <c r="K780" s="17" t="n"/>
      <c r="L780" s="17" t="n"/>
      <c r="M780" s="21">
        <f>IF(OR($A780="",$A780&lt;&gt;'Lista para pedir'!$C$3,N($I780)&lt;=0),"",COUNTIFS($A$2:$A780,$A780,$I$2:$I780,"&gt;0"))</f>
        <v/>
      </c>
    </row>
    <row r="781">
      <c r="A781" s="20" t="n"/>
      <c r="B781" s="21">
        <f>IF($A781="","",CHOOSE(WEEKDAY($A781,2),"Lunes","Martes","Miércoles","Jueves","Viernes","Sábado","Domingo"))</f>
        <v/>
      </c>
      <c r="C781" s="17" t="n"/>
      <c r="D781" s="21">
        <f>IF($C781="","",IFERROR(INDEX(Insumos!$B$2:$B$151,MATCH($C781,Insumos!$A$2:$A$151,0)),"Código no cargado"))</f>
        <v/>
      </c>
      <c r="E781" s="21">
        <f>IF($C781="","",IFERROR(INDEX(Insumos!$C$2:$C$151,MATCH($C781,Insumos!$A$2:$A$151,0)),""))</f>
        <v/>
      </c>
      <c r="F781" s="21">
        <f>IF($C781="","",IFERROR(INDEX(Insumos!$D$2:$D$151,MATCH($C781,Insumos!$A$2:$A$151,0)),""))</f>
        <v/>
      </c>
      <c r="G781" s="18" t="n"/>
      <c r="H781" s="19">
        <f>IF(OR($A781="",$C781=""),"",IFERROR(INDEX(Insumos!$M$2:$S$151,MATCH($C781,Insumos!$A$2:$A$151,0),WEEKDAY($A781,2)),""))</f>
        <v/>
      </c>
      <c r="I781" s="19">
        <f>IF(OR($G781="",$H781=""),"",MAX(0,$H781-$G781))</f>
        <v/>
      </c>
      <c r="J781" s="21">
        <f>IF($I781="","",IF($I781=0,"OK",IF($G781&lt;=0,"Sin stock: pedir ya","Pedir o producir")))</f>
        <v/>
      </c>
      <c r="K781" s="17" t="n"/>
      <c r="L781" s="17" t="n"/>
      <c r="M781" s="21">
        <f>IF(OR($A781="",$A781&lt;&gt;'Lista para pedir'!$C$3,N($I781)&lt;=0),"",COUNTIFS($A$2:$A781,$A781,$I$2:$I781,"&gt;0"))</f>
        <v/>
      </c>
    </row>
    <row r="782">
      <c r="A782" s="20" t="n"/>
      <c r="B782" s="21">
        <f>IF($A782="","",CHOOSE(WEEKDAY($A782,2),"Lunes","Martes","Miércoles","Jueves","Viernes","Sábado","Domingo"))</f>
        <v/>
      </c>
      <c r="C782" s="17" t="n"/>
      <c r="D782" s="21">
        <f>IF($C782="","",IFERROR(INDEX(Insumos!$B$2:$B$151,MATCH($C782,Insumos!$A$2:$A$151,0)),"Código no cargado"))</f>
        <v/>
      </c>
      <c r="E782" s="21">
        <f>IF($C782="","",IFERROR(INDEX(Insumos!$C$2:$C$151,MATCH($C782,Insumos!$A$2:$A$151,0)),""))</f>
        <v/>
      </c>
      <c r="F782" s="21">
        <f>IF($C782="","",IFERROR(INDEX(Insumos!$D$2:$D$151,MATCH($C782,Insumos!$A$2:$A$151,0)),""))</f>
        <v/>
      </c>
      <c r="G782" s="18" t="n"/>
      <c r="H782" s="19">
        <f>IF(OR($A782="",$C782=""),"",IFERROR(INDEX(Insumos!$M$2:$S$151,MATCH($C782,Insumos!$A$2:$A$151,0),WEEKDAY($A782,2)),""))</f>
        <v/>
      </c>
      <c r="I782" s="19">
        <f>IF(OR($G782="",$H782=""),"",MAX(0,$H782-$G782))</f>
        <v/>
      </c>
      <c r="J782" s="21">
        <f>IF($I782="","",IF($I782=0,"OK",IF($G782&lt;=0,"Sin stock: pedir ya","Pedir o producir")))</f>
        <v/>
      </c>
      <c r="K782" s="17" t="n"/>
      <c r="L782" s="17" t="n"/>
      <c r="M782" s="21">
        <f>IF(OR($A782="",$A782&lt;&gt;'Lista para pedir'!$C$3,N($I782)&lt;=0),"",COUNTIFS($A$2:$A782,$A782,$I$2:$I782,"&gt;0"))</f>
        <v/>
      </c>
    </row>
    <row r="783">
      <c r="A783" s="20" t="n"/>
      <c r="B783" s="21">
        <f>IF($A783="","",CHOOSE(WEEKDAY($A783,2),"Lunes","Martes","Miércoles","Jueves","Viernes","Sábado","Domingo"))</f>
        <v/>
      </c>
      <c r="C783" s="17" t="n"/>
      <c r="D783" s="21">
        <f>IF($C783="","",IFERROR(INDEX(Insumos!$B$2:$B$151,MATCH($C783,Insumos!$A$2:$A$151,0)),"Código no cargado"))</f>
        <v/>
      </c>
      <c r="E783" s="21">
        <f>IF($C783="","",IFERROR(INDEX(Insumos!$C$2:$C$151,MATCH($C783,Insumos!$A$2:$A$151,0)),""))</f>
        <v/>
      </c>
      <c r="F783" s="21">
        <f>IF($C783="","",IFERROR(INDEX(Insumos!$D$2:$D$151,MATCH($C783,Insumos!$A$2:$A$151,0)),""))</f>
        <v/>
      </c>
      <c r="G783" s="18" t="n"/>
      <c r="H783" s="19">
        <f>IF(OR($A783="",$C783=""),"",IFERROR(INDEX(Insumos!$M$2:$S$151,MATCH($C783,Insumos!$A$2:$A$151,0),WEEKDAY($A783,2)),""))</f>
        <v/>
      </c>
      <c r="I783" s="19">
        <f>IF(OR($G783="",$H783=""),"",MAX(0,$H783-$G783))</f>
        <v/>
      </c>
      <c r="J783" s="21">
        <f>IF($I783="","",IF($I783=0,"OK",IF($G783&lt;=0,"Sin stock: pedir ya","Pedir o producir")))</f>
        <v/>
      </c>
      <c r="K783" s="17" t="n"/>
      <c r="L783" s="17" t="n"/>
      <c r="M783" s="21">
        <f>IF(OR($A783="",$A783&lt;&gt;'Lista para pedir'!$C$3,N($I783)&lt;=0),"",COUNTIFS($A$2:$A783,$A783,$I$2:$I783,"&gt;0"))</f>
        <v/>
      </c>
    </row>
    <row r="784">
      <c r="A784" s="20" t="n"/>
      <c r="B784" s="21">
        <f>IF($A784="","",CHOOSE(WEEKDAY($A784,2),"Lunes","Martes","Miércoles","Jueves","Viernes","Sábado","Domingo"))</f>
        <v/>
      </c>
      <c r="C784" s="17" t="n"/>
      <c r="D784" s="21">
        <f>IF($C784="","",IFERROR(INDEX(Insumos!$B$2:$B$151,MATCH($C784,Insumos!$A$2:$A$151,0)),"Código no cargado"))</f>
        <v/>
      </c>
      <c r="E784" s="21">
        <f>IF($C784="","",IFERROR(INDEX(Insumos!$C$2:$C$151,MATCH($C784,Insumos!$A$2:$A$151,0)),""))</f>
        <v/>
      </c>
      <c r="F784" s="21">
        <f>IF($C784="","",IFERROR(INDEX(Insumos!$D$2:$D$151,MATCH($C784,Insumos!$A$2:$A$151,0)),""))</f>
        <v/>
      </c>
      <c r="G784" s="18" t="n"/>
      <c r="H784" s="19">
        <f>IF(OR($A784="",$C784=""),"",IFERROR(INDEX(Insumos!$M$2:$S$151,MATCH($C784,Insumos!$A$2:$A$151,0),WEEKDAY($A784,2)),""))</f>
        <v/>
      </c>
      <c r="I784" s="19">
        <f>IF(OR($G784="",$H784=""),"",MAX(0,$H784-$G784))</f>
        <v/>
      </c>
      <c r="J784" s="21">
        <f>IF($I784="","",IF($I784=0,"OK",IF($G784&lt;=0,"Sin stock: pedir ya","Pedir o producir")))</f>
        <v/>
      </c>
      <c r="K784" s="17" t="n"/>
      <c r="L784" s="17" t="n"/>
      <c r="M784" s="21">
        <f>IF(OR($A784="",$A784&lt;&gt;'Lista para pedir'!$C$3,N($I784)&lt;=0),"",COUNTIFS($A$2:$A784,$A784,$I$2:$I784,"&gt;0"))</f>
        <v/>
      </c>
    </row>
    <row r="785">
      <c r="A785" s="20" t="n"/>
      <c r="B785" s="21">
        <f>IF($A785="","",CHOOSE(WEEKDAY($A785,2),"Lunes","Martes","Miércoles","Jueves","Viernes","Sábado","Domingo"))</f>
        <v/>
      </c>
      <c r="C785" s="17" t="n"/>
      <c r="D785" s="21">
        <f>IF($C785="","",IFERROR(INDEX(Insumos!$B$2:$B$151,MATCH($C785,Insumos!$A$2:$A$151,0)),"Código no cargado"))</f>
        <v/>
      </c>
      <c r="E785" s="21">
        <f>IF($C785="","",IFERROR(INDEX(Insumos!$C$2:$C$151,MATCH($C785,Insumos!$A$2:$A$151,0)),""))</f>
        <v/>
      </c>
      <c r="F785" s="21">
        <f>IF($C785="","",IFERROR(INDEX(Insumos!$D$2:$D$151,MATCH($C785,Insumos!$A$2:$A$151,0)),""))</f>
        <v/>
      </c>
      <c r="G785" s="18" t="n"/>
      <c r="H785" s="19">
        <f>IF(OR($A785="",$C785=""),"",IFERROR(INDEX(Insumos!$M$2:$S$151,MATCH($C785,Insumos!$A$2:$A$151,0),WEEKDAY($A785,2)),""))</f>
        <v/>
      </c>
      <c r="I785" s="19">
        <f>IF(OR($G785="",$H785=""),"",MAX(0,$H785-$G785))</f>
        <v/>
      </c>
      <c r="J785" s="21">
        <f>IF($I785="","",IF($I785=0,"OK",IF($G785&lt;=0,"Sin stock: pedir ya","Pedir o producir")))</f>
        <v/>
      </c>
      <c r="K785" s="17" t="n"/>
      <c r="L785" s="17" t="n"/>
      <c r="M785" s="21">
        <f>IF(OR($A785="",$A785&lt;&gt;'Lista para pedir'!$C$3,N($I785)&lt;=0),"",COUNTIFS($A$2:$A785,$A785,$I$2:$I785,"&gt;0"))</f>
        <v/>
      </c>
    </row>
    <row r="786">
      <c r="A786" s="20" t="n"/>
      <c r="B786" s="21">
        <f>IF($A786="","",CHOOSE(WEEKDAY($A786,2),"Lunes","Martes","Miércoles","Jueves","Viernes","Sábado","Domingo"))</f>
        <v/>
      </c>
      <c r="C786" s="17" t="n"/>
      <c r="D786" s="21">
        <f>IF($C786="","",IFERROR(INDEX(Insumos!$B$2:$B$151,MATCH($C786,Insumos!$A$2:$A$151,0)),"Código no cargado"))</f>
        <v/>
      </c>
      <c r="E786" s="21">
        <f>IF($C786="","",IFERROR(INDEX(Insumos!$C$2:$C$151,MATCH($C786,Insumos!$A$2:$A$151,0)),""))</f>
        <v/>
      </c>
      <c r="F786" s="21">
        <f>IF($C786="","",IFERROR(INDEX(Insumos!$D$2:$D$151,MATCH($C786,Insumos!$A$2:$A$151,0)),""))</f>
        <v/>
      </c>
      <c r="G786" s="18" t="n"/>
      <c r="H786" s="19">
        <f>IF(OR($A786="",$C786=""),"",IFERROR(INDEX(Insumos!$M$2:$S$151,MATCH($C786,Insumos!$A$2:$A$151,0),WEEKDAY($A786,2)),""))</f>
        <v/>
      </c>
      <c r="I786" s="19">
        <f>IF(OR($G786="",$H786=""),"",MAX(0,$H786-$G786))</f>
        <v/>
      </c>
      <c r="J786" s="21">
        <f>IF($I786="","",IF($I786=0,"OK",IF($G786&lt;=0,"Sin stock: pedir ya","Pedir o producir")))</f>
        <v/>
      </c>
      <c r="K786" s="17" t="n"/>
      <c r="L786" s="17" t="n"/>
      <c r="M786" s="21">
        <f>IF(OR($A786="",$A786&lt;&gt;'Lista para pedir'!$C$3,N($I786)&lt;=0),"",COUNTIFS($A$2:$A786,$A786,$I$2:$I786,"&gt;0"))</f>
        <v/>
      </c>
    </row>
    <row r="787">
      <c r="A787" s="20" t="n"/>
      <c r="B787" s="21">
        <f>IF($A787="","",CHOOSE(WEEKDAY($A787,2),"Lunes","Martes","Miércoles","Jueves","Viernes","Sábado","Domingo"))</f>
        <v/>
      </c>
      <c r="C787" s="17" t="n"/>
      <c r="D787" s="21">
        <f>IF($C787="","",IFERROR(INDEX(Insumos!$B$2:$B$151,MATCH($C787,Insumos!$A$2:$A$151,0)),"Código no cargado"))</f>
        <v/>
      </c>
      <c r="E787" s="21">
        <f>IF($C787="","",IFERROR(INDEX(Insumos!$C$2:$C$151,MATCH($C787,Insumos!$A$2:$A$151,0)),""))</f>
        <v/>
      </c>
      <c r="F787" s="21">
        <f>IF($C787="","",IFERROR(INDEX(Insumos!$D$2:$D$151,MATCH($C787,Insumos!$A$2:$A$151,0)),""))</f>
        <v/>
      </c>
      <c r="G787" s="18" t="n"/>
      <c r="H787" s="19">
        <f>IF(OR($A787="",$C787=""),"",IFERROR(INDEX(Insumos!$M$2:$S$151,MATCH($C787,Insumos!$A$2:$A$151,0),WEEKDAY($A787,2)),""))</f>
        <v/>
      </c>
      <c r="I787" s="19">
        <f>IF(OR($G787="",$H787=""),"",MAX(0,$H787-$G787))</f>
        <v/>
      </c>
      <c r="J787" s="21">
        <f>IF($I787="","",IF($I787=0,"OK",IF($G787&lt;=0,"Sin stock: pedir ya","Pedir o producir")))</f>
        <v/>
      </c>
      <c r="K787" s="17" t="n"/>
      <c r="L787" s="17" t="n"/>
      <c r="M787" s="21">
        <f>IF(OR($A787="",$A787&lt;&gt;'Lista para pedir'!$C$3,N($I787)&lt;=0),"",COUNTIFS($A$2:$A787,$A787,$I$2:$I787,"&gt;0"))</f>
        <v/>
      </c>
    </row>
    <row r="788">
      <c r="A788" s="20" t="n"/>
      <c r="B788" s="21">
        <f>IF($A788="","",CHOOSE(WEEKDAY($A788,2),"Lunes","Martes","Miércoles","Jueves","Viernes","Sábado","Domingo"))</f>
        <v/>
      </c>
      <c r="C788" s="17" t="n"/>
      <c r="D788" s="21">
        <f>IF($C788="","",IFERROR(INDEX(Insumos!$B$2:$B$151,MATCH($C788,Insumos!$A$2:$A$151,0)),"Código no cargado"))</f>
        <v/>
      </c>
      <c r="E788" s="21">
        <f>IF($C788="","",IFERROR(INDEX(Insumos!$C$2:$C$151,MATCH($C788,Insumos!$A$2:$A$151,0)),""))</f>
        <v/>
      </c>
      <c r="F788" s="21">
        <f>IF($C788="","",IFERROR(INDEX(Insumos!$D$2:$D$151,MATCH($C788,Insumos!$A$2:$A$151,0)),""))</f>
        <v/>
      </c>
      <c r="G788" s="18" t="n"/>
      <c r="H788" s="19">
        <f>IF(OR($A788="",$C788=""),"",IFERROR(INDEX(Insumos!$M$2:$S$151,MATCH($C788,Insumos!$A$2:$A$151,0),WEEKDAY($A788,2)),""))</f>
        <v/>
      </c>
      <c r="I788" s="19">
        <f>IF(OR($G788="",$H788=""),"",MAX(0,$H788-$G788))</f>
        <v/>
      </c>
      <c r="J788" s="21">
        <f>IF($I788="","",IF($I788=0,"OK",IF($G788&lt;=0,"Sin stock: pedir ya","Pedir o producir")))</f>
        <v/>
      </c>
      <c r="K788" s="17" t="n"/>
      <c r="L788" s="17" t="n"/>
      <c r="M788" s="21">
        <f>IF(OR($A788="",$A788&lt;&gt;'Lista para pedir'!$C$3,N($I788)&lt;=0),"",COUNTIFS($A$2:$A788,$A788,$I$2:$I788,"&gt;0"))</f>
        <v/>
      </c>
    </row>
    <row r="789">
      <c r="A789" s="20" t="n"/>
      <c r="B789" s="21">
        <f>IF($A789="","",CHOOSE(WEEKDAY($A789,2),"Lunes","Martes","Miércoles","Jueves","Viernes","Sábado","Domingo"))</f>
        <v/>
      </c>
      <c r="C789" s="17" t="n"/>
      <c r="D789" s="21">
        <f>IF($C789="","",IFERROR(INDEX(Insumos!$B$2:$B$151,MATCH($C789,Insumos!$A$2:$A$151,0)),"Código no cargado"))</f>
        <v/>
      </c>
      <c r="E789" s="21">
        <f>IF($C789="","",IFERROR(INDEX(Insumos!$C$2:$C$151,MATCH($C789,Insumos!$A$2:$A$151,0)),""))</f>
        <v/>
      </c>
      <c r="F789" s="21">
        <f>IF($C789="","",IFERROR(INDEX(Insumos!$D$2:$D$151,MATCH($C789,Insumos!$A$2:$A$151,0)),""))</f>
        <v/>
      </c>
      <c r="G789" s="18" t="n"/>
      <c r="H789" s="19">
        <f>IF(OR($A789="",$C789=""),"",IFERROR(INDEX(Insumos!$M$2:$S$151,MATCH($C789,Insumos!$A$2:$A$151,0),WEEKDAY($A789,2)),""))</f>
        <v/>
      </c>
      <c r="I789" s="19">
        <f>IF(OR($G789="",$H789=""),"",MAX(0,$H789-$G789))</f>
        <v/>
      </c>
      <c r="J789" s="21">
        <f>IF($I789="","",IF($I789=0,"OK",IF($G789&lt;=0,"Sin stock: pedir ya","Pedir o producir")))</f>
        <v/>
      </c>
      <c r="K789" s="17" t="n"/>
      <c r="L789" s="17" t="n"/>
      <c r="M789" s="21">
        <f>IF(OR($A789="",$A789&lt;&gt;'Lista para pedir'!$C$3,N($I789)&lt;=0),"",COUNTIFS($A$2:$A789,$A789,$I$2:$I789,"&gt;0"))</f>
        <v/>
      </c>
    </row>
    <row r="790">
      <c r="A790" s="20" t="n"/>
      <c r="B790" s="21">
        <f>IF($A790="","",CHOOSE(WEEKDAY($A790,2),"Lunes","Martes","Miércoles","Jueves","Viernes","Sábado","Domingo"))</f>
        <v/>
      </c>
      <c r="C790" s="17" t="n"/>
      <c r="D790" s="21">
        <f>IF($C790="","",IFERROR(INDEX(Insumos!$B$2:$B$151,MATCH($C790,Insumos!$A$2:$A$151,0)),"Código no cargado"))</f>
        <v/>
      </c>
      <c r="E790" s="21">
        <f>IF($C790="","",IFERROR(INDEX(Insumos!$C$2:$C$151,MATCH($C790,Insumos!$A$2:$A$151,0)),""))</f>
        <v/>
      </c>
      <c r="F790" s="21">
        <f>IF($C790="","",IFERROR(INDEX(Insumos!$D$2:$D$151,MATCH($C790,Insumos!$A$2:$A$151,0)),""))</f>
        <v/>
      </c>
      <c r="G790" s="18" t="n"/>
      <c r="H790" s="19">
        <f>IF(OR($A790="",$C790=""),"",IFERROR(INDEX(Insumos!$M$2:$S$151,MATCH($C790,Insumos!$A$2:$A$151,0),WEEKDAY($A790,2)),""))</f>
        <v/>
      </c>
      <c r="I790" s="19">
        <f>IF(OR($G790="",$H790=""),"",MAX(0,$H790-$G790))</f>
        <v/>
      </c>
      <c r="J790" s="21">
        <f>IF($I790="","",IF($I790=0,"OK",IF($G790&lt;=0,"Sin stock: pedir ya","Pedir o producir")))</f>
        <v/>
      </c>
      <c r="K790" s="17" t="n"/>
      <c r="L790" s="17" t="n"/>
      <c r="M790" s="21">
        <f>IF(OR($A790="",$A790&lt;&gt;'Lista para pedir'!$C$3,N($I790)&lt;=0),"",COUNTIFS($A$2:$A790,$A790,$I$2:$I790,"&gt;0"))</f>
        <v/>
      </c>
    </row>
    <row r="791">
      <c r="A791" s="20" t="n"/>
      <c r="B791" s="21">
        <f>IF($A791="","",CHOOSE(WEEKDAY($A791,2),"Lunes","Martes","Miércoles","Jueves","Viernes","Sábado","Domingo"))</f>
        <v/>
      </c>
      <c r="C791" s="17" t="n"/>
      <c r="D791" s="21">
        <f>IF($C791="","",IFERROR(INDEX(Insumos!$B$2:$B$151,MATCH($C791,Insumos!$A$2:$A$151,0)),"Código no cargado"))</f>
        <v/>
      </c>
      <c r="E791" s="21">
        <f>IF($C791="","",IFERROR(INDEX(Insumos!$C$2:$C$151,MATCH($C791,Insumos!$A$2:$A$151,0)),""))</f>
        <v/>
      </c>
      <c r="F791" s="21">
        <f>IF($C791="","",IFERROR(INDEX(Insumos!$D$2:$D$151,MATCH($C791,Insumos!$A$2:$A$151,0)),""))</f>
        <v/>
      </c>
      <c r="G791" s="18" t="n"/>
      <c r="H791" s="19">
        <f>IF(OR($A791="",$C791=""),"",IFERROR(INDEX(Insumos!$M$2:$S$151,MATCH($C791,Insumos!$A$2:$A$151,0),WEEKDAY($A791,2)),""))</f>
        <v/>
      </c>
      <c r="I791" s="19">
        <f>IF(OR($G791="",$H791=""),"",MAX(0,$H791-$G791))</f>
        <v/>
      </c>
      <c r="J791" s="21">
        <f>IF($I791="","",IF($I791=0,"OK",IF($G791&lt;=0,"Sin stock: pedir ya","Pedir o producir")))</f>
        <v/>
      </c>
      <c r="K791" s="17" t="n"/>
      <c r="L791" s="17" t="n"/>
      <c r="M791" s="21">
        <f>IF(OR($A791="",$A791&lt;&gt;'Lista para pedir'!$C$3,N($I791)&lt;=0),"",COUNTIFS($A$2:$A791,$A791,$I$2:$I791,"&gt;0"))</f>
        <v/>
      </c>
    </row>
    <row r="792">
      <c r="A792" s="20" t="n"/>
      <c r="B792" s="21">
        <f>IF($A792="","",CHOOSE(WEEKDAY($A792,2),"Lunes","Martes","Miércoles","Jueves","Viernes","Sábado","Domingo"))</f>
        <v/>
      </c>
      <c r="C792" s="17" t="n"/>
      <c r="D792" s="21">
        <f>IF($C792="","",IFERROR(INDEX(Insumos!$B$2:$B$151,MATCH($C792,Insumos!$A$2:$A$151,0)),"Código no cargado"))</f>
        <v/>
      </c>
      <c r="E792" s="21">
        <f>IF($C792="","",IFERROR(INDEX(Insumos!$C$2:$C$151,MATCH($C792,Insumos!$A$2:$A$151,0)),""))</f>
        <v/>
      </c>
      <c r="F792" s="21">
        <f>IF($C792="","",IFERROR(INDEX(Insumos!$D$2:$D$151,MATCH($C792,Insumos!$A$2:$A$151,0)),""))</f>
        <v/>
      </c>
      <c r="G792" s="18" t="n"/>
      <c r="H792" s="19">
        <f>IF(OR($A792="",$C792=""),"",IFERROR(INDEX(Insumos!$M$2:$S$151,MATCH($C792,Insumos!$A$2:$A$151,0),WEEKDAY($A792,2)),""))</f>
        <v/>
      </c>
      <c r="I792" s="19">
        <f>IF(OR($G792="",$H792=""),"",MAX(0,$H792-$G792))</f>
        <v/>
      </c>
      <c r="J792" s="21">
        <f>IF($I792="","",IF($I792=0,"OK",IF($G792&lt;=0,"Sin stock: pedir ya","Pedir o producir")))</f>
        <v/>
      </c>
      <c r="K792" s="17" t="n"/>
      <c r="L792" s="17" t="n"/>
      <c r="M792" s="21">
        <f>IF(OR($A792="",$A792&lt;&gt;'Lista para pedir'!$C$3,N($I792)&lt;=0),"",COUNTIFS($A$2:$A792,$A792,$I$2:$I792,"&gt;0"))</f>
        <v/>
      </c>
    </row>
    <row r="793">
      <c r="A793" s="20" t="n"/>
      <c r="B793" s="21">
        <f>IF($A793="","",CHOOSE(WEEKDAY($A793,2),"Lunes","Martes","Miércoles","Jueves","Viernes","Sábado","Domingo"))</f>
        <v/>
      </c>
      <c r="C793" s="17" t="n"/>
      <c r="D793" s="21">
        <f>IF($C793="","",IFERROR(INDEX(Insumos!$B$2:$B$151,MATCH($C793,Insumos!$A$2:$A$151,0)),"Código no cargado"))</f>
        <v/>
      </c>
      <c r="E793" s="21">
        <f>IF($C793="","",IFERROR(INDEX(Insumos!$C$2:$C$151,MATCH($C793,Insumos!$A$2:$A$151,0)),""))</f>
        <v/>
      </c>
      <c r="F793" s="21">
        <f>IF($C793="","",IFERROR(INDEX(Insumos!$D$2:$D$151,MATCH($C793,Insumos!$A$2:$A$151,0)),""))</f>
        <v/>
      </c>
      <c r="G793" s="18" t="n"/>
      <c r="H793" s="19">
        <f>IF(OR($A793="",$C793=""),"",IFERROR(INDEX(Insumos!$M$2:$S$151,MATCH($C793,Insumos!$A$2:$A$151,0),WEEKDAY($A793,2)),""))</f>
        <v/>
      </c>
      <c r="I793" s="19">
        <f>IF(OR($G793="",$H793=""),"",MAX(0,$H793-$G793))</f>
        <v/>
      </c>
      <c r="J793" s="21">
        <f>IF($I793="","",IF($I793=0,"OK",IF($G793&lt;=0,"Sin stock: pedir ya","Pedir o producir")))</f>
        <v/>
      </c>
      <c r="K793" s="17" t="n"/>
      <c r="L793" s="17" t="n"/>
      <c r="M793" s="21">
        <f>IF(OR($A793="",$A793&lt;&gt;'Lista para pedir'!$C$3,N($I793)&lt;=0),"",COUNTIFS($A$2:$A793,$A793,$I$2:$I793,"&gt;0"))</f>
        <v/>
      </c>
    </row>
    <row r="794">
      <c r="A794" s="20" t="n"/>
      <c r="B794" s="21">
        <f>IF($A794="","",CHOOSE(WEEKDAY($A794,2),"Lunes","Martes","Miércoles","Jueves","Viernes","Sábado","Domingo"))</f>
        <v/>
      </c>
      <c r="C794" s="17" t="n"/>
      <c r="D794" s="21">
        <f>IF($C794="","",IFERROR(INDEX(Insumos!$B$2:$B$151,MATCH($C794,Insumos!$A$2:$A$151,0)),"Código no cargado"))</f>
        <v/>
      </c>
      <c r="E794" s="21">
        <f>IF($C794="","",IFERROR(INDEX(Insumos!$C$2:$C$151,MATCH($C794,Insumos!$A$2:$A$151,0)),""))</f>
        <v/>
      </c>
      <c r="F794" s="21">
        <f>IF($C794="","",IFERROR(INDEX(Insumos!$D$2:$D$151,MATCH($C794,Insumos!$A$2:$A$151,0)),""))</f>
        <v/>
      </c>
      <c r="G794" s="18" t="n"/>
      <c r="H794" s="19">
        <f>IF(OR($A794="",$C794=""),"",IFERROR(INDEX(Insumos!$M$2:$S$151,MATCH($C794,Insumos!$A$2:$A$151,0),WEEKDAY($A794,2)),""))</f>
        <v/>
      </c>
      <c r="I794" s="19">
        <f>IF(OR($G794="",$H794=""),"",MAX(0,$H794-$G794))</f>
        <v/>
      </c>
      <c r="J794" s="21">
        <f>IF($I794="","",IF($I794=0,"OK",IF($G794&lt;=0,"Sin stock: pedir ya","Pedir o producir")))</f>
        <v/>
      </c>
      <c r="K794" s="17" t="n"/>
      <c r="L794" s="17" t="n"/>
      <c r="M794" s="21">
        <f>IF(OR($A794="",$A794&lt;&gt;'Lista para pedir'!$C$3,N($I794)&lt;=0),"",COUNTIFS($A$2:$A794,$A794,$I$2:$I794,"&gt;0"))</f>
        <v/>
      </c>
    </row>
    <row r="795">
      <c r="A795" s="20" t="n"/>
      <c r="B795" s="21">
        <f>IF($A795="","",CHOOSE(WEEKDAY($A795,2),"Lunes","Martes","Miércoles","Jueves","Viernes","Sábado","Domingo"))</f>
        <v/>
      </c>
      <c r="C795" s="17" t="n"/>
      <c r="D795" s="21">
        <f>IF($C795="","",IFERROR(INDEX(Insumos!$B$2:$B$151,MATCH($C795,Insumos!$A$2:$A$151,0)),"Código no cargado"))</f>
        <v/>
      </c>
      <c r="E795" s="21">
        <f>IF($C795="","",IFERROR(INDEX(Insumos!$C$2:$C$151,MATCH($C795,Insumos!$A$2:$A$151,0)),""))</f>
        <v/>
      </c>
      <c r="F795" s="21">
        <f>IF($C795="","",IFERROR(INDEX(Insumos!$D$2:$D$151,MATCH($C795,Insumos!$A$2:$A$151,0)),""))</f>
        <v/>
      </c>
      <c r="G795" s="18" t="n"/>
      <c r="H795" s="19">
        <f>IF(OR($A795="",$C795=""),"",IFERROR(INDEX(Insumos!$M$2:$S$151,MATCH($C795,Insumos!$A$2:$A$151,0),WEEKDAY($A795,2)),""))</f>
        <v/>
      </c>
      <c r="I795" s="19">
        <f>IF(OR($G795="",$H795=""),"",MAX(0,$H795-$G795))</f>
        <v/>
      </c>
      <c r="J795" s="21">
        <f>IF($I795="","",IF($I795=0,"OK",IF($G795&lt;=0,"Sin stock: pedir ya","Pedir o producir")))</f>
        <v/>
      </c>
      <c r="K795" s="17" t="n"/>
      <c r="L795" s="17" t="n"/>
      <c r="M795" s="21">
        <f>IF(OR($A795="",$A795&lt;&gt;'Lista para pedir'!$C$3,N($I795)&lt;=0),"",COUNTIFS($A$2:$A795,$A795,$I$2:$I795,"&gt;0"))</f>
        <v/>
      </c>
    </row>
    <row r="796">
      <c r="A796" s="20" t="n"/>
      <c r="B796" s="21">
        <f>IF($A796="","",CHOOSE(WEEKDAY($A796,2),"Lunes","Martes","Miércoles","Jueves","Viernes","Sábado","Domingo"))</f>
        <v/>
      </c>
      <c r="C796" s="17" t="n"/>
      <c r="D796" s="21">
        <f>IF($C796="","",IFERROR(INDEX(Insumos!$B$2:$B$151,MATCH($C796,Insumos!$A$2:$A$151,0)),"Código no cargado"))</f>
        <v/>
      </c>
      <c r="E796" s="21">
        <f>IF($C796="","",IFERROR(INDEX(Insumos!$C$2:$C$151,MATCH($C796,Insumos!$A$2:$A$151,0)),""))</f>
        <v/>
      </c>
      <c r="F796" s="21">
        <f>IF($C796="","",IFERROR(INDEX(Insumos!$D$2:$D$151,MATCH($C796,Insumos!$A$2:$A$151,0)),""))</f>
        <v/>
      </c>
      <c r="G796" s="18" t="n"/>
      <c r="H796" s="19">
        <f>IF(OR($A796="",$C796=""),"",IFERROR(INDEX(Insumos!$M$2:$S$151,MATCH($C796,Insumos!$A$2:$A$151,0),WEEKDAY($A796,2)),""))</f>
        <v/>
      </c>
      <c r="I796" s="19">
        <f>IF(OR($G796="",$H796=""),"",MAX(0,$H796-$G796))</f>
        <v/>
      </c>
      <c r="J796" s="21">
        <f>IF($I796="","",IF($I796=0,"OK",IF($G796&lt;=0,"Sin stock: pedir ya","Pedir o producir")))</f>
        <v/>
      </c>
      <c r="K796" s="17" t="n"/>
      <c r="L796" s="17" t="n"/>
      <c r="M796" s="21">
        <f>IF(OR($A796="",$A796&lt;&gt;'Lista para pedir'!$C$3,N($I796)&lt;=0),"",COUNTIFS($A$2:$A796,$A796,$I$2:$I796,"&gt;0"))</f>
        <v/>
      </c>
    </row>
    <row r="797">
      <c r="A797" s="20" t="n"/>
      <c r="B797" s="21">
        <f>IF($A797="","",CHOOSE(WEEKDAY($A797,2),"Lunes","Martes","Miércoles","Jueves","Viernes","Sábado","Domingo"))</f>
        <v/>
      </c>
      <c r="C797" s="17" t="n"/>
      <c r="D797" s="21">
        <f>IF($C797="","",IFERROR(INDEX(Insumos!$B$2:$B$151,MATCH($C797,Insumos!$A$2:$A$151,0)),"Código no cargado"))</f>
        <v/>
      </c>
      <c r="E797" s="21">
        <f>IF($C797="","",IFERROR(INDEX(Insumos!$C$2:$C$151,MATCH($C797,Insumos!$A$2:$A$151,0)),""))</f>
        <v/>
      </c>
      <c r="F797" s="21">
        <f>IF($C797="","",IFERROR(INDEX(Insumos!$D$2:$D$151,MATCH($C797,Insumos!$A$2:$A$151,0)),""))</f>
        <v/>
      </c>
      <c r="G797" s="18" t="n"/>
      <c r="H797" s="19">
        <f>IF(OR($A797="",$C797=""),"",IFERROR(INDEX(Insumos!$M$2:$S$151,MATCH($C797,Insumos!$A$2:$A$151,0),WEEKDAY($A797,2)),""))</f>
        <v/>
      </c>
      <c r="I797" s="19">
        <f>IF(OR($G797="",$H797=""),"",MAX(0,$H797-$G797))</f>
        <v/>
      </c>
      <c r="J797" s="21">
        <f>IF($I797="","",IF($I797=0,"OK",IF($G797&lt;=0,"Sin stock: pedir ya","Pedir o producir")))</f>
        <v/>
      </c>
      <c r="K797" s="17" t="n"/>
      <c r="L797" s="17" t="n"/>
      <c r="M797" s="21">
        <f>IF(OR($A797="",$A797&lt;&gt;'Lista para pedir'!$C$3,N($I797)&lt;=0),"",COUNTIFS($A$2:$A797,$A797,$I$2:$I797,"&gt;0"))</f>
        <v/>
      </c>
    </row>
    <row r="798">
      <c r="A798" s="20" t="n"/>
      <c r="B798" s="21">
        <f>IF($A798="","",CHOOSE(WEEKDAY($A798,2),"Lunes","Martes","Miércoles","Jueves","Viernes","Sábado","Domingo"))</f>
        <v/>
      </c>
      <c r="C798" s="17" t="n"/>
      <c r="D798" s="21">
        <f>IF($C798="","",IFERROR(INDEX(Insumos!$B$2:$B$151,MATCH($C798,Insumos!$A$2:$A$151,0)),"Código no cargado"))</f>
        <v/>
      </c>
      <c r="E798" s="21">
        <f>IF($C798="","",IFERROR(INDEX(Insumos!$C$2:$C$151,MATCH($C798,Insumos!$A$2:$A$151,0)),""))</f>
        <v/>
      </c>
      <c r="F798" s="21">
        <f>IF($C798="","",IFERROR(INDEX(Insumos!$D$2:$D$151,MATCH($C798,Insumos!$A$2:$A$151,0)),""))</f>
        <v/>
      </c>
      <c r="G798" s="18" t="n"/>
      <c r="H798" s="19">
        <f>IF(OR($A798="",$C798=""),"",IFERROR(INDEX(Insumos!$M$2:$S$151,MATCH($C798,Insumos!$A$2:$A$151,0),WEEKDAY($A798,2)),""))</f>
        <v/>
      </c>
      <c r="I798" s="19">
        <f>IF(OR($G798="",$H798=""),"",MAX(0,$H798-$G798))</f>
        <v/>
      </c>
      <c r="J798" s="21">
        <f>IF($I798="","",IF($I798=0,"OK",IF($G798&lt;=0,"Sin stock: pedir ya","Pedir o producir")))</f>
        <v/>
      </c>
      <c r="K798" s="17" t="n"/>
      <c r="L798" s="17" t="n"/>
      <c r="M798" s="21">
        <f>IF(OR($A798="",$A798&lt;&gt;'Lista para pedir'!$C$3,N($I798)&lt;=0),"",COUNTIFS($A$2:$A798,$A798,$I$2:$I798,"&gt;0"))</f>
        <v/>
      </c>
    </row>
    <row r="799">
      <c r="A799" s="20" t="n"/>
      <c r="B799" s="21">
        <f>IF($A799="","",CHOOSE(WEEKDAY($A799,2),"Lunes","Martes","Miércoles","Jueves","Viernes","Sábado","Domingo"))</f>
        <v/>
      </c>
      <c r="C799" s="17" t="n"/>
      <c r="D799" s="21">
        <f>IF($C799="","",IFERROR(INDEX(Insumos!$B$2:$B$151,MATCH($C799,Insumos!$A$2:$A$151,0)),"Código no cargado"))</f>
        <v/>
      </c>
      <c r="E799" s="21">
        <f>IF($C799="","",IFERROR(INDEX(Insumos!$C$2:$C$151,MATCH($C799,Insumos!$A$2:$A$151,0)),""))</f>
        <v/>
      </c>
      <c r="F799" s="21">
        <f>IF($C799="","",IFERROR(INDEX(Insumos!$D$2:$D$151,MATCH($C799,Insumos!$A$2:$A$151,0)),""))</f>
        <v/>
      </c>
      <c r="G799" s="18" t="n"/>
      <c r="H799" s="19">
        <f>IF(OR($A799="",$C799=""),"",IFERROR(INDEX(Insumos!$M$2:$S$151,MATCH($C799,Insumos!$A$2:$A$151,0),WEEKDAY($A799,2)),""))</f>
        <v/>
      </c>
      <c r="I799" s="19">
        <f>IF(OR($G799="",$H799=""),"",MAX(0,$H799-$G799))</f>
        <v/>
      </c>
      <c r="J799" s="21">
        <f>IF($I799="","",IF($I799=0,"OK",IF($G799&lt;=0,"Sin stock: pedir ya","Pedir o producir")))</f>
        <v/>
      </c>
      <c r="K799" s="17" t="n"/>
      <c r="L799" s="17" t="n"/>
      <c r="M799" s="21">
        <f>IF(OR($A799="",$A799&lt;&gt;'Lista para pedir'!$C$3,N($I799)&lt;=0),"",COUNTIFS($A$2:$A799,$A799,$I$2:$I799,"&gt;0"))</f>
        <v/>
      </c>
    </row>
    <row r="800">
      <c r="A800" s="20" t="n"/>
      <c r="B800" s="21">
        <f>IF($A800="","",CHOOSE(WEEKDAY($A800,2),"Lunes","Martes","Miércoles","Jueves","Viernes","Sábado","Domingo"))</f>
        <v/>
      </c>
      <c r="C800" s="17" t="n"/>
      <c r="D800" s="21">
        <f>IF($C800="","",IFERROR(INDEX(Insumos!$B$2:$B$151,MATCH($C800,Insumos!$A$2:$A$151,0)),"Código no cargado"))</f>
        <v/>
      </c>
      <c r="E800" s="21">
        <f>IF($C800="","",IFERROR(INDEX(Insumos!$C$2:$C$151,MATCH($C800,Insumos!$A$2:$A$151,0)),""))</f>
        <v/>
      </c>
      <c r="F800" s="21">
        <f>IF($C800="","",IFERROR(INDEX(Insumos!$D$2:$D$151,MATCH($C800,Insumos!$A$2:$A$151,0)),""))</f>
        <v/>
      </c>
      <c r="G800" s="18" t="n"/>
      <c r="H800" s="19">
        <f>IF(OR($A800="",$C800=""),"",IFERROR(INDEX(Insumos!$M$2:$S$151,MATCH($C800,Insumos!$A$2:$A$151,0),WEEKDAY($A800,2)),""))</f>
        <v/>
      </c>
      <c r="I800" s="19">
        <f>IF(OR($G800="",$H800=""),"",MAX(0,$H800-$G800))</f>
        <v/>
      </c>
      <c r="J800" s="21">
        <f>IF($I800="","",IF($I800=0,"OK",IF($G800&lt;=0,"Sin stock: pedir ya","Pedir o producir")))</f>
        <v/>
      </c>
      <c r="K800" s="17" t="n"/>
      <c r="L800" s="17" t="n"/>
      <c r="M800" s="21">
        <f>IF(OR($A800="",$A800&lt;&gt;'Lista para pedir'!$C$3,N($I800)&lt;=0),"",COUNTIFS($A$2:$A800,$A800,$I$2:$I800,"&gt;0"))</f>
        <v/>
      </c>
    </row>
    <row r="801">
      <c r="A801" s="20" t="n"/>
      <c r="B801" s="21">
        <f>IF($A801="","",CHOOSE(WEEKDAY($A801,2),"Lunes","Martes","Miércoles","Jueves","Viernes","Sábado","Domingo"))</f>
        <v/>
      </c>
      <c r="C801" s="17" t="n"/>
      <c r="D801" s="21">
        <f>IF($C801="","",IFERROR(INDEX(Insumos!$B$2:$B$151,MATCH($C801,Insumos!$A$2:$A$151,0)),"Código no cargado"))</f>
        <v/>
      </c>
      <c r="E801" s="21">
        <f>IF($C801="","",IFERROR(INDEX(Insumos!$C$2:$C$151,MATCH($C801,Insumos!$A$2:$A$151,0)),""))</f>
        <v/>
      </c>
      <c r="F801" s="21">
        <f>IF($C801="","",IFERROR(INDEX(Insumos!$D$2:$D$151,MATCH($C801,Insumos!$A$2:$A$151,0)),""))</f>
        <v/>
      </c>
      <c r="G801" s="18" t="n"/>
      <c r="H801" s="19">
        <f>IF(OR($A801="",$C801=""),"",IFERROR(INDEX(Insumos!$M$2:$S$151,MATCH($C801,Insumos!$A$2:$A$151,0),WEEKDAY($A801,2)),""))</f>
        <v/>
      </c>
      <c r="I801" s="19">
        <f>IF(OR($G801="",$H801=""),"",MAX(0,$H801-$G801))</f>
        <v/>
      </c>
      <c r="J801" s="21">
        <f>IF($I801="","",IF($I801=0,"OK",IF($G801&lt;=0,"Sin stock: pedir ya","Pedir o producir")))</f>
        <v/>
      </c>
      <c r="K801" s="17" t="n"/>
      <c r="L801" s="17" t="n"/>
      <c r="M801" s="21">
        <f>IF(OR($A801="",$A801&lt;&gt;'Lista para pedir'!$C$3,N($I801)&lt;=0),"",COUNTIFS($A$2:$A801,$A801,$I$2:$I801,"&gt;0"))</f>
        <v/>
      </c>
    </row>
    <row r="802">
      <c r="A802" s="20" t="n"/>
      <c r="B802" s="21">
        <f>IF($A802="","",CHOOSE(WEEKDAY($A802,2),"Lunes","Martes","Miércoles","Jueves","Viernes","Sábado","Domingo"))</f>
        <v/>
      </c>
      <c r="C802" s="17" t="n"/>
      <c r="D802" s="21">
        <f>IF($C802="","",IFERROR(INDEX(Insumos!$B$2:$B$151,MATCH($C802,Insumos!$A$2:$A$151,0)),"Código no cargado"))</f>
        <v/>
      </c>
      <c r="E802" s="21">
        <f>IF($C802="","",IFERROR(INDEX(Insumos!$C$2:$C$151,MATCH($C802,Insumos!$A$2:$A$151,0)),""))</f>
        <v/>
      </c>
      <c r="F802" s="21">
        <f>IF($C802="","",IFERROR(INDEX(Insumos!$D$2:$D$151,MATCH($C802,Insumos!$A$2:$A$151,0)),""))</f>
        <v/>
      </c>
      <c r="G802" s="18" t="n"/>
      <c r="H802" s="19">
        <f>IF(OR($A802="",$C802=""),"",IFERROR(INDEX(Insumos!$M$2:$S$151,MATCH($C802,Insumos!$A$2:$A$151,0),WEEKDAY($A802,2)),""))</f>
        <v/>
      </c>
      <c r="I802" s="19">
        <f>IF(OR($G802="",$H802=""),"",MAX(0,$H802-$G802))</f>
        <v/>
      </c>
      <c r="J802" s="21">
        <f>IF($I802="","",IF($I802=0,"OK",IF($G802&lt;=0,"Sin stock: pedir ya","Pedir o producir")))</f>
        <v/>
      </c>
      <c r="K802" s="17" t="n"/>
      <c r="L802" s="17" t="n"/>
      <c r="M802" s="21">
        <f>IF(OR($A802="",$A802&lt;&gt;'Lista para pedir'!$C$3,N($I802)&lt;=0),"",COUNTIFS($A$2:$A802,$A802,$I$2:$I802,"&gt;0"))</f>
        <v/>
      </c>
    </row>
    <row r="803">
      <c r="A803" s="20" t="n"/>
      <c r="B803" s="21">
        <f>IF($A803="","",CHOOSE(WEEKDAY($A803,2),"Lunes","Martes","Miércoles","Jueves","Viernes","Sábado","Domingo"))</f>
        <v/>
      </c>
      <c r="C803" s="17" t="n"/>
      <c r="D803" s="21">
        <f>IF($C803="","",IFERROR(INDEX(Insumos!$B$2:$B$151,MATCH($C803,Insumos!$A$2:$A$151,0)),"Código no cargado"))</f>
        <v/>
      </c>
      <c r="E803" s="21">
        <f>IF($C803="","",IFERROR(INDEX(Insumos!$C$2:$C$151,MATCH($C803,Insumos!$A$2:$A$151,0)),""))</f>
        <v/>
      </c>
      <c r="F803" s="21">
        <f>IF($C803="","",IFERROR(INDEX(Insumos!$D$2:$D$151,MATCH($C803,Insumos!$A$2:$A$151,0)),""))</f>
        <v/>
      </c>
      <c r="G803" s="18" t="n"/>
      <c r="H803" s="19">
        <f>IF(OR($A803="",$C803=""),"",IFERROR(INDEX(Insumos!$M$2:$S$151,MATCH($C803,Insumos!$A$2:$A$151,0),WEEKDAY($A803,2)),""))</f>
        <v/>
      </c>
      <c r="I803" s="19">
        <f>IF(OR($G803="",$H803=""),"",MAX(0,$H803-$G803))</f>
        <v/>
      </c>
      <c r="J803" s="21">
        <f>IF($I803="","",IF($I803=0,"OK",IF($G803&lt;=0,"Sin stock: pedir ya","Pedir o producir")))</f>
        <v/>
      </c>
      <c r="K803" s="17" t="n"/>
      <c r="L803" s="17" t="n"/>
      <c r="M803" s="21">
        <f>IF(OR($A803="",$A803&lt;&gt;'Lista para pedir'!$C$3,N($I803)&lt;=0),"",COUNTIFS($A$2:$A803,$A803,$I$2:$I803,"&gt;0"))</f>
        <v/>
      </c>
    </row>
    <row r="804">
      <c r="A804" s="20" t="n"/>
      <c r="B804" s="21">
        <f>IF($A804="","",CHOOSE(WEEKDAY($A804,2),"Lunes","Martes","Miércoles","Jueves","Viernes","Sábado","Domingo"))</f>
        <v/>
      </c>
      <c r="C804" s="17" t="n"/>
      <c r="D804" s="21">
        <f>IF($C804="","",IFERROR(INDEX(Insumos!$B$2:$B$151,MATCH($C804,Insumos!$A$2:$A$151,0)),"Código no cargado"))</f>
        <v/>
      </c>
      <c r="E804" s="21">
        <f>IF($C804="","",IFERROR(INDEX(Insumos!$C$2:$C$151,MATCH($C804,Insumos!$A$2:$A$151,0)),""))</f>
        <v/>
      </c>
      <c r="F804" s="21">
        <f>IF($C804="","",IFERROR(INDEX(Insumos!$D$2:$D$151,MATCH($C804,Insumos!$A$2:$A$151,0)),""))</f>
        <v/>
      </c>
      <c r="G804" s="18" t="n"/>
      <c r="H804" s="19">
        <f>IF(OR($A804="",$C804=""),"",IFERROR(INDEX(Insumos!$M$2:$S$151,MATCH($C804,Insumos!$A$2:$A$151,0),WEEKDAY($A804,2)),""))</f>
        <v/>
      </c>
      <c r="I804" s="19">
        <f>IF(OR($G804="",$H804=""),"",MAX(0,$H804-$G804))</f>
        <v/>
      </c>
      <c r="J804" s="21">
        <f>IF($I804="","",IF($I804=0,"OK",IF($G804&lt;=0,"Sin stock: pedir ya","Pedir o producir")))</f>
        <v/>
      </c>
      <c r="K804" s="17" t="n"/>
      <c r="L804" s="17" t="n"/>
      <c r="M804" s="21">
        <f>IF(OR($A804="",$A804&lt;&gt;'Lista para pedir'!$C$3,N($I804)&lt;=0),"",COUNTIFS($A$2:$A804,$A804,$I$2:$I804,"&gt;0"))</f>
        <v/>
      </c>
    </row>
    <row r="805">
      <c r="A805" s="20" t="n"/>
      <c r="B805" s="21">
        <f>IF($A805="","",CHOOSE(WEEKDAY($A805,2),"Lunes","Martes","Miércoles","Jueves","Viernes","Sábado","Domingo"))</f>
        <v/>
      </c>
      <c r="C805" s="17" t="n"/>
      <c r="D805" s="21">
        <f>IF($C805="","",IFERROR(INDEX(Insumos!$B$2:$B$151,MATCH($C805,Insumos!$A$2:$A$151,0)),"Código no cargado"))</f>
        <v/>
      </c>
      <c r="E805" s="21">
        <f>IF($C805="","",IFERROR(INDEX(Insumos!$C$2:$C$151,MATCH($C805,Insumos!$A$2:$A$151,0)),""))</f>
        <v/>
      </c>
      <c r="F805" s="21">
        <f>IF($C805="","",IFERROR(INDEX(Insumos!$D$2:$D$151,MATCH($C805,Insumos!$A$2:$A$151,0)),""))</f>
        <v/>
      </c>
      <c r="G805" s="18" t="n"/>
      <c r="H805" s="19">
        <f>IF(OR($A805="",$C805=""),"",IFERROR(INDEX(Insumos!$M$2:$S$151,MATCH($C805,Insumos!$A$2:$A$151,0),WEEKDAY($A805,2)),""))</f>
        <v/>
      </c>
      <c r="I805" s="19">
        <f>IF(OR($G805="",$H805=""),"",MAX(0,$H805-$G805))</f>
        <v/>
      </c>
      <c r="J805" s="21">
        <f>IF($I805="","",IF($I805=0,"OK",IF($G805&lt;=0,"Sin stock: pedir ya","Pedir o producir")))</f>
        <v/>
      </c>
      <c r="K805" s="17" t="n"/>
      <c r="L805" s="17" t="n"/>
      <c r="M805" s="21">
        <f>IF(OR($A805="",$A805&lt;&gt;'Lista para pedir'!$C$3,N($I805)&lt;=0),"",COUNTIFS($A$2:$A805,$A805,$I$2:$I805,"&gt;0"))</f>
        <v/>
      </c>
    </row>
    <row r="806">
      <c r="A806" s="20" t="n"/>
      <c r="B806" s="21">
        <f>IF($A806="","",CHOOSE(WEEKDAY($A806,2),"Lunes","Martes","Miércoles","Jueves","Viernes","Sábado","Domingo"))</f>
        <v/>
      </c>
      <c r="C806" s="17" t="n"/>
      <c r="D806" s="21">
        <f>IF($C806="","",IFERROR(INDEX(Insumos!$B$2:$B$151,MATCH($C806,Insumos!$A$2:$A$151,0)),"Código no cargado"))</f>
        <v/>
      </c>
      <c r="E806" s="21">
        <f>IF($C806="","",IFERROR(INDEX(Insumos!$C$2:$C$151,MATCH($C806,Insumos!$A$2:$A$151,0)),""))</f>
        <v/>
      </c>
      <c r="F806" s="21">
        <f>IF($C806="","",IFERROR(INDEX(Insumos!$D$2:$D$151,MATCH($C806,Insumos!$A$2:$A$151,0)),""))</f>
        <v/>
      </c>
      <c r="G806" s="18" t="n"/>
      <c r="H806" s="19">
        <f>IF(OR($A806="",$C806=""),"",IFERROR(INDEX(Insumos!$M$2:$S$151,MATCH($C806,Insumos!$A$2:$A$151,0),WEEKDAY($A806,2)),""))</f>
        <v/>
      </c>
      <c r="I806" s="19">
        <f>IF(OR($G806="",$H806=""),"",MAX(0,$H806-$G806))</f>
        <v/>
      </c>
      <c r="J806" s="21">
        <f>IF($I806="","",IF($I806=0,"OK",IF($G806&lt;=0,"Sin stock: pedir ya","Pedir o producir")))</f>
        <v/>
      </c>
      <c r="K806" s="17" t="n"/>
      <c r="L806" s="17" t="n"/>
      <c r="M806" s="21">
        <f>IF(OR($A806="",$A806&lt;&gt;'Lista para pedir'!$C$3,N($I806)&lt;=0),"",COUNTIFS($A$2:$A806,$A806,$I$2:$I806,"&gt;0"))</f>
        <v/>
      </c>
    </row>
    <row r="807">
      <c r="A807" s="20" t="n"/>
      <c r="B807" s="21">
        <f>IF($A807="","",CHOOSE(WEEKDAY($A807,2),"Lunes","Martes","Miércoles","Jueves","Viernes","Sábado","Domingo"))</f>
        <v/>
      </c>
      <c r="C807" s="17" t="n"/>
      <c r="D807" s="21">
        <f>IF($C807="","",IFERROR(INDEX(Insumos!$B$2:$B$151,MATCH($C807,Insumos!$A$2:$A$151,0)),"Código no cargado"))</f>
        <v/>
      </c>
      <c r="E807" s="21">
        <f>IF($C807="","",IFERROR(INDEX(Insumos!$C$2:$C$151,MATCH($C807,Insumos!$A$2:$A$151,0)),""))</f>
        <v/>
      </c>
      <c r="F807" s="21">
        <f>IF($C807="","",IFERROR(INDEX(Insumos!$D$2:$D$151,MATCH($C807,Insumos!$A$2:$A$151,0)),""))</f>
        <v/>
      </c>
      <c r="G807" s="18" t="n"/>
      <c r="H807" s="19">
        <f>IF(OR($A807="",$C807=""),"",IFERROR(INDEX(Insumos!$M$2:$S$151,MATCH($C807,Insumos!$A$2:$A$151,0),WEEKDAY($A807,2)),""))</f>
        <v/>
      </c>
      <c r="I807" s="19">
        <f>IF(OR($G807="",$H807=""),"",MAX(0,$H807-$G807))</f>
        <v/>
      </c>
      <c r="J807" s="21">
        <f>IF($I807="","",IF($I807=0,"OK",IF($G807&lt;=0,"Sin stock: pedir ya","Pedir o producir")))</f>
        <v/>
      </c>
      <c r="K807" s="17" t="n"/>
      <c r="L807" s="17" t="n"/>
      <c r="M807" s="21">
        <f>IF(OR($A807="",$A807&lt;&gt;'Lista para pedir'!$C$3,N($I807)&lt;=0),"",COUNTIFS($A$2:$A807,$A807,$I$2:$I807,"&gt;0"))</f>
        <v/>
      </c>
    </row>
    <row r="808">
      <c r="A808" s="20" t="n"/>
      <c r="B808" s="21">
        <f>IF($A808="","",CHOOSE(WEEKDAY($A808,2),"Lunes","Martes","Miércoles","Jueves","Viernes","Sábado","Domingo"))</f>
        <v/>
      </c>
      <c r="C808" s="17" t="n"/>
      <c r="D808" s="21">
        <f>IF($C808="","",IFERROR(INDEX(Insumos!$B$2:$B$151,MATCH($C808,Insumos!$A$2:$A$151,0)),"Código no cargado"))</f>
        <v/>
      </c>
      <c r="E808" s="21">
        <f>IF($C808="","",IFERROR(INDEX(Insumos!$C$2:$C$151,MATCH($C808,Insumos!$A$2:$A$151,0)),""))</f>
        <v/>
      </c>
      <c r="F808" s="21">
        <f>IF($C808="","",IFERROR(INDEX(Insumos!$D$2:$D$151,MATCH($C808,Insumos!$A$2:$A$151,0)),""))</f>
        <v/>
      </c>
      <c r="G808" s="18" t="n"/>
      <c r="H808" s="19">
        <f>IF(OR($A808="",$C808=""),"",IFERROR(INDEX(Insumos!$M$2:$S$151,MATCH($C808,Insumos!$A$2:$A$151,0),WEEKDAY($A808,2)),""))</f>
        <v/>
      </c>
      <c r="I808" s="19">
        <f>IF(OR($G808="",$H808=""),"",MAX(0,$H808-$G808))</f>
        <v/>
      </c>
      <c r="J808" s="21">
        <f>IF($I808="","",IF($I808=0,"OK",IF($G808&lt;=0,"Sin stock: pedir ya","Pedir o producir")))</f>
        <v/>
      </c>
      <c r="K808" s="17" t="n"/>
      <c r="L808" s="17" t="n"/>
      <c r="M808" s="21">
        <f>IF(OR($A808="",$A808&lt;&gt;'Lista para pedir'!$C$3,N($I808)&lt;=0),"",COUNTIFS($A$2:$A808,$A808,$I$2:$I808,"&gt;0"))</f>
        <v/>
      </c>
    </row>
    <row r="809">
      <c r="A809" s="20" t="n"/>
      <c r="B809" s="21">
        <f>IF($A809="","",CHOOSE(WEEKDAY($A809,2),"Lunes","Martes","Miércoles","Jueves","Viernes","Sábado","Domingo"))</f>
        <v/>
      </c>
      <c r="C809" s="17" t="n"/>
      <c r="D809" s="21">
        <f>IF($C809="","",IFERROR(INDEX(Insumos!$B$2:$B$151,MATCH($C809,Insumos!$A$2:$A$151,0)),"Código no cargado"))</f>
        <v/>
      </c>
      <c r="E809" s="21">
        <f>IF($C809="","",IFERROR(INDEX(Insumos!$C$2:$C$151,MATCH($C809,Insumos!$A$2:$A$151,0)),""))</f>
        <v/>
      </c>
      <c r="F809" s="21">
        <f>IF($C809="","",IFERROR(INDEX(Insumos!$D$2:$D$151,MATCH($C809,Insumos!$A$2:$A$151,0)),""))</f>
        <v/>
      </c>
      <c r="G809" s="18" t="n"/>
      <c r="H809" s="19">
        <f>IF(OR($A809="",$C809=""),"",IFERROR(INDEX(Insumos!$M$2:$S$151,MATCH($C809,Insumos!$A$2:$A$151,0),WEEKDAY($A809,2)),""))</f>
        <v/>
      </c>
      <c r="I809" s="19">
        <f>IF(OR($G809="",$H809=""),"",MAX(0,$H809-$G809))</f>
        <v/>
      </c>
      <c r="J809" s="21">
        <f>IF($I809="","",IF($I809=0,"OK",IF($G809&lt;=0,"Sin stock: pedir ya","Pedir o producir")))</f>
        <v/>
      </c>
      <c r="K809" s="17" t="n"/>
      <c r="L809" s="17" t="n"/>
      <c r="M809" s="21">
        <f>IF(OR($A809="",$A809&lt;&gt;'Lista para pedir'!$C$3,N($I809)&lt;=0),"",COUNTIFS($A$2:$A809,$A809,$I$2:$I809,"&gt;0"))</f>
        <v/>
      </c>
    </row>
    <row r="810">
      <c r="A810" s="20" t="n"/>
      <c r="B810" s="21">
        <f>IF($A810="","",CHOOSE(WEEKDAY($A810,2),"Lunes","Martes","Miércoles","Jueves","Viernes","Sábado","Domingo"))</f>
        <v/>
      </c>
      <c r="C810" s="17" t="n"/>
      <c r="D810" s="21">
        <f>IF($C810="","",IFERROR(INDEX(Insumos!$B$2:$B$151,MATCH($C810,Insumos!$A$2:$A$151,0)),"Código no cargado"))</f>
        <v/>
      </c>
      <c r="E810" s="21">
        <f>IF($C810="","",IFERROR(INDEX(Insumos!$C$2:$C$151,MATCH($C810,Insumos!$A$2:$A$151,0)),""))</f>
        <v/>
      </c>
      <c r="F810" s="21">
        <f>IF($C810="","",IFERROR(INDEX(Insumos!$D$2:$D$151,MATCH($C810,Insumos!$A$2:$A$151,0)),""))</f>
        <v/>
      </c>
      <c r="G810" s="18" t="n"/>
      <c r="H810" s="19">
        <f>IF(OR($A810="",$C810=""),"",IFERROR(INDEX(Insumos!$M$2:$S$151,MATCH($C810,Insumos!$A$2:$A$151,0),WEEKDAY($A810,2)),""))</f>
        <v/>
      </c>
      <c r="I810" s="19">
        <f>IF(OR($G810="",$H810=""),"",MAX(0,$H810-$G810))</f>
        <v/>
      </c>
      <c r="J810" s="21">
        <f>IF($I810="","",IF($I810=0,"OK",IF($G810&lt;=0,"Sin stock: pedir ya","Pedir o producir")))</f>
        <v/>
      </c>
      <c r="K810" s="17" t="n"/>
      <c r="L810" s="17" t="n"/>
      <c r="M810" s="21">
        <f>IF(OR($A810="",$A810&lt;&gt;'Lista para pedir'!$C$3,N($I810)&lt;=0),"",COUNTIFS($A$2:$A810,$A810,$I$2:$I810,"&gt;0"))</f>
        <v/>
      </c>
    </row>
    <row r="811">
      <c r="A811" s="20" t="n"/>
      <c r="B811" s="21">
        <f>IF($A811="","",CHOOSE(WEEKDAY($A811,2),"Lunes","Martes","Miércoles","Jueves","Viernes","Sábado","Domingo"))</f>
        <v/>
      </c>
      <c r="C811" s="17" t="n"/>
      <c r="D811" s="21">
        <f>IF($C811="","",IFERROR(INDEX(Insumos!$B$2:$B$151,MATCH($C811,Insumos!$A$2:$A$151,0)),"Código no cargado"))</f>
        <v/>
      </c>
      <c r="E811" s="21">
        <f>IF($C811="","",IFERROR(INDEX(Insumos!$C$2:$C$151,MATCH($C811,Insumos!$A$2:$A$151,0)),""))</f>
        <v/>
      </c>
      <c r="F811" s="21">
        <f>IF($C811="","",IFERROR(INDEX(Insumos!$D$2:$D$151,MATCH($C811,Insumos!$A$2:$A$151,0)),""))</f>
        <v/>
      </c>
      <c r="G811" s="18" t="n"/>
      <c r="H811" s="19">
        <f>IF(OR($A811="",$C811=""),"",IFERROR(INDEX(Insumos!$M$2:$S$151,MATCH($C811,Insumos!$A$2:$A$151,0),WEEKDAY($A811,2)),""))</f>
        <v/>
      </c>
      <c r="I811" s="19">
        <f>IF(OR($G811="",$H811=""),"",MAX(0,$H811-$G811))</f>
        <v/>
      </c>
      <c r="J811" s="21">
        <f>IF($I811="","",IF($I811=0,"OK",IF($G811&lt;=0,"Sin stock: pedir ya","Pedir o producir")))</f>
        <v/>
      </c>
      <c r="K811" s="17" t="n"/>
      <c r="L811" s="17" t="n"/>
      <c r="M811" s="21">
        <f>IF(OR($A811="",$A811&lt;&gt;'Lista para pedir'!$C$3,N($I811)&lt;=0),"",COUNTIFS($A$2:$A811,$A811,$I$2:$I811,"&gt;0"))</f>
        <v/>
      </c>
    </row>
    <row r="812">
      <c r="A812" s="20" t="n"/>
      <c r="B812" s="21">
        <f>IF($A812="","",CHOOSE(WEEKDAY($A812,2),"Lunes","Martes","Miércoles","Jueves","Viernes","Sábado","Domingo"))</f>
        <v/>
      </c>
      <c r="C812" s="17" t="n"/>
      <c r="D812" s="21">
        <f>IF($C812="","",IFERROR(INDEX(Insumos!$B$2:$B$151,MATCH($C812,Insumos!$A$2:$A$151,0)),"Código no cargado"))</f>
        <v/>
      </c>
      <c r="E812" s="21">
        <f>IF($C812="","",IFERROR(INDEX(Insumos!$C$2:$C$151,MATCH($C812,Insumos!$A$2:$A$151,0)),""))</f>
        <v/>
      </c>
      <c r="F812" s="21">
        <f>IF($C812="","",IFERROR(INDEX(Insumos!$D$2:$D$151,MATCH($C812,Insumos!$A$2:$A$151,0)),""))</f>
        <v/>
      </c>
      <c r="G812" s="18" t="n"/>
      <c r="H812" s="19">
        <f>IF(OR($A812="",$C812=""),"",IFERROR(INDEX(Insumos!$M$2:$S$151,MATCH($C812,Insumos!$A$2:$A$151,0),WEEKDAY($A812,2)),""))</f>
        <v/>
      </c>
      <c r="I812" s="19">
        <f>IF(OR($G812="",$H812=""),"",MAX(0,$H812-$G812))</f>
        <v/>
      </c>
      <c r="J812" s="21">
        <f>IF($I812="","",IF($I812=0,"OK",IF($G812&lt;=0,"Sin stock: pedir ya","Pedir o producir")))</f>
        <v/>
      </c>
      <c r="K812" s="17" t="n"/>
      <c r="L812" s="17" t="n"/>
      <c r="M812" s="21">
        <f>IF(OR($A812="",$A812&lt;&gt;'Lista para pedir'!$C$3,N($I812)&lt;=0),"",COUNTIFS($A$2:$A812,$A812,$I$2:$I812,"&gt;0"))</f>
        <v/>
      </c>
    </row>
    <row r="813">
      <c r="A813" s="20" t="n"/>
      <c r="B813" s="21">
        <f>IF($A813="","",CHOOSE(WEEKDAY($A813,2),"Lunes","Martes","Miércoles","Jueves","Viernes","Sábado","Domingo"))</f>
        <v/>
      </c>
      <c r="C813" s="17" t="n"/>
      <c r="D813" s="21">
        <f>IF($C813="","",IFERROR(INDEX(Insumos!$B$2:$B$151,MATCH($C813,Insumos!$A$2:$A$151,0)),"Código no cargado"))</f>
        <v/>
      </c>
      <c r="E813" s="21">
        <f>IF($C813="","",IFERROR(INDEX(Insumos!$C$2:$C$151,MATCH($C813,Insumos!$A$2:$A$151,0)),""))</f>
        <v/>
      </c>
      <c r="F813" s="21">
        <f>IF($C813="","",IFERROR(INDEX(Insumos!$D$2:$D$151,MATCH($C813,Insumos!$A$2:$A$151,0)),""))</f>
        <v/>
      </c>
      <c r="G813" s="18" t="n"/>
      <c r="H813" s="19">
        <f>IF(OR($A813="",$C813=""),"",IFERROR(INDEX(Insumos!$M$2:$S$151,MATCH($C813,Insumos!$A$2:$A$151,0),WEEKDAY($A813,2)),""))</f>
        <v/>
      </c>
      <c r="I813" s="19">
        <f>IF(OR($G813="",$H813=""),"",MAX(0,$H813-$G813))</f>
        <v/>
      </c>
      <c r="J813" s="21">
        <f>IF($I813="","",IF($I813=0,"OK",IF($G813&lt;=0,"Sin stock: pedir ya","Pedir o producir")))</f>
        <v/>
      </c>
      <c r="K813" s="17" t="n"/>
      <c r="L813" s="17" t="n"/>
      <c r="M813" s="21">
        <f>IF(OR($A813="",$A813&lt;&gt;'Lista para pedir'!$C$3,N($I813)&lt;=0),"",COUNTIFS($A$2:$A813,$A813,$I$2:$I813,"&gt;0"))</f>
        <v/>
      </c>
    </row>
    <row r="814">
      <c r="A814" s="20" t="n"/>
      <c r="B814" s="21">
        <f>IF($A814="","",CHOOSE(WEEKDAY($A814,2),"Lunes","Martes","Miércoles","Jueves","Viernes","Sábado","Domingo"))</f>
        <v/>
      </c>
      <c r="C814" s="17" t="n"/>
      <c r="D814" s="21">
        <f>IF($C814="","",IFERROR(INDEX(Insumos!$B$2:$B$151,MATCH($C814,Insumos!$A$2:$A$151,0)),"Código no cargado"))</f>
        <v/>
      </c>
      <c r="E814" s="21">
        <f>IF($C814="","",IFERROR(INDEX(Insumos!$C$2:$C$151,MATCH($C814,Insumos!$A$2:$A$151,0)),""))</f>
        <v/>
      </c>
      <c r="F814" s="21">
        <f>IF($C814="","",IFERROR(INDEX(Insumos!$D$2:$D$151,MATCH($C814,Insumos!$A$2:$A$151,0)),""))</f>
        <v/>
      </c>
      <c r="G814" s="18" t="n"/>
      <c r="H814" s="19">
        <f>IF(OR($A814="",$C814=""),"",IFERROR(INDEX(Insumos!$M$2:$S$151,MATCH($C814,Insumos!$A$2:$A$151,0),WEEKDAY($A814,2)),""))</f>
        <v/>
      </c>
      <c r="I814" s="19">
        <f>IF(OR($G814="",$H814=""),"",MAX(0,$H814-$G814))</f>
        <v/>
      </c>
      <c r="J814" s="21">
        <f>IF($I814="","",IF($I814=0,"OK",IF($G814&lt;=0,"Sin stock: pedir ya","Pedir o producir")))</f>
        <v/>
      </c>
      <c r="K814" s="17" t="n"/>
      <c r="L814" s="17" t="n"/>
      <c r="M814" s="21">
        <f>IF(OR($A814="",$A814&lt;&gt;'Lista para pedir'!$C$3,N($I814)&lt;=0),"",COUNTIFS($A$2:$A814,$A814,$I$2:$I814,"&gt;0"))</f>
        <v/>
      </c>
    </row>
    <row r="815">
      <c r="A815" s="20" t="n"/>
      <c r="B815" s="21">
        <f>IF($A815="","",CHOOSE(WEEKDAY($A815,2),"Lunes","Martes","Miércoles","Jueves","Viernes","Sábado","Domingo"))</f>
        <v/>
      </c>
      <c r="C815" s="17" t="n"/>
      <c r="D815" s="21">
        <f>IF($C815="","",IFERROR(INDEX(Insumos!$B$2:$B$151,MATCH($C815,Insumos!$A$2:$A$151,0)),"Código no cargado"))</f>
        <v/>
      </c>
      <c r="E815" s="21">
        <f>IF($C815="","",IFERROR(INDEX(Insumos!$C$2:$C$151,MATCH($C815,Insumos!$A$2:$A$151,0)),""))</f>
        <v/>
      </c>
      <c r="F815" s="21">
        <f>IF($C815="","",IFERROR(INDEX(Insumos!$D$2:$D$151,MATCH($C815,Insumos!$A$2:$A$151,0)),""))</f>
        <v/>
      </c>
      <c r="G815" s="18" t="n"/>
      <c r="H815" s="19">
        <f>IF(OR($A815="",$C815=""),"",IFERROR(INDEX(Insumos!$M$2:$S$151,MATCH($C815,Insumos!$A$2:$A$151,0),WEEKDAY($A815,2)),""))</f>
        <v/>
      </c>
      <c r="I815" s="19">
        <f>IF(OR($G815="",$H815=""),"",MAX(0,$H815-$G815))</f>
        <v/>
      </c>
      <c r="J815" s="21">
        <f>IF($I815="","",IF($I815=0,"OK",IF($G815&lt;=0,"Sin stock: pedir ya","Pedir o producir")))</f>
        <v/>
      </c>
      <c r="K815" s="17" t="n"/>
      <c r="L815" s="17" t="n"/>
      <c r="M815" s="21">
        <f>IF(OR($A815="",$A815&lt;&gt;'Lista para pedir'!$C$3,N($I815)&lt;=0),"",COUNTIFS($A$2:$A815,$A815,$I$2:$I815,"&gt;0"))</f>
        <v/>
      </c>
    </row>
    <row r="816">
      <c r="A816" s="20" t="n"/>
      <c r="B816" s="21">
        <f>IF($A816="","",CHOOSE(WEEKDAY($A816,2),"Lunes","Martes","Miércoles","Jueves","Viernes","Sábado","Domingo"))</f>
        <v/>
      </c>
      <c r="C816" s="17" t="n"/>
      <c r="D816" s="21">
        <f>IF($C816="","",IFERROR(INDEX(Insumos!$B$2:$B$151,MATCH($C816,Insumos!$A$2:$A$151,0)),"Código no cargado"))</f>
        <v/>
      </c>
      <c r="E816" s="21">
        <f>IF($C816="","",IFERROR(INDEX(Insumos!$C$2:$C$151,MATCH($C816,Insumos!$A$2:$A$151,0)),""))</f>
        <v/>
      </c>
      <c r="F816" s="21">
        <f>IF($C816="","",IFERROR(INDEX(Insumos!$D$2:$D$151,MATCH($C816,Insumos!$A$2:$A$151,0)),""))</f>
        <v/>
      </c>
      <c r="G816" s="18" t="n"/>
      <c r="H816" s="19">
        <f>IF(OR($A816="",$C816=""),"",IFERROR(INDEX(Insumos!$M$2:$S$151,MATCH($C816,Insumos!$A$2:$A$151,0),WEEKDAY($A816,2)),""))</f>
        <v/>
      </c>
      <c r="I816" s="19">
        <f>IF(OR($G816="",$H816=""),"",MAX(0,$H816-$G816))</f>
        <v/>
      </c>
      <c r="J816" s="21">
        <f>IF($I816="","",IF($I816=0,"OK",IF($G816&lt;=0,"Sin stock: pedir ya","Pedir o producir")))</f>
        <v/>
      </c>
      <c r="K816" s="17" t="n"/>
      <c r="L816" s="17" t="n"/>
      <c r="M816" s="21">
        <f>IF(OR($A816="",$A816&lt;&gt;'Lista para pedir'!$C$3,N($I816)&lt;=0),"",COUNTIFS($A$2:$A816,$A816,$I$2:$I816,"&gt;0"))</f>
        <v/>
      </c>
    </row>
    <row r="817">
      <c r="A817" s="20" t="n"/>
      <c r="B817" s="21">
        <f>IF($A817="","",CHOOSE(WEEKDAY($A817,2),"Lunes","Martes","Miércoles","Jueves","Viernes","Sábado","Domingo"))</f>
        <v/>
      </c>
      <c r="C817" s="17" t="n"/>
      <c r="D817" s="21">
        <f>IF($C817="","",IFERROR(INDEX(Insumos!$B$2:$B$151,MATCH($C817,Insumos!$A$2:$A$151,0)),"Código no cargado"))</f>
        <v/>
      </c>
      <c r="E817" s="21">
        <f>IF($C817="","",IFERROR(INDEX(Insumos!$C$2:$C$151,MATCH($C817,Insumos!$A$2:$A$151,0)),""))</f>
        <v/>
      </c>
      <c r="F817" s="21">
        <f>IF($C817="","",IFERROR(INDEX(Insumos!$D$2:$D$151,MATCH($C817,Insumos!$A$2:$A$151,0)),""))</f>
        <v/>
      </c>
      <c r="G817" s="18" t="n"/>
      <c r="H817" s="19">
        <f>IF(OR($A817="",$C817=""),"",IFERROR(INDEX(Insumos!$M$2:$S$151,MATCH($C817,Insumos!$A$2:$A$151,0),WEEKDAY($A817,2)),""))</f>
        <v/>
      </c>
      <c r="I817" s="19">
        <f>IF(OR($G817="",$H817=""),"",MAX(0,$H817-$G817))</f>
        <v/>
      </c>
      <c r="J817" s="21">
        <f>IF($I817="","",IF($I817=0,"OK",IF($G817&lt;=0,"Sin stock: pedir ya","Pedir o producir")))</f>
        <v/>
      </c>
      <c r="K817" s="17" t="n"/>
      <c r="L817" s="17" t="n"/>
      <c r="M817" s="21">
        <f>IF(OR($A817="",$A817&lt;&gt;'Lista para pedir'!$C$3,N($I817)&lt;=0),"",COUNTIFS($A$2:$A817,$A817,$I$2:$I817,"&gt;0"))</f>
        <v/>
      </c>
    </row>
    <row r="818">
      <c r="A818" s="20" t="n"/>
      <c r="B818" s="21">
        <f>IF($A818="","",CHOOSE(WEEKDAY($A818,2),"Lunes","Martes","Miércoles","Jueves","Viernes","Sábado","Domingo"))</f>
        <v/>
      </c>
      <c r="C818" s="17" t="n"/>
      <c r="D818" s="21">
        <f>IF($C818="","",IFERROR(INDEX(Insumos!$B$2:$B$151,MATCH($C818,Insumos!$A$2:$A$151,0)),"Código no cargado"))</f>
        <v/>
      </c>
      <c r="E818" s="21">
        <f>IF($C818="","",IFERROR(INDEX(Insumos!$C$2:$C$151,MATCH($C818,Insumos!$A$2:$A$151,0)),""))</f>
        <v/>
      </c>
      <c r="F818" s="21">
        <f>IF($C818="","",IFERROR(INDEX(Insumos!$D$2:$D$151,MATCH($C818,Insumos!$A$2:$A$151,0)),""))</f>
        <v/>
      </c>
      <c r="G818" s="18" t="n"/>
      <c r="H818" s="19">
        <f>IF(OR($A818="",$C818=""),"",IFERROR(INDEX(Insumos!$M$2:$S$151,MATCH($C818,Insumos!$A$2:$A$151,0),WEEKDAY($A818,2)),""))</f>
        <v/>
      </c>
      <c r="I818" s="19">
        <f>IF(OR($G818="",$H818=""),"",MAX(0,$H818-$G818))</f>
        <v/>
      </c>
      <c r="J818" s="21">
        <f>IF($I818="","",IF($I818=0,"OK",IF($G818&lt;=0,"Sin stock: pedir ya","Pedir o producir")))</f>
        <v/>
      </c>
      <c r="K818" s="17" t="n"/>
      <c r="L818" s="17" t="n"/>
      <c r="M818" s="21">
        <f>IF(OR($A818="",$A818&lt;&gt;'Lista para pedir'!$C$3,N($I818)&lt;=0),"",COUNTIFS($A$2:$A818,$A818,$I$2:$I818,"&gt;0"))</f>
        <v/>
      </c>
    </row>
    <row r="819">
      <c r="A819" s="20" t="n"/>
      <c r="B819" s="21">
        <f>IF($A819="","",CHOOSE(WEEKDAY($A819,2),"Lunes","Martes","Miércoles","Jueves","Viernes","Sábado","Domingo"))</f>
        <v/>
      </c>
      <c r="C819" s="17" t="n"/>
      <c r="D819" s="21">
        <f>IF($C819="","",IFERROR(INDEX(Insumos!$B$2:$B$151,MATCH($C819,Insumos!$A$2:$A$151,0)),"Código no cargado"))</f>
        <v/>
      </c>
      <c r="E819" s="21">
        <f>IF($C819="","",IFERROR(INDEX(Insumos!$C$2:$C$151,MATCH($C819,Insumos!$A$2:$A$151,0)),""))</f>
        <v/>
      </c>
      <c r="F819" s="21">
        <f>IF($C819="","",IFERROR(INDEX(Insumos!$D$2:$D$151,MATCH($C819,Insumos!$A$2:$A$151,0)),""))</f>
        <v/>
      </c>
      <c r="G819" s="18" t="n"/>
      <c r="H819" s="19">
        <f>IF(OR($A819="",$C819=""),"",IFERROR(INDEX(Insumos!$M$2:$S$151,MATCH($C819,Insumos!$A$2:$A$151,0),WEEKDAY($A819,2)),""))</f>
        <v/>
      </c>
      <c r="I819" s="19">
        <f>IF(OR($G819="",$H819=""),"",MAX(0,$H819-$G819))</f>
        <v/>
      </c>
      <c r="J819" s="21">
        <f>IF($I819="","",IF($I819=0,"OK",IF($G819&lt;=0,"Sin stock: pedir ya","Pedir o producir")))</f>
        <v/>
      </c>
      <c r="K819" s="17" t="n"/>
      <c r="L819" s="17" t="n"/>
      <c r="M819" s="21">
        <f>IF(OR($A819="",$A819&lt;&gt;'Lista para pedir'!$C$3,N($I819)&lt;=0),"",COUNTIFS($A$2:$A819,$A819,$I$2:$I819,"&gt;0"))</f>
        <v/>
      </c>
    </row>
    <row r="820">
      <c r="A820" s="20" t="n"/>
      <c r="B820" s="21">
        <f>IF($A820="","",CHOOSE(WEEKDAY($A820,2),"Lunes","Martes","Miércoles","Jueves","Viernes","Sábado","Domingo"))</f>
        <v/>
      </c>
      <c r="C820" s="17" t="n"/>
      <c r="D820" s="21">
        <f>IF($C820="","",IFERROR(INDEX(Insumos!$B$2:$B$151,MATCH($C820,Insumos!$A$2:$A$151,0)),"Código no cargado"))</f>
        <v/>
      </c>
      <c r="E820" s="21">
        <f>IF($C820="","",IFERROR(INDEX(Insumos!$C$2:$C$151,MATCH($C820,Insumos!$A$2:$A$151,0)),""))</f>
        <v/>
      </c>
      <c r="F820" s="21">
        <f>IF($C820="","",IFERROR(INDEX(Insumos!$D$2:$D$151,MATCH($C820,Insumos!$A$2:$A$151,0)),""))</f>
        <v/>
      </c>
      <c r="G820" s="18" t="n"/>
      <c r="H820" s="19">
        <f>IF(OR($A820="",$C820=""),"",IFERROR(INDEX(Insumos!$M$2:$S$151,MATCH($C820,Insumos!$A$2:$A$151,0),WEEKDAY($A820,2)),""))</f>
        <v/>
      </c>
      <c r="I820" s="19">
        <f>IF(OR($G820="",$H820=""),"",MAX(0,$H820-$G820))</f>
        <v/>
      </c>
      <c r="J820" s="21">
        <f>IF($I820="","",IF($I820=0,"OK",IF($G820&lt;=0,"Sin stock: pedir ya","Pedir o producir")))</f>
        <v/>
      </c>
      <c r="K820" s="17" t="n"/>
      <c r="L820" s="17" t="n"/>
      <c r="M820" s="21">
        <f>IF(OR($A820="",$A820&lt;&gt;'Lista para pedir'!$C$3,N($I820)&lt;=0),"",COUNTIFS($A$2:$A820,$A820,$I$2:$I820,"&gt;0"))</f>
        <v/>
      </c>
    </row>
    <row r="821">
      <c r="A821" s="20" t="n"/>
      <c r="B821" s="21">
        <f>IF($A821="","",CHOOSE(WEEKDAY($A821,2),"Lunes","Martes","Miércoles","Jueves","Viernes","Sábado","Domingo"))</f>
        <v/>
      </c>
      <c r="C821" s="17" t="n"/>
      <c r="D821" s="21">
        <f>IF($C821="","",IFERROR(INDEX(Insumos!$B$2:$B$151,MATCH($C821,Insumos!$A$2:$A$151,0)),"Código no cargado"))</f>
        <v/>
      </c>
      <c r="E821" s="21">
        <f>IF($C821="","",IFERROR(INDEX(Insumos!$C$2:$C$151,MATCH($C821,Insumos!$A$2:$A$151,0)),""))</f>
        <v/>
      </c>
      <c r="F821" s="21">
        <f>IF($C821="","",IFERROR(INDEX(Insumos!$D$2:$D$151,MATCH($C821,Insumos!$A$2:$A$151,0)),""))</f>
        <v/>
      </c>
      <c r="G821" s="18" t="n"/>
      <c r="H821" s="19">
        <f>IF(OR($A821="",$C821=""),"",IFERROR(INDEX(Insumos!$M$2:$S$151,MATCH($C821,Insumos!$A$2:$A$151,0),WEEKDAY($A821,2)),""))</f>
        <v/>
      </c>
      <c r="I821" s="19">
        <f>IF(OR($G821="",$H821=""),"",MAX(0,$H821-$G821))</f>
        <v/>
      </c>
      <c r="J821" s="21">
        <f>IF($I821="","",IF($I821=0,"OK",IF($G821&lt;=0,"Sin stock: pedir ya","Pedir o producir")))</f>
        <v/>
      </c>
      <c r="K821" s="17" t="n"/>
      <c r="L821" s="17" t="n"/>
      <c r="M821" s="21">
        <f>IF(OR($A821="",$A821&lt;&gt;'Lista para pedir'!$C$3,N($I821)&lt;=0),"",COUNTIFS($A$2:$A821,$A821,$I$2:$I821,"&gt;0"))</f>
        <v/>
      </c>
    </row>
    <row r="822">
      <c r="A822" s="20" t="n"/>
      <c r="B822" s="21">
        <f>IF($A822="","",CHOOSE(WEEKDAY($A822,2),"Lunes","Martes","Miércoles","Jueves","Viernes","Sábado","Domingo"))</f>
        <v/>
      </c>
      <c r="C822" s="17" t="n"/>
      <c r="D822" s="21">
        <f>IF($C822="","",IFERROR(INDEX(Insumos!$B$2:$B$151,MATCH($C822,Insumos!$A$2:$A$151,0)),"Código no cargado"))</f>
        <v/>
      </c>
      <c r="E822" s="21">
        <f>IF($C822="","",IFERROR(INDEX(Insumos!$C$2:$C$151,MATCH($C822,Insumos!$A$2:$A$151,0)),""))</f>
        <v/>
      </c>
      <c r="F822" s="21">
        <f>IF($C822="","",IFERROR(INDEX(Insumos!$D$2:$D$151,MATCH($C822,Insumos!$A$2:$A$151,0)),""))</f>
        <v/>
      </c>
      <c r="G822" s="18" t="n"/>
      <c r="H822" s="19">
        <f>IF(OR($A822="",$C822=""),"",IFERROR(INDEX(Insumos!$M$2:$S$151,MATCH($C822,Insumos!$A$2:$A$151,0),WEEKDAY($A822,2)),""))</f>
        <v/>
      </c>
      <c r="I822" s="19">
        <f>IF(OR($G822="",$H822=""),"",MAX(0,$H822-$G822))</f>
        <v/>
      </c>
      <c r="J822" s="21">
        <f>IF($I822="","",IF($I822=0,"OK",IF($G822&lt;=0,"Sin stock: pedir ya","Pedir o producir")))</f>
        <v/>
      </c>
      <c r="K822" s="17" t="n"/>
      <c r="L822" s="17" t="n"/>
      <c r="M822" s="21">
        <f>IF(OR($A822="",$A822&lt;&gt;'Lista para pedir'!$C$3,N($I822)&lt;=0),"",COUNTIFS($A$2:$A822,$A822,$I$2:$I822,"&gt;0"))</f>
        <v/>
      </c>
    </row>
    <row r="823">
      <c r="A823" s="20" t="n"/>
      <c r="B823" s="21">
        <f>IF($A823="","",CHOOSE(WEEKDAY($A823,2),"Lunes","Martes","Miércoles","Jueves","Viernes","Sábado","Domingo"))</f>
        <v/>
      </c>
      <c r="C823" s="17" t="n"/>
      <c r="D823" s="21">
        <f>IF($C823="","",IFERROR(INDEX(Insumos!$B$2:$B$151,MATCH($C823,Insumos!$A$2:$A$151,0)),"Código no cargado"))</f>
        <v/>
      </c>
      <c r="E823" s="21">
        <f>IF($C823="","",IFERROR(INDEX(Insumos!$C$2:$C$151,MATCH($C823,Insumos!$A$2:$A$151,0)),""))</f>
        <v/>
      </c>
      <c r="F823" s="21">
        <f>IF($C823="","",IFERROR(INDEX(Insumos!$D$2:$D$151,MATCH($C823,Insumos!$A$2:$A$151,0)),""))</f>
        <v/>
      </c>
      <c r="G823" s="18" t="n"/>
      <c r="H823" s="19">
        <f>IF(OR($A823="",$C823=""),"",IFERROR(INDEX(Insumos!$M$2:$S$151,MATCH($C823,Insumos!$A$2:$A$151,0),WEEKDAY($A823,2)),""))</f>
        <v/>
      </c>
      <c r="I823" s="19">
        <f>IF(OR($G823="",$H823=""),"",MAX(0,$H823-$G823))</f>
        <v/>
      </c>
      <c r="J823" s="21">
        <f>IF($I823="","",IF($I823=0,"OK",IF($G823&lt;=0,"Sin stock: pedir ya","Pedir o producir")))</f>
        <v/>
      </c>
      <c r="K823" s="17" t="n"/>
      <c r="L823" s="17" t="n"/>
      <c r="M823" s="21">
        <f>IF(OR($A823="",$A823&lt;&gt;'Lista para pedir'!$C$3,N($I823)&lt;=0),"",COUNTIFS($A$2:$A823,$A823,$I$2:$I823,"&gt;0"))</f>
        <v/>
      </c>
    </row>
    <row r="824">
      <c r="A824" s="20" t="n"/>
      <c r="B824" s="21">
        <f>IF($A824="","",CHOOSE(WEEKDAY($A824,2),"Lunes","Martes","Miércoles","Jueves","Viernes","Sábado","Domingo"))</f>
        <v/>
      </c>
      <c r="C824" s="17" t="n"/>
      <c r="D824" s="21">
        <f>IF($C824="","",IFERROR(INDEX(Insumos!$B$2:$B$151,MATCH($C824,Insumos!$A$2:$A$151,0)),"Código no cargado"))</f>
        <v/>
      </c>
      <c r="E824" s="21">
        <f>IF($C824="","",IFERROR(INDEX(Insumos!$C$2:$C$151,MATCH($C824,Insumos!$A$2:$A$151,0)),""))</f>
        <v/>
      </c>
      <c r="F824" s="21">
        <f>IF($C824="","",IFERROR(INDEX(Insumos!$D$2:$D$151,MATCH($C824,Insumos!$A$2:$A$151,0)),""))</f>
        <v/>
      </c>
      <c r="G824" s="18" t="n"/>
      <c r="H824" s="19">
        <f>IF(OR($A824="",$C824=""),"",IFERROR(INDEX(Insumos!$M$2:$S$151,MATCH($C824,Insumos!$A$2:$A$151,0),WEEKDAY($A824,2)),""))</f>
        <v/>
      </c>
      <c r="I824" s="19">
        <f>IF(OR($G824="",$H824=""),"",MAX(0,$H824-$G824))</f>
        <v/>
      </c>
      <c r="J824" s="21">
        <f>IF($I824="","",IF($I824=0,"OK",IF($G824&lt;=0,"Sin stock: pedir ya","Pedir o producir")))</f>
        <v/>
      </c>
      <c r="K824" s="17" t="n"/>
      <c r="L824" s="17" t="n"/>
      <c r="M824" s="21">
        <f>IF(OR($A824="",$A824&lt;&gt;'Lista para pedir'!$C$3,N($I824)&lt;=0),"",COUNTIFS($A$2:$A824,$A824,$I$2:$I824,"&gt;0"))</f>
        <v/>
      </c>
    </row>
    <row r="825">
      <c r="A825" s="20" t="n"/>
      <c r="B825" s="21">
        <f>IF($A825="","",CHOOSE(WEEKDAY($A825,2),"Lunes","Martes","Miércoles","Jueves","Viernes","Sábado","Domingo"))</f>
        <v/>
      </c>
      <c r="C825" s="17" t="n"/>
      <c r="D825" s="21">
        <f>IF($C825="","",IFERROR(INDEX(Insumos!$B$2:$B$151,MATCH($C825,Insumos!$A$2:$A$151,0)),"Código no cargado"))</f>
        <v/>
      </c>
      <c r="E825" s="21">
        <f>IF($C825="","",IFERROR(INDEX(Insumos!$C$2:$C$151,MATCH($C825,Insumos!$A$2:$A$151,0)),""))</f>
        <v/>
      </c>
      <c r="F825" s="21">
        <f>IF($C825="","",IFERROR(INDEX(Insumos!$D$2:$D$151,MATCH($C825,Insumos!$A$2:$A$151,0)),""))</f>
        <v/>
      </c>
      <c r="G825" s="18" t="n"/>
      <c r="H825" s="19">
        <f>IF(OR($A825="",$C825=""),"",IFERROR(INDEX(Insumos!$M$2:$S$151,MATCH($C825,Insumos!$A$2:$A$151,0),WEEKDAY($A825,2)),""))</f>
        <v/>
      </c>
      <c r="I825" s="19">
        <f>IF(OR($G825="",$H825=""),"",MAX(0,$H825-$G825))</f>
        <v/>
      </c>
      <c r="J825" s="21">
        <f>IF($I825="","",IF($I825=0,"OK",IF($G825&lt;=0,"Sin stock: pedir ya","Pedir o producir")))</f>
        <v/>
      </c>
      <c r="K825" s="17" t="n"/>
      <c r="L825" s="17" t="n"/>
      <c r="M825" s="21">
        <f>IF(OR($A825="",$A825&lt;&gt;'Lista para pedir'!$C$3,N($I825)&lt;=0),"",COUNTIFS($A$2:$A825,$A825,$I$2:$I825,"&gt;0"))</f>
        <v/>
      </c>
    </row>
    <row r="826">
      <c r="A826" s="20" t="n"/>
      <c r="B826" s="21">
        <f>IF($A826="","",CHOOSE(WEEKDAY($A826,2),"Lunes","Martes","Miércoles","Jueves","Viernes","Sábado","Domingo"))</f>
        <v/>
      </c>
      <c r="C826" s="17" t="n"/>
      <c r="D826" s="21">
        <f>IF($C826="","",IFERROR(INDEX(Insumos!$B$2:$B$151,MATCH($C826,Insumos!$A$2:$A$151,0)),"Código no cargado"))</f>
        <v/>
      </c>
      <c r="E826" s="21">
        <f>IF($C826="","",IFERROR(INDEX(Insumos!$C$2:$C$151,MATCH($C826,Insumos!$A$2:$A$151,0)),""))</f>
        <v/>
      </c>
      <c r="F826" s="21">
        <f>IF($C826="","",IFERROR(INDEX(Insumos!$D$2:$D$151,MATCH($C826,Insumos!$A$2:$A$151,0)),""))</f>
        <v/>
      </c>
      <c r="G826" s="18" t="n"/>
      <c r="H826" s="19">
        <f>IF(OR($A826="",$C826=""),"",IFERROR(INDEX(Insumos!$M$2:$S$151,MATCH($C826,Insumos!$A$2:$A$151,0),WEEKDAY($A826,2)),""))</f>
        <v/>
      </c>
      <c r="I826" s="19">
        <f>IF(OR($G826="",$H826=""),"",MAX(0,$H826-$G826))</f>
        <v/>
      </c>
      <c r="J826" s="21">
        <f>IF($I826="","",IF($I826=0,"OK",IF($G826&lt;=0,"Sin stock: pedir ya","Pedir o producir")))</f>
        <v/>
      </c>
      <c r="K826" s="17" t="n"/>
      <c r="L826" s="17" t="n"/>
      <c r="M826" s="21">
        <f>IF(OR($A826="",$A826&lt;&gt;'Lista para pedir'!$C$3,N($I826)&lt;=0),"",COUNTIFS($A$2:$A826,$A826,$I$2:$I826,"&gt;0"))</f>
        <v/>
      </c>
    </row>
    <row r="827">
      <c r="A827" s="20" t="n"/>
      <c r="B827" s="21">
        <f>IF($A827="","",CHOOSE(WEEKDAY($A827,2),"Lunes","Martes","Miércoles","Jueves","Viernes","Sábado","Domingo"))</f>
        <v/>
      </c>
      <c r="C827" s="17" t="n"/>
      <c r="D827" s="21">
        <f>IF($C827="","",IFERROR(INDEX(Insumos!$B$2:$B$151,MATCH($C827,Insumos!$A$2:$A$151,0)),"Código no cargado"))</f>
        <v/>
      </c>
      <c r="E827" s="21">
        <f>IF($C827="","",IFERROR(INDEX(Insumos!$C$2:$C$151,MATCH($C827,Insumos!$A$2:$A$151,0)),""))</f>
        <v/>
      </c>
      <c r="F827" s="21">
        <f>IF($C827="","",IFERROR(INDEX(Insumos!$D$2:$D$151,MATCH($C827,Insumos!$A$2:$A$151,0)),""))</f>
        <v/>
      </c>
      <c r="G827" s="18" t="n"/>
      <c r="H827" s="19">
        <f>IF(OR($A827="",$C827=""),"",IFERROR(INDEX(Insumos!$M$2:$S$151,MATCH($C827,Insumos!$A$2:$A$151,0),WEEKDAY($A827,2)),""))</f>
        <v/>
      </c>
      <c r="I827" s="19">
        <f>IF(OR($G827="",$H827=""),"",MAX(0,$H827-$G827))</f>
        <v/>
      </c>
      <c r="J827" s="21">
        <f>IF($I827="","",IF($I827=0,"OK",IF($G827&lt;=0,"Sin stock: pedir ya","Pedir o producir")))</f>
        <v/>
      </c>
      <c r="K827" s="17" t="n"/>
      <c r="L827" s="17" t="n"/>
      <c r="M827" s="21">
        <f>IF(OR($A827="",$A827&lt;&gt;'Lista para pedir'!$C$3,N($I827)&lt;=0),"",COUNTIFS($A$2:$A827,$A827,$I$2:$I827,"&gt;0"))</f>
        <v/>
      </c>
    </row>
    <row r="828">
      <c r="A828" s="20" t="n"/>
      <c r="B828" s="21">
        <f>IF($A828="","",CHOOSE(WEEKDAY($A828,2),"Lunes","Martes","Miércoles","Jueves","Viernes","Sábado","Domingo"))</f>
        <v/>
      </c>
      <c r="C828" s="17" t="n"/>
      <c r="D828" s="21">
        <f>IF($C828="","",IFERROR(INDEX(Insumos!$B$2:$B$151,MATCH($C828,Insumos!$A$2:$A$151,0)),"Código no cargado"))</f>
        <v/>
      </c>
      <c r="E828" s="21">
        <f>IF($C828="","",IFERROR(INDEX(Insumos!$C$2:$C$151,MATCH($C828,Insumos!$A$2:$A$151,0)),""))</f>
        <v/>
      </c>
      <c r="F828" s="21">
        <f>IF($C828="","",IFERROR(INDEX(Insumos!$D$2:$D$151,MATCH($C828,Insumos!$A$2:$A$151,0)),""))</f>
        <v/>
      </c>
      <c r="G828" s="18" t="n"/>
      <c r="H828" s="19">
        <f>IF(OR($A828="",$C828=""),"",IFERROR(INDEX(Insumos!$M$2:$S$151,MATCH($C828,Insumos!$A$2:$A$151,0),WEEKDAY($A828,2)),""))</f>
        <v/>
      </c>
      <c r="I828" s="19">
        <f>IF(OR($G828="",$H828=""),"",MAX(0,$H828-$G828))</f>
        <v/>
      </c>
      <c r="J828" s="21">
        <f>IF($I828="","",IF($I828=0,"OK",IF($G828&lt;=0,"Sin stock: pedir ya","Pedir o producir")))</f>
        <v/>
      </c>
      <c r="K828" s="17" t="n"/>
      <c r="L828" s="17" t="n"/>
      <c r="M828" s="21">
        <f>IF(OR($A828="",$A828&lt;&gt;'Lista para pedir'!$C$3,N($I828)&lt;=0),"",COUNTIFS($A$2:$A828,$A828,$I$2:$I828,"&gt;0"))</f>
        <v/>
      </c>
    </row>
    <row r="829">
      <c r="A829" s="20" t="n"/>
      <c r="B829" s="21">
        <f>IF($A829="","",CHOOSE(WEEKDAY($A829,2),"Lunes","Martes","Miércoles","Jueves","Viernes","Sábado","Domingo"))</f>
        <v/>
      </c>
      <c r="C829" s="17" t="n"/>
      <c r="D829" s="21">
        <f>IF($C829="","",IFERROR(INDEX(Insumos!$B$2:$B$151,MATCH($C829,Insumos!$A$2:$A$151,0)),"Código no cargado"))</f>
        <v/>
      </c>
      <c r="E829" s="21">
        <f>IF($C829="","",IFERROR(INDEX(Insumos!$C$2:$C$151,MATCH($C829,Insumos!$A$2:$A$151,0)),""))</f>
        <v/>
      </c>
      <c r="F829" s="21">
        <f>IF($C829="","",IFERROR(INDEX(Insumos!$D$2:$D$151,MATCH($C829,Insumos!$A$2:$A$151,0)),""))</f>
        <v/>
      </c>
      <c r="G829" s="18" t="n"/>
      <c r="H829" s="19">
        <f>IF(OR($A829="",$C829=""),"",IFERROR(INDEX(Insumos!$M$2:$S$151,MATCH($C829,Insumos!$A$2:$A$151,0),WEEKDAY($A829,2)),""))</f>
        <v/>
      </c>
      <c r="I829" s="19">
        <f>IF(OR($G829="",$H829=""),"",MAX(0,$H829-$G829))</f>
        <v/>
      </c>
      <c r="J829" s="21">
        <f>IF($I829="","",IF($I829=0,"OK",IF($G829&lt;=0,"Sin stock: pedir ya","Pedir o producir")))</f>
        <v/>
      </c>
      <c r="K829" s="17" t="n"/>
      <c r="L829" s="17" t="n"/>
      <c r="M829" s="21">
        <f>IF(OR($A829="",$A829&lt;&gt;'Lista para pedir'!$C$3,N($I829)&lt;=0),"",COUNTIFS($A$2:$A829,$A829,$I$2:$I829,"&gt;0"))</f>
        <v/>
      </c>
    </row>
    <row r="830">
      <c r="A830" s="20" t="n"/>
      <c r="B830" s="21">
        <f>IF($A830="","",CHOOSE(WEEKDAY($A830,2),"Lunes","Martes","Miércoles","Jueves","Viernes","Sábado","Domingo"))</f>
        <v/>
      </c>
      <c r="C830" s="17" t="n"/>
      <c r="D830" s="21">
        <f>IF($C830="","",IFERROR(INDEX(Insumos!$B$2:$B$151,MATCH($C830,Insumos!$A$2:$A$151,0)),"Código no cargado"))</f>
        <v/>
      </c>
      <c r="E830" s="21">
        <f>IF($C830="","",IFERROR(INDEX(Insumos!$C$2:$C$151,MATCH($C830,Insumos!$A$2:$A$151,0)),""))</f>
        <v/>
      </c>
      <c r="F830" s="21">
        <f>IF($C830="","",IFERROR(INDEX(Insumos!$D$2:$D$151,MATCH($C830,Insumos!$A$2:$A$151,0)),""))</f>
        <v/>
      </c>
      <c r="G830" s="18" t="n"/>
      <c r="H830" s="19">
        <f>IF(OR($A830="",$C830=""),"",IFERROR(INDEX(Insumos!$M$2:$S$151,MATCH($C830,Insumos!$A$2:$A$151,0),WEEKDAY($A830,2)),""))</f>
        <v/>
      </c>
      <c r="I830" s="19">
        <f>IF(OR($G830="",$H830=""),"",MAX(0,$H830-$G830))</f>
        <v/>
      </c>
      <c r="J830" s="21">
        <f>IF($I830="","",IF($I830=0,"OK",IF($G830&lt;=0,"Sin stock: pedir ya","Pedir o producir")))</f>
        <v/>
      </c>
      <c r="K830" s="17" t="n"/>
      <c r="L830" s="17" t="n"/>
      <c r="M830" s="21">
        <f>IF(OR($A830="",$A830&lt;&gt;'Lista para pedir'!$C$3,N($I830)&lt;=0),"",COUNTIFS($A$2:$A830,$A830,$I$2:$I830,"&gt;0"))</f>
        <v/>
      </c>
    </row>
    <row r="831">
      <c r="A831" s="20" t="n"/>
      <c r="B831" s="21">
        <f>IF($A831="","",CHOOSE(WEEKDAY($A831,2),"Lunes","Martes","Miércoles","Jueves","Viernes","Sábado","Domingo"))</f>
        <v/>
      </c>
      <c r="C831" s="17" t="n"/>
      <c r="D831" s="21">
        <f>IF($C831="","",IFERROR(INDEX(Insumos!$B$2:$B$151,MATCH($C831,Insumos!$A$2:$A$151,0)),"Código no cargado"))</f>
        <v/>
      </c>
      <c r="E831" s="21">
        <f>IF($C831="","",IFERROR(INDEX(Insumos!$C$2:$C$151,MATCH($C831,Insumos!$A$2:$A$151,0)),""))</f>
        <v/>
      </c>
      <c r="F831" s="21">
        <f>IF($C831="","",IFERROR(INDEX(Insumos!$D$2:$D$151,MATCH($C831,Insumos!$A$2:$A$151,0)),""))</f>
        <v/>
      </c>
      <c r="G831" s="18" t="n"/>
      <c r="H831" s="19">
        <f>IF(OR($A831="",$C831=""),"",IFERROR(INDEX(Insumos!$M$2:$S$151,MATCH($C831,Insumos!$A$2:$A$151,0),WEEKDAY($A831,2)),""))</f>
        <v/>
      </c>
      <c r="I831" s="19">
        <f>IF(OR($G831="",$H831=""),"",MAX(0,$H831-$G831))</f>
        <v/>
      </c>
      <c r="J831" s="21">
        <f>IF($I831="","",IF($I831=0,"OK",IF($G831&lt;=0,"Sin stock: pedir ya","Pedir o producir")))</f>
        <v/>
      </c>
      <c r="K831" s="17" t="n"/>
      <c r="L831" s="17" t="n"/>
      <c r="M831" s="21">
        <f>IF(OR($A831="",$A831&lt;&gt;'Lista para pedir'!$C$3,N($I831)&lt;=0),"",COUNTIFS($A$2:$A831,$A831,$I$2:$I831,"&gt;0"))</f>
        <v/>
      </c>
    </row>
    <row r="832">
      <c r="A832" s="20" t="n"/>
      <c r="B832" s="21">
        <f>IF($A832="","",CHOOSE(WEEKDAY($A832,2),"Lunes","Martes","Miércoles","Jueves","Viernes","Sábado","Domingo"))</f>
        <v/>
      </c>
      <c r="C832" s="17" t="n"/>
      <c r="D832" s="21">
        <f>IF($C832="","",IFERROR(INDEX(Insumos!$B$2:$B$151,MATCH($C832,Insumos!$A$2:$A$151,0)),"Código no cargado"))</f>
        <v/>
      </c>
      <c r="E832" s="21">
        <f>IF($C832="","",IFERROR(INDEX(Insumos!$C$2:$C$151,MATCH($C832,Insumos!$A$2:$A$151,0)),""))</f>
        <v/>
      </c>
      <c r="F832" s="21">
        <f>IF($C832="","",IFERROR(INDEX(Insumos!$D$2:$D$151,MATCH($C832,Insumos!$A$2:$A$151,0)),""))</f>
        <v/>
      </c>
      <c r="G832" s="18" t="n"/>
      <c r="H832" s="19">
        <f>IF(OR($A832="",$C832=""),"",IFERROR(INDEX(Insumos!$M$2:$S$151,MATCH($C832,Insumos!$A$2:$A$151,0),WEEKDAY($A832,2)),""))</f>
        <v/>
      </c>
      <c r="I832" s="19">
        <f>IF(OR($G832="",$H832=""),"",MAX(0,$H832-$G832))</f>
        <v/>
      </c>
      <c r="J832" s="21">
        <f>IF($I832="","",IF($I832=0,"OK",IF($G832&lt;=0,"Sin stock: pedir ya","Pedir o producir")))</f>
        <v/>
      </c>
      <c r="K832" s="17" t="n"/>
      <c r="L832" s="17" t="n"/>
      <c r="M832" s="21">
        <f>IF(OR($A832="",$A832&lt;&gt;'Lista para pedir'!$C$3,N($I832)&lt;=0),"",COUNTIFS($A$2:$A832,$A832,$I$2:$I832,"&gt;0"))</f>
        <v/>
      </c>
    </row>
    <row r="833">
      <c r="A833" s="20" t="n"/>
      <c r="B833" s="21">
        <f>IF($A833="","",CHOOSE(WEEKDAY($A833,2),"Lunes","Martes","Miércoles","Jueves","Viernes","Sábado","Domingo"))</f>
        <v/>
      </c>
      <c r="C833" s="17" t="n"/>
      <c r="D833" s="21">
        <f>IF($C833="","",IFERROR(INDEX(Insumos!$B$2:$B$151,MATCH($C833,Insumos!$A$2:$A$151,0)),"Código no cargado"))</f>
        <v/>
      </c>
      <c r="E833" s="21">
        <f>IF($C833="","",IFERROR(INDEX(Insumos!$C$2:$C$151,MATCH($C833,Insumos!$A$2:$A$151,0)),""))</f>
        <v/>
      </c>
      <c r="F833" s="21">
        <f>IF($C833="","",IFERROR(INDEX(Insumos!$D$2:$D$151,MATCH($C833,Insumos!$A$2:$A$151,0)),""))</f>
        <v/>
      </c>
      <c r="G833" s="18" t="n"/>
      <c r="H833" s="19">
        <f>IF(OR($A833="",$C833=""),"",IFERROR(INDEX(Insumos!$M$2:$S$151,MATCH($C833,Insumos!$A$2:$A$151,0),WEEKDAY($A833,2)),""))</f>
        <v/>
      </c>
      <c r="I833" s="19">
        <f>IF(OR($G833="",$H833=""),"",MAX(0,$H833-$G833))</f>
        <v/>
      </c>
      <c r="J833" s="21">
        <f>IF($I833="","",IF($I833=0,"OK",IF($G833&lt;=0,"Sin stock: pedir ya","Pedir o producir")))</f>
        <v/>
      </c>
      <c r="K833" s="17" t="n"/>
      <c r="L833" s="17" t="n"/>
      <c r="M833" s="21">
        <f>IF(OR($A833="",$A833&lt;&gt;'Lista para pedir'!$C$3,N($I833)&lt;=0),"",COUNTIFS($A$2:$A833,$A833,$I$2:$I833,"&gt;0"))</f>
        <v/>
      </c>
    </row>
    <row r="834">
      <c r="A834" s="20" t="n"/>
      <c r="B834" s="21">
        <f>IF($A834="","",CHOOSE(WEEKDAY($A834,2),"Lunes","Martes","Miércoles","Jueves","Viernes","Sábado","Domingo"))</f>
        <v/>
      </c>
      <c r="C834" s="17" t="n"/>
      <c r="D834" s="21">
        <f>IF($C834="","",IFERROR(INDEX(Insumos!$B$2:$B$151,MATCH($C834,Insumos!$A$2:$A$151,0)),"Código no cargado"))</f>
        <v/>
      </c>
      <c r="E834" s="21">
        <f>IF($C834="","",IFERROR(INDEX(Insumos!$C$2:$C$151,MATCH($C834,Insumos!$A$2:$A$151,0)),""))</f>
        <v/>
      </c>
      <c r="F834" s="21">
        <f>IF($C834="","",IFERROR(INDEX(Insumos!$D$2:$D$151,MATCH($C834,Insumos!$A$2:$A$151,0)),""))</f>
        <v/>
      </c>
      <c r="G834" s="18" t="n"/>
      <c r="H834" s="19">
        <f>IF(OR($A834="",$C834=""),"",IFERROR(INDEX(Insumos!$M$2:$S$151,MATCH($C834,Insumos!$A$2:$A$151,0),WEEKDAY($A834,2)),""))</f>
        <v/>
      </c>
      <c r="I834" s="19">
        <f>IF(OR($G834="",$H834=""),"",MAX(0,$H834-$G834))</f>
        <v/>
      </c>
      <c r="J834" s="21">
        <f>IF($I834="","",IF($I834=0,"OK",IF($G834&lt;=0,"Sin stock: pedir ya","Pedir o producir")))</f>
        <v/>
      </c>
      <c r="K834" s="17" t="n"/>
      <c r="L834" s="17" t="n"/>
      <c r="M834" s="21">
        <f>IF(OR($A834="",$A834&lt;&gt;'Lista para pedir'!$C$3,N($I834)&lt;=0),"",COUNTIFS($A$2:$A834,$A834,$I$2:$I834,"&gt;0"))</f>
        <v/>
      </c>
    </row>
    <row r="835">
      <c r="A835" s="20" t="n"/>
      <c r="B835" s="21">
        <f>IF($A835="","",CHOOSE(WEEKDAY($A835,2),"Lunes","Martes","Miércoles","Jueves","Viernes","Sábado","Domingo"))</f>
        <v/>
      </c>
      <c r="C835" s="17" t="n"/>
      <c r="D835" s="21">
        <f>IF($C835="","",IFERROR(INDEX(Insumos!$B$2:$B$151,MATCH($C835,Insumos!$A$2:$A$151,0)),"Código no cargado"))</f>
        <v/>
      </c>
      <c r="E835" s="21">
        <f>IF($C835="","",IFERROR(INDEX(Insumos!$C$2:$C$151,MATCH($C835,Insumos!$A$2:$A$151,0)),""))</f>
        <v/>
      </c>
      <c r="F835" s="21">
        <f>IF($C835="","",IFERROR(INDEX(Insumos!$D$2:$D$151,MATCH($C835,Insumos!$A$2:$A$151,0)),""))</f>
        <v/>
      </c>
      <c r="G835" s="18" t="n"/>
      <c r="H835" s="19">
        <f>IF(OR($A835="",$C835=""),"",IFERROR(INDEX(Insumos!$M$2:$S$151,MATCH($C835,Insumos!$A$2:$A$151,0),WEEKDAY($A835,2)),""))</f>
        <v/>
      </c>
      <c r="I835" s="19">
        <f>IF(OR($G835="",$H835=""),"",MAX(0,$H835-$G835))</f>
        <v/>
      </c>
      <c r="J835" s="21">
        <f>IF($I835="","",IF($I835=0,"OK",IF($G835&lt;=0,"Sin stock: pedir ya","Pedir o producir")))</f>
        <v/>
      </c>
      <c r="K835" s="17" t="n"/>
      <c r="L835" s="17" t="n"/>
      <c r="M835" s="21">
        <f>IF(OR($A835="",$A835&lt;&gt;'Lista para pedir'!$C$3,N($I835)&lt;=0),"",COUNTIFS($A$2:$A835,$A835,$I$2:$I835,"&gt;0"))</f>
        <v/>
      </c>
    </row>
    <row r="836">
      <c r="A836" s="20" t="n"/>
      <c r="B836" s="21">
        <f>IF($A836="","",CHOOSE(WEEKDAY($A836,2),"Lunes","Martes","Miércoles","Jueves","Viernes","Sábado","Domingo"))</f>
        <v/>
      </c>
      <c r="C836" s="17" t="n"/>
      <c r="D836" s="21">
        <f>IF($C836="","",IFERROR(INDEX(Insumos!$B$2:$B$151,MATCH($C836,Insumos!$A$2:$A$151,0)),"Código no cargado"))</f>
        <v/>
      </c>
      <c r="E836" s="21">
        <f>IF($C836="","",IFERROR(INDEX(Insumos!$C$2:$C$151,MATCH($C836,Insumos!$A$2:$A$151,0)),""))</f>
        <v/>
      </c>
      <c r="F836" s="21">
        <f>IF($C836="","",IFERROR(INDEX(Insumos!$D$2:$D$151,MATCH($C836,Insumos!$A$2:$A$151,0)),""))</f>
        <v/>
      </c>
      <c r="G836" s="18" t="n"/>
      <c r="H836" s="19">
        <f>IF(OR($A836="",$C836=""),"",IFERROR(INDEX(Insumos!$M$2:$S$151,MATCH($C836,Insumos!$A$2:$A$151,0),WEEKDAY($A836,2)),""))</f>
        <v/>
      </c>
      <c r="I836" s="19">
        <f>IF(OR($G836="",$H836=""),"",MAX(0,$H836-$G836))</f>
        <v/>
      </c>
      <c r="J836" s="21">
        <f>IF($I836="","",IF($I836=0,"OK",IF($G836&lt;=0,"Sin stock: pedir ya","Pedir o producir")))</f>
        <v/>
      </c>
      <c r="K836" s="17" t="n"/>
      <c r="L836" s="17" t="n"/>
      <c r="M836" s="21">
        <f>IF(OR($A836="",$A836&lt;&gt;'Lista para pedir'!$C$3,N($I836)&lt;=0),"",COUNTIFS($A$2:$A836,$A836,$I$2:$I836,"&gt;0"))</f>
        <v/>
      </c>
    </row>
    <row r="837">
      <c r="A837" s="20" t="n"/>
      <c r="B837" s="21">
        <f>IF($A837="","",CHOOSE(WEEKDAY($A837,2),"Lunes","Martes","Miércoles","Jueves","Viernes","Sábado","Domingo"))</f>
        <v/>
      </c>
      <c r="C837" s="17" t="n"/>
      <c r="D837" s="21">
        <f>IF($C837="","",IFERROR(INDEX(Insumos!$B$2:$B$151,MATCH($C837,Insumos!$A$2:$A$151,0)),"Código no cargado"))</f>
        <v/>
      </c>
      <c r="E837" s="21">
        <f>IF($C837="","",IFERROR(INDEX(Insumos!$C$2:$C$151,MATCH($C837,Insumos!$A$2:$A$151,0)),""))</f>
        <v/>
      </c>
      <c r="F837" s="21">
        <f>IF($C837="","",IFERROR(INDEX(Insumos!$D$2:$D$151,MATCH($C837,Insumos!$A$2:$A$151,0)),""))</f>
        <v/>
      </c>
      <c r="G837" s="18" t="n"/>
      <c r="H837" s="19">
        <f>IF(OR($A837="",$C837=""),"",IFERROR(INDEX(Insumos!$M$2:$S$151,MATCH($C837,Insumos!$A$2:$A$151,0),WEEKDAY($A837,2)),""))</f>
        <v/>
      </c>
      <c r="I837" s="19">
        <f>IF(OR($G837="",$H837=""),"",MAX(0,$H837-$G837))</f>
        <v/>
      </c>
      <c r="J837" s="21">
        <f>IF($I837="","",IF($I837=0,"OK",IF($G837&lt;=0,"Sin stock: pedir ya","Pedir o producir")))</f>
        <v/>
      </c>
      <c r="K837" s="17" t="n"/>
      <c r="L837" s="17" t="n"/>
      <c r="M837" s="21">
        <f>IF(OR($A837="",$A837&lt;&gt;'Lista para pedir'!$C$3,N($I837)&lt;=0),"",COUNTIFS($A$2:$A837,$A837,$I$2:$I837,"&gt;0"))</f>
        <v/>
      </c>
    </row>
    <row r="838">
      <c r="A838" s="20" t="n"/>
      <c r="B838" s="21">
        <f>IF($A838="","",CHOOSE(WEEKDAY($A838,2),"Lunes","Martes","Miércoles","Jueves","Viernes","Sábado","Domingo"))</f>
        <v/>
      </c>
      <c r="C838" s="17" t="n"/>
      <c r="D838" s="21">
        <f>IF($C838="","",IFERROR(INDEX(Insumos!$B$2:$B$151,MATCH($C838,Insumos!$A$2:$A$151,0)),"Código no cargado"))</f>
        <v/>
      </c>
      <c r="E838" s="21">
        <f>IF($C838="","",IFERROR(INDEX(Insumos!$C$2:$C$151,MATCH($C838,Insumos!$A$2:$A$151,0)),""))</f>
        <v/>
      </c>
      <c r="F838" s="21">
        <f>IF($C838="","",IFERROR(INDEX(Insumos!$D$2:$D$151,MATCH($C838,Insumos!$A$2:$A$151,0)),""))</f>
        <v/>
      </c>
      <c r="G838" s="18" t="n"/>
      <c r="H838" s="19">
        <f>IF(OR($A838="",$C838=""),"",IFERROR(INDEX(Insumos!$M$2:$S$151,MATCH($C838,Insumos!$A$2:$A$151,0),WEEKDAY($A838,2)),""))</f>
        <v/>
      </c>
      <c r="I838" s="19">
        <f>IF(OR($G838="",$H838=""),"",MAX(0,$H838-$G838))</f>
        <v/>
      </c>
      <c r="J838" s="21">
        <f>IF($I838="","",IF($I838=0,"OK",IF($G838&lt;=0,"Sin stock: pedir ya","Pedir o producir")))</f>
        <v/>
      </c>
      <c r="K838" s="17" t="n"/>
      <c r="L838" s="17" t="n"/>
      <c r="M838" s="21">
        <f>IF(OR($A838="",$A838&lt;&gt;'Lista para pedir'!$C$3,N($I838)&lt;=0),"",COUNTIFS($A$2:$A838,$A838,$I$2:$I838,"&gt;0"))</f>
        <v/>
      </c>
    </row>
    <row r="839">
      <c r="A839" s="20" t="n"/>
      <c r="B839" s="21">
        <f>IF($A839="","",CHOOSE(WEEKDAY($A839,2),"Lunes","Martes","Miércoles","Jueves","Viernes","Sábado","Domingo"))</f>
        <v/>
      </c>
      <c r="C839" s="17" t="n"/>
      <c r="D839" s="21">
        <f>IF($C839="","",IFERROR(INDEX(Insumos!$B$2:$B$151,MATCH($C839,Insumos!$A$2:$A$151,0)),"Código no cargado"))</f>
        <v/>
      </c>
      <c r="E839" s="21">
        <f>IF($C839="","",IFERROR(INDEX(Insumos!$C$2:$C$151,MATCH($C839,Insumos!$A$2:$A$151,0)),""))</f>
        <v/>
      </c>
      <c r="F839" s="21">
        <f>IF($C839="","",IFERROR(INDEX(Insumos!$D$2:$D$151,MATCH($C839,Insumos!$A$2:$A$151,0)),""))</f>
        <v/>
      </c>
      <c r="G839" s="18" t="n"/>
      <c r="H839" s="19">
        <f>IF(OR($A839="",$C839=""),"",IFERROR(INDEX(Insumos!$M$2:$S$151,MATCH($C839,Insumos!$A$2:$A$151,0),WEEKDAY($A839,2)),""))</f>
        <v/>
      </c>
      <c r="I839" s="19">
        <f>IF(OR($G839="",$H839=""),"",MAX(0,$H839-$G839))</f>
        <v/>
      </c>
      <c r="J839" s="21">
        <f>IF($I839="","",IF($I839=0,"OK",IF($G839&lt;=0,"Sin stock: pedir ya","Pedir o producir")))</f>
        <v/>
      </c>
      <c r="K839" s="17" t="n"/>
      <c r="L839" s="17" t="n"/>
      <c r="M839" s="21">
        <f>IF(OR($A839="",$A839&lt;&gt;'Lista para pedir'!$C$3,N($I839)&lt;=0),"",COUNTIFS($A$2:$A839,$A839,$I$2:$I839,"&gt;0"))</f>
        <v/>
      </c>
    </row>
    <row r="840">
      <c r="A840" s="20" t="n"/>
      <c r="B840" s="21">
        <f>IF($A840="","",CHOOSE(WEEKDAY($A840,2),"Lunes","Martes","Miércoles","Jueves","Viernes","Sábado","Domingo"))</f>
        <v/>
      </c>
      <c r="C840" s="17" t="n"/>
      <c r="D840" s="21">
        <f>IF($C840="","",IFERROR(INDEX(Insumos!$B$2:$B$151,MATCH($C840,Insumos!$A$2:$A$151,0)),"Código no cargado"))</f>
        <v/>
      </c>
      <c r="E840" s="21">
        <f>IF($C840="","",IFERROR(INDEX(Insumos!$C$2:$C$151,MATCH($C840,Insumos!$A$2:$A$151,0)),""))</f>
        <v/>
      </c>
      <c r="F840" s="21">
        <f>IF($C840="","",IFERROR(INDEX(Insumos!$D$2:$D$151,MATCH($C840,Insumos!$A$2:$A$151,0)),""))</f>
        <v/>
      </c>
      <c r="G840" s="18" t="n"/>
      <c r="H840" s="19">
        <f>IF(OR($A840="",$C840=""),"",IFERROR(INDEX(Insumos!$M$2:$S$151,MATCH($C840,Insumos!$A$2:$A$151,0),WEEKDAY($A840,2)),""))</f>
        <v/>
      </c>
      <c r="I840" s="19">
        <f>IF(OR($G840="",$H840=""),"",MAX(0,$H840-$G840))</f>
        <v/>
      </c>
      <c r="J840" s="21">
        <f>IF($I840="","",IF($I840=0,"OK",IF($G840&lt;=0,"Sin stock: pedir ya","Pedir o producir")))</f>
        <v/>
      </c>
      <c r="K840" s="17" t="n"/>
      <c r="L840" s="17" t="n"/>
      <c r="M840" s="21">
        <f>IF(OR($A840="",$A840&lt;&gt;'Lista para pedir'!$C$3,N($I840)&lt;=0),"",COUNTIFS($A$2:$A840,$A840,$I$2:$I840,"&gt;0"))</f>
        <v/>
      </c>
    </row>
    <row r="841">
      <c r="A841" s="20" t="n"/>
      <c r="B841" s="21">
        <f>IF($A841="","",CHOOSE(WEEKDAY($A841,2),"Lunes","Martes","Miércoles","Jueves","Viernes","Sábado","Domingo"))</f>
        <v/>
      </c>
      <c r="C841" s="17" t="n"/>
      <c r="D841" s="21">
        <f>IF($C841="","",IFERROR(INDEX(Insumos!$B$2:$B$151,MATCH($C841,Insumos!$A$2:$A$151,0)),"Código no cargado"))</f>
        <v/>
      </c>
      <c r="E841" s="21">
        <f>IF($C841="","",IFERROR(INDEX(Insumos!$C$2:$C$151,MATCH($C841,Insumos!$A$2:$A$151,0)),""))</f>
        <v/>
      </c>
      <c r="F841" s="21">
        <f>IF($C841="","",IFERROR(INDEX(Insumos!$D$2:$D$151,MATCH($C841,Insumos!$A$2:$A$151,0)),""))</f>
        <v/>
      </c>
      <c r="G841" s="18" t="n"/>
      <c r="H841" s="19">
        <f>IF(OR($A841="",$C841=""),"",IFERROR(INDEX(Insumos!$M$2:$S$151,MATCH($C841,Insumos!$A$2:$A$151,0),WEEKDAY($A841,2)),""))</f>
        <v/>
      </c>
      <c r="I841" s="19">
        <f>IF(OR($G841="",$H841=""),"",MAX(0,$H841-$G841))</f>
        <v/>
      </c>
      <c r="J841" s="21">
        <f>IF($I841="","",IF($I841=0,"OK",IF($G841&lt;=0,"Sin stock: pedir ya","Pedir o producir")))</f>
        <v/>
      </c>
      <c r="K841" s="17" t="n"/>
      <c r="L841" s="17" t="n"/>
      <c r="M841" s="21">
        <f>IF(OR($A841="",$A841&lt;&gt;'Lista para pedir'!$C$3,N($I841)&lt;=0),"",COUNTIFS($A$2:$A841,$A841,$I$2:$I841,"&gt;0"))</f>
        <v/>
      </c>
    </row>
    <row r="842">
      <c r="A842" s="20" t="n"/>
      <c r="B842" s="21">
        <f>IF($A842="","",CHOOSE(WEEKDAY($A842,2),"Lunes","Martes","Miércoles","Jueves","Viernes","Sábado","Domingo"))</f>
        <v/>
      </c>
      <c r="C842" s="17" t="n"/>
      <c r="D842" s="21">
        <f>IF($C842="","",IFERROR(INDEX(Insumos!$B$2:$B$151,MATCH($C842,Insumos!$A$2:$A$151,0)),"Código no cargado"))</f>
        <v/>
      </c>
      <c r="E842" s="21">
        <f>IF($C842="","",IFERROR(INDEX(Insumos!$C$2:$C$151,MATCH($C842,Insumos!$A$2:$A$151,0)),""))</f>
        <v/>
      </c>
      <c r="F842" s="21">
        <f>IF($C842="","",IFERROR(INDEX(Insumos!$D$2:$D$151,MATCH($C842,Insumos!$A$2:$A$151,0)),""))</f>
        <v/>
      </c>
      <c r="G842" s="18" t="n"/>
      <c r="H842" s="19">
        <f>IF(OR($A842="",$C842=""),"",IFERROR(INDEX(Insumos!$M$2:$S$151,MATCH($C842,Insumos!$A$2:$A$151,0),WEEKDAY($A842,2)),""))</f>
        <v/>
      </c>
      <c r="I842" s="19">
        <f>IF(OR($G842="",$H842=""),"",MAX(0,$H842-$G842))</f>
        <v/>
      </c>
      <c r="J842" s="21">
        <f>IF($I842="","",IF($I842=0,"OK",IF($G842&lt;=0,"Sin stock: pedir ya","Pedir o producir")))</f>
        <v/>
      </c>
      <c r="K842" s="17" t="n"/>
      <c r="L842" s="17" t="n"/>
      <c r="M842" s="21">
        <f>IF(OR($A842="",$A842&lt;&gt;'Lista para pedir'!$C$3,N($I842)&lt;=0),"",COUNTIFS($A$2:$A842,$A842,$I$2:$I842,"&gt;0"))</f>
        <v/>
      </c>
    </row>
    <row r="843">
      <c r="A843" s="20" t="n"/>
      <c r="B843" s="21">
        <f>IF($A843="","",CHOOSE(WEEKDAY($A843,2),"Lunes","Martes","Miércoles","Jueves","Viernes","Sábado","Domingo"))</f>
        <v/>
      </c>
      <c r="C843" s="17" t="n"/>
      <c r="D843" s="21">
        <f>IF($C843="","",IFERROR(INDEX(Insumos!$B$2:$B$151,MATCH($C843,Insumos!$A$2:$A$151,0)),"Código no cargado"))</f>
        <v/>
      </c>
      <c r="E843" s="21">
        <f>IF($C843="","",IFERROR(INDEX(Insumos!$C$2:$C$151,MATCH($C843,Insumos!$A$2:$A$151,0)),""))</f>
        <v/>
      </c>
      <c r="F843" s="21">
        <f>IF($C843="","",IFERROR(INDEX(Insumos!$D$2:$D$151,MATCH($C843,Insumos!$A$2:$A$151,0)),""))</f>
        <v/>
      </c>
      <c r="G843" s="18" t="n"/>
      <c r="H843" s="19">
        <f>IF(OR($A843="",$C843=""),"",IFERROR(INDEX(Insumos!$M$2:$S$151,MATCH($C843,Insumos!$A$2:$A$151,0),WEEKDAY($A843,2)),""))</f>
        <v/>
      </c>
      <c r="I843" s="19">
        <f>IF(OR($G843="",$H843=""),"",MAX(0,$H843-$G843))</f>
        <v/>
      </c>
      <c r="J843" s="21">
        <f>IF($I843="","",IF($I843=0,"OK",IF($G843&lt;=0,"Sin stock: pedir ya","Pedir o producir")))</f>
        <v/>
      </c>
      <c r="K843" s="17" t="n"/>
      <c r="L843" s="17" t="n"/>
      <c r="M843" s="21">
        <f>IF(OR($A843="",$A843&lt;&gt;'Lista para pedir'!$C$3,N($I843)&lt;=0),"",COUNTIFS($A$2:$A843,$A843,$I$2:$I843,"&gt;0"))</f>
        <v/>
      </c>
    </row>
    <row r="844">
      <c r="A844" s="20" t="n"/>
      <c r="B844" s="21">
        <f>IF($A844="","",CHOOSE(WEEKDAY($A844,2),"Lunes","Martes","Miércoles","Jueves","Viernes","Sábado","Domingo"))</f>
        <v/>
      </c>
      <c r="C844" s="17" t="n"/>
      <c r="D844" s="21">
        <f>IF($C844="","",IFERROR(INDEX(Insumos!$B$2:$B$151,MATCH($C844,Insumos!$A$2:$A$151,0)),"Código no cargado"))</f>
        <v/>
      </c>
      <c r="E844" s="21">
        <f>IF($C844="","",IFERROR(INDEX(Insumos!$C$2:$C$151,MATCH($C844,Insumos!$A$2:$A$151,0)),""))</f>
        <v/>
      </c>
      <c r="F844" s="21">
        <f>IF($C844="","",IFERROR(INDEX(Insumos!$D$2:$D$151,MATCH($C844,Insumos!$A$2:$A$151,0)),""))</f>
        <v/>
      </c>
      <c r="G844" s="18" t="n"/>
      <c r="H844" s="19">
        <f>IF(OR($A844="",$C844=""),"",IFERROR(INDEX(Insumos!$M$2:$S$151,MATCH($C844,Insumos!$A$2:$A$151,0),WEEKDAY($A844,2)),""))</f>
        <v/>
      </c>
      <c r="I844" s="19">
        <f>IF(OR($G844="",$H844=""),"",MAX(0,$H844-$G844))</f>
        <v/>
      </c>
      <c r="J844" s="21">
        <f>IF($I844="","",IF($I844=0,"OK",IF($G844&lt;=0,"Sin stock: pedir ya","Pedir o producir")))</f>
        <v/>
      </c>
      <c r="K844" s="17" t="n"/>
      <c r="L844" s="17" t="n"/>
      <c r="M844" s="21">
        <f>IF(OR($A844="",$A844&lt;&gt;'Lista para pedir'!$C$3,N($I844)&lt;=0),"",COUNTIFS($A$2:$A844,$A844,$I$2:$I844,"&gt;0"))</f>
        <v/>
      </c>
    </row>
    <row r="845">
      <c r="A845" s="20" t="n"/>
      <c r="B845" s="21">
        <f>IF($A845="","",CHOOSE(WEEKDAY($A845,2),"Lunes","Martes","Miércoles","Jueves","Viernes","Sábado","Domingo"))</f>
        <v/>
      </c>
      <c r="C845" s="17" t="n"/>
      <c r="D845" s="21">
        <f>IF($C845="","",IFERROR(INDEX(Insumos!$B$2:$B$151,MATCH($C845,Insumos!$A$2:$A$151,0)),"Código no cargado"))</f>
        <v/>
      </c>
      <c r="E845" s="21">
        <f>IF($C845="","",IFERROR(INDEX(Insumos!$C$2:$C$151,MATCH($C845,Insumos!$A$2:$A$151,0)),""))</f>
        <v/>
      </c>
      <c r="F845" s="21">
        <f>IF($C845="","",IFERROR(INDEX(Insumos!$D$2:$D$151,MATCH($C845,Insumos!$A$2:$A$151,0)),""))</f>
        <v/>
      </c>
      <c r="G845" s="18" t="n"/>
      <c r="H845" s="19">
        <f>IF(OR($A845="",$C845=""),"",IFERROR(INDEX(Insumos!$M$2:$S$151,MATCH($C845,Insumos!$A$2:$A$151,0),WEEKDAY($A845,2)),""))</f>
        <v/>
      </c>
      <c r="I845" s="19">
        <f>IF(OR($G845="",$H845=""),"",MAX(0,$H845-$G845))</f>
        <v/>
      </c>
      <c r="J845" s="21">
        <f>IF($I845="","",IF($I845=0,"OK",IF($G845&lt;=0,"Sin stock: pedir ya","Pedir o producir")))</f>
        <v/>
      </c>
      <c r="K845" s="17" t="n"/>
      <c r="L845" s="17" t="n"/>
      <c r="M845" s="21">
        <f>IF(OR($A845="",$A845&lt;&gt;'Lista para pedir'!$C$3,N($I845)&lt;=0),"",COUNTIFS($A$2:$A845,$A845,$I$2:$I845,"&gt;0"))</f>
        <v/>
      </c>
    </row>
    <row r="846">
      <c r="A846" s="20" t="n"/>
      <c r="B846" s="21">
        <f>IF($A846="","",CHOOSE(WEEKDAY($A846,2),"Lunes","Martes","Miércoles","Jueves","Viernes","Sábado","Domingo"))</f>
        <v/>
      </c>
      <c r="C846" s="17" t="n"/>
      <c r="D846" s="21">
        <f>IF($C846="","",IFERROR(INDEX(Insumos!$B$2:$B$151,MATCH($C846,Insumos!$A$2:$A$151,0)),"Código no cargado"))</f>
        <v/>
      </c>
      <c r="E846" s="21">
        <f>IF($C846="","",IFERROR(INDEX(Insumos!$C$2:$C$151,MATCH($C846,Insumos!$A$2:$A$151,0)),""))</f>
        <v/>
      </c>
      <c r="F846" s="21">
        <f>IF($C846="","",IFERROR(INDEX(Insumos!$D$2:$D$151,MATCH($C846,Insumos!$A$2:$A$151,0)),""))</f>
        <v/>
      </c>
      <c r="G846" s="18" t="n"/>
      <c r="H846" s="19">
        <f>IF(OR($A846="",$C846=""),"",IFERROR(INDEX(Insumos!$M$2:$S$151,MATCH($C846,Insumos!$A$2:$A$151,0),WEEKDAY($A846,2)),""))</f>
        <v/>
      </c>
      <c r="I846" s="19">
        <f>IF(OR($G846="",$H846=""),"",MAX(0,$H846-$G846))</f>
        <v/>
      </c>
      <c r="J846" s="21">
        <f>IF($I846="","",IF($I846=0,"OK",IF($G846&lt;=0,"Sin stock: pedir ya","Pedir o producir")))</f>
        <v/>
      </c>
      <c r="K846" s="17" t="n"/>
      <c r="L846" s="17" t="n"/>
      <c r="M846" s="21">
        <f>IF(OR($A846="",$A846&lt;&gt;'Lista para pedir'!$C$3,N($I846)&lt;=0),"",COUNTIFS($A$2:$A846,$A846,$I$2:$I846,"&gt;0"))</f>
        <v/>
      </c>
    </row>
    <row r="847">
      <c r="A847" s="20" t="n"/>
      <c r="B847" s="21">
        <f>IF($A847="","",CHOOSE(WEEKDAY($A847,2),"Lunes","Martes","Miércoles","Jueves","Viernes","Sábado","Domingo"))</f>
        <v/>
      </c>
      <c r="C847" s="17" t="n"/>
      <c r="D847" s="21">
        <f>IF($C847="","",IFERROR(INDEX(Insumos!$B$2:$B$151,MATCH($C847,Insumos!$A$2:$A$151,0)),"Código no cargado"))</f>
        <v/>
      </c>
      <c r="E847" s="21">
        <f>IF($C847="","",IFERROR(INDEX(Insumos!$C$2:$C$151,MATCH($C847,Insumos!$A$2:$A$151,0)),""))</f>
        <v/>
      </c>
      <c r="F847" s="21">
        <f>IF($C847="","",IFERROR(INDEX(Insumos!$D$2:$D$151,MATCH($C847,Insumos!$A$2:$A$151,0)),""))</f>
        <v/>
      </c>
      <c r="G847" s="18" t="n"/>
      <c r="H847" s="19">
        <f>IF(OR($A847="",$C847=""),"",IFERROR(INDEX(Insumos!$M$2:$S$151,MATCH($C847,Insumos!$A$2:$A$151,0),WEEKDAY($A847,2)),""))</f>
        <v/>
      </c>
      <c r="I847" s="19">
        <f>IF(OR($G847="",$H847=""),"",MAX(0,$H847-$G847))</f>
        <v/>
      </c>
      <c r="J847" s="21">
        <f>IF($I847="","",IF($I847=0,"OK",IF($G847&lt;=0,"Sin stock: pedir ya","Pedir o producir")))</f>
        <v/>
      </c>
      <c r="K847" s="17" t="n"/>
      <c r="L847" s="17" t="n"/>
      <c r="M847" s="21">
        <f>IF(OR($A847="",$A847&lt;&gt;'Lista para pedir'!$C$3,N($I847)&lt;=0),"",COUNTIFS($A$2:$A847,$A847,$I$2:$I847,"&gt;0"))</f>
        <v/>
      </c>
    </row>
    <row r="848">
      <c r="A848" s="20" t="n"/>
      <c r="B848" s="21">
        <f>IF($A848="","",CHOOSE(WEEKDAY($A848,2),"Lunes","Martes","Miércoles","Jueves","Viernes","Sábado","Domingo"))</f>
        <v/>
      </c>
      <c r="C848" s="17" t="n"/>
      <c r="D848" s="21">
        <f>IF($C848="","",IFERROR(INDEX(Insumos!$B$2:$B$151,MATCH($C848,Insumos!$A$2:$A$151,0)),"Código no cargado"))</f>
        <v/>
      </c>
      <c r="E848" s="21">
        <f>IF($C848="","",IFERROR(INDEX(Insumos!$C$2:$C$151,MATCH($C848,Insumos!$A$2:$A$151,0)),""))</f>
        <v/>
      </c>
      <c r="F848" s="21">
        <f>IF($C848="","",IFERROR(INDEX(Insumos!$D$2:$D$151,MATCH($C848,Insumos!$A$2:$A$151,0)),""))</f>
        <v/>
      </c>
      <c r="G848" s="18" t="n"/>
      <c r="H848" s="19">
        <f>IF(OR($A848="",$C848=""),"",IFERROR(INDEX(Insumos!$M$2:$S$151,MATCH($C848,Insumos!$A$2:$A$151,0),WEEKDAY($A848,2)),""))</f>
        <v/>
      </c>
      <c r="I848" s="19">
        <f>IF(OR($G848="",$H848=""),"",MAX(0,$H848-$G848))</f>
        <v/>
      </c>
      <c r="J848" s="21">
        <f>IF($I848="","",IF($I848=0,"OK",IF($G848&lt;=0,"Sin stock: pedir ya","Pedir o producir")))</f>
        <v/>
      </c>
      <c r="K848" s="17" t="n"/>
      <c r="L848" s="17" t="n"/>
      <c r="M848" s="21">
        <f>IF(OR($A848="",$A848&lt;&gt;'Lista para pedir'!$C$3,N($I848)&lt;=0),"",COUNTIFS($A$2:$A848,$A848,$I$2:$I848,"&gt;0"))</f>
        <v/>
      </c>
    </row>
    <row r="849">
      <c r="A849" s="20" t="n"/>
      <c r="B849" s="21">
        <f>IF($A849="","",CHOOSE(WEEKDAY($A849,2),"Lunes","Martes","Miércoles","Jueves","Viernes","Sábado","Domingo"))</f>
        <v/>
      </c>
      <c r="C849" s="17" t="n"/>
      <c r="D849" s="21">
        <f>IF($C849="","",IFERROR(INDEX(Insumos!$B$2:$B$151,MATCH($C849,Insumos!$A$2:$A$151,0)),"Código no cargado"))</f>
        <v/>
      </c>
      <c r="E849" s="21">
        <f>IF($C849="","",IFERROR(INDEX(Insumos!$C$2:$C$151,MATCH($C849,Insumos!$A$2:$A$151,0)),""))</f>
        <v/>
      </c>
      <c r="F849" s="21">
        <f>IF($C849="","",IFERROR(INDEX(Insumos!$D$2:$D$151,MATCH($C849,Insumos!$A$2:$A$151,0)),""))</f>
        <v/>
      </c>
      <c r="G849" s="18" t="n"/>
      <c r="H849" s="19">
        <f>IF(OR($A849="",$C849=""),"",IFERROR(INDEX(Insumos!$M$2:$S$151,MATCH($C849,Insumos!$A$2:$A$151,0),WEEKDAY($A849,2)),""))</f>
        <v/>
      </c>
      <c r="I849" s="19">
        <f>IF(OR($G849="",$H849=""),"",MAX(0,$H849-$G849))</f>
        <v/>
      </c>
      <c r="J849" s="21">
        <f>IF($I849="","",IF($I849=0,"OK",IF($G849&lt;=0,"Sin stock: pedir ya","Pedir o producir")))</f>
        <v/>
      </c>
      <c r="K849" s="17" t="n"/>
      <c r="L849" s="17" t="n"/>
      <c r="M849" s="21">
        <f>IF(OR($A849="",$A849&lt;&gt;'Lista para pedir'!$C$3,N($I849)&lt;=0),"",COUNTIFS($A$2:$A849,$A849,$I$2:$I849,"&gt;0"))</f>
        <v/>
      </c>
    </row>
    <row r="850">
      <c r="A850" s="20" t="n"/>
      <c r="B850" s="21">
        <f>IF($A850="","",CHOOSE(WEEKDAY($A850,2),"Lunes","Martes","Miércoles","Jueves","Viernes","Sábado","Domingo"))</f>
        <v/>
      </c>
      <c r="C850" s="17" t="n"/>
      <c r="D850" s="21">
        <f>IF($C850="","",IFERROR(INDEX(Insumos!$B$2:$B$151,MATCH($C850,Insumos!$A$2:$A$151,0)),"Código no cargado"))</f>
        <v/>
      </c>
      <c r="E850" s="21">
        <f>IF($C850="","",IFERROR(INDEX(Insumos!$C$2:$C$151,MATCH($C850,Insumos!$A$2:$A$151,0)),""))</f>
        <v/>
      </c>
      <c r="F850" s="21">
        <f>IF($C850="","",IFERROR(INDEX(Insumos!$D$2:$D$151,MATCH($C850,Insumos!$A$2:$A$151,0)),""))</f>
        <v/>
      </c>
      <c r="G850" s="18" t="n"/>
      <c r="H850" s="19">
        <f>IF(OR($A850="",$C850=""),"",IFERROR(INDEX(Insumos!$M$2:$S$151,MATCH($C850,Insumos!$A$2:$A$151,0),WEEKDAY($A850,2)),""))</f>
        <v/>
      </c>
      <c r="I850" s="19">
        <f>IF(OR($G850="",$H850=""),"",MAX(0,$H850-$G850))</f>
        <v/>
      </c>
      <c r="J850" s="21">
        <f>IF($I850="","",IF($I850=0,"OK",IF($G850&lt;=0,"Sin stock: pedir ya","Pedir o producir")))</f>
        <v/>
      </c>
      <c r="K850" s="17" t="n"/>
      <c r="L850" s="17" t="n"/>
      <c r="M850" s="21">
        <f>IF(OR($A850="",$A850&lt;&gt;'Lista para pedir'!$C$3,N($I850)&lt;=0),"",COUNTIFS($A$2:$A850,$A850,$I$2:$I850,"&gt;0"))</f>
        <v/>
      </c>
    </row>
    <row r="851">
      <c r="A851" s="20" t="n"/>
      <c r="B851" s="21">
        <f>IF($A851="","",CHOOSE(WEEKDAY($A851,2),"Lunes","Martes","Miércoles","Jueves","Viernes","Sábado","Domingo"))</f>
        <v/>
      </c>
      <c r="C851" s="17" t="n"/>
      <c r="D851" s="21">
        <f>IF($C851="","",IFERROR(INDEX(Insumos!$B$2:$B$151,MATCH($C851,Insumos!$A$2:$A$151,0)),"Código no cargado"))</f>
        <v/>
      </c>
      <c r="E851" s="21">
        <f>IF($C851="","",IFERROR(INDEX(Insumos!$C$2:$C$151,MATCH($C851,Insumos!$A$2:$A$151,0)),""))</f>
        <v/>
      </c>
      <c r="F851" s="21">
        <f>IF($C851="","",IFERROR(INDEX(Insumos!$D$2:$D$151,MATCH($C851,Insumos!$A$2:$A$151,0)),""))</f>
        <v/>
      </c>
      <c r="G851" s="18" t="n"/>
      <c r="H851" s="19">
        <f>IF(OR($A851="",$C851=""),"",IFERROR(INDEX(Insumos!$M$2:$S$151,MATCH($C851,Insumos!$A$2:$A$151,0),WEEKDAY($A851,2)),""))</f>
        <v/>
      </c>
      <c r="I851" s="19">
        <f>IF(OR($G851="",$H851=""),"",MAX(0,$H851-$G851))</f>
        <v/>
      </c>
      <c r="J851" s="21">
        <f>IF($I851="","",IF($I851=0,"OK",IF($G851&lt;=0,"Sin stock: pedir ya","Pedir o producir")))</f>
        <v/>
      </c>
      <c r="K851" s="17" t="n"/>
      <c r="L851" s="17" t="n"/>
      <c r="M851" s="21">
        <f>IF(OR($A851="",$A851&lt;&gt;'Lista para pedir'!$C$3,N($I851)&lt;=0),"",COUNTIFS($A$2:$A851,$A851,$I$2:$I851,"&gt;0"))</f>
        <v/>
      </c>
    </row>
    <row r="852">
      <c r="A852" s="20" t="n"/>
      <c r="B852" s="21">
        <f>IF($A852="","",CHOOSE(WEEKDAY($A852,2),"Lunes","Martes","Miércoles","Jueves","Viernes","Sábado","Domingo"))</f>
        <v/>
      </c>
      <c r="C852" s="17" t="n"/>
      <c r="D852" s="21">
        <f>IF($C852="","",IFERROR(INDEX(Insumos!$B$2:$B$151,MATCH($C852,Insumos!$A$2:$A$151,0)),"Código no cargado"))</f>
        <v/>
      </c>
      <c r="E852" s="21">
        <f>IF($C852="","",IFERROR(INDEX(Insumos!$C$2:$C$151,MATCH($C852,Insumos!$A$2:$A$151,0)),""))</f>
        <v/>
      </c>
      <c r="F852" s="21">
        <f>IF($C852="","",IFERROR(INDEX(Insumos!$D$2:$D$151,MATCH($C852,Insumos!$A$2:$A$151,0)),""))</f>
        <v/>
      </c>
      <c r="G852" s="18" t="n"/>
      <c r="H852" s="19">
        <f>IF(OR($A852="",$C852=""),"",IFERROR(INDEX(Insumos!$M$2:$S$151,MATCH($C852,Insumos!$A$2:$A$151,0),WEEKDAY($A852,2)),""))</f>
        <v/>
      </c>
      <c r="I852" s="19">
        <f>IF(OR($G852="",$H852=""),"",MAX(0,$H852-$G852))</f>
        <v/>
      </c>
      <c r="J852" s="21">
        <f>IF($I852="","",IF($I852=0,"OK",IF($G852&lt;=0,"Sin stock: pedir ya","Pedir o producir")))</f>
        <v/>
      </c>
      <c r="K852" s="17" t="n"/>
      <c r="L852" s="17" t="n"/>
      <c r="M852" s="21">
        <f>IF(OR($A852="",$A852&lt;&gt;'Lista para pedir'!$C$3,N($I852)&lt;=0),"",COUNTIFS($A$2:$A852,$A852,$I$2:$I852,"&gt;0"))</f>
        <v/>
      </c>
    </row>
    <row r="853">
      <c r="A853" s="20" t="n"/>
      <c r="B853" s="21">
        <f>IF($A853="","",CHOOSE(WEEKDAY($A853,2),"Lunes","Martes","Miércoles","Jueves","Viernes","Sábado","Domingo"))</f>
        <v/>
      </c>
      <c r="C853" s="17" t="n"/>
      <c r="D853" s="21">
        <f>IF($C853="","",IFERROR(INDEX(Insumos!$B$2:$B$151,MATCH($C853,Insumos!$A$2:$A$151,0)),"Código no cargado"))</f>
        <v/>
      </c>
      <c r="E853" s="21">
        <f>IF($C853="","",IFERROR(INDEX(Insumos!$C$2:$C$151,MATCH($C853,Insumos!$A$2:$A$151,0)),""))</f>
        <v/>
      </c>
      <c r="F853" s="21">
        <f>IF($C853="","",IFERROR(INDEX(Insumos!$D$2:$D$151,MATCH($C853,Insumos!$A$2:$A$151,0)),""))</f>
        <v/>
      </c>
      <c r="G853" s="18" t="n"/>
      <c r="H853" s="19">
        <f>IF(OR($A853="",$C853=""),"",IFERROR(INDEX(Insumos!$M$2:$S$151,MATCH($C853,Insumos!$A$2:$A$151,0),WEEKDAY($A853,2)),""))</f>
        <v/>
      </c>
      <c r="I853" s="19">
        <f>IF(OR($G853="",$H853=""),"",MAX(0,$H853-$G853))</f>
        <v/>
      </c>
      <c r="J853" s="21">
        <f>IF($I853="","",IF($I853=0,"OK",IF($G853&lt;=0,"Sin stock: pedir ya","Pedir o producir")))</f>
        <v/>
      </c>
      <c r="K853" s="17" t="n"/>
      <c r="L853" s="17" t="n"/>
      <c r="M853" s="21">
        <f>IF(OR($A853="",$A853&lt;&gt;'Lista para pedir'!$C$3,N($I853)&lt;=0),"",COUNTIFS($A$2:$A853,$A853,$I$2:$I853,"&gt;0"))</f>
        <v/>
      </c>
    </row>
    <row r="854">
      <c r="A854" s="20" t="n"/>
      <c r="B854" s="21">
        <f>IF($A854="","",CHOOSE(WEEKDAY($A854,2),"Lunes","Martes","Miércoles","Jueves","Viernes","Sábado","Domingo"))</f>
        <v/>
      </c>
      <c r="C854" s="17" t="n"/>
      <c r="D854" s="21">
        <f>IF($C854="","",IFERROR(INDEX(Insumos!$B$2:$B$151,MATCH($C854,Insumos!$A$2:$A$151,0)),"Código no cargado"))</f>
        <v/>
      </c>
      <c r="E854" s="21">
        <f>IF($C854="","",IFERROR(INDEX(Insumos!$C$2:$C$151,MATCH($C854,Insumos!$A$2:$A$151,0)),""))</f>
        <v/>
      </c>
      <c r="F854" s="21">
        <f>IF($C854="","",IFERROR(INDEX(Insumos!$D$2:$D$151,MATCH($C854,Insumos!$A$2:$A$151,0)),""))</f>
        <v/>
      </c>
      <c r="G854" s="18" t="n"/>
      <c r="H854" s="19">
        <f>IF(OR($A854="",$C854=""),"",IFERROR(INDEX(Insumos!$M$2:$S$151,MATCH($C854,Insumos!$A$2:$A$151,0),WEEKDAY($A854,2)),""))</f>
        <v/>
      </c>
      <c r="I854" s="19">
        <f>IF(OR($G854="",$H854=""),"",MAX(0,$H854-$G854))</f>
        <v/>
      </c>
      <c r="J854" s="21">
        <f>IF($I854="","",IF($I854=0,"OK",IF($G854&lt;=0,"Sin stock: pedir ya","Pedir o producir")))</f>
        <v/>
      </c>
      <c r="K854" s="17" t="n"/>
      <c r="L854" s="17" t="n"/>
      <c r="M854" s="21">
        <f>IF(OR($A854="",$A854&lt;&gt;'Lista para pedir'!$C$3,N($I854)&lt;=0),"",COUNTIFS($A$2:$A854,$A854,$I$2:$I854,"&gt;0"))</f>
        <v/>
      </c>
    </row>
    <row r="855">
      <c r="A855" s="20" t="n"/>
      <c r="B855" s="21">
        <f>IF($A855="","",CHOOSE(WEEKDAY($A855,2),"Lunes","Martes","Miércoles","Jueves","Viernes","Sábado","Domingo"))</f>
        <v/>
      </c>
      <c r="C855" s="17" t="n"/>
      <c r="D855" s="21">
        <f>IF($C855="","",IFERROR(INDEX(Insumos!$B$2:$B$151,MATCH($C855,Insumos!$A$2:$A$151,0)),"Código no cargado"))</f>
        <v/>
      </c>
      <c r="E855" s="21">
        <f>IF($C855="","",IFERROR(INDEX(Insumos!$C$2:$C$151,MATCH($C855,Insumos!$A$2:$A$151,0)),""))</f>
        <v/>
      </c>
      <c r="F855" s="21">
        <f>IF($C855="","",IFERROR(INDEX(Insumos!$D$2:$D$151,MATCH($C855,Insumos!$A$2:$A$151,0)),""))</f>
        <v/>
      </c>
      <c r="G855" s="18" t="n"/>
      <c r="H855" s="19">
        <f>IF(OR($A855="",$C855=""),"",IFERROR(INDEX(Insumos!$M$2:$S$151,MATCH($C855,Insumos!$A$2:$A$151,0),WEEKDAY($A855,2)),""))</f>
        <v/>
      </c>
      <c r="I855" s="19">
        <f>IF(OR($G855="",$H855=""),"",MAX(0,$H855-$G855))</f>
        <v/>
      </c>
      <c r="J855" s="21">
        <f>IF($I855="","",IF($I855=0,"OK",IF($G855&lt;=0,"Sin stock: pedir ya","Pedir o producir")))</f>
        <v/>
      </c>
      <c r="K855" s="17" t="n"/>
      <c r="L855" s="17" t="n"/>
      <c r="M855" s="21">
        <f>IF(OR($A855="",$A855&lt;&gt;'Lista para pedir'!$C$3,N($I855)&lt;=0),"",COUNTIFS($A$2:$A855,$A855,$I$2:$I855,"&gt;0"))</f>
        <v/>
      </c>
    </row>
    <row r="856">
      <c r="A856" s="20" t="n"/>
      <c r="B856" s="21">
        <f>IF($A856="","",CHOOSE(WEEKDAY($A856,2),"Lunes","Martes","Miércoles","Jueves","Viernes","Sábado","Domingo"))</f>
        <v/>
      </c>
      <c r="C856" s="17" t="n"/>
      <c r="D856" s="21">
        <f>IF($C856="","",IFERROR(INDEX(Insumos!$B$2:$B$151,MATCH($C856,Insumos!$A$2:$A$151,0)),"Código no cargado"))</f>
        <v/>
      </c>
      <c r="E856" s="21">
        <f>IF($C856="","",IFERROR(INDEX(Insumos!$C$2:$C$151,MATCH($C856,Insumos!$A$2:$A$151,0)),""))</f>
        <v/>
      </c>
      <c r="F856" s="21">
        <f>IF($C856="","",IFERROR(INDEX(Insumos!$D$2:$D$151,MATCH($C856,Insumos!$A$2:$A$151,0)),""))</f>
        <v/>
      </c>
      <c r="G856" s="18" t="n"/>
      <c r="H856" s="19">
        <f>IF(OR($A856="",$C856=""),"",IFERROR(INDEX(Insumos!$M$2:$S$151,MATCH($C856,Insumos!$A$2:$A$151,0),WEEKDAY($A856,2)),""))</f>
        <v/>
      </c>
      <c r="I856" s="19">
        <f>IF(OR($G856="",$H856=""),"",MAX(0,$H856-$G856))</f>
        <v/>
      </c>
      <c r="J856" s="21">
        <f>IF($I856="","",IF($I856=0,"OK",IF($G856&lt;=0,"Sin stock: pedir ya","Pedir o producir")))</f>
        <v/>
      </c>
      <c r="K856" s="17" t="n"/>
      <c r="L856" s="17" t="n"/>
      <c r="M856" s="21">
        <f>IF(OR($A856="",$A856&lt;&gt;'Lista para pedir'!$C$3,N($I856)&lt;=0),"",COUNTIFS($A$2:$A856,$A856,$I$2:$I856,"&gt;0"))</f>
        <v/>
      </c>
    </row>
    <row r="857">
      <c r="A857" s="20" t="n"/>
      <c r="B857" s="21">
        <f>IF($A857="","",CHOOSE(WEEKDAY($A857,2),"Lunes","Martes","Miércoles","Jueves","Viernes","Sábado","Domingo"))</f>
        <v/>
      </c>
      <c r="C857" s="17" t="n"/>
      <c r="D857" s="21">
        <f>IF($C857="","",IFERROR(INDEX(Insumos!$B$2:$B$151,MATCH($C857,Insumos!$A$2:$A$151,0)),"Código no cargado"))</f>
        <v/>
      </c>
      <c r="E857" s="21">
        <f>IF($C857="","",IFERROR(INDEX(Insumos!$C$2:$C$151,MATCH($C857,Insumos!$A$2:$A$151,0)),""))</f>
        <v/>
      </c>
      <c r="F857" s="21">
        <f>IF($C857="","",IFERROR(INDEX(Insumos!$D$2:$D$151,MATCH($C857,Insumos!$A$2:$A$151,0)),""))</f>
        <v/>
      </c>
      <c r="G857" s="18" t="n"/>
      <c r="H857" s="19">
        <f>IF(OR($A857="",$C857=""),"",IFERROR(INDEX(Insumos!$M$2:$S$151,MATCH($C857,Insumos!$A$2:$A$151,0),WEEKDAY($A857,2)),""))</f>
        <v/>
      </c>
      <c r="I857" s="19">
        <f>IF(OR($G857="",$H857=""),"",MAX(0,$H857-$G857))</f>
        <v/>
      </c>
      <c r="J857" s="21">
        <f>IF($I857="","",IF($I857=0,"OK",IF($G857&lt;=0,"Sin stock: pedir ya","Pedir o producir")))</f>
        <v/>
      </c>
      <c r="K857" s="17" t="n"/>
      <c r="L857" s="17" t="n"/>
      <c r="M857" s="21">
        <f>IF(OR($A857="",$A857&lt;&gt;'Lista para pedir'!$C$3,N($I857)&lt;=0),"",COUNTIFS($A$2:$A857,$A857,$I$2:$I857,"&gt;0"))</f>
        <v/>
      </c>
    </row>
    <row r="858">
      <c r="A858" s="20" t="n"/>
      <c r="B858" s="21">
        <f>IF($A858="","",CHOOSE(WEEKDAY($A858,2),"Lunes","Martes","Miércoles","Jueves","Viernes","Sábado","Domingo"))</f>
        <v/>
      </c>
      <c r="C858" s="17" t="n"/>
      <c r="D858" s="21">
        <f>IF($C858="","",IFERROR(INDEX(Insumos!$B$2:$B$151,MATCH($C858,Insumos!$A$2:$A$151,0)),"Código no cargado"))</f>
        <v/>
      </c>
      <c r="E858" s="21">
        <f>IF($C858="","",IFERROR(INDEX(Insumos!$C$2:$C$151,MATCH($C858,Insumos!$A$2:$A$151,0)),""))</f>
        <v/>
      </c>
      <c r="F858" s="21">
        <f>IF($C858="","",IFERROR(INDEX(Insumos!$D$2:$D$151,MATCH($C858,Insumos!$A$2:$A$151,0)),""))</f>
        <v/>
      </c>
      <c r="G858" s="18" t="n"/>
      <c r="H858" s="19">
        <f>IF(OR($A858="",$C858=""),"",IFERROR(INDEX(Insumos!$M$2:$S$151,MATCH($C858,Insumos!$A$2:$A$151,0),WEEKDAY($A858,2)),""))</f>
        <v/>
      </c>
      <c r="I858" s="19">
        <f>IF(OR($G858="",$H858=""),"",MAX(0,$H858-$G858))</f>
        <v/>
      </c>
      <c r="J858" s="21">
        <f>IF($I858="","",IF($I858=0,"OK",IF($G858&lt;=0,"Sin stock: pedir ya","Pedir o producir")))</f>
        <v/>
      </c>
      <c r="K858" s="17" t="n"/>
      <c r="L858" s="17" t="n"/>
      <c r="M858" s="21">
        <f>IF(OR($A858="",$A858&lt;&gt;'Lista para pedir'!$C$3,N($I858)&lt;=0),"",COUNTIFS($A$2:$A858,$A858,$I$2:$I858,"&gt;0"))</f>
        <v/>
      </c>
    </row>
    <row r="859">
      <c r="A859" s="20" t="n"/>
      <c r="B859" s="21">
        <f>IF($A859="","",CHOOSE(WEEKDAY($A859,2),"Lunes","Martes","Miércoles","Jueves","Viernes","Sábado","Domingo"))</f>
        <v/>
      </c>
      <c r="C859" s="17" t="n"/>
      <c r="D859" s="21">
        <f>IF($C859="","",IFERROR(INDEX(Insumos!$B$2:$B$151,MATCH($C859,Insumos!$A$2:$A$151,0)),"Código no cargado"))</f>
        <v/>
      </c>
      <c r="E859" s="21">
        <f>IF($C859="","",IFERROR(INDEX(Insumos!$C$2:$C$151,MATCH($C859,Insumos!$A$2:$A$151,0)),""))</f>
        <v/>
      </c>
      <c r="F859" s="21">
        <f>IF($C859="","",IFERROR(INDEX(Insumos!$D$2:$D$151,MATCH($C859,Insumos!$A$2:$A$151,0)),""))</f>
        <v/>
      </c>
      <c r="G859" s="18" t="n"/>
      <c r="H859" s="19">
        <f>IF(OR($A859="",$C859=""),"",IFERROR(INDEX(Insumos!$M$2:$S$151,MATCH($C859,Insumos!$A$2:$A$151,0),WEEKDAY($A859,2)),""))</f>
        <v/>
      </c>
      <c r="I859" s="19">
        <f>IF(OR($G859="",$H859=""),"",MAX(0,$H859-$G859))</f>
        <v/>
      </c>
      <c r="J859" s="21">
        <f>IF($I859="","",IF($I859=0,"OK",IF($G859&lt;=0,"Sin stock: pedir ya","Pedir o producir")))</f>
        <v/>
      </c>
      <c r="K859" s="17" t="n"/>
      <c r="L859" s="17" t="n"/>
      <c r="M859" s="21">
        <f>IF(OR($A859="",$A859&lt;&gt;'Lista para pedir'!$C$3,N($I859)&lt;=0),"",COUNTIFS($A$2:$A859,$A859,$I$2:$I859,"&gt;0"))</f>
        <v/>
      </c>
    </row>
    <row r="860">
      <c r="A860" s="20" t="n"/>
      <c r="B860" s="21">
        <f>IF($A860="","",CHOOSE(WEEKDAY($A860,2),"Lunes","Martes","Miércoles","Jueves","Viernes","Sábado","Domingo"))</f>
        <v/>
      </c>
      <c r="C860" s="17" t="n"/>
      <c r="D860" s="21">
        <f>IF($C860="","",IFERROR(INDEX(Insumos!$B$2:$B$151,MATCH($C860,Insumos!$A$2:$A$151,0)),"Código no cargado"))</f>
        <v/>
      </c>
      <c r="E860" s="21">
        <f>IF($C860="","",IFERROR(INDEX(Insumos!$C$2:$C$151,MATCH($C860,Insumos!$A$2:$A$151,0)),""))</f>
        <v/>
      </c>
      <c r="F860" s="21">
        <f>IF($C860="","",IFERROR(INDEX(Insumos!$D$2:$D$151,MATCH($C860,Insumos!$A$2:$A$151,0)),""))</f>
        <v/>
      </c>
      <c r="G860" s="18" t="n"/>
      <c r="H860" s="19">
        <f>IF(OR($A860="",$C860=""),"",IFERROR(INDEX(Insumos!$M$2:$S$151,MATCH($C860,Insumos!$A$2:$A$151,0),WEEKDAY($A860,2)),""))</f>
        <v/>
      </c>
      <c r="I860" s="19">
        <f>IF(OR($G860="",$H860=""),"",MAX(0,$H860-$G860))</f>
        <v/>
      </c>
      <c r="J860" s="21">
        <f>IF($I860="","",IF($I860=0,"OK",IF($G860&lt;=0,"Sin stock: pedir ya","Pedir o producir")))</f>
        <v/>
      </c>
      <c r="K860" s="17" t="n"/>
      <c r="L860" s="17" t="n"/>
      <c r="M860" s="21">
        <f>IF(OR($A860="",$A860&lt;&gt;'Lista para pedir'!$C$3,N($I860)&lt;=0),"",COUNTIFS($A$2:$A860,$A860,$I$2:$I860,"&gt;0"))</f>
        <v/>
      </c>
    </row>
    <row r="861">
      <c r="A861" s="20" t="n"/>
      <c r="B861" s="21">
        <f>IF($A861="","",CHOOSE(WEEKDAY($A861,2),"Lunes","Martes","Miércoles","Jueves","Viernes","Sábado","Domingo"))</f>
        <v/>
      </c>
      <c r="C861" s="17" t="n"/>
      <c r="D861" s="21">
        <f>IF($C861="","",IFERROR(INDEX(Insumos!$B$2:$B$151,MATCH($C861,Insumos!$A$2:$A$151,0)),"Código no cargado"))</f>
        <v/>
      </c>
      <c r="E861" s="21">
        <f>IF($C861="","",IFERROR(INDEX(Insumos!$C$2:$C$151,MATCH($C861,Insumos!$A$2:$A$151,0)),""))</f>
        <v/>
      </c>
      <c r="F861" s="21">
        <f>IF($C861="","",IFERROR(INDEX(Insumos!$D$2:$D$151,MATCH($C861,Insumos!$A$2:$A$151,0)),""))</f>
        <v/>
      </c>
      <c r="G861" s="18" t="n"/>
      <c r="H861" s="19">
        <f>IF(OR($A861="",$C861=""),"",IFERROR(INDEX(Insumos!$M$2:$S$151,MATCH($C861,Insumos!$A$2:$A$151,0),WEEKDAY($A861,2)),""))</f>
        <v/>
      </c>
      <c r="I861" s="19">
        <f>IF(OR($G861="",$H861=""),"",MAX(0,$H861-$G861))</f>
        <v/>
      </c>
      <c r="J861" s="21">
        <f>IF($I861="","",IF($I861=0,"OK",IF($G861&lt;=0,"Sin stock: pedir ya","Pedir o producir")))</f>
        <v/>
      </c>
      <c r="K861" s="17" t="n"/>
      <c r="L861" s="17" t="n"/>
      <c r="M861" s="21">
        <f>IF(OR($A861="",$A861&lt;&gt;'Lista para pedir'!$C$3,N($I861)&lt;=0),"",COUNTIFS($A$2:$A861,$A861,$I$2:$I861,"&gt;0"))</f>
        <v/>
      </c>
    </row>
    <row r="862">
      <c r="A862" s="20" t="n"/>
      <c r="B862" s="21">
        <f>IF($A862="","",CHOOSE(WEEKDAY($A862,2),"Lunes","Martes","Miércoles","Jueves","Viernes","Sábado","Domingo"))</f>
        <v/>
      </c>
      <c r="C862" s="17" t="n"/>
      <c r="D862" s="21">
        <f>IF($C862="","",IFERROR(INDEX(Insumos!$B$2:$B$151,MATCH($C862,Insumos!$A$2:$A$151,0)),"Código no cargado"))</f>
        <v/>
      </c>
      <c r="E862" s="21">
        <f>IF($C862="","",IFERROR(INDEX(Insumos!$C$2:$C$151,MATCH($C862,Insumos!$A$2:$A$151,0)),""))</f>
        <v/>
      </c>
      <c r="F862" s="21">
        <f>IF($C862="","",IFERROR(INDEX(Insumos!$D$2:$D$151,MATCH($C862,Insumos!$A$2:$A$151,0)),""))</f>
        <v/>
      </c>
      <c r="G862" s="18" t="n"/>
      <c r="H862" s="19">
        <f>IF(OR($A862="",$C862=""),"",IFERROR(INDEX(Insumos!$M$2:$S$151,MATCH($C862,Insumos!$A$2:$A$151,0),WEEKDAY($A862,2)),""))</f>
        <v/>
      </c>
      <c r="I862" s="19">
        <f>IF(OR($G862="",$H862=""),"",MAX(0,$H862-$G862))</f>
        <v/>
      </c>
      <c r="J862" s="21">
        <f>IF($I862="","",IF($I862=0,"OK",IF($G862&lt;=0,"Sin stock: pedir ya","Pedir o producir")))</f>
        <v/>
      </c>
      <c r="K862" s="17" t="n"/>
      <c r="L862" s="17" t="n"/>
      <c r="M862" s="21">
        <f>IF(OR($A862="",$A862&lt;&gt;'Lista para pedir'!$C$3,N($I862)&lt;=0),"",COUNTIFS($A$2:$A862,$A862,$I$2:$I862,"&gt;0"))</f>
        <v/>
      </c>
    </row>
    <row r="863">
      <c r="A863" s="20" t="n"/>
      <c r="B863" s="21">
        <f>IF($A863="","",CHOOSE(WEEKDAY($A863,2),"Lunes","Martes","Miércoles","Jueves","Viernes","Sábado","Domingo"))</f>
        <v/>
      </c>
      <c r="C863" s="17" t="n"/>
      <c r="D863" s="21">
        <f>IF($C863="","",IFERROR(INDEX(Insumos!$B$2:$B$151,MATCH($C863,Insumos!$A$2:$A$151,0)),"Código no cargado"))</f>
        <v/>
      </c>
      <c r="E863" s="21">
        <f>IF($C863="","",IFERROR(INDEX(Insumos!$C$2:$C$151,MATCH($C863,Insumos!$A$2:$A$151,0)),""))</f>
        <v/>
      </c>
      <c r="F863" s="21">
        <f>IF($C863="","",IFERROR(INDEX(Insumos!$D$2:$D$151,MATCH($C863,Insumos!$A$2:$A$151,0)),""))</f>
        <v/>
      </c>
      <c r="G863" s="18" t="n"/>
      <c r="H863" s="19">
        <f>IF(OR($A863="",$C863=""),"",IFERROR(INDEX(Insumos!$M$2:$S$151,MATCH($C863,Insumos!$A$2:$A$151,0),WEEKDAY($A863,2)),""))</f>
        <v/>
      </c>
      <c r="I863" s="19">
        <f>IF(OR($G863="",$H863=""),"",MAX(0,$H863-$G863))</f>
        <v/>
      </c>
      <c r="J863" s="21">
        <f>IF($I863="","",IF($I863=0,"OK",IF($G863&lt;=0,"Sin stock: pedir ya","Pedir o producir")))</f>
        <v/>
      </c>
      <c r="K863" s="17" t="n"/>
      <c r="L863" s="17" t="n"/>
      <c r="M863" s="21">
        <f>IF(OR($A863="",$A863&lt;&gt;'Lista para pedir'!$C$3,N($I863)&lt;=0),"",COUNTIFS($A$2:$A863,$A863,$I$2:$I863,"&gt;0"))</f>
        <v/>
      </c>
    </row>
    <row r="864">
      <c r="A864" s="20" t="n"/>
      <c r="B864" s="21">
        <f>IF($A864="","",CHOOSE(WEEKDAY($A864,2),"Lunes","Martes","Miércoles","Jueves","Viernes","Sábado","Domingo"))</f>
        <v/>
      </c>
      <c r="C864" s="17" t="n"/>
      <c r="D864" s="21">
        <f>IF($C864="","",IFERROR(INDEX(Insumos!$B$2:$B$151,MATCH($C864,Insumos!$A$2:$A$151,0)),"Código no cargado"))</f>
        <v/>
      </c>
      <c r="E864" s="21">
        <f>IF($C864="","",IFERROR(INDEX(Insumos!$C$2:$C$151,MATCH($C864,Insumos!$A$2:$A$151,0)),""))</f>
        <v/>
      </c>
      <c r="F864" s="21">
        <f>IF($C864="","",IFERROR(INDEX(Insumos!$D$2:$D$151,MATCH($C864,Insumos!$A$2:$A$151,0)),""))</f>
        <v/>
      </c>
      <c r="G864" s="18" t="n"/>
      <c r="H864" s="19">
        <f>IF(OR($A864="",$C864=""),"",IFERROR(INDEX(Insumos!$M$2:$S$151,MATCH($C864,Insumos!$A$2:$A$151,0),WEEKDAY($A864,2)),""))</f>
        <v/>
      </c>
      <c r="I864" s="19">
        <f>IF(OR($G864="",$H864=""),"",MAX(0,$H864-$G864))</f>
        <v/>
      </c>
      <c r="J864" s="21">
        <f>IF($I864="","",IF($I864=0,"OK",IF($G864&lt;=0,"Sin stock: pedir ya","Pedir o producir")))</f>
        <v/>
      </c>
      <c r="K864" s="17" t="n"/>
      <c r="L864" s="17" t="n"/>
      <c r="M864" s="21">
        <f>IF(OR($A864="",$A864&lt;&gt;'Lista para pedir'!$C$3,N($I864)&lt;=0),"",COUNTIFS($A$2:$A864,$A864,$I$2:$I864,"&gt;0"))</f>
        <v/>
      </c>
    </row>
    <row r="865">
      <c r="A865" s="20" t="n"/>
      <c r="B865" s="21">
        <f>IF($A865="","",CHOOSE(WEEKDAY($A865,2),"Lunes","Martes","Miércoles","Jueves","Viernes","Sábado","Domingo"))</f>
        <v/>
      </c>
      <c r="C865" s="17" t="n"/>
      <c r="D865" s="21">
        <f>IF($C865="","",IFERROR(INDEX(Insumos!$B$2:$B$151,MATCH($C865,Insumos!$A$2:$A$151,0)),"Código no cargado"))</f>
        <v/>
      </c>
      <c r="E865" s="21">
        <f>IF($C865="","",IFERROR(INDEX(Insumos!$C$2:$C$151,MATCH($C865,Insumos!$A$2:$A$151,0)),""))</f>
        <v/>
      </c>
      <c r="F865" s="21">
        <f>IF($C865="","",IFERROR(INDEX(Insumos!$D$2:$D$151,MATCH($C865,Insumos!$A$2:$A$151,0)),""))</f>
        <v/>
      </c>
      <c r="G865" s="18" t="n"/>
      <c r="H865" s="19">
        <f>IF(OR($A865="",$C865=""),"",IFERROR(INDEX(Insumos!$M$2:$S$151,MATCH($C865,Insumos!$A$2:$A$151,0),WEEKDAY($A865,2)),""))</f>
        <v/>
      </c>
      <c r="I865" s="19">
        <f>IF(OR($G865="",$H865=""),"",MAX(0,$H865-$G865))</f>
        <v/>
      </c>
      <c r="J865" s="21">
        <f>IF($I865="","",IF($I865=0,"OK",IF($G865&lt;=0,"Sin stock: pedir ya","Pedir o producir")))</f>
        <v/>
      </c>
      <c r="K865" s="17" t="n"/>
      <c r="L865" s="17" t="n"/>
      <c r="M865" s="21">
        <f>IF(OR($A865="",$A865&lt;&gt;'Lista para pedir'!$C$3,N($I865)&lt;=0),"",COUNTIFS($A$2:$A865,$A865,$I$2:$I865,"&gt;0"))</f>
        <v/>
      </c>
    </row>
    <row r="866">
      <c r="A866" s="20" t="n"/>
      <c r="B866" s="21">
        <f>IF($A866="","",CHOOSE(WEEKDAY($A866,2),"Lunes","Martes","Miércoles","Jueves","Viernes","Sábado","Domingo"))</f>
        <v/>
      </c>
      <c r="C866" s="17" t="n"/>
      <c r="D866" s="21">
        <f>IF($C866="","",IFERROR(INDEX(Insumos!$B$2:$B$151,MATCH($C866,Insumos!$A$2:$A$151,0)),"Código no cargado"))</f>
        <v/>
      </c>
      <c r="E866" s="21">
        <f>IF($C866="","",IFERROR(INDEX(Insumos!$C$2:$C$151,MATCH($C866,Insumos!$A$2:$A$151,0)),""))</f>
        <v/>
      </c>
      <c r="F866" s="21">
        <f>IF($C866="","",IFERROR(INDEX(Insumos!$D$2:$D$151,MATCH($C866,Insumos!$A$2:$A$151,0)),""))</f>
        <v/>
      </c>
      <c r="G866" s="18" t="n"/>
      <c r="H866" s="19">
        <f>IF(OR($A866="",$C866=""),"",IFERROR(INDEX(Insumos!$M$2:$S$151,MATCH($C866,Insumos!$A$2:$A$151,0),WEEKDAY($A866,2)),""))</f>
        <v/>
      </c>
      <c r="I866" s="19">
        <f>IF(OR($G866="",$H866=""),"",MAX(0,$H866-$G866))</f>
        <v/>
      </c>
      <c r="J866" s="21">
        <f>IF($I866="","",IF($I866=0,"OK",IF($G866&lt;=0,"Sin stock: pedir ya","Pedir o producir")))</f>
        <v/>
      </c>
      <c r="K866" s="17" t="n"/>
      <c r="L866" s="17" t="n"/>
      <c r="M866" s="21">
        <f>IF(OR($A866="",$A866&lt;&gt;'Lista para pedir'!$C$3,N($I866)&lt;=0),"",COUNTIFS($A$2:$A866,$A866,$I$2:$I866,"&gt;0"))</f>
        <v/>
      </c>
    </row>
    <row r="867">
      <c r="A867" s="20" t="n"/>
      <c r="B867" s="21">
        <f>IF($A867="","",CHOOSE(WEEKDAY($A867,2),"Lunes","Martes","Miércoles","Jueves","Viernes","Sábado","Domingo"))</f>
        <v/>
      </c>
      <c r="C867" s="17" t="n"/>
      <c r="D867" s="21">
        <f>IF($C867="","",IFERROR(INDEX(Insumos!$B$2:$B$151,MATCH($C867,Insumos!$A$2:$A$151,0)),"Código no cargado"))</f>
        <v/>
      </c>
      <c r="E867" s="21">
        <f>IF($C867="","",IFERROR(INDEX(Insumos!$C$2:$C$151,MATCH($C867,Insumos!$A$2:$A$151,0)),""))</f>
        <v/>
      </c>
      <c r="F867" s="21">
        <f>IF($C867="","",IFERROR(INDEX(Insumos!$D$2:$D$151,MATCH($C867,Insumos!$A$2:$A$151,0)),""))</f>
        <v/>
      </c>
      <c r="G867" s="18" t="n"/>
      <c r="H867" s="19">
        <f>IF(OR($A867="",$C867=""),"",IFERROR(INDEX(Insumos!$M$2:$S$151,MATCH($C867,Insumos!$A$2:$A$151,0),WEEKDAY($A867,2)),""))</f>
        <v/>
      </c>
      <c r="I867" s="19">
        <f>IF(OR($G867="",$H867=""),"",MAX(0,$H867-$G867))</f>
        <v/>
      </c>
      <c r="J867" s="21">
        <f>IF($I867="","",IF($I867=0,"OK",IF($G867&lt;=0,"Sin stock: pedir ya","Pedir o producir")))</f>
        <v/>
      </c>
      <c r="K867" s="17" t="n"/>
      <c r="L867" s="17" t="n"/>
      <c r="M867" s="21">
        <f>IF(OR($A867="",$A867&lt;&gt;'Lista para pedir'!$C$3,N($I867)&lt;=0),"",COUNTIFS($A$2:$A867,$A867,$I$2:$I867,"&gt;0"))</f>
        <v/>
      </c>
    </row>
    <row r="868">
      <c r="A868" s="20" t="n"/>
      <c r="B868" s="21">
        <f>IF($A868="","",CHOOSE(WEEKDAY($A868,2),"Lunes","Martes","Miércoles","Jueves","Viernes","Sábado","Domingo"))</f>
        <v/>
      </c>
      <c r="C868" s="17" t="n"/>
      <c r="D868" s="21">
        <f>IF($C868="","",IFERROR(INDEX(Insumos!$B$2:$B$151,MATCH($C868,Insumos!$A$2:$A$151,0)),"Código no cargado"))</f>
        <v/>
      </c>
      <c r="E868" s="21">
        <f>IF($C868="","",IFERROR(INDEX(Insumos!$C$2:$C$151,MATCH($C868,Insumos!$A$2:$A$151,0)),""))</f>
        <v/>
      </c>
      <c r="F868" s="21">
        <f>IF($C868="","",IFERROR(INDEX(Insumos!$D$2:$D$151,MATCH($C868,Insumos!$A$2:$A$151,0)),""))</f>
        <v/>
      </c>
      <c r="G868" s="18" t="n"/>
      <c r="H868" s="19">
        <f>IF(OR($A868="",$C868=""),"",IFERROR(INDEX(Insumos!$M$2:$S$151,MATCH($C868,Insumos!$A$2:$A$151,0),WEEKDAY($A868,2)),""))</f>
        <v/>
      </c>
      <c r="I868" s="19">
        <f>IF(OR($G868="",$H868=""),"",MAX(0,$H868-$G868))</f>
        <v/>
      </c>
      <c r="J868" s="21">
        <f>IF($I868="","",IF($I868=0,"OK",IF($G868&lt;=0,"Sin stock: pedir ya","Pedir o producir")))</f>
        <v/>
      </c>
      <c r="K868" s="17" t="n"/>
      <c r="L868" s="17" t="n"/>
      <c r="M868" s="21">
        <f>IF(OR($A868="",$A868&lt;&gt;'Lista para pedir'!$C$3,N($I868)&lt;=0),"",COUNTIFS($A$2:$A868,$A868,$I$2:$I868,"&gt;0"))</f>
        <v/>
      </c>
    </row>
    <row r="869">
      <c r="A869" s="20" t="n"/>
      <c r="B869" s="21">
        <f>IF($A869="","",CHOOSE(WEEKDAY($A869,2),"Lunes","Martes","Miércoles","Jueves","Viernes","Sábado","Domingo"))</f>
        <v/>
      </c>
      <c r="C869" s="17" t="n"/>
      <c r="D869" s="21">
        <f>IF($C869="","",IFERROR(INDEX(Insumos!$B$2:$B$151,MATCH($C869,Insumos!$A$2:$A$151,0)),"Código no cargado"))</f>
        <v/>
      </c>
      <c r="E869" s="21">
        <f>IF($C869="","",IFERROR(INDEX(Insumos!$C$2:$C$151,MATCH($C869,Insumos!$A$2:$A$151,0)),""))</f>
        <v/>
      </c>
      <c r="F869" s="21">
        <f>IF($C869="","",IFERROR(INDEX(Insumos!$D$2:$D$151,MATCH($C869,Insumos!$A$2:$A$151,0)),""))</f>
        <v/>
      </c>
      <c r="G869" s="18" t="n"/>
      <c r="H869" s="19">
        <f>IF(OR($A869="",$C869=""),"",IFERROR(INDEX(Insumos!$M$2:$S$151,MATCH($C869,Insumos!$A$2:$A$151,0),WEEKDAY($A869,2)),""))</f>
        <v/>
      </c>
      <c r="I869" s="19">
        <f>IF(OR($G869="",$H869=""),"",MAX(0,$H869-$G869))</f>
        <v/>
      </c>
      <c r="J869" s="21">
        <f>IF($I869="","",IF($I869=0,"OK",IF($G869&lt;=0,"Sin stock: pedir ya","Pedir o producir")))</f>
        <v/>
      </c>
      <c r="K869" s="17" t="n"/>
      <c r="L869" s="17" t="n"/>
      <c r="M869" s="21">
        <f>IF(OR($A869="",$A869&lt;&gt;'Lista para pedir'!$C$3,N($I869)&lt;=0),"",COUNTIFS($A$2:$A869,$A869,$I$2:$I869,"&gt;0"))</f>
        <v/>
      </c>
    </row>
    <row r="870">
      <c r="A870" s="20" t="n"/>
      <c r="B870" s="21">
        <f>IF($A870="","",CHOOSE(WEEKDAY($A870,2),"Lunes","Martes","Miércoles","Jueves","Viernes","Sábado","Domingo"))</f>
        <v/>
      </c>
      <c r="C870" s="17" t="n"/>
      <c r="D870" s="21">
        <f>IF($C870="","",IFERROR(INDEX(Insumos!$B$2:$B$151,MATCH($C870,Insumos!$A$2:$A$151,0)),"Código no cargado"))</f>
        <v/>
      </c>
      <c r="E870" s="21">
        <f>IF($C870="","",IFERROR(INDEX(Insumos!$C$2:$C$151,MATCH($C870,Insumos!$A$2:$A$151,0)),""))</f>
        <v/>
      </c>
      <c r="F870" s="21">
        <f>IF($C870="","",IFERROR(INDEX(Insumos!$D$2:$D$151,MATCH($C870,Insumos!$A$2:$A$151,0)),""))</f>
        <v/>
      </c>
      <c r="G870" s="18" t="n"/>
      <c r="H870" s="19">
        <f>IF(OR($A870="",$C870=""),"",IFERROR(INDEX(Insumos!$M$2:$S$151,MATCH($C870,Insumos!$A$2:$A$151,0),WEEKDAY($A870,2)),""))</f>
        <v/>
      </c>
      <c r="I870" s="19">
        <f>IF(OR($G870="",$H870=""),"",MAX(0,$H870-$G870))</f>
        <v/>
      </c>
      <c r="J870" s="21">
        <f>IF($I870="","",IF($I870=0,"OK",IF($G870&lt;=0,"Sin stock: pedir ya","Pedir o producir")))</f>
        <v/>
      </c>
      <c r="K870" s="17" t="n"/>
      <c r="L870" s="17" t="n"/>
      <c r="M870" s="21">
        <f>IF(OR($A870="",$A870&lt;&gt;'Lista para pedir'!$C$3,N($I870)&lt;=0),"",COUNTIFS($A$2:$A870,$A870,$I$2:$I870,"&gt;0"))</f>
        <v/>
      </c>
    </row>
    <row r="871">
      <c r="A871" s="20" t="n"/>
      <c r="B871" s="21">
        <f>IF($A871="","",CHOOSE(WEEKDAY($A871,2),"Lunes","Martes","Miércoles","Jueves","Viernes","Sábado","Domingo"))</f>
        <v/>
      </c>
      <c r="C871" s="17" t="n"/>
      <c r="D871" s="21">
        <f>IF($C871="","",IFERROR(INDEX(Insumos!$B$2:$B$151,MATCH($C871,Insumos!$A$2:$A$151,0)),"Código no cargado"))</f>
        <v/>
      </c>
      <c r="E871" s="21">
        <f>IF($C871="","",IFERROR(INDEX(Insumos!$C$2:$C$151,MATCH($C871,Insumos!$A$2:$A$151,0)),""))</f>
        <v/>
      </c>
      <c r="F871" s="21">
        <f>IF($C871="","",IFERROR(INDEX(Insumos!$D$2:$D$151,MATCH($C871,Insumos!$A$2:$A$151,0)),""))</f>
        <v/>
      </c>
      <c r="G871" s="18" t="n"/>
      <c r="H871" s="19">
        <f>IF(OR($A871="",$C871=""),"",IFERROR(INDEX(Insumos!$M$2:$S$151,MATCH($C871,Insumos!$A$2:$A$151,0),WEEKDAY($A871,2)),""))</f>
        <v/>
      </c>
      <c r="I871" s="19">
        <f>IF(OR($G871="",$H871=""),"",MAX(0,$H871-$G871))</f>
        <v/>
      </c>
      <c r="J871" s="21">
        <f>IF($I871="","",IF($I871=0,"OK",IF($G871&lt;=0,"Sin stock: pedir ya","Pedir o producir")))</f>
        <v/>
      </c>
      <c r="K871" s="17" t="n"/>
      <c r="L871" s="17" t="n"/>
      <c r="M871" s="21">
        <f>IF(OR($A871="",$A871&lt;&gt;'Lista para pedir'!$C$3,N($I871)&lt;=0),"",COUNTIFS($A$2:$A871,$A871,$I$2:$I871,"&gt;0"))</f>
        <v/>
      </c>
    </row>
    <row r="872">
      <c r="A872" s="20" t="n"/>
      <c r="B872" s="21">
        <f>IF($A872="","",CHOOSE(WEEKDAY($A872,2),"Lunes","Martes","Miércoles","Jueves","Viernes","Sábado","Domingo"))</f>
        <v/>
      </c>
      <c r="C872" s="17" t="n"/>
      <c r="D872" s="21">
        <f>IF($C872="","",IFERROR(INDEX(Insumos!$B$2:$B$151,MATCH($C872,Insumos!$A$2:$A$151,0)),"Código no cargado"))</f>
        <v/>
      </c>
      <c r="E872" s="21">
        <f>IF($C872="","",IFERROR(INDEX(Insumos!$C$2:$C$151,MATCH($C872,Insumos!$A$2:$A$151,0)),""))</f>
        <v/>
      </c>
      <c r="F872" s="21">
        <f>IF($C872="","",IFERROR(INDEX(Insumos!$D$2:$D$151,MATCH($C872,Insumos!$A$2:$A$151,0)),""))</f>
        <v/>
      </c>
      <c r="G872" s="18" t="n"/>
      <c r="H872" s="19">
        <f>IF(OR($A872="",$C872=""),"",IFERROR(INDEX(Insumos!$M$2:$S$151,MATCH($C872,Insumos!$A$2:$A$151,0),WEEKDAY($A872,2)),""))</f>
        <v/>
      </c>
      <c r="I872" s="19">
        <f>IF(OR($G872="",$H872=""),"",MAX(0,$H872-$G872))</f>
        <v/>
      </c>
      <c r="J872" s="21">
        <f>IF($I872="","",IF($I872=0,"OK",IF($G872&lt;=0,"Sin stock: pedir ya","Pedir o producir")))</f>
        <v/>
      </c>
      <c r="K872" s="17" t="n"/>
      <c r="L872" s="17" t="n"/>
      <c r="M872" s="21">
        <f>IF(OR($A872="",$A872&lt;&gt;'Lista para pedir'!$C$3,N($I872)&lt;=0),"",COUNTIFS($A$2:$A872,$A872,$I$2:$I872,"&gt;0"))</f>
        <v/>
      </c>
    </row>
    <row r="873">
      <c r="A873" s="20" t="n"/>
      <c r="B873" s="21">
        <f>IF($A873="","",CHOOSE(WEEKDAY($A873,2),"Lunes","Martes","Miércoles","Jueves","Viernes","Sábado","Domingo"))</f>
        <v/>
      </c>
      <c r="C873" s="17" t="n"/>
      <c r="D873" s="21">
        <f>IF($C873="","",IFERROR(INDEX(Insumos!$B$2:$B$151,MATCH($C873,Insumos!$A$2:$A$151,0)),"Código no cargado"))</f>
        <v/>
      </c>
      <c r="E873" s="21">
        <f>IF($C873="","",IFERROR(INDEX(Insumos!$C$2:$C$151,MATCH($C873,Insumos!$A$2:$A$151,0)),""))</f>
        <v/>
      </c>
      <c r="F873" s="21">
        <f>IF($C873="","",IFERROR(INDEX(Insumos!$D$2:$D$151,MATCH($C873,Insumos!$A$2:$A$151,0)),""))</f>
        <v/>
      </c>
      <c r="G873" s="18" t="n"/>
      <c r="H873" s="19">
        <f>IF(OR($A873="",$C873=""),"",IFERROR(INDEX(Insumos!$M$2:$S$151,MATCH($C873,Insumos!$A$2:$A$151,0),WEEKDAY($A873,2)),""))</f>
        <v/>
      </c>
      <c r="I873" s="19">
        <f>IF(OR($G873="",$H873=""),"",MAX(0,$H873-$G873))</f>
        <v/>
      </c>
      <c r="J873" s="21">
        <f>IF($I873="","",IF($I873=0,"OK",IF($G873&lt;=0,"Sin stock: pedir ya","Pedir o producir")))</f>
        <v/>
      </c>
      <c r="K873" s="17" t="n"/>
      <c r="L873" s="17" t="n"/>
      <c r="M873" s="21">
        <f>IF(OR($A873="",$A873&lt;&gt;'Lista para pedir'!$C$3,N($I873)&lt;=0),"",COUNTIFS($A$2:$A873,$A873,$I$2:$I873,"&gt;0"))</f>
        <v/>
      </c>
    </row>
    <row r="874">
      <c r="A874" s="20" t="n"/>
      <c r="B874" s="21">
        <f>IF($A874="","",CHOOSE(WEEKDAY($A874,2),"Lunes","Martes","Miércoles","Jueves","Viernes","Sábado","Domingo"))</f>
        <v/>
      </c>
      <c r="C874" s="17" t="n"/>
      <c r="D874" s="21">
        <f>IF($C874="","",IFERROR(INDEX(Insumos!$B$2:$B$151,MATCH($C874,Insumos!$A$2:$A$151,0)),"Código no cargado"))</f>
        <v/>
      </c>
      <c r="E874" s="21">
        <f>IF($C874="","",IFERROR(INDEX(Insumos!$C$2:$C$151,MATCH($C874,Insumos!$A$2:$A$151,0)),""))</f>
        <v/>
      </c>
      <c r="F874" s="21">
        <f>IF($C874="","",IFERROR(INDEX(Insumos!$D$2:$D$151,MATCH($C874,Insumos!$A$2:$A$151,0)),""))</f>
        <v/>
      </c>
      <c r="G874" s="18" t="n"/>
      <c r="H874" s="19">
        <f>IF(OR($A874="",$C874=""),"",IFERROR(INDEX(Insumos!$M$2:$S$151,MATCH($C874,Insumos!$A$2:$A$151,0),WEEKDAY($A874,2)),""))</f>
        <v/>
      </c>
      <c r="I874" s="19">
        <f>IF(OR($G874="",$H874=""),"",MAX(0,$H874-$G874))</f>
        <v/>
      </c>
      <c r="J874" s="21">
        <f>IF($I874="","",IF($I874=0,"OK",IF($G874&lt;=0,"Sin stock: pedir ya","Pedir o producir")))</f>
        <v/>
      </c>
      <c r="K874" s="17" t="n"/>
      <c r="L874" s="17" t="n"/>
      <c r="M874" s="21">
        <f>IF(OR($A874="",$A874&lt;&gt;'Lista para pedir'!$C$3,N($I874)&lt;=0),"",COUNTIFS($A$2:$A874,$A874,$I$2:$I874,"&gt;0"))</f>
        <v/>
      </c>
    </row>
    <row r="875">
      <c r="A875" s="20" t="n"/>
      <c r="B875" s="21">
        <f>IF($A875="","",CHOOSE(WEEKDAY($A875,2),"Lunes","Martes","Miércoles","Jueves","Viernes","Sábado","Domingo"))</f>
        <v/>
      </c>
      <c r="C875" s="17" t="n"/>
      <c r="D875" s="21">
        <f>IF($C875="","",IFERROR(INDEX(Insumos!$B$2:$B$151,MATCH($C875,Insumos!$A$2:$A$151,0)),"Código no cargado"))</f>
        <v/>
      </c>
      <c r="E875" s="21">
        <f>IF($C875="","",IFERROR(INDEX(Insumos!$C$2:$C$151,MATCH($C875,Insumos!$A$2:$A$151,0)),""))</f>
        <v/>
      </c>
      <c r="F875" s="21">
        <f>IF($C875="","",IFERROR(INDEX(Insumos!$D$2:$D$151,MATCH($C875,Insumos!$A$2:$A$151,0)),""))</f>
        <v/>
      </c>
      <c r="G875" s="18" t="n"/>
      <c r="H875" s="19">
        <f>IF(OR($A875="",$C875=""),"",IFERROR(INDEX(Insumos!$M$2:$S$151,MATCH($C875,Insumos!$A$2:$A$151,0),WEEKDAY($A875,2)),""))</f>
        <v/>
      </c>
      <c r="I875" s="19">
        <f>IF(OR($G875="",$H875=""),"",MAX(0,$H875-$G875))</f>
        <v/>
      </c>
      <c r="J875" s="21">
        <f>IF($I875="","",IF($I875=0,"OK",IF($G875&lt;=0,"Sin stock: pedir ya","Pedir o producir")))</f>
        <v/>
      </c>
      <c r="K875" s="17" t="n"/>
      <c r="L875" s="17" t="n"/>
      <c r="M875" s="21">
        <f>IF(OR($A875="",$A875&lt;&gt;'Lista para pedir'!$C$3,N($I875)&lt;=0),"",COUNTIFS($A$2:$A875,$A875,$I$2:$I875,"&gt;0"))</f>
        <v/>
      </c>
    </row>
    <row r="876">
      <c r="A876" s="20" t="n"/>
      <c r="B876" s="21">
        <f>IF($A876="","",CHOOSE(WEEKDAY($A876,2),"Lunes","Martes","Miércoles","Jueves","Viernes","Sábado","Domingo"))</f>
        <v/>
      </c>
      <c r="C876" s="17" t="n"/>
      <c r="D876" s="21">
        <f>IF($C876="","",IFERROR(INDEX(Insumos!$B$2:$B$151,MATCH($C876,Insumos!$A$2:$A$151,0)),"Código no cargado"))</f>
        <v/>
      </c>
      <c r="E876" s="21">
        <f>IF($C876="","",IFERROR(INDEX(Insumos!$C$2:$C$151,MATCH($C876,Insumos!$A$2:$A$151,0)),""))</f>
        <v/>
      </c>
      <c r="F876" s="21">
        <f>IF($C876="","",IFERROR(INDEX(Insumos!$D$2:$D$151,MATCH($C876,Insumos!$A$2:$A$151,0)),""))</f>
        <v/>
      </c>
      <c r="G876" s="18" t="n"/>
      <c r="H876" s="19">
        <f>IF(OR($A876="",$C876=""),"",IFERROR(INDEX(Insumos!$M$2:$S$151,MATCH($C876,Insumos!$A$2:$A$151,0),WEEKDAY($A876,2)),""))</f>
        <v/>
      </c>
      <c r="I876" s="19">
        <f>IF(OR($G876="",$H876=""),"",MAX(0,$H876-$G876))</f>
        <v/>
      </c>
      <c r="J876" s="21">
        <f>IF($I876="","",IF($I876=0,"OK",IF($G876&lt;=0,"Sin stock: pedir ya","Pedir o producir")))</f>
        <v/>
      </c>
      <c r="K876" s="17" t="n"/>
      <c r="L876" s="17" t="n"/>
      <c r="M876" s="21">
        <f>IF(OR($A876="",$A876&lt;&gt;'Lista para pedir'!$C$3,N($I876)&lt;=0),"",COUNTIFS($A$2:$A876,$A876,$I$2:$I876,"&gt;0"))</f>
        <v/>
      </c>
    </row>
    <row r="877">
      <c r="A877" s="20" t="n"/>
      <c r="B877" s="21">
        <f>IF($A877="","",CHOOSE(WEEKDAY($A877,2),"Lunes","Martes","Miércoles","Jueves","Viernes","Sábado","Domingo"))</f>
        <v/>
      </c>
      <c r="C877" s="17" t="n"/>
      <c r="D877" s="21">
        <f>IF($C877="","",IFERROR(INDEX(Insumos!$B$2:$B$151,MATCH($C877,Insumos!$A$2:$A$151,0)),"Código no cargado"))</f>
        <v/>
      </c>
      <c r="E877" s="21">
        <f>IF($C877="","",IFERROR(INDEX(Insumos!$C$2:$C$151,MATCH($C877,Insumos!$A$2:$A$151,0)),""))</f>
        <v/>
      </c>
      <c r="F877" s="21">
        <f>IF($C877="","",IFERROR(INDEX(Insumos!$D$2:$D$151,MATCH($C877,Insumos!$A$2:$A$151,0)),""))</f>
        <v/>
      </c>
      <c r="G877" s="18" t="n"/>
      <c r="H877" s="19">
        <f>IF(OR($A877="",$C877=""),"",IFERROR(INDEX(Insumos!$M$2:$S$151,MATCH($C877,Insumos!$A$2:$A$151,0),WEEKDAY($A877,2)),""))</f>
        <v/>
      </c>
      <c r="I877" s="19">
        <f>IF(OR($G877="",$H877=""),"",MAX(0,$H877-$G877))</f>
        <v/>
      </c>
      <c r="J877" s="21">
        <f>IF($I877="","",IF($I877=0,"OK",IF($G877&lt;=0,"Sin stock: pedir ya","Pedir o producir")))</f>
        <v/>
      </c>
      <c r="K877" s="17" t="n"/>
      <c r="L877" s="17" t="n"/>
      <c r="M877" s="21">
        <f>IF(OR($A877="",$A877&lt;&gt;'Lista para pedir'!$C$3,N($I877)&lt;=0),"",COUNTIFS($A$2:$A877,$A877,$I$2:$I877,"&gt;0"))</f>
        <v/>
      </c>
    </row>
    <row r="878">
      <c r="A878" s="20" t="n"/>
      <c r="B878" s="21">
        <f>IF($A878="","",CHOOSE(WEEKDAY($A878,2),"Lunes","Martes","Miércoles","Jueves","Viernes","Sábado","Domingo"))</f>
        <v/>
      </c>
      <c r="C878" s="17" t="n"/>
      <c r="D878" s="21">
        <f>IF($C878="","",IFERROR(INDEX(Insumos!$B$2:$B$151,MATCH($C878,Insumos!$A$2:$A$151,0)),"Código no cargado"))</f>
        <v/>
      </c>
      <c r="E878" s="21">
        <f>IF($C878="","",IFERROR(INDEX(Insumos!$C$2:$C$151,MATCH($C878,Insumos!$A$2:$A$151,0)),""))</f>
        <v/>
      </c>
      <c r="F878" s="21">
        <f>IF($C878="","",IFERROR(INDEX(Insumos!$D$2:$D$151,MATCH($C878,Insumos!$A$2:$A$151,0)),""))</f>
        <v/>
      </c>
      <c r="G878" s="18" t="n"/>
      <c r="H878" s="19">
        <f>IF(OR($A878="",$C878=""),"",IFERROR(INDEX(Insumos!$M$2:$S$151,MATCH($C878,Insumos!$A$2:$A$151,0),WEEKDAY($A878,2)),""))</f>
        <v/>
      </c>
      <c r="I878" s="19">
        <f>IF(OR($G878="",$H878=""),"",MAX(0,$H878-$G878))</f>
        <v/>
      </c>
      <c r="J878" s="21">
        <f>IF($I878="","",IF($I878=0,"OK",IF($G878&lt;=0,"Sin stock: pedir ya","Pedir o producir")))</f>
        <v/>
      </c>
      <c r="K878" s="17" t="n"/>
      <c r="L878" s="17" t="n"/>
      <c r="M878" s="21">
        <f>IF(OR($A878="",$A878&lt;&gt;'Lista para pedir'!$C$3,N($I878)&lt;=0),"",COUNTIFS($A$2:$A878,$A878,$I$2:$I878,"&gt;0"))</f>
        <v/>
      </c>
    </row>
    <row r="879">
      <c r="A879" s="20" t="n"/>
      <c r="B879" s="21">
        <f>IF($A879="","",CHOOSE(WEEKDAY($A879,2),"Lunes","Martes","Miércoles","Jueves","Viernes","Sábado","Domingo"))</f>
        <v/>
      </c>
      <c r="C879" s="17" t="n"/>
      <c r="D879" s="21">
        <f>IF($C879="","",IFERROR(INDEX(Insumos!$B$2:$B$151,MATCH($C879,Insumos!$A$2:$A$151,0)),"Código no cargado"))</f>
        <v/>
      </c>
      <c r="E879" s="21">
        <f>IF($C879="","",IFERROR(INDEX(Insumos!$C$2:$C$151,MATCH($C879,Insumos!$A$2:$A$151,0)),""))</f>
        <v/>
      </c>
      <c r="F879" s="21">
        <f>IF($C879="","",IFERROR(INDEX(Insumos!$D$2:$D$151,MATCH($C879,Insumos!$A$2:$A$151,0)),""))</f>
        <v/>
      </c>
      <c r="G879" s="18" t="n"/>
      <c r="H879" s="19">
        <f>IF(OR($A879="",$C879=""),"",IFERROR(INDEX(Insumos!$M$2:$S$151,MATCH($C879,Insumos!$A$2:$A$151,0),WEEKDAY($A879,2)),""))</f>
        <v/>
      </c>
      <c r="I879" s="19">
        <f>IF(OR($G879="",$H879=""),"",MAX(0,$H879-$G879))</f>
        <v/>
      </c>
      <c r="J879" s="21">
        <f>IF($I879="","",IF($I879=0,"OK",IF($G879&lt;=0,"Sin stock: pedir ya","Pedir o producir")))</f>
        <v/>
      </c>
      <c r="K879" s="17" t="n"/>
      <c r="L879" s="17" t="n"/>
      <c r="M879" s="21">
        <f>IF(OR($A879="",$A879&lt;&gt;'Lista para pedir'!$C$3,N($I879)&lt;=0),"",COUNTIFS($A$2:$A879,$A879,$I$2:$I879,"&gt;0"))</f>
        <v/>
      </c>
    </row>
    <row r="880">
      <c r="A880" s="20" t="n"/>
      <c r="B880" s="21">
        <f>IF($A880="","",CHOOSE(WEEKDAY($A880,2),"Lunes","Martes","Miércoles","Jueves","Viernes","Sábado","Domingo"))</f>
        <v/>
      </c>
      <c r="C880" s="17" t="n"/>
      <c r="D880" s="21">
        <f>IF($C880="","",IFERROR(INDEX(Insumos!$B$2:$B$151,MATCH($C880,Insumos!$A$2:$A$151,0)),"Código no cargado"))</f>
        <v/>
      </c>
      <c r="E880" s="21">
        <f>IF($C880="","",IFERROR(INDEX(Insumos!$C$2:$C$151,MATCH($C880,Insumos!$A$2:$A$151,0)),""))</f>
        <v/>
      </c>
      <c r="F880" s="21">
        <f>IF($C880="","",IFERROR(INDEX(Insumos!$D$2:$D$151,MATCH($C880,Insumos!$A$2:$A$151,0)),""))</f>
        <v/>
      </c>
      <c r="G880" s="18" t="n"/>
      <c r="H880" s="19">
        <f>IF(OR($A880="",$C880=""),"",IFERROR(INDEX(Insumos!$M$2:$S$151,MATCH($C880,Insumos!$A$2:$A$151,0),WEEKDAY($A880,2)),""))</f>
        <v/>
      </c>
      <c r="I880" s="19">
        <f>IF(OR($G880="",$H880=""),"",MAX(0,$H880-$G880))</f>
        <v/>
      </c>
      <c r="J880" s="21">
        <f>IF($I880="","",IF($I880=0,"OK",IF($G880&lt;=0,"Sin stock: pedir ya","Pedir o producir")))</f>
        <v/>
      </c>
      <c r="K880" s="17" t="n"/>
      <c r="L880" s="17" t="n"/>
      <c r="M880" s="21">
        <f>IF(OR($A880="",$A880&lt;&gt;'Lista para pedir'!$C$3,N($I880)&lt;=0),"",COUNTIFS($A$2:$A880,$A880,$I$2:$I880,"&gt;0"))</f>
        <v/>
      </c>
    </row>
    <row r="881">
      <c r="A881" s="20" t="n"/>
      <c r="B881" s="21">
        <f>IF($A881="","",CHOOSE(WEEKDAY($A881,2),"Lunes","Martes","Miércoles","Jueves","Viernes","Sábado","Domingo"))</f>
        <v/>
      </c>
      <c r="C881" s="17" t="n"/>
      <c r="D881" s="21">
        <f>IF($C881="","",IFERROR(INDEX(Insumos!$B$2:$B$151,MATCH($C881,Insumos!$A$2:$A$151,0)),"Código no cargado"))</f>
        <v/>
      </c>
      <c r="E881" s="21">
        <f>IF($C881="","",IFERROR(INDEX(Insumos!$C$2:$C$151,MATCH($C881,Insumos!$A$2:$A$151,0)),""))</f>
        <v/>
      </c>
      <c r="F881" s="21">
        <f>IF($C881="","",IFERROR(INDEX(Insumos!$D$2:$D$151,MATCH($C881,Insumos!$A$2:$A$151,0)),""))</f>
        <v/>
      </c>
      <c r="G881" s="18" t="n"/>
      <c r="H881" s="19">
        <f>IF(OR($A881="",$C881=""),"",IFERROR(INDEX(Insumos!$M$2:$S$151,MATCH($C881,Insumos!$A$2:$A$151,0),WEEKDAY($A881,2)),""))</f>
        <v/>
      </c>
      <c r="I881" s="19">
        <f>IF(OR($G881="",$H881=""),"",MAX(0,$H881-$G881))</f>
        <v/>
      </c>
      <c r="J881" s="21">
        <f>IF($I881="","",IF($I881=0,"OK",IF($G881&lt;=0,"Sin stock: pedir ya","Pedir o producir")))</f>
        <v/>
      </c>
      <c r="K881" s="17" t="n"/>
      <c r="L881" s="17" t="n"/>
      <c r="M881" s="21">
        <f>IF(OR($A881="",$A881&lt;&gt;'Lista para pedir'!$C$3,N($I881)&lt;=0),"",COUNTIFS($A$2:$A881,$A881,$I$2:$I881,"&gt;0"))</f>
        <v/>
      </c>
    </row>
    <row r="882">
      <c r="A882" s="20" t="n"/>
      <c r="B882" s="21">
        <f>IF($A882="","",CHOOSE(WEEKDAY($A882,2),"Lunes","Martes","Miércoles","Jueves","Viernes","Sábado","Domingo"))</f>
        <v/>
      </c>
      <c r="C882" s="17" t="n"/>
      <c r="D882" s="21">
        <f>IF($C882="","",IFERROR(INDEX(Insumos!$B$2:$B$151,MATCH($C882,Insumos!$A$2:$A$151,0)),"Código no cargado"))</f>
        <v/>
      </c>
      <c r="E882" s="21">
        <f>IF($C882="","",IFERROR(INDEX(Insumos!$C$2:$C$151,MATCH($C882,Insumos!$A$2:$A$151,0)),""))</f>
        <v/>
      </c>
      <c r="F882" s="21">
        <f>IF($C882="","",IFERROR(INDEX(Insumos!$D$2:$D$151,MATCH($C882,Insumos!$A$2:$A$151,0)),""))</f>
        <v/>
      </c>
      <c r="G882" s="18" t="n"/>
      <c r="H882" s="19">
        <f>IF(OR($A882="",$C882=""),"",IFERROR(INDEX(Insumos!$M$2:$S$151,MATCH($C882,Insumos!$A$2:$A$151,0),WEEKDAY($A882,2)),""))</f>
        <v/>
      </c>
      <c r="I882" s="19">
        <f>IF(OR($G882="",$H882=""),"",MAX(0,$H882-$G882))</f>
        <v/>
      </c>
      <c r="J882" s="21">
        <f>IF($I882="","",IF($I882=0,"OK",IF($G882&lt;=0,"Sin stock: pedir ya","Pedir o producir")))</f>
        <v/>
      </c>
      <c r="K882" s="17" t="n"/>
      <c r="L882" s="17" t="n"/>
      <c r="M882" s="21">
        <f>IF(OR($A882="",$A882&lt;&gt;'Lista para pedir'!$C$3,N($I882)&lt;=0),"",COUNTIFS($A$2:$A882,$A882,$I$2:$I882,"&gt;0"))</f>
        <v/>
      </c>
    </row>
    <row r="883">
      <c r="A883" s="20" t="n"/>
      <c r="B883" s="21">
        <f>IF($A883="","",CHOOSE(WEEKDAY($A883,2),"Lunes","Martes","Miércoles","Jueves","Viernes","Sábado","Domingo"))</f>
        <v/>
      </c>
      <c r="C883" s="17" t="n"/>
      <c r="D883" s="21">
        <f>IF($C883="","",IFERROR(INDEX(Insumos!$B$2:$B$151,MATCH($C883,Insumos!$A$2:$A$151,0)),"Código no cargado"))</f>
        <v/>
      </c>
      <c r="E883" s="21">
        <f>IF($C883="","",IFERROR(INDEX(Insumos!$C$2:$C$151,MATCH($C883,Insumos!$A$2:$A$151,0)),""))</f>
        <v/>
      </c>
      <c r="F883" s="21">
        <f>IF($C883="","",IFERROR(INDEX(Insumos!$D$2:$D$151,MATCH($C883,Insumos!$A$2:$A$151,0)),""))</f>
        <v/>
      </c>
      <c r="G883" s="18" t="n"/>
      <c r="H883" s="19">
        <f>IF(OR($A883="",$C883=""),"",IFERROR(INDEX(Insumos!$M$2:$S$151,MATCH($C883,Insumos!$A$2:$A$151,0),WEEKDAY($A883,2)),""))</f>
        <v/>
      </c>
      <c r="I883" s="19">
        <f>IF(OR($G883="",$H883=""),"",MAX(0,$H883-$G883))</f>
        <v/>
      </c>
      <c r="J883" s="21">
        <f>IF($I883="","",IF($I883=0,"OK",IF($G883&lt;=0,"Sin stock: pedir ya","Pedir o producir")))</f>
        <v/>
      </c>
      <c r="K883" s="17" t="n"/>
      <c r="L883" s="17" t="n"/>
      <c r="M883" s="21">
        <f>IF(OR($A883="",$A883&lt;&gt;'Lista para pedir'!$C$3,N($I883)&lt;=0),"",COUNTIFS($A$2:$A883,$A883,$I$2:$I883,"&gt;0"))</f>
        <v/>
      </c>
    </row>
    <row r="884">
      <c r="A884" s="20" t="n"/>
      <c r="B884" s="21">
        <f>IF($A884="","",CHOOSE(WEEKDAY($A884,2),"Lunes","Martes","Miércoles","Jueves","Viernes","Sábado","Domingo"))</f>
        <v/>
      </c>
      <c r="C884" s="17" t="n"/>
      <c r="D884" s="21">
        <f>IF($C884="","",IFERROR(INDEX(Insumos!$B$2:$B$151,MATCH($C884,Insumos!$A$2:$A$151,0)),"Código no cargado"))</f>
        <v/>
      </c>
      <c r="E884" s="21">
        <f>IF($C884="","",IFERROR(INDEX(Insumos!$C$2:$C$151,MATCH($C884,Insumos!$A$2:$A$151,0)),""))</f>
        <v/>
      </c>
      <c r="F884" s="21">
        <f>IF($C884="","",IFERROR(INDEX(Insumos!$D$2:$D$151,MATCH($C884,Insumos!$A$2:$A$151,0)),""))</f>
        <v/>
      </c>
      <c r="G884" s="18" t="n"/>
      <c r="H884" s="19">
        <f>IF(OR($A884="",$C884=""),"",IFERROR(INDEX(Insumos!$M$2:$S$151,MATCH($C884,Insumos!$A$2:$A$151,0),WEEKDAY($A884,2)),""))</f>
        <v/>
      </c>
      <c r="I884" s="19">
        <f>IF(OR($G884="",$H884=""),"",MAX(0,$H884-$G884))</f>
        <v/>
      </c>
      <c r="J884" s="21">
        <f>IF($I884="","",IF($I884=0,"OK",IF($G884&lt;=0,"Sin stock: pedir ya","Pedir o producir")))</f>
        <v/>
      </c>
      <c r="K884" s="17" t="n"/>
      <c r="L884" s="17" t="n"/>
      <c r="M884" s="21">
        <f>IF(OR($A884="",$A884&lt;&gt;'Lista para pedir'!$C$3,N($I884)&lt;=0),"",COUNTIFS($A$2:$A884,$A884,$I$2:$I884,"&gt;0"))</f>
        <v/>
      </c>
    </row>
    <row r="885">
      <c r="A885" s="20" t="n"/>
      <c r="B885" s="21">
        <f>IF($A885="","",CHOOSE(WEEKDAY($A885,2),"Lunes","Martes","Miércoles","Jueves","Viernes","Sábado","Domingo"))</f>
        <v/>
      </c>
      <c r="C885" s="17" t="n"/>
      <c r="D885" s="21">
        <f>IF($C885="","",IFERROR(INDEX(Insumos!$B$2:$B$151,MATCH($C885,Insumos!$A$2:$A$151,0)),"Código no cargado"))</f>
        <v/>
      </c>
      <c r="E885" s="21">
        <f>IF($C885="","",IFERROR(INDEX(Insumos!$C$2:$C$151,MATCH($C885,Insumos!$A$2:$A$151,0)),""))</f>
        <v/>
      </c>
      <c r="F885" s="21">
        <f>IF($C885="","",IFERROR(INDEX(Insumos!$D$2:$D$151,MATCH($C885,Insumos!$A$2:$A$151,0)),""))</f>
        <v/>
      </c>
      <c r="G885" s="18" t="n"/>
      <c r="H885" s="19">
        <f>IF(OR($A885="",$C885=""),"",IFERROR(INDEX(Insumos!$M$2:$S$151,MATCH($C885,Insumos!$A$2:$A$151,0),WEEKDAY($A885,2)),""))</f>
        <v/>
      </c>
      <c r="I885" s="19">
        <f>IF(OR($G885="",$H885=""),"",MAX(0,$H885-$G885))</f>
        <v/>
      </c>
      <c r="J885" s="21">
        <f>IF($I885="","",IF($I885=0,"OK",IF($G885&lt;=0,"Sin stock: pedir ya","Pedir o producir")))</f>
        <v/>
      </c>
      <c r="K885" s="17" t="n"/>
      <c r="L885" s="17" t="n"/>
      <c r="M885" s="21">
        <f>IF(OR($A885="",$A885&lt;&gt;'Lista para pedir'!$C$3,N($I885)&lt;=0),"",COUNTIFS($A$2:$A885,$A885,$I$2:$I885,"&gt;0"))</f>
        <v/>
      </c>
    </row>
    <row r="886">
      <c r="A886" s="20" t="n"/>
      <c r="B886" s="21">
        <f>IF($A886="","",CHOOSE(WEEKDAY($A886,2),"Lunes","Martes","Miércoles","Jueves","Viernes","Sábado","Domingo"))</f>
        <v/>
      </c>
      <c r="C886" s="17" t="n"/>
      <c r="D886" s="21">
        <f>IF($C886="","",IFERROR(INDEX(Insumos!$B$2:$B$151,MATCH($C886,Insumos!$A$2:$A$151,0)),"Código no cargado"))</f>
        <v/>
      </c>
      <c r="E886" s="21">
        <f>IF($C886="","",IFERROR(INDEX(Insumos!$C$2:$C$151,MATCH($C886,Insumos!$A$2:$A$151,0)),""))</f>
        <v/>
      </c>
      <c r="F886" s="21">
        <f>IF($C886="","",IFERROR(INDEX(Insumos!$D$2:$D$151,MATCH($C886,Insumos!$A$2:$A$151,0)),""))</f>
        <v/>
      </c>
      <c r="G886" s="18" t="n"/>
      <c r="H886" s="19">
        <f>IF(OR($A886="",$C886=""),"",IFERROR(INDEX(Insumos!$M$2:$S$151,MATCH($C886,Insumos!$A$2:$A$151,0),WEEKDAY($A886,2)),""))</f>
        <v/>
      </c>
      <c r="I886" s="19">
        <f>IF(OR($G886="",$H886=""),"",MAX(0,$H886-$G886))</f>
        <v/>
      </c>
      <c r="J886" s="21">
        <f>IF($I886="","",IF($I886=0,"OK",IF($G886&lt;=0,"Sin stock: pedir ya","Pedir o producir")))</f>
        <v/>
      </c>
      <c r="K886" s="17" t="n"/>
      <c r="L886" s="17" t="n"/>
      <c r="M886" s="21">
        <f>IF(OR($A886="",$A886&lt;&gt;'Lista para pedir'!$C$3,N($I886)&lt;=0),"",COUNTIFS($A$2:$A886,$A886,$I$2:$I886,"&gt;0"))</f>
        <v/>
      </c>
    </row>
    <row r="887">
      <c r="A887" s="20" t="n"/>
      <c r="B887" s="21">
        <f>IF($A887="","",CHOOSE(WEEKDAY($A887,2),"Lunes","Martes","Miércoles","Jueves","Viernes","Sábado","Domingo"))</f>
        <v/>
      </c>
      <c r="C887" s="17" t="n"/>
      <c r="D887" s="21">
        <f>IF($C887="","",IFERROR(INDEX(Insumos!$B$2:$B$151,MATCH($C887,Insumos!$A$2:$A$151,0)),"Código no cargado"))</f>
        <v/>
      </c>
      <c r="E887" s="21">
        <f>IF($C887="","",IFERROR(INDEX(Insumos!$C$2:$C$151,MATCH($C887,Insumos!$A$2:$A$151,0)),""))</f>
        <v/>
      </c>
      <c r="F887" s="21">
        <f>IF($C887="","",IFERROR(INDEX(Insumos!$D$2:$D$151,MATCH($C887,Insumos!$A$2:$A$151,0)),""))</f>
        <v/>
      </c>
      <c r="G887" s="18" t="n"/>
      <c r="H887" s="19">
        <f>IF(OR($A887="",$C887=""),"",IFERROR(INDEX(Insumos!$M$2:$S$151,MATCH($C887,Insumos!$A$2:$A$151,0),WEEKDAY($A887,2)),""))</f>
        <v/>
      </c>
      <c r="I887" s="19">
        <f>IF(OR($G887="",$H887=""),"",MAX(0,$H887-$G887))</f>
        <v/>
      </c>
      <c r="J887" s="21">
        <f>IF($I887="","",IF($I887=0,"OK",IF($G887&lt;=0,"Sin stock: pedir ya","Pedir o producir")))</f>
        <v/>
      </c>
      <c r="K887" s="17" t="n"/>
      <c r="L887" s="17" t="n"/>
      <c r="M887" s="21">
        <f>IF(OR($A887="",$A887&lt;&gt;'Lista para pedir'!$C$3,N($I887)&lt;=0),"",COUNTIFS($A$2:$A887,$A887,$I$2:$I887,"&gt;0"))</f>
        <v/>
      </c>
    </row>
    <row r="888">
      <c r="A888" s="20" t="n"/>
      <c r="B888" s="21">
        <f>IF($A888="","",CHOOSE(WEEKDAY($A888,2),"Lunes","Martes","Miércoles","Jueves","Viernes","Sábado","Domingo"))</f>
        <v/>
      </c>
      <c r="C888" s="17" t="n"/>
      <c r="D888" s="21">
        <f>IF($C888="","",IFERROR(INDEX(Insumos!$B$2:$B$151,MATCH($C888,Insumos!$A$2:$A$151,0)),"Código no cargado"))</f>
        <v/>
      </c>
      <c r="E888" s="21">
        <f>IF($C888="","",IFERROR(INDEX(Insumos!$C$2:$C$151,MATCH($C888,Insumos!$A$2:$A$151,0)),""))</f>
        <v/>
      </c>
      <c r="F888" s="21">
        <f>IF($C888="","",IFERROR(INDEX(Insumos!$D$2:$D$151,MATCH($C888,Insumos!$A$2:$A$151,0)),""))</f>
        <v/>
      </c>
      <c r="G888" s="18" t="n"/>
      <c r="H888" s="19">
        <f>IF(OR($A888="",$C888=""),"",IFERROR(INDEX(Insumos!$M$2:$S$151,MATCH($C888,Insumos!$A$2:$A$151,0),WEEKDAY($A888,2)),""))</f>
        <v/>
      </c>
      <c r="I888" s="19">
        <f>IF(OR($G888="",$H888=""),"",MAX(0,$H888-$G888))</f>
        <v/>
      </c>
      <c r="J888" s="21">
        <f>IF($I888="","",IF($I888=0,"OK",IF($G888&lt;=0,"Sin stock: pedir ya","Pedir o producir")))</f>
        <v/>
      </c>
      <c r="K888" s="17" t="n"/>
      <c r="L888" s="17" t="n"/>
      <c r="M888" s="21">
        <f>IF(OR($A888="",$A888&lt;&gt;'Lista para pedir'!$C$3,N($I888)&lt;=0),"",COUNTIFS($A$2:$A888,$A888,$I$2:$I888,"&gt;0"))</f>
        <v/>
      </c>
    </row>
    <row r="889">
      <c r="A889" s="20" t="n"/>
      <c r="B889" s="21">
        <f>IF($A889="","",CHOOSE(WEEKDAY($A889,2),"Lunes","Martes","Miércoles","Jueves","Viernes","Sábado","Domingo"))</f>
        <v/>
      </c>
      <c r="C889" s="17" t="n"/>
      <c r="D889" s="21">
        <f>IF($C889="","",IFERROR(INDEX(Insumos!$B$2:$B$151,MATCH($C889,Insumos!$A$2:$A$151,0)),"Código no cargado"))</f>
        <v/>
      </c>
      <c r="E889" s="21">
        <f>IF($C889="","",IFERROR(INDEX(Insumos!$C$2:$C$151,MATCH($C889,Insumos!$A$2:$A$151,0)),""))</f>
        <v/>
      </c>
      <c r="F889" s="21">
        <f>IF($C889="","",IFERROR(INDEX(Insumos!$D$2:$D$151,MATCH($C889,Insumos!$A$2:$A$151,0)),""))</f>
        <v/>
      </c>
      <c r="G889" s="18" t="n"/>
      <c r="H889" s="19">
        <f>IF(OR($A889="",$C889=""),"",IFERROR(INDEX(Insumos!$M$2:$S$151,MATCH($C889,Insumos!$A$2:$A$151,0),WEEKDAY($A889,2)),""))</f>
        <v/>
      </c>
      <c r="I889" s="19">
        <f>IF(OR($G889="",$H889=""),"",MAX(0,$H889-$G889))</f>
        <v/>
      </c>
      <c r="J889" s="21">
        <f>IF($I889="","",IF($I889=0,"OK",IF($G889&lt;=0,"Sin stock: pedir ya","Pedir o producir")))</f>
        <v/>
      </c>
      <c r="K889" s="17" t="n"/>
      <c r="L889" s="17" t="n"/>
      <c r="M889" s="21">
        <f>IF(OR($A889="",$A889&lt;&gt;'Lista para pedir'!$C$3,N($I889)&lt;=0),"",COUNTIFS($A$2:$A889,$A889,$I$2:$I889,"&gt;0"))</f>
        <v/>
      </c>
    </row>
    <row r="890">
      <c r="A890" s="20" t="n"/>
      <c r="B890" s="21">
        <f>IF($A890="","",CHOOSE(WEEKDAY($A890,2),"Lunes","Martes","Miércoles","Jueves","Viernes","Sábado","Domingo"))</f>
        <v/>
      </c>
      <c r="C890" s="17" t="n"/>
      <c r="D890" s="21">
        <f>IF($C890="","",IFERROR(INDEX(Insumos!$B$2:$B$151,MATCH($C890,Insumos!$A$2:$A$151,0)),"Código no cargado"))</f>
        <v/>
      </c>
      <c r="E890" s="21">
        <f>IF($C890="","",IFERROR(INDEX(Insumos!$C$2:$C$151,MATCH($C890,Insumos!$A$2:$A$151,0)),""))</f>
        <v/>
      </c>
      <c r="F890" s="21">
        <f>IF($C890="","",IFERROR(INDEX(Insumos!$D$2:$D$151,MATCH($C890,Insumos!$A$2:$A$151,0)),""))</f>
        <v/>
      </c>
      <c r="G890" s="18" t="n"/>
      <c r="H890" s="19">
        <f>IF(OR($A890="",$C890=""),"",IFERROR(INDEX(Insumos!$M$2:$S$151,MATCH($C890,Insumos!$A$2:$A$151,0),WEEKDAY($A890,2)),""))</f>
        <v/>
      </c>
      <c r="I890" s="19">
        <f>IF(OR($G890="",$H890=""),"",MAX(0,$H890-$G890))</f>
        <v/>
      </c>
      <c r="J890" s="21">
        <f>IF($I890="","",IF($I890=0,"OK",IF($G890&lt;=0,"Sin stock: pedir ya","Pedir o producir")))</f>
        <v/>
      </c>
      <c r="K890" s="17" t="n"/>
      <c r="L890" s="17" t="n"/>
      <c r="M890" s="21">
        <f>IF(OR($A890="",$A890&lt;&gt;'Lista para pedir'!$C$3,N($I890)&lt;=0),"",COUNTIFS($A$2:$A890,$A890,$I$2:$I890,"&gt;0"))</f>
        <v/>
      </c>
    </row>
    <row r="891">
      <c r="A891" s="20" t="n"/>
      <c r="B891" s="21">
        <f>IF($A891="","",CHOOSE(WEEKDAY($A891,2),"Lunes","Martes","Miércoles","Jueves","Viernes","Sábado","Domingo"))</f>
        <v/>
      </c>
      <c r="C891" s="17" t="n"/>
      <c r="D891" s="21">
        <f>IF($C891="","",IFERROR(INDEX(Insumos!$B$2:$B$151,MATCH($C891,Insumos!$A$2:$A$151,0)),"Código no cargado"))</f>
        <v/>
      </c>
      <c r="E891" s="21">
        <f>IF($C891="","",IFERROR(INDEX(Insumos!$C$2:$C$151,MATCH($C891,Insumos!$A$2:$A$151,0)),""))</f>
        <v/>
      </c>
      <c r="F891" s="21">
        <f>IF($C891="","",IFERROR(INDEX(Insumos!$D$2:$D$151,MATCH($C891,Insumos!$A$2:$A$151,0)),""))</f>
        <v/>
      </c>
      <c r="G891" s="18" t="n"/>
      <c r="H891" s="19">
        <f>IF(OR($A891="",$C891=""),"",IFERROR(INDEX(Insumos!$M$2:$S$151,MATCH($C891,Insumos!$A$2:$A$151,0),WEEKDAY($A891,2)),""))</f>
        <v/>
      </c>
      <c r="I891" s="19">
        <f>IF(OR($G891="",$H891=""),"",MAX(0,$H891-$G891))</f>
        <v/>
      </c>
      <c r="J891" s="21">
        <f>IF($I891="","",IF($I891=0,"OK",IF($G891&lt;=0,"Sin stock: pedir ya","Pedir o producir")))</f>
        <v/>
      </c>
      <c r="K891" s="17" t="n"/>
      <c r="L891" s="17" t="n"/>
      <c r="M891" s="21">
        <f>IF(OR($A891="",$A891&lt;&gt;'Lista para pedir'!$C$3,N($I891)&lt;=0),"",COUNTIFS($A$2:$A891,$A891,$I$2:$I891,"&gt;0"))</f>
        <v/>
      </c>
    </row>
    <row r="892">
      <c r="A892" s="20" t="n"/>
      <c r="B892" s="21">
        <f>IF($A892="","",CHOOSE(WEEKDAY($A892,2),"Lunes","Martes","Miércoles","Jueves","Viernes","Sábado","Domingo"))</f>
        <v/>
      </c>
      <c r="C892" s="17" t="n"/>
      <c r="D892" s="21">
        <f>IF($C892="","",IFERROR(INDEX(Insumos!$B$2:$B$151,MATCH($C892,Insumos!$A$2:$A$151,0)),"Código no cargado"))</f>
        <v/>
      </c>
      <c r="E892" s="21">
        <f>IF($C892="","",IFERROR(INDEX(Insumos!$C$2:$C$151,MATCH($C892,Insumos!$A$2:$A$151,0)),""))</f>
        <v/>
      </c>
      <c r="F892" s="21">
        <f>IF($C892="","",IFERROR(INDEX(Insumos!$D$2:$D$151,MATCH($C892,Insumos!$A$2:$A$151,0)),""))</f>
        <v/>
      </c>
      <c r="G892" s="18" t="n"/>
      <c r="H892" s="19">
        <f>IF(OR($A892="",$C892=""),"",IFERROR(INDEX(Insumos!$M$2:$S$151,MATCH($C892,Insumos!$A$2:$A$151,0),WEEKDAY($A892,2)),""))</f>
        <v/>
      </c>
      <c r="I892" s="19">
        <f>IF(OR($G892="",$H892=""),"",MAX(0,$H892-$G892))</f>
        <v/>
      </c>
      <c r="J892" s="21">
        <f>IF($I892="","",IF($I892=0,"OK",IF($G892&lt;=0,"Sin stock: pedir ya","Pedir o producir")))</f>
        <v/>
      </c>
      <c r="K892" s="17" t="n"/>
      <c r="L892" s="17" t="n"/>
      <c r="M892" s="21">
        <f>IF(OR($A892="",$A892&lt;&gt;'Lista para pedir'!$C$3,N($I892)&lt;=0),"",COUNTIFS($A$2:$A892,$A892,$I$2:$I892,"&gt;0"))</f>
        <v/>
      </c>
    </row>
    <row r="893">
      <c r="A893" s="20" t="n"/>
      <c r="B893" s="21">
        <f>IF($A893="","",CHOOSE(WEEKDAY($A893,2),"Lunes","Martes","Miércoles","Jueves","Viernes","Sábado","Domingo"))</f>
        <v/>
      </c>
      <c r="C893" s="17" t="n"/>
      <c r="D893" s="21">
        <f>IF($C893="","",IFERROR(INDEX(Insumos!$B$2:$B$151,MATCH($C893,Insumos!$A$2:$A$151,0)),"Código no cargado"))</f>
        <v/>
      </c>
      <c r="E893" s="21">
        <f>IF($C893="","",IFERROR(INDEX(Insumos!$C$2:$C$151,MATCH($C893,Insumos!$A$2:$A$151,0)),""))</f>
        <v/>
      </c>
      <c r="F893" s="21">
        <f>IF($C893="","",IFERROR(INDEX(Insumos!$D$2:$D$151,MATCH($C893,Insumos!$A$2:$A$151,0)),""))</f>
        <v/>
      </c>
      <c r="G893" s="18" t="n"/>
      <c r="H893" s="19">
        <f>IF(OR($A893="",$C893=""),"",IFERROR(INDEX(Insumos!$M$2:$S$151,MATCH($C893,Insumos!$A$2:$A$151,0),WEEKDAY($A893,2)),""))</f>
        <v/>
      </c>
      <c r="I893" s="19">
        <f>IF(OR($G893="",$H893=""),"",MAX(0,$H893-$G893))</f>
        <v/>
      </c>
      <c r="J893" s="21">
        <f>IF($I893="","",IF($I893=0,"OK",IF($G893&lt;=0,"Sin stock: pedir ya","Pedir o producir")))</f>
        <v/>
      </c>
      <c r="K893" s="17" t="n"/>
      <c r="L893" s="17" t="n"/>
      <c r="M893" s="21">
        <f>IF(OR($A893="",$A893&lt;&gt;'Lista para pedir'!$C$3,N($I893)&lt;=0),"",COUNTIFS($A$2:$A893,$A893,$I$2:$I893,"&gt;0"))</f>
        <v/>
      </c>
    </row>
    <row r="894">
      <c r="A894" s="20" t="n"/>
      <c r="B894" s="21">
        <f>IF($A894="","",CHOOSE(WEEKDAY($A894,2),"Lunes","Martes","Miércoles","Jueves","Viernes","Sábado","Domingo"))</f>
        <v/>
      </c>
      <c r="C894" s="17" t="n"/>
      <c r="D894" s="21">
        <f>IF($C894="","",IFERROR(INDEX(Insumos!$B$2:$B$151,MATCH($C894,Insumos!$A$2:$A$151,0)),"Código no cargado"))</f>
        <v/>
      </c>
      <c r="E894" s="21">
        <f>IF($C894="","",IFERROR(INDEX(Insumos!$C$2:$C$151,MATCH($C894,Insumos!$A$2:$A$151,0)),""))</f>
        <v/>
      </c>
      <c r="F894" s="21">
        <f>IF($C894="","",IFERROR(INDEX(Insumos!$D$2:$D$151,MATCH($C894,Insumos!$A$2:$A$151,0)),""))</f>
        <v/>
      </c>
      <c r="G894" s="18" t="n"/>
      <c r="H894" s="19">
        <f>IF(OR($A894="",$C894=""),"",IFERROR(INDEX(Insumos!$M$2:$S$151,MATCH($C894,Insumos!$A$2:$A$151,0),WEEKDAY($A894,2)),""))</f>
        <v/>
      </c>
      <c r="I894" s="19">
        <f>IF(OR($G894="",$H894=""),"",MAX(0,$H894-$G894))</f>
        <v/>
      </c>
      <c r="J894" s="21">
        <f>IF($I894="","",IF($I894=0,"OK",IF($G894&lt;=0,"Sin stock: pedir ya","Pedir o producir")))</f>
        <v/>
      </c>
      <c r="K894" s="17" t="n"/>
      <c r="L894" s="17" t="n"/>
      <c r="M894" s="21">
        <f>IF(OR($A894="",$A894&lt;&gt;'Lista para pedir'!$C$3,N($I894)&lt;=0),"",COUNTIFS($A$2:$A894,$A894,$I$2:$I894,"&gt;0"))</f>
        <v/>
      </c>
    </row>
    <row r="895">
      <c r="A895" s="20" t="n"/>
      <c r="B895" s="21">
        <f>IF($A895="","",CHOOSE(WEEKDAY($A895,2),"Lunes","Martes","Miércoles","Jueves","Viernes","Sábado","Domingo"))</f>
        <v/>
      </c>
      <c r="C895" s="17" t="n"/>
      <c r="D895" s="21">
        <f>IF($C895="","",IFERROR(INDEX(Insumos!$B$2:$B$151,MATCH($C895,Insumos!$A$2:$A$151,0)),"Código no cargado"))</f>
        <v/>
      </c>
      <c r="E895" s="21">
        <f>IF($C895="","",IFERROR(INDEX(Insumos!$C$2:$C$151,MATCH($C895,Insumos!$A$2:$A$151,0)),""))</f>
        <v/>
      </c>
      <c r="F895" s="21">
        <f>IF($C895="","",IFERROR(INDEX(Insumos!$D$2:$D$151,MATCH($C895,Insumos!$A$2:$A$151,0)),""))</f>
        <v/>
      </c>
      <c r="G895" s="18" t="n"/>
      <c r="H895" s="19">
        <f>IF(OR($A895="",$C895=""),"",IFERROR(INDEX(Insumos!$M$2:$S$151,MATCH($C895,Insumos!$A$2:$A$151,0),WEEKDAY($A895,2)),""))</f>
        <v/>
      </c>
      <c r="I895" s="19">
        <f>IF(OR($G895="",$H895=""),"",MAX(0,$H895-$G895))</f>
        <v/>
      </c>
      <c r="J895" s="21">
        <f>IF($I895="","",IF($I895=0,"OK",IF($G895&lt;=0,"Sin stock: pedir ya","Pedir o producir")))</f>
        <v/>
      </c>
      <c r="K895" s="17" t="n"/>
      <c r="L895" s="17" t="n"/>
      <c r="M895" s="21">
        <f>IF(OR($A895="",$A895&lt;&gt;'Lista para pedir'!$C$3,N($I895)&lt;=0),"",COUNTIFS($A$2:$A895,$A895,$I$2:$I895,"&gt;0"))</f>
        <v/>
      </c>
    </row>
    <row r="896">
      <c r="A896" s="20" t="n"/>
      <c r="B896" s="21">
        <f>IF($A896="","",CHOOSE(WEEKDAY($A896,2),"Lunes","Martes","Miércoles","Jueves","Viernes","Sábado","Domingo"))</f>
        <v/>
      </c>
      <c r="C896" s="17" t="n"/>
      <c r="D896" s="21">
        <f>IF($C896="","",IFERROR(INDEX(Insumos!$B$2:$B$151,MATCH($C896,Insumos!$A$2:$A$151,0)),"Código no cargado"))</f>
        <v/>
      </c>
      <c r="E896" s="21">
        <f>IF($C896="","",IFERROR(INDEX(Insumos!$C$2:$C$151,MATCH($C896,Insumos!$A$2:$A$151,0)),""))</f>
        <v/>
      </c>
      <c r="F896" s="21">
        <f>IF($C896="","",IFERROR(INDEX(Insumos!$D$2:$D$151,MATCH($C896,Insumos!$A$2:$A$151,0)),""))</f>
        <v/>
      </c>
      <c r="G896" s="18" t="n"/>
      <c r="H896" s="19">
        <f>IF(OR($A896="",$C896=""),"",IFERROR(INDEX(Insumos!$M$2:$S$151,MATCH($C896,Insumos!$A$2:$A$151,0),WEEKDAY($A896,2)),""))</f>
        <v/>
      </c>
      <c r="I896" s="19">
        <f>IF(OR($G896="",$H896=""),"",MAX(0,$H896-$G896))</f>
        <v/>
      </c>
      <c r="J896" s="21">
        <f>IF($I896="","",IF($I896=0,"OK",IF($G896&lt;=0,"Sin stock: pedir ya","Pedir o producir")))</f>
        <v/>
      </c>
      <c r="K896" s="17" t="n"/>
      <c r="L896" s="17" t="n"/>
      <c r="M896" s="21">
        <f>IF(OR($A896="",$A896&lt;&gt;'Lista para pedir'!$C$3,N($I896)&lt;=0),"",COUNTIFS($A$2:$A896,$A896,$I$2:$I896,"&gt;0"))</f>
        <v/>
      </c>
    </row>
    <row r="897">
      <c r="A897" s="20" t="n"/>
      <c r="B897" s="21">
        <f>IF($A897="","",CHOOSE(WEEKDAY($A897,2),"Lunes","Martes","Miércoles","Jueves","Viernes","Sábado","Domingo"))</f>
        <v/>
      </c>
      <c r="C897" s="17" t="n"/>
      <c r="D897" s="21">
        <f>IF($C897="","",IFERROR(INDEX(Insumos!$B$2:$B$151,MATCH($C897,Insumos!$A$2:$A$151,0)),"Código no cargado"))</f>
        <v/>
      </c>
      <c r="E897" s="21">
        <f>IF($C897="","",IFERROR(INDEX(Insumos!$C$2:$C$151,MATCH($C897,Insumos!$A$2:$A$151,0)),""))</f>
        <v/>
      </c>
      <c r="F897" s="21">
        <f>IF($C897="","",IFERROR(INDEX(Insumos!$D$2:$D$151,MATCH($C897,Insumos!$A$2:$A$151,0)),""))</f>
        <v/>
      </c>
      <c r="G897" s="18" t="n"/>
      <c r="H897" s="19">
        <f>IF(OR($A897="",$C897=""),"",IFERROR(INDEX(Insumos!$M$2:$S$151,MATCH($C897,Insumos!$A$2:$A$151,0),WEEKDAY($A897,2)),""))</f>
        <v/>
      </c>
      <c r="I897" s="19">
        <f>IF(OR($G897="",$H897=""),"",MAX(0,$H897-$G897))</f>
        <v/>
      </c>
      <c r="J897" s="21">
        <f>IF($I897="","",IF($I897=0,"OK",IF($G897&lt;=0,"Sin stock: pedir ya","Pedir o producir")))</f>
        <v/>
      </c>
      <c r="K897" s="17" t="n"/>
      <c r="L897" s="17" t="n"/>
      <c r="M897" s="21">
        <f>IF(OR($A897="",$A897&lt;&gt;'Lista para pedir'!$C$3,N($I897)&lt;=0),"",COUNTIFS($A$2:$A897,$A897,$I$2:$I897,"&gt;0"))</f>
        <v/>
      </c>
    </row>
    <row r="898">
      <c r="A898" s="20" t="n"/>
      <c r="B898" s="21">
        <f>IF($A898="","",CHOOSE(WEEKDAY($A898,2),"Lunes","Martes","Miércoles","Jueves","Viernes","Sábado","Domingo"))</f>
        <v/>
      </c>
      <c r="C898" s="17" t="n"/>
      <c r="D898" s="21">
        <f>IF($C898="","",IFERROR(INDEX(Insumos!$B$2:$B$151,MATCH($C898,Insumos!$A$2:$A$151,0)),"Código no cargado"))</f>
        <v/>
      </c>
      <c r="E898" s="21">
        <f>IF($C898="","",IFERROR(INDEX(Insumos!$C$2:$C$151,MATCH($C898,Insumos!$A$2:$A$151,0)),""))</f>
        <v/>
      </c>
      <c r="F898" s="21">
        <f>IF($C898="","",IFERROR(INDEX(Insumos!$D$2:$D$151,MATCH($C898,Insumos!$A$2:$A$151,0)),""))</f>
        <v/>
      </c>
      <c r="G898" s="18" t="n"/>
      <c r="H898" s="19">
        <f>IF(OR($A898="",$C898=""),"",IFERROR(INDEX(Insumos!$M$2:$S$151,MATCH($C898,Insumos!$A$2:$A$151,0),WEEKDAY($A898,2)),""))</f>
        <v/>
      </c>
      <c r="I898" s="19">
        <f>IF(OR($G898="",$H898=""),"",MAX(0,$H898-$G898))</f>
        <v/>
      </c>
      <c r="J898" s="21">
        <f>IF($I898="","",IF($I898=0,"OK",IF($G898&lt;=0,"Sin stock: pedir ya","Pedir o producir")))</f>
        <v/>
      </c>
      <c r="K898" s="17" t="n"/>
      <c r="L898" s="17" t="n"/>
      <c r="M898" s="21">
        <f>IF(OR($A898="",$A898&lt;&gt;'Lista para pedir'!$C$3,N($I898)&lt;=0),"",COUNTIFS($A$2:$A898,$A898,$I$2:$I898,"&gt;0"))</f>
        <v/>
      </c>
    </row>
    <row r="899">
      <c r="A899" s="20" t="n"/>
      <c r="B899" s="21">
        <f>IF($A899="","",CHOOSE(WEEKDAY($A899,2),"Lunes","Martes","Miércoles","Jueves","Viernes","Sábado","Domingo"))</f>
        <v/>
      </c>
      <c r="C899" s="17" t="n"/>
      <c r="D899" s="21">
        <f>IF($C899="","",IFERROR(INDEX(Insumos!$B$2:$B$151,MATCH($C899,Insumos!$A$2:$A$151,0)),"Código no cargado"))</f>
        <v/>
      </c>
      <c r="E899" s="21">
        <f>IF($C899="","",IFERROR(INDEX(Insumos!$C$2:$C$151,MATCH($C899,Insumos!$A$2:$A$151,0)),""))</f>
        <v/>
      </c>
      <c r="F899" s="21">
        <f>IF($C899="","",IFERROR(INDEX(Insumos!$D$2:$D$151,MATCH($C899,Insumos!$A$2:$A$151,0)),""))</f>
        <v/>
      </c>
      <c r="G899" s="18" t="n"/>
      <c r="H899" s="19">
        <f>IF(OR($A899="",$C899=""),"",IFERROR(INDEX(Insumos!$M$2:$S$151,MATCH($C899,Insumos!$A$2:$A$151,0),WEEKDAY($A899,2)),""))</f>
        <v/>
      </c>
      <c r="I899" s="19">
        <f>IF(OR($G899="",$H899=""),"",MAX(0,$H899-$G899))</f>
        <v/>
      </c>
      <c r="J899" s="21">
        <f>IF($I899="","",IF($I899=0,"OK",IF($G899&lt;=0,"Sin stock: pedir ya","Pedir o producir")))</f>
        <v/>
      </c>
      <c r="K899" s="17" t="n"/>
      <c r="L899" s="17" t="n"/>
      <c r="M899" s="21">
        <f>IF(OR($A899="",$A899&lt;&gt;'Lista para pedir'!$C$3,N($I899)&lt;=0),"",COUNTIFS($A$2:$A899,$A899,$I$2:$I899,"&gt;0"))</f>
        <v/>
      </c>
    </row>
    <row r="900">
      <c r="A900" s="20" t="n"/>
      <c r="B900" s="21">
        <f>IF($A900="","",CHOOSE(WEEKDAY($A900,2),"Lunes","Martes","Miércoles","Jueves","Viernes","Sábado","Domingo"))</f>
        <v/>
      </c>
      <c r="C900" s="17" t="n"/>
      <c r="D900" s="21">
        <f>IF($C900="","",IFERROR(INDEX(Insumos!$B$2:$B$151,MATCH($C900,Insumos!$A$2:$A$151,0)),"Código no cargado"))</f>
        <v/>
      </c>
      <c r="E900" s="21">
        <f>IF($C900="","",IFERROR(INDEX(Insumos!$C$2:$C$151,MATCH($C900,Insumos!$A$2:$A$151,0)),""))</f>
        <v/>
      </c>
      <c r="F900" s="21">
        <f>IF($C900="","",IFERROR(INDEX(Insumos!$D$2:$D$151,MATCH($C900,Insumos!$A$2:$A$151,0)),""))</f>
        <v/>
      </c>
      <c r="G900" s="18" t="n"/>
      <c r="H900" s="19">
        <f>IF(OR($A900="",$C900=""),"",IFERROR(INDEX(Insumos!$M$2:$S$151,MATCH($C900,Insumos!$A$2:$A$151,0),WEEKDAY($A900,2)),""))</f>
        <v/>
      </c>
      <c r="I900" s="19">
        <f>IF(OR($G900="",$H900=""),"",MAX(0,$H900-$G900))</f>
        <v/>
      </c>
      <c r="J900" s="21">
        <f>IF($I900="","",IF($I900=0,"OK",IF($G900&lt;=0,"Sin stock: pedir ya","Pedir o producir")))</f>
        <v/>
      </c>
      <c r="K900" s="17" t="n"/>
      <c r="L900" s="17" t="n"/>
      <c r="M900" s="21">
        <f>IF(OR($A900="",$A900&lt;&gt;'Lista para pedir'!$C$3,N($I900)&lt;=0),"",COUNTIFS($A$2:$A900,$A900,$I$2:$I900,"&gt;0"))</f>
        <v/>
      </c>
    </row>
    <row r="901">
      <c r="A901" s="20" t="n"/>
      <c r="B901" s="21">
        <f>IF($A901="","",CHOOSE(WEEKDAY($A901,2),"Lunes","Martes","Miércoles","Jueves","Viernes","Sábado","Domingo"))</f>
        <v/>
      </c>
      <c r="C901" s="17" t="n"/>
      <c r="D901" s="21">
        <f>IF($C901="","",IFERROR(INDEX(Insumos!$B$2:$B$151,MATCH($C901,Insumos!$A$2:$A$151,0)),"Código no cargado"))</f>
        <v/>
      </c>
      <c r="E901" s="21">
        <f>IF($C901="","",IFERROR(INDEX(Insumos!$C$2:$C$151,MATCH($C901,Insumos!$A$2:$A$151,0)),""))</f>
        <v/>
      </c>
      <c r="F901" s="21">
        <f>IF($C901="","",IFERROR(INDEX(Insumos!$D$2:$D$151,MATCH($C901,Insumos!$A$2:$A$151,0)),""))</f>
        <v/>
      </c>
      <c r="G901" s="18" t="n"/>
      <c r="H901" s="19">
        <f>IF(OR($A901="",$C901=""),"",IFERROR(INDEX(Insumos!$M$2:$S$151,MATCH($C901,Insumos!$A$2:$A$151,0),WEEKDAY($A901,2)),""))</f>
        <v/>
      </c>
      <c r="I901" s="19">
        <f>IF(OR($G901="",$H901=""),"",MAX(0,$H901-$G901))</f>
        <v/>
      </c>
      <c r="J901" s="21">
        <f>IF($I901="","",IF($I901=0,"OK",IF($G901&lt;=0,"Sin stock: pedir ya","Pedir o producir")))</f>
        <v/>
      </c>
      <c r="K901" s="17" t="n"/>
      <c r="L901" s="17" t="n"/>
      <c r="M901" s="21">
        <f>IF(OR($A901="",$A901&lt;&gt;'Lista para pedir'!$C$3,N($I901)&lt;=0),"",COUNTIFS($A$2:$A901,$A901,$I$2:$I901,"&gt;0"))</f>
        <v/>
      </c>
    </row>
    <row r="902">
      <c r="A902" s="20" t="n"/>
      <c r="B902" s="21">
        <f>IF($A902="","",CHOOSE(WEEKDAY($A902,2),"Lunes","Martes","Miércoles","Jueves","Viernes","Sábado","Domingo"))</f>
        <v/>
      </c>
      <c r="C902" s="17" t="n"/>
      <c r="D902" s="21">
        <f>IF($C902="","",IFERROR(INDEX(Insumos!$B$2:$B$151,MATCH($C902,Insumos!$A$2:$A$151,0)),"Código no cargado"))</f>
        <v/>
      </c>
      <c r="E902" s="21">
        <f>IF($C902="","",IFERROR(INDEX(Insumos!$C$2:$C$151,MATCH($C902,Insumos!$A$2:$A$151,0)),""))</f>
        <v/>
      </c>
      <c r="F902" s="21">
        <f>IF($C902="","",IFERROR(INDEX(Insumos!$D$2:$D$151,MATCH($C902,Insumos!$A$2:$A$151,0)),""))</f>
        <v/>
      </c>
      <c r="G902" s="18" t="n"/>
      <c r="H902" s="19">
        <f>IF(OR($A902="",$C902=""),"",IFERROR(INDEX(Insumos!$M$2:$S$151,MATCH($C902,Insumos!$A$2:$A$151,0),WEEKDAY($A902,2)),""))</f>
        <v/>
      </c>
      <c r="I902" s="19">
        <f>IF(OR($G902="",$H902=""),"",MAX(0,$H902-$G902))</f>
        <v/>
      </c>
      <c r="J902" s="21">
        <f>IF($I902="","",IF($I902=0,"OK",IF($G902&lt;=0,"Sin stock: pedir ya","Pedir o producir")))</f>
        <v/>
      </c>
      <c r="K902" s="17" t="n"/>
      <c r="L902" s="17" t="n"/>
      <c r="M902" s="21">
        <f>IF(OR($A902="",$A902&lt;&gt;'Lista para pedir'!$C$3,N($I902)&lt;=0),"",COUNTIFS($A$2:$A902,$A902,$I$2:$I902,"&gt;0"))</f>
        <v/>
      </c>
    </row>
    <row r="903">
      <c r="A903" s="20" t="n"/>
      <c r="B903" s="21">
        <f>IF($A903="","",CHOOSE(WEEKDAY($A903,2),"Lunes","Martes","Miércoles","Jueves","Viernes","Sábado","Domingo"))</f>
        <v/>
      </c>
      <c r="C903" s="17" t="n"/>
      <c r="D903" s="21">
        <f>IF($C903="","",IFERROR(INDEX(Insumos!$B$2:$B$151,MATCH($C903,Insumos!$A$2:$A$151,0)),"Código no cargado"))</f>
        <v/>
      </c>
      <c r="E903" s="21">
        <f>IF($C903="","",IFERROR(INDEX(Insumos!$C$2:$C$151,MATCH($C903,Insumos!$A$2:$A$151,0)),""))</f>
        <v/>
      </c>
      <c r="F903" s="21">
        <f>IF($C903="","",IFERROR(INDEX(Insumos!$D$2:$D$151,MATCH($C903,Insumos!$A$2:$A$151,0)),""))</f>
        <v/>
      </c>
      <c r="G903" s="18" t="n"/>
      <c r="H903" s="19">
        <f>IF(OR($A903="",$C903=""),"",IFERROR(INDEX(Insumos!$M$2:$S$151,MATCH($C903,Insumos!$A$2:$A$151,0),WEEKDAY($A903,2)),""))</f>
        <v/>
      </c>
      <c r="I903" s="19">
        <f>IF(OR($G903="",$H903=""),"",MAX(0,$H903-$G903))</f>
        <v/>
      </c>
      <c r="J903" s="21">
        <f>IF($I903="","",IF($I903=0,"OK",IF($G903&lt;=0,"Sin stock: pedir ya","Pedir o producir")))</f>
        <v/>
      </c>
      <c r="K903" s="17" t="n"/>
      <c r="L903" s="17" t="n"/>
      <c r="M903" s="21">
        <f>IF(OR($A903="",$A903&lt;&gt;'Lista para pedir'!$C$3,N($I903)&lt;=0),"",COUNTIFS($A$2:$A903,$A903,$I$2:$I903,"&gt;0"))</f>
        <v/>
      </c>
    </row>
    <row r="904">
      <c r="A904" s="20" t="n"/>
      <c r="B904" s="21">
        <f>IF($A904="","",CHOOSE(WEEKDAY($A904,2),"Lunes","Martes","Miércoles","Jueves","Viernes","Sábado","Domingo"))</f>
        <v/>
      </c>
      <c r="C904" s="17" t="n"/>
      <c r="D904" s="21">
        <f>IF($C904="","",IFERROR(INDEX(Insumos!$B$2:$B$151,MATCH($C904,Insumos!$A$2:$A$151,0)),"Código no cargado"))</f>
        <v/>
      </c>
      <c r="E904" s="21">
        <f>IF($C904="","",IFERROR(INDEX(Insumos!$C$2:$C$151,MATCH($C904,Insumos!$A$2:$A$151,0)),""))</f>
        <v/>
      </c>
      <c r="F904" s="21">
        <f>IF($C904="","",IFERROR(INDEX(Insumos!$D$2:$D$151,MATCH($C904,Insumos!$A$2:$A$151,0)),""))</f>
        <v/>
      </c>
      <c r="G904" s="18" t="n"/>
      <c r="H904" s="19">
        <f>IF(OR($A904="",$C904=""),"",IFERROR(INDEX(Insumos!$M$2:$S$151,MATCH($C904,Insumos!$A$2:$A$151,0),WEEKDAY($A904,2)),""))</f>
        <v/>
      </c>
      <c r="I904" s="19">
        <f>IF(OR($G904="",$H904=""),"",MAX(0,$H904-$G904))</f>
        <v/>
      </c>
      <c r="J904" s="21">
        <f>IF($I904="","",IF($I904=0,"OK",IF($G904&lt;=0,"Sin stock: pedir ya","Pedir o producir")))</f>
        <v/>
      </c>
      <c r="K904" s="17" t="n"/>
      <c r="L904" s="17" t="n"/>
      <c r="M904" s="21">
        <f>IF(OR($A904="",$A904&lt;&gt;'Lista para pedir'!$C$3,N($I904)&lt;=0),"",COUNTIFS($A$2:$A904,$A904,$I$2:$I904,"&gt;0"))</f>
        <v/>
      </c>
    </row>
    <row r="905">
      <c r="A905" s="20" t="n"/>
      <c r="B905" s="21">
        <f>IF($A905="","",CHOOSE(WEEKDAY($A905,2),"Lunes","Martes","Miércoles","Jueves","Viernes","Sábado","Domingo"))</f>
        <v/>
      </c>
      <c r="C905" s="17" t="n"/>
      <c r="D905" s="21">
        <f>IF($C905="","",IFERROR(INDEX(Insumos!$B$2:$B$151,MATCH($C905,Insumos!$A$2:$A$151,0)),"Código no cargado"))</f>
        <v/>
      </c>
      <c r="E905" s="21">
        <f>IF($C905="","",IFERROR(INDEX(Insumos!$C$2:$C$151,MATCH($C905,Insumos!$A$2:$A$151,0)),""))</f>
        <v/>
      </c>
      <c r="F905" s="21">
        <f>IF($C905="","",IFERROR(INDEX(Insumos!$D$2:$D$151,MATCH($C905,Insumos!$A$2:$A$151,0)),""))</f>
        <v/>
      </c>
      <c r="G905" s="18" t="n"/>
      <c r="H905" s="19">
        <f>IF(OR($A905="",$C905=""),"",IFERROR(INDEX(Insumos!$M$2:$S$151,MATCH($C905,Insumos!$A$2:$A$151,0),WEEKDAY($A905,2)),""))</f>
        <v/>
      </c>
      <c r="I905" s="19">
        <f>IF(OR($G905="",$H905=""),"",MAX(0,$H905-$G905))</f>
        <v/>
      </c>
      <c r="J905" s="21">
        <f>IF($I905="","",IF($I905=0,"OK",IF($G905&lt;=0,"Sin stock: pedir ya","Pedir o producir")))</f>
        <v/>
      </c>
      <c r="K905" s="17" t="n"/>
      <c r="L905" s="17" t="n"/>
      <c r="M905" s="21">
        <f>IF(OR($A905="",$A905&lt;&gt;'Lista para pedir'!$C$3,N($I905)&lt;=0),"",COUNTIFS($A$2:$A905,$A905,$I$2:$I905,"&gt;0"))</f>
        <v/>
      </c>
    </row>
    <row r="906">
      <c r="A906" s="20" t="n"/>
      <c r="B906" s="21">
        <f>IF($A906="","",CHOOSE(WEEKDAY($A906,2),"Lunes","Martes","Miércoles","Jueves","Viernes","Sábado","Domingo"))</f>
        <v/>
      </c>
      <c r="C906" s="17" t="n"/>
      <c r="D906" s="21">
        <f>IF($C906="","",IFERROR(INDEX(Insumos!$B$2:$B$151,MATCH($C906,Insumos!$A$2:$A$151,0)),"Código no cargado"))</f>
        <v/>
      </c>
      <c r="E906" s="21">
        <f>IF($C906="","",IFERROR(INDEX(Insumos!$C$2:$C$151,MATCH($C906,Insumos!$A$2:$A$151,0)),""))</f>
        <v/>
      </c>
      <c r="F906" s="21">
        <f>IF($C906="","",IFERROR(INDEX(Insumos!$D$2:$D$151,MATCH($C906,Insumos!$A$2:$A$151,0)),""))</f>
        <v/>
      </c>
      <c r="G906" s="18" t="n"/>
      <c r="H906" s="19">
        <f>IF(OR($A906="",$C906=""),"",IFERROR(INDEX(Insumos!$M$2:$S$151,MATCH($C906,Insumos!$A$2:$A$151,0),WEEKDAY($A906,2)),""))</f>
        <v/>
      </c>
      <c r="I906" s="19">
        <f>IF(OR($G906="",$H906=""),"",MAX(0,$H906-$G906))</f>
        <v/>
      </c>
      <c r="J906" s="21">
        <f>IF($I906="","",IF($I906=0,"OK",IF($G906&lt;=0,"Sin stock: pedir ya","Pedir o producir")))</f>
        <v/>
      </c>
      <c r="K906" s="17" t="n"/>
      <c r="L906" s="17" t="n"/>
      <c r="M906" s="21">
        <f>IF(OR($A906="",$A906&lt;&gt;'Lista para pedir'!$C$3,N($I906)&lt;=0),"",COUNTIFS($A$2:$A906,$A906,$I$2:$I906,"&gt;0"))</f>
        <v/>
      </c>
    </row>
    <row r="907">
      <c r="A907" s="20" t="n"/>
      <c r="B907" s="21">
        <f>IF($A907="","",CHOOSE(WEEKDAY($A907,2),"Lunes","Martes","Miércoles","Jueves","Viernes","Sábado","Domingo"))</f>
        <v/>
      </c>
      <c r="C907" s="17" t="n"/>
      <c r="D907" s="21">
        <f>IF($C907="","",IFERROR(INDEX(Insumos!$B$2:$B$151,MATCH($C907,Insumos!$A$2:$A$151,0)),"Código no cargado"))</f>
        <v/>
      </c>
      <c r="E907" s="21">
        <f>IF($C907="","",IFERROR(INDEX(Insumos!$C$2:$C$151,MATCH($C907,Insumos!$A$2:$A$151,0)),""))</f>
        <v/>
      </c>
      <c r="F907" s="21">
        <f>IF($C907="","",IFERROR(INDEX(Insumos!$D$2:$D$151,MATCH($C907,Insumos!$A$2:$A$151,0)),""))</f>
        <v/>
      </c>
      <c r="G907" s="18" t="n"/>
      <c r="H907" s="19">
        <f>IF(OR($A907="",$C907=""),"",IFERROR(INDEX(Insumos!$M$2:$S$151,MATCH($C907,Insumos!$A$2:$A$151,0),WEEKDAY($A907,2)),""))</f>
        <v/>
      </c>
      <c r="I907" s="19">
        <f>IF(OR($G907="",$H907=""),"",MAX(0,$H907-$G907))</f>
        <v/>
      </c>
      <c r="J907" s="21">
        <f>IF($I907="","",IF($I907=0,"OK",IF($G907&lt;=0,"Sin stock: pedir ya","Pedir o producir")))</f>
        <v/>
      </c>
      <c r="K907" s="17" t="n"/>
      <c r="L907" s="17" t="n"/>
      <c r="M907" s="21">
        <f>IF(OR($A907="",$A907&lt;&gt;'Lista para pedir'!$C$3,N($I907)&lt;=0),"",COUNTIFS($A$2:$A907,$A907,$I$2:$I907,"&gt;0"))</f>
        <v/>
      </c>
    </row>
    <row r="908">
      <c r="A908" s="20" t="n"/>
      <c r="B908" s="21">
        <f>IF($A908="","",CHOOSE(WEEKDAY($A908,2),"Lunes","Martes","Miércoles","Jueves","Viernes","Sábado","Domingo"))</f>
        <v/>
      </c>
      <c r="C908" s="17" t="n"/>
      <c r="D908" s="21">
        <f>IF($C908="","",IFERROR(INDEX(Insumos!$B$2:$B$151,MATCH($C908,Insumos!$A$2:$A$151,0)),"Código no cargado"))</f>
        <v/>
      </c>
      <c r="E908" s="21">
        <f>IF($C908="","",IFERROR(INDEX(Insumos!$C$2:$C$151,MATCH($C908,Insumos!$A$2:$A$151,0)),""))</f>
        <v/>
      </c>
      <c r="F908" s="21">
        <f>IF($C908="","",IFERROR(INDEX(Insumos!$D$2:$D$151,MATCH($C908,Insumos!$A$2:$A$151,0)),""))</f>
        <v/>
      </c>
      <c r="G908" s="18" t="n"/>
      <c r="H908" s="19">
        <f>IF(OR($A908="",$C908=""),"",IFERROR(INDEX(Insumos!$M$2:$S$151,MATCH($C908,Insumos!$A$2:$A$151,0),WEEKDAY($A908,2)),""))</f>
        <v/>
      </c>
      <c r="I908" s="19">
        <f>IF(OR($G908="",$H908=""),"",MAX(0,$H908-$G908))</f>
        <v/>
      </c>
      <c r="J908" s="21">
        <f>IF($I908="","",IF($I908=0,"OK",IF($G908&lt;=0,"Sin stock: pedir ya","Pedir o producir")))</f>
        <v/>
      </c>
      <c r="K908" s="17" t="n"/>
      <c r="L908" s="17" t="n"/>
      <c r="M908" s="21">
        <f>IF(OR($A908="",$A908&lt;&gt;'Lista para pedir'!$C$3,N($I908)&lt;=0),"",COUNTIFS($A$2:$A908,$A908,$I$2:$I908,"&gt;0"))</f>
        <v/>
      </c>
    </row>
    <row r="909">
      <c r="A909" s="20" t="n"/>
      <c r="B909" s="21">
        <f>IF($A909="","",CHOOSE(WEEKDAY($A909,2),"Lunes","Martes","Miércoles","Jueves","Viernes","Sábado","Domingo"))</f>
        <v/>
      </c>
      <c r="C909" s="17" t="n"/>
      <c r="D909" s="21">
        <f>IF($C909="","",IFERROR(INDEX(Insumos!$B$2:$B$151,MATCH($C909,Insumos!$A$2:$A$151,0)),"Código no cargado"))</f>
        <v/>
      </c>
      <c r="E909" s="21">
        <f>IF($C909="","",IFERROR(INDEX(Insumos!$C$2:$C$151,MATCH($C909,Insumos!$A$2:$A$151,0)),""))</f>
        <v/>
      </c>
      <c r="F909" s="21">
        <f>IF($C909="","",IFERROR(INDEX(Insumos!$D$2:$D$151,MATCH($C909,Insumos!$A$2:$A$151,0)),""))</f>
        <v/>
      </c>
      <c r="G909" s="18" t="n"/>
      <c r="H909" s="19">
        <f>IF(OR($A909="",$C909=""),"",IFERROR(INDEX(Insumos!$M$2:$S$151,MATCH($C909,Insumos!$A$2:$A$151,0),WEEKDAY($A909,2)),""))</f>
        <v/>
      </c>
      <c r="I909" s="19">
        <f>IF(OR($G909="",$H909=""),"",MAX(0,$H909-$G909))</f>
        <v/>
      </c>
      <c r="J909" s="21">
        <f>IF($I909="","",IF($I909=0,"OK",IF($G909&lt;=0,"Sin stock: pedir ya","Pedir o producir")))</f>
        <v/>
      </c>
      <c r="K909" s="17" t="n"/>
      <c r="L909" s="17" t="n"/>
      <c r="M909" s="21">
        <f>IF(OR($A909="",$A909&lt;&gt;'Lista para pedir'!$C$3,N($I909)&lt;=0),"",COUNTIFS($A$2:$A909,$A909,$I$2:$I909,"&gt;0"))</f>
        <v/>
      </c>
    </row>
    <row r="910">
      <c r="A910" s="20" t="n"/>
      <c r="B910" s="21">
        <f>IF($A910="","",CHOOSE(WEEKDAY($A910,2),"Lunes","Martes","Miércoles","Jueves","Viernes","Sábado","Domingo"))</f>
        <v/>
      </c>
      <c r="C910" s="17" t="n"/>
      <c r="D910" s="21">
        <f>IF($C910="","",IFERROR(INDEX(Insumos!$B$2:$B$151,MATCH($C910,Insumos!$A$2:$A$151,0)),"Código no cargado"))</f>
        <v/>
      </c>
      <c r="E910" s="21">
        <f>IF($C910="","",IFERROR(INDEX(Insumos!$C$2:$C$151,MATCH($C910,Insumos!$A$2:$A$151,0)),""))</f>
        <v/>
      </c>
      <c r="F910" s="21">
        <f>IF($C910="","",IFERROR(INDEX(Insumos!$D$2:$D$151,MATCH($C910,Insumos!$A$2:$A$151,0)),""))</f>
        <v/>
      </c>
      <c r="G910" s="18" t="n"/>
      <c r="H910" s="19">
        <f>IF(OR($A910="",$C910=""),"",IFERROR(INDEX(Insumos!$M$2:$S$151,MATCH($C910,Insumos!$A$2:$A$151,0),WEEKDAY($A910,2)),""))</f>
        <v/>
      </c>
      <c r="I910" s="19">
        <f>IF(OR($G910="",$H910=""),"",MAX(0,$H910-$G910))</f>
        <v/>
      </c>
      <c r="J910" s="21">
        <f>IF($I910="","",IF($I910=0,"OK",IF($G910&lt;=0,"Sin stock: pedir ya","Pedir o producir")))</f>
        <v/>
      </c>
      <c r="K910" s="17" t="n"/>
      <c r="L910" s="17" t="n"/>
      <c r="M910" s="21">
        <f>IF(OR($A910="",$A910&lt;&gt;'Lista para pedir'!$C$3,N($I910)&lt;=0),"",COUNTIFS($A$2:$A910,$A910,$I$2:$I910,"&gt;0"))</f>
        <v/>
      </c>
    </row>
    <row r="911">
      <c r="A911" s="20" t="n"/>
      <c r="B911" s="21">
        <f>IF($A911="","",CHOOSE(WEEKDAY($A911,2),"Lunes","Martes","Miércoles","Jueves","Viernes","Sábado","Domingo"))</f>
        <v/>
      </c>
      <c r="C911" s="17" t="n"/>
      <c r="D911" s="21">
        <f>IF($C911="","",IFERROR(INDEX(Insumos!$B$2:$B$151,MATCH($C911,Insumos!$A$2:$A$151,0)),"Código no cargado"))</f>
        <v/>
      </c>
      <c r="E911" s="21">
        <f>IF($C911="","",IFERROR(INDEX(Insumos!$C$2:$C$151,MATCH($C911,Insumos!$A$2:$A$151,0)),""))</f>
        <v/>
      </c>
      <c r="F911" s="21">
        <f>IF($C911="","",IFERROR(INDEX(Insumos!$D$2:$D$151,MATCH($C911,Insumos!$A$2:$A$151,0)),""))</f>
        <v/>
      </c>
      <c r="G911" s="18" t="n"/>
      <c r="H911" s="19">
        <f>IF(OR($A911="",$C911=""),"",IFERROR(INDEX(Insumos!$M$2:$S$151,MATCH($C911,Insumos!$A$2:$A$151,0),WEEKDAY($A911,2)),""))</f>
        <v/>
      </c>
      <c r="I911" s="19">
        <f>IF(OR($G911="",$H911=""),"",MAX(0,$H911-$G911))</f>
        <v/>
      </c>
      <c r="J911" s="21">
        <f>IF($I911="","",IF($I911=0,"OK",IF($G911&lt;=0,"Sin stock: pedir ya","Pedir o producir")))</f>
        <v/>
      </c>
      <c r="K911" s="17" t="n"/>
      <c r="L911" s="17" t="n"/>
      <c r="M911" s="21">
        <f>IF(OR($A911="",$A911&lt;&gt;'Lista para pedir'!$C$3,N($I911)&lt;=0),"",COUNTIFS($A$2:$A911,$A911,$I$2:$I911,"&gt;0"))</f>
        <v/>
      </c>
    </row>
    <row r="912">
      <c r="A912" s="20" t="n"/>
      <c r="B912" s="21">
        <f>IF($A912="","",CHOOSE(WEEKDAY($A912,2),"Lunes","Martes","Miércoles","Jueves","Viernes","Sábado","Domingo"))</f>
        <v/>
      </c>
      <c r="C912" s="17" t="n"/>
      <c r="D912" s="21">
        <f>IF($C912="","",IFERROR(INDEX(Insumos!$B$2:$B$151,MATCH($C912,Insumos!$A$2:$A$151,0)),"Código no cargado"))</f>
        <v/>
      </c>
      <c r="E912" s="21">
        <f>IF($C912="","",IFERROR(INDEX(Insumos!$C$2:$C$151,MATCH($C912,Insumos!$A$2:$A$151,0)),""))</f>
        <v/>
      </c>
      <c r="F912" s="21">
        <f>IF($C912="","",IFERROR(INDEX(Insumos!$D$2:$D$151,MATCH($C912,Insumos!$A$2:$A$151,0)),""))</f>
        <v/>
      </c>
      <c r="G912" s="18" t="n"/>
      <c r="H912" s="19">
        <f>IF(OR($A912="",$C912=""),"",IFERROR(INDEX(Insumos!$M$2:$S$151,MATCH($C912,Insumos!$A$2:$A$151,0),WEEKDAY($A912,2)),""))</f>
        <v/>
      </c>
      <c r="I912" s="19">
        <f>IF(OR($G912="",$H912=""),"",MAX(0,$H912-$G912))</f>
        <v/>
      </c>
      <c r="J912" s="21">
        <f>IF($I912="","",IF($I912=0,"OK",IF($G912&lt;=0,"Sin stock: pedir ya","Pedir o producir")))</f>
        <v/>
      </c>
      <c r="K912" s="17" t="n"/>
      <c r="L912" s="17" t="n"/>
      <c r="M912" s="21">
        <f>IF(OR($A912="",$A912&lt;&gt;'Lista para pedir'!$C$3,N($I912)&lt;=0),"",COUNTIFS($A$2:$A912,$A912,$I$2:$I912,"&gt;0"))</f>
        <v/>
      </c>
    </row>
    <row r="913">
      <c r="A913" s="20" t="n"/>
      <c r="B913" s="21">
        <f>IF($A913="","",CHOOSE(WEEKDAY($A913,2),"Lunes","Martes","Miércoles","Jueves","Viernes","Sábado","Domingo"))</f>
        <v/>
      </c>
      <c r="C913" s="17" t="n"/>
      <c r="D913" s="21">
        <f>IF($C913="","",IFERROR(INDEX(Insumos!$B$2:$B$151,MATCH($C913,Insumos!$A$2:$A$151,0)),"Código no cargado"))</f>
        <v/>
      </c>
      <c r="E913" s="21">
        <f>IF($C913="","",IFERROR(INDEX(Insumos!$C$2:$C$151,MATCH($C913,Insumos!$A$2:$A$151,0)),""))</f>
        <v/>
      </c>
      <c r="F913" s="21">
        <f>IF($C913="","",IFERROR(INDEX(Insumos!$D$2:$D$151,MATCH($C913,Insumos!$A$2:$A$151,0)),""))</f>
        <v/>
      </c>
      <c r="G913" s="18" t="n"/>
      <c r="H913" s="19">
        <f>IF(OR($A913="",$C913=""),"",IFERROR(INDEX(Insumos!$M$2:$S$151,MATCH($C913,Insumos!$A$2:$A$151,0),WEEKDAY($A913,2)),""))</f>
        <v/>
      </c>
      <c r="I913" s="19">
        <f>IF(OR($G913="",$H913=""),"",MAX(0,$H913-$G913))</f>
        <v/>
      </c>
      <c r="J913" s="21">
        <f>IF($I913="","",IF($I913=0,"OK",IF($G913&lt;=0,"Sin stock: pedir ya","Pedir o producir")))</f>
        <v/>
      </c>
      <c r="K913" s="17" t="n"/>
      <c r="L913" s="17" t="n"/>
      <c r="M913" s="21">
        <f>IF(OR($A913="",$A913&lt;&gt;'Lista para pedir'!$C$3,N($I913)&lt;=0),"",COUNTIFS($A$2:$A913,$A913,$I$2:$I913,"&gt;0"))</f>
        <v/>
      </c>
    </row>
    <row r="914">
      <c r="A914" s="20" t="n"/>
      <c r="B914" s="21">
        <f>IF($A914="","",CHOOSE(WEEKDAY($A914,2),"Lunes","Martes","Miércoles","Jueves","Viernes","Sábado","Domingo"))</f>
        <v/>
      </c>
      <c r="C914" s="17" t="n"/>
      <c r="D914" s="21">
        <f>IF($C914="","",IFERROR(INDEX(Insumos!$B$2:$B$151,MATCH($C914,Insumos!$A$2:$A$151,0)),"Código no cargado"))</f>
        <v/>
      </c>
      <c r="E914" s="21">
        <f>IF($C914="","",IFERROR(INDEX(Insumos!$C$2:$C$151,MATCH($C914,Insumos!$A$2:$A$151,0)),""))</f>
        <v/>
      </c>
      <c r="F914" s="21">
        <f>IF($C914="","",IFERROR(INDEX(Insumos!$D$2:$D$151,MATCH($C914,Insumos!$A$2:$A$151,0)),""))</f>
        <v/>
      </c>
      <c r="G914" s="18" t="n"/>
      <c r="H914" s="19">
        <f>IF(OR($A914="",$C914=""),"",IFERROR(INDEX(Insumos!$M$2:$S$151,MATCH($C914,Insumos!$A$2:$A$151,0),WEEKDAY($A914,2)),""))</f>
        <v/>
      </c>
      <c r="I914" s="19">
        <f>IF(OR($G914="",$H914=""),"",MAX(0,$H914-$G914))</f>
        <v/>
      </c>
      <c r="J914" s="21">
        <f>IF($I914="","",IF($I914=0,"OK",IF($G914&lt;=0,"Sin stock: pedir ya","Pedir o producir")))</f>
        <v/>
      </c>
      <c r="K914" s="17" t="n"/>
      <c r="L914" s="17" t="n"/>
      <c r="M914" s="21">
        <f>IF(OR($A914="",$A914&lt;&gt;'Lista para pedir'!$C$3,N($I914)&lt;=0),"",COUNTIFS($A$2:$A914,$A914,$I$2:$I914,"&gt;0"))</f>
        <v/>
      </c>
    </row>
    <row r="915">
      <c r="A915" s="20" t="n"/>
      <c r="B915" s="21">
        <f>IF($A915="","",CHOOSE(WEEKDAY($A915,2),"Lunes","Martes","Miércoles","Jueves","Viernes","Sábado","Domingo"))</f>
        <v/>
      </c>
      <c r="C915" s="17" t="n"/>
      <c r="D915" s="21">
        <f>IF($C915="","",IFERROR(INDEX(Insumos!$B$2:$B$151,MATCH($C915,Insumos!$A$2:$A$151,0)),"Código no cargado"))</f>
        <v/>
      </c>
      <c r="E915" s="21">
        <f>IF($C915="","",IFERROR(INDEX(Insumos!$C$2:$C$151,MATCH($C915,Insumos!$A$2:$A$151,0)),""))</f>
        <v/>
      </c>
      <c r="F915" s="21">
        <f>IF($C915="","",IFERROR(INDEX(Insumos!$D$2:$D$151,MATCH($C915,Insumos!$A$2:$A$151,0)),""))</f>
        <v/>
      </c>
      <c r="G915" s="18" t="n"/>
      <c r="H915" s="19">
        <f>IF(OR($A915="",$C915=""),"",IFERROR(INDEX(Insumos!$M$2:$S$151,MATCH($C915,Insumos!$A$2:$A$151,0),WEEKDAY($A915,2)),""))</f>
        <v/>
      </c>
      <c r="I915" s="19">
        <f>IF(OR($G915="",$H915=""),"",MAX(0,$H915-$G915))</f>
        <v/>
      </c>
      <c r="J915" s="21">
        <f>IF($I915="","",IF($I915=0,"OK",IF($G915&lt;=0,"Sin stock: pedir ya","Pedir o producir")))</f>
        <v/>
      </c>
      <c r="K915" s="17" t="n"/>
      <c r="L915" s="17" t="n"/>
      <c r="M915" s="21">
        <f>IF(OR($A915="",$A915&lt;&gt;'Lista para pedir'!$C$3,N($I915)&lt;=0),"",COUNTIFS($A$2:$A915,$A915,$I$2:$I915,"&gt;0"))</f>
        <v/>
      </c>
    </row>
    <row r="916">
      <c r="A916" s="20" t="n"/>
      <c r="B916" s="21">
        <f>IF($A916="","",CHOOSE(WEEKDAY($A916,2),"Lunes","Martes","Miércoles","Jueves","Viernes","Sábado","Domingo"))</f>
        <v/>
      </c>
      <c r="C916" s="17" t="n"/>
      <c r="D916" s="21">
        <f>IF($C916="","",IFERROR(INDEX(Insumos!$B$2:$B$151,MATCH($C916,Insumos!$A$2:$A$151,0)),"Código no cargado"))</f>
        <v/>
      </c>
      <c r="E916" s="21">
        <f>IF($C916="","",IFERROR(INDEX(Insumos!$C$2:$C$151,MATCH($C916,Insumos!$A$2:$A$151,0)),""))</f>
        <v/>
      </c>
      <c r="F916" s="21">
        <f>IF($C916="","",IFERROR(INDEX(Insumos!$D$2:$D$151,MATCH($C916,Insumos!$A$2:$A$151,0)),""))</f>
        <v/>
      </c>
      <c r="G916" s="18" t="n"/>
      <c r="H916" s="19">
        <f>IF(OR($A916="",$C916=""),"",IFERROR(INDEX(Insumos!$M$2:$S$151,MATCH($C916,Insumos!$A$2:$A$151,0),WEEKDAY($A916,2)),""))</f>
        <v/>
      </c>
      <c r="I916" s="19">
        <f>IF(OR($G916="",$H916=""),"",MAX(0,$H916-$G916))</f>
        <v/>
      </c>
      <c r="J916" s="21">
        <f>IF($I916="","",IF($I916=0,"OK",IF($G916&lt;=0,"Sin stock: pedir ya","Pedir o producir")))</f>
        <v/>
      </c>
      <c r="K916" s="17" t="n"/>
      <c r="L916" s="17" t="n"/>
      <c r="M916" s="21">
        <f>IF(OR($A916="",$A916&lt;&gt;'Lista para pedir'!$C$3,N($I916)&lt;=0),"",COUNTIFS($A$2:$A916,$A916,$I$2:$I916,"&gt;0"))</f>
        <v/>
      </c>
    </row>
    <row r="917">
      <c r="A917" s="20" t="n"/>
      <c r="B917" s="21">
        <f>IF($A917="","",CHOOSE(WEEKDAY($A917,2),"Lunes","Martes","Miércoles","Jueves","Viernes","Sábado","Domingo"))</f>
        <v/>
      </c>
      <c r="C917" s="17" t="n"/>
      <c r="D917" s="21">
        <f>IF($C917="","",IFERROR(INDEX(Insumos!$B$2:$B$151,MATCH($C917,Insumos!$A$2:$A$151,0)),"Código no cargado"))</f>
        <v/>
      </c>
      <c r="E917" s="21">
        <f>IF($C917="","",IFERROR(INDEX(Insumos!$C$2:$C$151,MATCH($C917,Insumos!$A$2:$A$151,0)),""))</f>
        <v/>
      </c>
      <c r="F917" s="21">
        <f>IF($C917="","",IFERROR(INDEX(Insumos!$D$2:$D$151,MATCH($C917,Insumos!$A$2:$A$151,0)),""))</f>
        <v/>
      </c>
      <c r="G917" s="18" t="n"/>
      <c r="H917" s="19">
        <f>IF(OR($A917="",$C917=""),"",IFERROR(INDEX(Insumos!$M$2:$S$151,MATCH($C917,Insumos!$A$2:$A$151,0),WEEKDAY($A917,2)),""))</f>
        <v/>
      </c>
      <c r="I917" s="19">
        <f>IF(OR($G917="",$H917=""),"",MAX(0,$H917-$G917))</f>
        <v/>
      </c>
      <c r="J917" s="21">
        <f>IF($I917="","",IF($I917=0,"OK",IF($G917&lt;=0,"Sin stock: pedir ya","Pedir o producir")))</f>
        <v/>
      </c>
      <c r="K917" s="17" t="n"/>
      <c r="L917" s="17" t="n"/>
      <c r="M917" s="21">
        <f>IF(OR($A917="",$A917&lt;&gt;'Lista para pedir'!$C$3,N($I917)&lt;=0),"",COUNTIFS($A$2:$A917,$A917,$I$2:$I917,"&gt;0"))</f>
        <v/>
      </c>
    </row>
    <row r="918">
      <c r="A918" s="20" t="n"/>
      <c r="B918" s="21">
        <f>IF($A918="","",CHOOSE(WEEKDAY($A918,2),"Lunes","Martes","Miércoles","Jueves","Viernes","Sábado","Domingo"))</f>
        <v/>
      </c>
      <c r="C918" s="17" t="n"/>
      <c r="D918" s="21">
        <f>IF($C918="","",IFERROR(INDEX(Insumos!$B$2:$B$151,MATCH($C918,Insumos!$A$2:$A$151,0)),"Código no cargado"))</f>
        <v/>
      </c>
      <c r="E918" s="21">
        <f>IF($C918="","",IFERROR(INDEX(Insumos!$C$2:$C$151,MATCH($C918,Insumos!$A$2:$A$151,0)),""))</f>
        <v/>
      </c>
      <c r="F918" s="21">
        <f>IF($C918="","",IFERROR(INDEX(Insumos!$D$2:$D$151,MATCH($C918,Insumos!$A$2:$A$151,0)),""))</f>
        <v/>
      </c>
      <c r="G918" s="18" t="n"/>
      <c r="H918" s="19">
        <f>IF(OR($A918="",$C918=""),"",IFERROR(INDEX(Insumos!$M$2:$S$151,MATCH($C918,Insumos!$A$2:$A$151,0),WEEKDAY($A918,2)),""))</f>
        <v/>
      </c>
      <c r="I918" s="19">
        <f>IF(OR($G918="",$H918=""),"",MAX(0,$H918-$G918))</f>
        <v/>
      </c>
      <c r="J918" s="21">
        <f>IF($I918="","",IF($I918=0,"OK",IF($G918&lt;=0,"Sin stock: pedir ya","Pedir o producir")))</f>
        <v/>
      </c>
      <c r="K918" s="17" t="n"/>
      <c r="L918" s="17" t="n"/>
      <c r="M918" s="21">
        <f>IF(OR($A918="",$A918&lt;&gt;'Lista para pedir'!$C$3,N($I918)&lt;=0),"",COUNTIFS($A$2:$A918,$A918,$I$2:$I918,"&gt;0"))</f>
        <v/>
      </c>
    </row>
    <row r="919">
      <c r="A919" s="20" t="n"/>
      <c r="B919" s="21">
        <f>IF($A919="","",CHOOSE(WEEKDAY($A919,2),"Lunes","Martes","Miércoles","Jueves","Viernes","Sábado","Domingo"))</f>
        <v/>
      </c>
      <c r="C919" s="17" t="n"/>
      <c r="D919" s="21">
        <f>IF($C919="","",IFERROR(INDEX(Insumos!$B$2:$B$151,MATCH($C919,Insumos!$A$2:$A$151,0)),"Código no cargado"))</f>
        <v/>
      </c>
      <c r="E919" s="21">
        <f>IF($C919="","",IFERROR(INDEX(Insumos!$C$2:$C$151,MATCH($C919,Insumos!$A$2:$A$151,0)),""))</f>
        <v/>
      </c>
      <c r="F919" s="21">
        <f>IF($C919="","",IFERROR(INDEX(Insumos!$D$2:$D$151,MATCH($C919,Insumos!$A$2:$A$151,0)),""))</f>
        <v/>
      </c>
      <c r="G919" s="18" t="n"/>
      <c r="H919" s="19">
        <f>IF(OR($A919="",$C919=""),"",IFERROR(INDEX(Insumos!$M$2:$S$151,MATCH($C919,Insumos!$A$2:$A$151,0),WEEKDAY($A919,2)),""))</f>
        <v/>
      </c>
      <c r="I919" s="19">
        <f>IF(OR($G919="",$H919=""),"",MAX(0,$H919-$G919))</f>
        <v/>
      </c>
      <c r="J919" s="21">
        <f>IF($I919="","",IF($I919=0,"OK",IF($G919&lt;=0,"Sin stock: pedir ya","Pedir o producir")))</f>
        <v/>
      </c>
      <c r="K919" s="17" t="n"/>
      <c r="L919" s="17" t="n"/>
      <c r="M919" s="21">
        <f>IF(OR($A919="",$A919&lt;&gt;'Lista para pedir'!$C$3,N($I919)&lt;=0),"",COUNTIFS($A$2:$A919,$A919,$I$2:$I919,"&gt;0"))</f>
        <v/>
      </c>
    </row>
    <row r="920">
      <c r="A920" s="20" t="n"/>
      <c r="B920" s="21">
        <f>IF($A920="","",CHOOSE(WEEKDAY($A920,2),"Lunes","Martes","Miércoles","Jueves","Viernes","Sábado","Domingo"))</f>
        <v/>
      </c>
      <c r="C920" s="17" t="n"/>
      <c r="D920" s="21">
        <f>IF($C920="","",IFERROR(INDEX(Insumos!$B$2:$B$151,MATCH($C920,Insumos!$A$2:$A$151,0)),"Código no cargado"))</f>
        <v/>
      </c>
      <c r="E920" s="21">
        <f>IF($C920="","",IFERROR(INDEX(Insumos!$C$2:$C$151,MATCH($C920,Insumos!$A$2:$A$151,0)),""))</f>
        <v/>
      </c>
      <c r="F920" s="21">
        <f>IF($C920="","",IFERROR(INDEX(Insumos!$D$2:$D$151,MATCH($C920,Insumos!$A$2:$A$151,0)),""))</f>
        <v/>
      </c>
      <c r="G920" s="18" t="n"/>
      <c r="H920" s="19">
        <f>IF(OR($A920="",$C920=""),"",IFERROR(INDEX(Insumos!$M$2:$S$151,MATCH($C920,Insumos!$A$2:$A$151,0),WEEKDAY($A920,2)),""))</f>
        <v/>
      </c>
      <c r="I920" s="19">
        <f>IF(OR($G920="",$H920=""),"",MAX(0,$H920-$G920))</f>
        <v/>
      </c>
      <c r="J920" s="21">
        <f>IF($I920="","",IF($I920=0,"OK",IF($G920&lt;=0,"Sin stock: pedir ya","Pedir o producir")))</f>
        <v/>
      </c>
      <c r="K920" s="17" t="n"/>
      <c r="L920" s="17" t="n"/>
      <c r="M920" s="21">
        <f>IF(OR($A920="",$A920&lt;&gt;'Lista para pedir'!$C$3,N($I920)&lt;=0),"",COUNTIFS($A$2:$A920,$A920,$I$2:$I920,"&gt;0"))</f>
        <v/>
      </c>
    </row>
    <row r="921">
      <c r="A921" s="20" t="n"/>
      <c r="B921" s="21">
        <f>IF($A921="","",CHOOSE(WEEKDAY($A921,2),"Lunes","Martes","Miércoles","Jueves","Viernes","Sábado","Domingo"))</f>
        <v/>
      </c>
      <c r="C921" s="17" t="n"/>
      <c r="D921" s="21">
        <f>IF($C921="","",IFERROR(INDEX(Insumos!$B$2:$B$151,MATCH($C921,Insumos!$A$2:$A$151,0)),"Código no cargado"))</f>
        <v/>
      </c>
      <c r="E921" s="21">
        <f>IF($C921="","",IFERROR(INDEX(Insumos!$C$2:$C$151,MATCH($C921,Insumos!$A$2:$A$151,0)),""))</f>
        <v/>
      </c>
      <c r="F921" s="21">
        <f>IF($C921="","",IFERROR(INDEX(Insumos!$D$2:$D$151,MATCH($C921,Insumos!$A$2:$A$151,0)),""))</f>
        <v/>
      </c>
      <c r="G921" s="18" t="n"/>
      <c r="H921" s="19">
        <f>IF(OR($A921="",$C921=""),"",IFERROR(INDEX(Insumos!$M$2:$S$151,MATCH($C921,Insumos!$A$2:$A$151,0),WEEKDAY($A921,2)),""))</f>
        <v/>
      </c>
      <c r="I921" s="19">
        <f>IF(OR($G921="",$H921=""),"",MAX(0,$H921-$G921))</f>
        <v/>
      </c>
      <c r="J921" s="21">
        <f>IF($I921="","",IF($I921=0,"OK",IF($G921&lt;=0,"Sin stock: pedir ya","Pedir o producir")))</f>
        <v/>
      </c>
      <c r="K921" s="17" t="n"/>
      <c r="L921" s="17" t="n"/>
      <c r="M921" s="21">
        <f>IF(OR($A921="",$A921&lt;&gt;'Lista para pedir'!$C$3,N($I921)&lt;=0),"",COUNTIFS($A$2:$A921,$A921,$I$2:$I921,"&gt;0"))</f>
        <v/>
      </c>
    </row>
    <row r="922">
      <c r="A922" s="20" t="n"/>
      <c r="B922" s="21">
        <f>IF($A922="","",CHOOSE(WEEKDAY($A922,2),"Lunes","Martes","Miércoles","Jueves","Viernes","Sábado","Domingo"))</f>
        <v/>
      </c>
      <c r="C922" s="17" t="n"/>
      <c r="D922" s="21">
        <f>IF($C922="","",IFERROR(INDEX(Insumos!$B$2:$B$151,MATCH($C922,Insumos!$A$2:$A$151,0)),"Código no cargado"))</f>
        <v/>
      </c>
      <c r="E922" s="21">
        <f>IF($C922="","",IFERROR(INDEX(Insumos!$C$2:$C$151,MATCH($C922,Insumos!$A$2:$A$151,0)),""))</f>
        <v/>
      </c>
      <c r="F922" s="21">
        <f>IF($C922="","",IFERROR(INDEX(Insumos!$D$2:$D$151,MATCH($C922,Insumos!$A$2:$A$151,0)),""))</f>
        <v/>
      </c>
      <c r="G922" s="18" t="n"/>
      <c r="H922" s="19">
        <f>IF(OR($A922="",$C922=""),"",IFERROR(INDEX(Insumos!$M$2:$S$151,MATCH($C922,Insumos!$A$2:$A$151,0),WEEKDAY($A922,2)),""))</f>
        <v/>
      </c>
      <c r="I922" s="19">
        <f>IF(OR($G922="",$H922=""),"",MAX(0,$H922-$G922))</f>
        <v/>
      </c>
      <c r="J922" s="21">
        <f>IF($I922="","",IF($I922=0,"OK",IF($G922&lt;=0,"Sin stock: pedir ya","Pedir o producir")))</f>
        <v/>
      </c>
      <c r="K922" s="17" t="n"/>
      <c r="L922" s="17" t="n"/>
      <c r="M922" s="21">
        <f>IF(OR($A922="",$A922&lt;&gt;'Lista para pedir'!$C$3,N($I922)&lt;=0),"",COUNTIFS($A$2:$A922,$A922,$I$2:$I922,"&gt;0"))</f>
        <v/>
      </c>
    </row>
    <row r="923">
      <c r="A923" s="20" t="n"/>
      <c r="B923" s="21">
        <f>IF($A923="","",CHOOSE(WEEKDAY($A923,2),"Lunes","Martes","Miércoles","Jueves","Viernes","Sábado","Domingo"))</f>
        <v/>
      </c>
      <c r="C923" s="17" t="n"/>
      <c r="D923" s="21">
        <f>IF($C923="","",IFERROR(INDEX(Insumos!$B$2:$B$151,MATCH($C923,Insumos!$A$2:$A$151,0)),"Código no cargado"))</f>
        <v/>
      </c>
      <c r="E923" s="21">
        <f>IF($C923="","",IFERROR(INDEX(Insumos!$C$2:$C$151,MATCH($C923,Insumos!$A$2:$A$151,0)),""))</f>
        <v/>
      </c>
      <c r="F923" s="21">
        <f>IF($C923="","",IFERROR(INDEX(Insumos!$D$2:$D$151,MATCH($C923,Insumos!$A$2:$A$151,0)),""))</f>
        <v/>
      </c>
      <c r="G923" s="18" t="n"/>
      <c r="H923" s="19">
        <f>IF(OR($A923="",$C923=""),"",IFERROR(INDEX(Insumos!$M$2:$S$151,MATCH($C923,Insumos!$A$2:$A$151,0),WEEKDAY($A923,2)),""))</f>
        <v/>
      </c>
      <c r="I923" s="19">
        <f>IF(OR($G923="",$H923=""),"",MAX(0,$H923-$G923))</f>
        <v/>
      </c>
      <c r="J923" s="21">
        <f>IF($I923="","",IF($I923=0,"OK",IF($G923&lt;=0,"Sin stock: pedir ya","Pedir o producir")))</f>
        <v/>
      </c>
      <c r="K923" s="17" t="n"/>
      <c r="L923" s="17" t="n"/>
      <c r="M923" s="21">
        <f>IF(OR($A923="",$A923&lt;&gt;'Lista para pedir'!$C$3,N($I923)&lt;=0),"",COUNTIFS($A$2:$A923,$A923,$I$2:$I923,"&gt;0"))</f>
        <v/>
      </c>
    </row>
    <row r="924">
      <c r="A924" s="20" t="n"/>
      <c r="B924" s="21">
        <f>IF($A924="","",CHOOSE(WEEKDAY($A924,2),"Lunes","Martes","Miércoles","Jueves","Viernes","Sábado","Domingo"))</f>
        <v/>
      </c>
      <c r="C924" s="17" t="n"/>
      <c r="D924" s="21">
        <f>IF($C924="","",IFERROR(INDEX(Insumos!$B$2:$B$151,MATCH($C924,Insumos!$A$2:$A$151,0)),"Código no cargado"))</f>
        <v/>
      </c>
      <c r="E924" s="21">
        <f>IF($C924="","",IFERROR(INDEX(Insumos!$C$2:$C$151,MATCH($C924,Insumos!$A$2:$A$151,0)),""))</f>
        <v/>
      </c>
      <c r="F924" s="21">
        <f>IF($C924="","",IFERROR(INDEX(Insumos!$D$2:$D$151,MATCH($C924,Insumos!$A$2:$A$151,0)),""))</f>
        <v/>
      </c>
      <c r="G924" s="18" t="n"/>
      <c r="H924" s="19">
        <f>IF(OR($A924="",$C924=""),"",IFERROR(INDEX(Insumos!$M$2:$S$151,MATCH($C924,Insumos!$A$2:$A$151,0),WEEKDAY($A924,2)),""))</f>
        <v/>
      </c>
      <c r="I924" s="19">
        <f>IF(OR($G924="",$H924=""),"",MAX(0,$H924-$G924))</f>
        <v/>
      </c>
      <c r="J924" s="21">
        <f>IF($I924="","",IF($I924=0,"OK",IF($G924&lt;=0,"Sin stock: pedir ya","Pedir o producir")))</f>
        <v/>
      </c>
      <c r="K924" s="17" t="n"/>
      <c r="L924" s="17" t="n"/>
      <c r="M924" s="21">
        <f>IF(OR($A924="",$A924&lt;&gt;'Lista para pedir'!$C$3,N($I924)&lt;=0),"",COUNTIFS($A$2:$A924,$A924,$I$2:$I924,"&gt;0"))</f>
        <v/>
      </c>
    </row>
    <row r="925">
      <c r="A925" s="20" t="n"/>
      <c r="B925" s="21">
        <f>IF($A925="","",CHOOSE(WEEKDAY($A925,2),"Lunes","Martes","Miércoles","Jueves","Viernes","Sábado","Domingo"))</f>
        <v/>
      </c>
      <c r="C925" s="17" t="n"/>
      <c r="D925" s="21">
        <f>IF($C925="","",IFERROR(INDEX(Insumos!$B$2:$B$151,MATCH($C925,Insumos!$A$2:$A$151,0)),"Código no cargado"))</f>
        <v/>
      </c>
      <c r="E925" s="21">
        <f>IF($C925="","",IFERROR(INDEX(Insumos!$C$2:$C$151,MATCH($C925,Insumos!$A$2:$A$151,0)),""))</f>
        <v/>
      </c>
      <c r="F925" s="21">
        <f>IF($C925="","",IFERROR(INDEX(Insumos!$D$2:$D$151,MATCH($C925,Insumos!$A$2:$A$151,0)),""))</f>
        <v/>
      </c>
      <c r="G925" s="18" t="n"/>
      <c r="H925" s="19">
        <f>IF(OR($A925="",$C925=""),"",IFERROR(INDEX(Insumos!$M$2:$S$151,MATCH($C925,Insumos!$A$2:$A$151,0),WEEKDAY($A925,2)),""))</f>
        <v/>
      </c>
      <c r="I925" s="19">
        <f>IF(OR($G925="",$H925=""),"",MAX(0,$H925-$G925))</f>
        <v/>
      </c>
      <c r="J925" s="21">
        <f>IF($I925="","",IF($I925=0,"OK",IF($G925&lt;=0,"Sin stock: pedir ya","Pedir o producir")))</f>
        <v/>
      </c>
      <c r="K925" s="17" t="n"/>
      <c r="L925" s="17" t="n"/>
      <c r="M925" s="21">
        <f>IF(OR($A925="",$A925&lt;&gt;'Lista para pedir'!$C$3,N($I925)&lt;=0),"",COUNTIFS($A$2:$A925,$A925,$I$2:$I925,"&gt;0"))</f>
        <v/>
      </c>
    </row>
    <row r="926">
      <c r="A926" s="20" t="n"/>
      <c r="B926" s="21">
        <f>IF($A926="","",CHOOSE(WEEKDAY($A926,2),"Lunes","Martes","Miércoles","Jueves","Viernes","Sábado","Domingo"))</f>
        <v/>
      </c>
      <c r="C926" s="17" t="n"/>
      <c r="D926" s="21">
        <f>IF($C926="","",IFERROR(INDEX(Insumos!$B$2:$B$151,MATCH($C926,Insumos!$A$2:$A$151,0)),"Código no cargado"))</f>
        <v/>
      </c>
      <c r="E926" s="21">
        <f>IF($C926="","",IFERROR(INDEX(Insumos!$C$2:$C$151,MATCH($C926,Insumos!$A$2:$A$151,0)),""))</f>
        <v/>
      </c>
      <c r="F926" s="21">
        <f>IF($C926="","",IFERROR(INDEX(Insumos!$D$2:$D$151,MATCH($C926,Insumos!$A$2:$A$151,0)),""))</f>
        <v/>
      </c>
      <c r="G926" s="18" t="n"/>
      <c r="H926" s="19">
        <f>IF(OR($A926="",$C926=""),"",IFERROR(INDEX(Insumos!$M$2:$S$151,MATCH($C926,Insumos!$A$2:$A$151,0),WEEKDAY($A926,2)),""))</f>
        <v/>
      </c>
      <c r="I926" s="19">
        <f>IF(OR($G926="",$H926=""),"",MAX(0,$H926-$G926))</f>
        <v/>
      </c>
      <c r="J926" s="21">
        <f>IF($I926="","",IF($I926=0,"OK",IF($G926&lt;=0,"Sin stock: pedir ya","Pedir o producir")))</f>
        <v/>
      </c>
      <c r="K926" s="17" t="n"/>
      <c r="L926" s="17" t="n"/>
      <c r="M926" s="21">
        <f>IF(OR($A926="",$A926&lt;&gt;'Lista para pedir'!$C$3,N($I926)&lt;=0),"",COUNTIFS($A$2:$A926,$A926,$I$2:$I926,"&gt;0"))</f>
        <v/>
      </c>
    </row>
    <row r="927">
      <c r="A927" s="20" t="n"/>
      <c r="B927" s="21">
        <f>IF($A927="","",CHOOSE(WEEKDAY($A927,2),"Lunes","Martes","Miércoles","Jueves","Viernes","Sábado","Domingo"))</f>
        <v/>
      </c>
      <c r="C927" s="17" t="n"/>
      <c r="D927" s="21">
        <f>IF($C927="","",IFERROR(INDEX(Insumos!$B$2:$B$151,MATCH($C927,Insumos!$A$2:$A$151,0)),"Código no cargado"))</f>
        <v/>
      </c>
      <c r="E927" s="21">
        <f>IF($C927="","",IFERROR(INDEX(Insumos!$C$2:$C$151,MATCH($C927,Insumos!$A$2:$A$151,0)),""))</f>
        <v/>
      </c>
      <c r="F927" s="21">
        <f>IF($C927="","",IFERROR(INDEX(Insumos!$D$2:$D$151,MATCH($C927,Insumos!$A$2:$A$151,0)),""))</f>
        <v/>
      </c>
      <c r="G927" s="18" t="n"/>
      <c r="H927" s="19">
        <f>IF(OR($A927="",$C927=""),"",IFERROR(INDEX(Insumos!$M$2:$S$151,MATCH($C927,Insumos!$A$2:$A$151,0),WEEKDAY($A927,2)),""))</f>
        <v/>
      </c>
      <c r="I927" s="19">
        <f>IF(OR($G927="",$H927=""),"",MAX(0,$H927-$G927))</f>
        <v/>
      </c>
      <c r="J927" s="21">
        <f>IF($I927="","",IF($I927=0,"OK",IF($G927&lt;=0,"Sin stock: pedir ya","Pedir o producir")))</f>
        <v/>
      </c>
      <c r="K927" s="17" t="n"/>
      <c r="L927" s="17" t="n"/>
      <c r="M927" s="21">
        <f>IF(OR($A927="",$A927&lt;&gt;'Lista para pedir'!$C$3,N($I927)&lt;=0),"",COUNTIFS($A$2:$A927,$A927,$I$2:$I927,"&gt;0"))</f>
        <v/>
      </c>
    </row>
    <row r="928">
      <c r="A928" s="20" t="n"/>
      <c r="B928" s="21">
        <f>IF($A928="","",CHOOSE(WEEKDAY($A928,2),"Lunes","Martes","Miércoles","Jueves","Viernes","Sábado","Domingo"))</f>
        <v/>
      </c>
      <c r="C928" s="17" t="n"/>
      <c r="D928" s="21">
        <f>IF($C928="","",IFERROR(INDEX(Insumos!$B$2:$B$151,MATCH($C928,Insumos!$A$2:$A$151,0)),"Código no cargado"))</f>
        <v/>
      </c>
      <c r="E928" s="21">
        <f>IF($C928="","",IFERROR(INDEX(Insumos!$C$2:$C$151,MATCH($C928,Insumos!$A$2:$A$151,0)),""))</f>
        <v/>
      </c>
      <c r="F928" s="21">
        <f>IF($C928="","",IFERROR(INDEX(Insumos!$D$2:$D$151,MATCH($C928,Insumos!$A$2:$A$151,0)),""))</f>
        <v/>
      </c>
      <c r="G928" s="18" t="n"/>
      <c r="H928" s="19">
        <f>IF(OR($A928="",$C928=""),"",IFERROR(INDEX(Insumos!$M$2:$S$151,MATCH($C928,Insumos!$A$2:$A$151,0),WEEKDAY($A928,2)),""))</f>
        <v/>
      </c>
      <c r="I928" s="19">
        <f>IF(OR($G928="",$H928=""),"",MAX(0,$H928-$G928))</f>
        <v/>
      </c>
      <c r="J928" s="21">
        <f>IF($I928="","",IF($I928=0,"OK",IF($G928&lt;=0,"Sin stock: pedir ya","Pedir o producir")))</f>
        <v/>
      </c>
      <c r="K928" s="17" t="n"/>
      <c r="L928" s="17" t="n"/>
      <c r="M928" s="21">
        <f>IF(OR($A928="",$A928&lt;&gt;'Lista para pedir'!$C$3,N($I928)&lt;=0),"",COUNTIFS($A$2:$A928,$A928,$I$2:$I928,"&gt;0"))</f>
        <v/>
      </c>
    </row>
    <row r="929">
      <c r="A929" s="20" t="n"/>
      <c r="B929" s="21">
        <f>IF($A929="","",CHOOSE(WEEKDAY($A929,2),"Lunes","Martes","Miércoles","Jueves","Viernes","Sábado","Domingo"))</f>
        <v/>
      </c>
      <c r="C929" s="17" t="n"/>
      <c r="D929" s="21">
        <f>IF($C929="","",IFERROR(INDEX(Insumos!$B$2:$B$151,MATCH($C929,Insumos!$A$2:$A$151,0)),"Código no cargado"))</f>
        <v/>
      </c>
      <c r="E929" s="21">
        <f>IF($C929="","",IFERROR(INDEX(Insumos!$C$2:$C$151,MATCH($C929,Insumos!$A$2:$A$151,0)),""))</f>
        <v/>
      </c>
      <c r="F929" s="21">
        <f>IF($C929="","",IFERROR(INDEX(Insumos!$D$2:$D$151,MATCH($C929,Insumos!$A$2:$A$151,0)),""))</f>
        <v/>
      </c>
      <c r="G929" s="18" t="n"/>
      <c r="H929" s="19">
        <f>IF(OR($A929="",$C929=""),"",IFERROR(INDEX(Insumos!$M$2:$S$151,MATCH($C929,Insumos!$A$2:$A$151,0),WEEKDAY($A929,2)),""))</f>
        <v/>
      </c>
      <c r="I929" s="19">
        <f>IF(OR($G929="",$H929=""),"",MAX(0,$H929-$G929))</f>
        <v/>
      </c>
      <c r="J929" s="21">
        <f>IF($I929="","",IF($I929=0,"OK",IF($G929&lt;=0,"Sin stock: pedir ya","Pedir o producir")))</f>
        <v/>
      </c>
      <c r="K929" s="17" t="n"/>
      <c r="L929" s="17" t="n"/>
      <c r="M929" s="21">
        <f>IF(OR($A929="",$A929&lt;&gt;'Lista para pedir'!$C$3,N($I929)&lt;=0),"",COUNTIFS($A$2:$A929,$A929,$I$2:$I929,"&gt;0"))</f>
        <v/>
      </c>
    </row>
    <row r="930">
      <c r="A930" s="20" t="n"/>
      <c r="B930" s="21">
        <f>IF($A930="","",CHOOSE(WEEKDAY($A930,2),"Lunes","Martes","Miércoles","Jueves","Viernes","Sábado","Domingo"))</f>
        <v/>
      </c>
      <c r="C930" s="17" t="n"/>
      <c r="D930" s="21">
        <f>IF($C930="","",IFERROR(INDEX(Insumos!$B$2:$B$151,MATCH($C930,Insumos!$A$2:$A$151,0)),"Código no cargado"))</f>
        <v/>
      </c>
      <c r="E930" s="21">
        <f>IF($C930="","",IFERROR(INDEX(Insumos!$C$2:$C$151,MATCH($C930,Insumos!$A$2:$A$151,0)),""))</f>
        <v/>
      </c>
      <c r="F930" s="21">
        <f>IF($C930="","",IFERROR(INDEX(Insumos!$D$2:$D$151,MATCH($C930,Insumos!$A$2:$A$151,0)),""))</f>
        <v/>
      </c>
      <c r="G930" s="18" t="n"/>
      <c r="H930" s="19">
        <f>IF(OR($A930="",$C930=""),"",IFERROR(INDEX(Insumos!$M$2:$S$151,MATCH($C930,Insumos!$A$2:$A$151,0),WEEKDAY($A930,2)),""))</f>
        <v/>
      </c>
      <c r="I930" s="19">
        <f>IF(OR($G930="",$H930=""),"",MAX(0,$H930-$G930))</f>
        <v/>
      </c>
      <c r="J930" s="21">
        <f>IF($I930="","",IF($I930=0,"OK",IF($G930&lt;=0,"Sin stock: pedir ya","Pedir o producir")))</f>
        <v/>
      </c>
      <c r="K930" s="17" t="n"/>
      <c r="L930" s="17" t="n"/>
      <c r="M930" s="21">
        <f>IF(OR($A930="",$A930&lt;&gt;'Lista para pedir'!$C$3,N($I930)&lt;=0),"",COUNTIFS($A$2:$A930,$A930,$I$2:$I930,"&gt;0"))</f>
        <v/>
      </c>
    </row>
    <row r="931">
      <c r="A931" s="20" t="n"/>
      <c r="B931" s="21">
        <f>IF($A931="","",CHOOSE(WEEKDAY($A931,2),"Lunes","Martes","Miércoles","Jueves","Viernes","Sábado","Domingo"))</f>
        <v/>
      </c>
      <c r="C931" s="17" t="n"/>
      <c r="D931" s="21">
        <f>IF($C931="","",IFERROR(INDEX(Insumos!$B$2:$B$151,MATCH($C931,Insumos!$A$2:$A$151,0)),"Código no cargado"))</f>
        <v/>
      </c>
      <c r="E931" s="21">
        <f>IF($C931="","",IFERROR(INDEX(Insumos!$C$2:$C$151,MATCH($C931,Insumos!$A$2:$A$151,0)),""))</f>
        <v/>
      </c>
      <c r="F931" s="21">
        <f>IF($C931="","",IFERROR(INDEX(Insumos!$D$2:$D$151,MATCH($C931,Insumos!$A$2:$A$151,0)),""))</f>
        <v/>
      </c>
      <c r="G931" s="18" t="n"/>
      <c r="H931" s="19">
        <f>IF(OR($A931="",$C931=""),"",IFERROR(INDEX(Insumos!$M$2:$S$151,MATCH($C931,Insumos!$A$2:$A$151,0),WEEKDAY($A931,2)),""))</f>
        <v/>
      </c>
      <c r="I931" s="19">
        <f>IF(OR($G931="",$H931=""),"",MAX(0,$H931-$G931))</f>
        <v/>
      </c>
      <c r="J931" s="21">
        <f>IF($I931="","",IF($I931=0,"OK",IF($G931&lt;=0,"Sin stock: pedir ya","Pedir o producir")))</f>
        <v/>
      </c>
      <c r="K931" s="17" t="n"/>
      <c r="L931" s="17" t="n"/>
      <c r="M931" s="21">
        <f>IF(OR($A931="",$A931&lt;&gt;'Lista para pedir'!$C$3,N($I931)&lt;=0),"",COUNTIFS($A$2:$A931,$A931,$I$2:$I931,"&gt;0"))</f>
        <v/>
      </c>
    </row>
    <row r="932">
      <c r="A932" s="20" t="n"/>
      <c r="B932" s="21">
        <f>IF($A932="","",CHOOSE(WEEKDAY($A932,2),"Lunes","Martes","Miércoles","Jueves","Viernes","Sábado","Domingo"))</f>
        <v/>
      </c>
      <c r="C932" s="17" t="n"/>
      <c r="D932" s="21">
        <f>IF($C932="","",IFERROR(INDEX(Insumos!$B$2:$B$151,MATCH($C932,Insumos!$A$2:$A$151,0)),"Código no cargado"))</f>
        <v/>
      </c>
      <c r="E932" s="21">
        <f>IF($C932="","",IFERROR(INDEX(Insumos!$C$2:$C$151,MATCH($C932,Insumos!$A$2:$A$151,0)),""))</f>
        <v/>
      </c>
      <c r="F932" s="21">
        <f>IF($C932="","",IFERROR(INDEX(Insumos!$D$2:$D$151,MATCH($C932,Insumos!$A$2:$A$151,0)),""))</f>
        <v/>
      </c>
      <c r="G932" s="18" t="n"/>
      <c r="H932" s="19">
        <f>IF(OR($A932="",$C932=""),"",IFERROR(INDEX(Insumos!$M$2:$S$151,MATCH($C932,Insumos!$A$2:$A$151,0),WEEKDAY($A932,2)),""))</f>
        <v/>
      </c>
      <c r="I932" s="19">
        <f>IF(OR($G932="",$H932=""),"",MAX(0,$H932-$G932))</f>
        <v/>
      </c>
      <c r="J932" s="21">
        <f>IF($I932="","",IF($I932=0,"OK",IF($G932&lt;=0,"Sin stock: pedir ya","Pedir o producir")))</f>
        <v/>
      </c>
      <c r="K932" s="17" t="n"/>
      <c r="L932" s="17" t="n"/>
      <c r="M932" s="21">
        <f>IF(OR($A932="",$A932&lt;&gt;'Lista para pedir'!$C$3,N($I932)&lt;=0),"",COUNTIFS($A$2:$A932,$A932,$I$2:$I932,"&gt;0"))</f>
        <v/>
      </c>
    </row>
    <row r="933">
      <c r="A933" s="20" t="n"/>
      <c r="B933" s="21">
        <f>IF($A933="","",CHOOSE(WEEKDAY($A933,2),"Lunes","Martes","Miércoles","Jueves","Viernes","Sábado","Domingo"))</f>
        <v/>
      </c>
      <c r="C933" s="17" t="n"/>
      <c r="D933" s="21">
        <f>IF($C933="","",IFERROR(INDEX(Insumos!$B$2:$B$151,MATCH($C933,Insumos!$A$2:$A$151,0)),"Código no cargado"))</f>
        <v/>
      </c>
      <c r="E933" s="21">
        <f>IF($C933="","",IFERROR(INDEX(Insumos!$C$2:$C$151,MATCH($C933,Insumos!$A$2:$A$151,0)),""))</f>
        <v/>
      </c>
      <c r="F933" s="21">
        <f>IF($C933="","",IFERROR(INDEX(Insumos!$D$2:$D$151,MATCH($C933,Insumos!$A$2:$A$151,0)),""))</f>
        <v/>
      </c>
      <c r="G933" s="18" t="n"/>
      <c r="H933" s="19">
        <f>IF(OR($A933="",$C933=""),"",IFERROR(INDEX(Insumos!$M$2:$S$151,MATCH($C933,Insumos!$A$2:$A$151,0),WEEKDAY($A933,2)),""))</f>
        <v/>
      </c>
      <c r="I933" s="19">
        <f>IF(OR($G933="",$H933=""),"",MAX(0,$H933-$G933))</f>
        <v/>
      </c>
      <c r="J933" s="21">
        <f>IF($I933="","",IF($I933=0,"OK",IF($G933&lt;=0,"Sin stock: pedir ya","Pedir o producir")))</f>
        <v/>
      </c>
      <c r="K933" s="17" t="n"/>
      <c r="L933" s="17" t="n"/>
      <c r="M933" s="21">
        <f>IF(OR($A933="",$A933&lt;&gt;'Lista para pedir'!$C$3,N($I933)&lt;=0),"",COUNTIFS($A$2:$A933,$A933,$I$2:$I933,"&gt;0"))</f>
        <v/>
      </c>
    </row>
    <row r="934">
      <c r="A934" s="20" t="n"/>
      <c r="B934" s="21">
        <f>IF($A934="","",CHOOSE(WEEKDAY($A934,2),"Lunes","Martes","Miércoles","Jueves","Viernes","Sábado","Domingo"))</f>
        <v/>
      </c>
      <c r="C934" s="17" t="n"/>
      <c r="D934" s="21">
        <f>IF($C934="","",IFERROR(INDEX(Insumos!$B$2:$B$151,MATCH($C934,Insumos!$A$2:$A$151,0)),"Código no cargado"))</f>
        <v/>
      </c>
      <c r="E934" s="21">
        <f>IF($C934="","",IFERROR(INDEX(Insumos!$C$2:$C$151,MATCH($C934,Insumos!$A$2:$A$151,0)),""))</f>
        <v/>
      </c>
      <c r="F934" s="21">
        <f>IF($C934="","",IFERROR(INDEX(Insumos!$D$2:$D$151,MATCH($C934,Insumos!$A$2:$A$151,0)),""))</f>
        <v/>
      </c>
      <c r="G934" s="18" t="n"/>
      <c r="H934" s="19">
        <f>IF(OR($A934="",$C934=""),"",IFERROR(INDEX(Insumos!$M$2:$S$151,MATCH($C934,Insumos!$A$2:$A$151,0),WEEKDAY($A934,2)),""))</f>
        <v/>
      </c>
      <c r="I934" s="19">
        <f>IF(OR($G934="",$H934=""),"",MAX(0,$H934-$G934))</f>
        <v/>
      </c>
      <c r="J934" s="21">
        <f>IF($I934="","",IF($I934=0,"OK",IF($G934&lt;=0,"Sin stock: pedir ya","Pedir o producir")))</f>
        <v/>
      </c>
      <c r="K934" s="17" t="n"/>
      <c r="L934" s="17" t="n"/>
      <c r="M934" s="21">
        <f>IF(OR($A934="",$A934&lt;&gt;'Lista para pedir'!$C$3,N($I934)&lt;=0),"",COUNTIFS($A$2:$A934,$A934,$I$2:$I934,"&gt;0"))</f>
        <v/>
      </c>
    </row>
    <row r="935">
      <c r="A935" s="20" t="n"/>
      <c r="B935" s="21">
        <f>IF($A935="","",CHOOSE(WEEKDAY($A935,2),"Lunes","Martes","Miércoles","Jueves","Viernes","Sábado","Domingo"))</f>
        <v/>
      </c>
      <c r="C935" s="17" t="n"/>
      <c r="D935" s="21">
        <f>IF($C935="","",IFERROR(INDEX(Insumos!$B$2:$B$151,MATCH($C935,Insumos!$A$2:$A$151,0)),"Código no cargado"))</f>
        <v/>
      </c>
      <c r="E935" s="21">
        <f>IF($C935="","",IFERROR(INDEX(Insumos!$C$2:$C$151,MATCH($C935,Insumos!$A$2:$A$151,0)),""))</f>
        <v/>
      </c>
      <c r="F935" s="21">
        <f>IF($C935="","",IFERROR(INDEX(Insumos!$D$2:$D$151,MATCH($C935,Insumos!$A$2:$A$151,0)),""))</f>
        <v/>
      </c>
      <c r="G935" s="18" t="n"/>
      <c r="H935" s="19">
        <f>IF(OR($A935="",$C935=""),"",IFERROR(INDEX(Insumos!$M$2:$S$151,MATCH($C935,Insumos!$A$2:$A$151,0),WEEKDAY($A935,2)),""))</f>
        <v/>
      </c>
      <c r="I935" s="19">
        <f>IF(OR($G935="",$H935=""),"",MAX(0,$H935-$G935))</f>
        <v/>
      </c>
      <c r="J935" s="21">
        <f>IF($I935="","",IF($I935=0,"OK",IF($G935&lt;=0,"Sin stock: pedir ya","Pedir o producir")))</f>
        <v/>
      </c>
      <c r="K935" s="17" t="n"/>
      <c r="L935" s="17" t="n"/>
      <c r="M935" s="21">
        <f>IF(OR($A935="",$A935&lt;&gt;'Lista para pedir'!$C$3,N($I935)&lt;=0),"",COUNTIFS($A$2:$A935,$A935,$I$2:$I935,"&gt;0"))</f>
        <v/>
      </c>
    </row>
    <row r="936">
      <c r="A936" s="20" t="n"/>
      <c r="B936" s="21">
        <f>IF($A936="","",CHOOSE(WEEKDAY($A936,2),"Lunes","Martes","Miércoles","Jueves","Viernes","Sábado","Domingo"))</f>
        <v/>
      </c>
      <c r="C936" s="17" t="n"/>
      <c r="D936" s="21">
        <f>IF($C936="","",IFERROR(INDEX(Insumos!$B$2:$B$151,MATCH($C936,Insumos!$A$2:$A$151,0)),"Código no cargado"))</f>
        <v/>
      </c>
      <c r="E936" s="21">
        <f>IF($C936="","",IFERROR(INDEX(Insumos!$C$2:$C$151,MATCH($C936,Insumos!$A$2:$A$151,0)),""))</f>
        <v/>
      </c>
      <c r="F936" s="21">
        <f>IF($C936="","",IFERROR(INDEX(Insumos!$D$2:$D$151,MATCH($C936,Insumos!$A$2:$A$151,0)),""))</f>
        <v/>
      </c>
      <c r="G936" s="18" t="n"/>
      <c r="H936" s="19">
        <f>IF(OR($A936="",$C936=""),"",IFERROR(INDEX(Insumos!$M$2:$S$151,MATCH($C936,Insumos!$A$2:$A$151,0),WEEKDAY($A936,2)),""))</f>
        <v/>
      </c>
      <c r="I936" s="19">
        <f>IF(OR($G936="",$H936=""),"",MAX(0,$H936-$G936))</f>
        <v/>
      </c>
      <c r="J936" s="21">
        <f>IF($I936="","",IF($I936=0,"OK",IF($G936&lt;=0,"Sin stock: pedir ya","Pedir o producir")))</f>
        <v/>
      </c>
      <c r="K936" s="17" t="n"/>
      <c r="L936" s="17" t="n"/>
      <c r="M936" s="21">
        <f>IF(OR($A936="",$A936&lt;&gt;'Lista para pedir'!$C$3,N($I936)&lt;=0),"",COUNTIFS($A$2:$A936,$A936,$I$2:$I936,"&gt;0"))</f>
        <v/>
      </c>
    </row>
    <row r="937">
      <c r="A937" s="20" t="n"/>
      <c r="B937" s="21">
        <f>IF($A937="","",CHOOSE(WEEKDAY($A937,2),"Lunes","Martes","Miércoles","Jueves","Viernes","Sábado","Domingo"))</f>
        <v/>
      </c>
      <c r="C937" s="17" t="n"/>
      <c r="D937" s="21">
        <f>IF($C937="","",IFERROR(INDEX(Insumos!$B$2:$B$151,MATCH($C937,Insumos!$A$2:$A$151,0)),"Código no cargado"))</f>
        <v/>
      </c>
      <c r="E937" s="21">
        <f>IF($C937="","",IFERROR(INDEX(Insumos!$C$2:$C$151,MATCH($C937,Insumos!$A$2:$A$151,0)),""))</f>
        <v/>
      </c>
      <c r="F937" s="21">
        <f>IF($C937="","",IFERROR(INDEX(Insumos!$D$2:$D$151,MATCH($C937,Insumos!$A$2:$A$151,0)),""))</f>
        <v/>
      </c>
      <c r="G937" s="18" t="n"/>
      <c r="H937" s="19">
        <f>IF(OR($A937="",$C937=""),"",IFERROR(INDEX(Insumos!$M$2:$S$151,MATCH($C937,Insumos!$A$2:$A$151,0),WEEKDAY($A937,2)),""))</f>
        <v/>
      </c>
      <c r="I937" s="19">
        <f>IF(OR($G937="",$H937=""),"",MAX(0,$H937-$G937))</f>
        <v/>
      </c>
      <c r="J937" s="21">
        <f>IF($I937="","",IF($I937=0,"OK",IF($G937&lt;=0,"Sin stock: pedir ya","Pedir o producir")))</f>
        <v/>
      </c>
      <c r="K937" s="17" t="n"/>
      <c r="L937" s="17" t="n"/>
      <c r="M937" s="21">
        <f>IF(OR($A937="",$A937&lt;&gt;'Lista para pedir'!$C$3,N($I937)&lt;=0),"",COUNTIFS($A$2:$A937,$A937,$I$2:$I937,"&gt;0"))</f>
        <v/>
      </c>
    </row>
    <row r="938">
      <c r="A938" s="20" t="n"/>
      <c r="B938" s="21">
        <f>IF($A938="","",CHOOSE(WEEKDAY($A938,2),"Lunes","Martes","Miércoles","Jueves","Viernes","Sábado","Domingo"))</f>
        <v/>
      </c>
      <c r="C938" s="17" t="n"/>
      <c r="D938" s="21">
        <f>IF($C938="","",IFERROR(INDEX(Insumos!$B$2:$B$151,MATCH($C938,Insumos!$A$2:$A$151,0)),"Código no cargado"))</f>
        <v/>
      </c>
      <c r="E938" s="21">
        <f>IF($C938="","",IFERROR(INDEX(Insumos!$C$2:$C$151,MATCH($C938,Insumos!$A$2:$A$151,0)),""))</f>
        <v/>
      </c>
      <c r="F938" s="21">
        <f>IF($C938="","",IFERROR(INDEX(Insumos!$D$2:$D$151,MATCH($C938,Insumos!$A$2:$A$151,0)),""))</f>
        <v/>
      </c>
      <c r="G938" s="18" t="n"/>
      <c r="H938" s="19">
        <f>IF(OR($A938="",$C938=""),"",IFERROR(INDEX(Insumos!$M$2:$S$151,MATCH($C938,Insumos!$A$2:$A$151,0),WEEKDAY($A938,2)),""))</f>
        <v/>
      </c>
      <c r="I938" s="19">
        <f>IF(OR($G938="",$H938=""),"",MAX(0,$H938-$G938))</f>
        <v/>
      </c>
      <c r="J938" s="21">
        <f>IF($I938="","",IF($I938=0,"OK",IF($G938&lt;=0,"Sin stock: pedir ya","Pedir o producir")))</f>
        <v/>
      </c>
      <c r="K938" s="17" t="n"/>
      <c r="L938" s="17" t="n"/>
      <c r="M938" s="21">
        <f>IF(OR($A938="",$A938&lt;&gt;'Lista para pedir'!$C$3,N($I938)&lt;=0),"",COUNTIFS($A$2:$A938,$A938,$I$2:$I938,"&gt;0"))</f>
        <v/>
      </c>
    </row>
    <row r="939">
      <c r="A939" s="20" t="n"/>
      <c r="B939" s="21">
        <f>IF($A939="","",CHOOSE(WEEKDAY($A939,2),"Lunes","Martes","Miércoles","Jueves","Viernes","Sábado","Domingo"))</f>
        <v/>
      </c>
      <c r="C939" s="17" t="n"/>
      <c r="D939" s="21">
        <f>IF($C939="","",IFERROR(INDEX(Insumos!$B$2:$B$151,MATCH($C939,Insumos!$A$2:$A$151,0)),"Código no cargado"))</f>
        <v/>
      </c>
      <c r="E939" s="21">
        <f>IF($C939="","",IFERROR(INDEX(Insumos!$C$2:$C$151,MATCH($C939,Insumos!$A$2:$A$151,0)),""))</f>
        <v/>
      </c>
      <c r="F939" s="21">
        <f>IF($C939="","",IFERROR(INDEX(Insumos!$D$2:$D$151,MATCH($C939,Insumos!$A$2:$A$151,0)),""))</f>
        <v/>
      </c>
      <c r="G939" s="18" t="n"/>
      <c r="H939" s="19">
        <f>IF(OR($A939="",$C939=""),"",IFERROR(INDEX(Insumos!$M$2:$S$151,MATCH($C939,Insumos!$A$2:$A$151,0),WEEKDAY($A939,2)),""))</f>
        <v/>
      </c>
      <c r="I939" s="19">
        <f>IF(OR($G939="",$H939=""),"",MAX(0,$H939-$G939))</f>
        <v/>
      </c>
      <c r="J939" s="21">
        <f>IF($I939="","",IF($I939=0,"OK",IF($G939&lt;=0,"Sin stock: pedir ya","Pedir o producir")))</f>
        <v/>
      </c>
      <c r="K939" s="17" t="n"/>
      <c r="L939" s="17" t="n"/>
      <c r="M939" s="21">
        <f>IF(OR($A939="",$A939&lt;&gt;'Lista para pedir'!$C$3,N($I939)&lt;=0),"",COUNTIFS($A$2:$A939,$A939,$I$2:$I939,"&gt;0"))</f>
        <v/>
      </c>
    </row>
    <row r="940">
      <c r="A940" s="20" t="n"/>
      <c r="B940" s="21">
        <f>IF($A940="","",CHOOSE(WEEKDAY($A940,2),"Lunes","Martes","Miércoles","Jueves","Viernes","Sábado","Domingo"))</f>
        <v/>
      </c>
      <c r="C940" s="17" t="n"/>
      <c r="D940" s="21">
        <f>IF($C940="","",IFERROR(INDEX(Insumos!$B$2:$B$151,MATCH($C940,Insumos!$A$2:$A$151,0)),"Código no cargado"))</f>
        <v/>
      </c>
      <c r="E940" s="21">
        <f>IF($C940="","",IFERROR(INDEX(Insumos!$C$2:$C$151,MATCH($C940,Insumos!$A$2:$A$151,0)),""))</f>
        <v/>
      </c>
      <c r="F940" s="21">
        <f>IF($C940="","",IFERROR(INDEX(Insumos!$D$2:$D$151,MATCH($C940,Insumos!$A$2:$A$151,0)),""))</f>
        <v/>
      </c>
      <c r="G940" s="18" t="n"/>
      <c r="H940" s="19">
        <f>IF(OR($A940="",$C940=""),"",IFERROR(INDEX(Insumos!$M$2:$S$151,MATCH($C940,Insumos!$A$2:$A$151,0),WEEKDAY($A940,2)),""))</f>
        <v/>
      </c>
      <c r="I940" s="19">
        <f>IF(OR($G940="",$H940=""),"",MAX(0,$H940-$G940))</f>
        <v/>
      </c>
      <c r="J940" s="21">
        <f>IF($I940="","",IF($I940=0,"OK",IF($G940&lt;=0,"Sin stock: pedir ya","Pedir o producir")))</f>
        <v/>
      </c>
      <c r="K940" s="17" t="n"/>
      <c r="L940" s="17" t="n"/>
      <c r="M940" s="21">
        <f>IF(OR($A940="",$A940&lt;&gt;'Lista para pedir'!$C$3,N($I940)&lt;=0),"",COUNTIFS($A$2:$A940,$A940,$I$2:$I940,"&gt;0"))</f>
        <v/>
      </c>
    </row>
    <row r="941">
      <c r="A941" s="20" t="n"/>
      <c r="B941" s="21">
        <f>IF($A941="","",CHOOSE(WEEKDAY($A941,2),"Lunes","Martes","Miércoles","Jueves","Viernes","Sábado","Domingo"))</f>
        <v/>
      </c>
      <c r="C941" s="17" t="n"/>
      <c r="D941" s="21">
        <f>IF($C941="","",IFERROR(INDEX(Insumos!$B$2:$B$151,MATCH($C941,Insumos!$A$2:$A$151,0)),"Código no cargado"))</f>
        <v/>
      </c>
      <c r="E941" s="21">
        <f>IF($C941="","",IFERROR(INDEX(Insumos!$C$2:$C$151,MATCH($C941,Insumos!$A$2:$A$151,0)),""))</f>
        <v/>
      </c>
      <c r="F941" s="21">
        <f>IF($C941="","",IFERROR(INDEX(Insumos!$D$2:$D$151,MATCH($C941,Insumos!$A$2:$A$151,0)),""))</f>
        <v/>
      </c>
      <c r="G941" s="18" t="n"/>
      <c r="H941" s="19">
        <f>IF(OR($A941="",$C941=""),"",IFERROR(INDEX(Insumos!$M$2:$S$151,MATCH($C941,Insumos!$A$2:$A$151,0),WEEKDAY($A941,2)),""))</f>
        <v/>
      </c>
      <c r="I941" s="19">
        <f>IF(OR($G941="",$H941=""),"",MAX(0,$H941-$G941))</f>
        <v/>
      </c>
      <c r="J941" s="21">
        <f>IF($I941="","",IF($I941=0,"OK",IF($G941&lt;=0,"Sin stock: pedir ya","Pedir o producir")))</f>
        <v/>
      </c>
      <c r="K941" s="17" t="n"/>
      <c r="L941" s="17" t="n"/>
      <c r="M941" s="21">
        <f>IF(OR($A941="",$A941&lt;&gt;'Lista para pedir'!$C$3,N($I941)&lt;=0),"",COUNTIFS($A$2:$A941,$A941,$I$2:$I941,"&gt;0"))</f>
        <v/>
      </c>
    </row>
    <row r="942">
      <c r="A942" s="20" t="n"/>
      <c r="B942" s="21">
        <f>IF($A942="","",CHOOSE(WEEKDAY($A942,2),"Lunes","Martes","Miércoles","Jueves","Viernes","Sábado","Domingo"))</f>
        <v/>
      </c>
      <c r="C942" s="17" t="n"/>
      <c r="D942" s="21">
        <f>IF($C942="","",IFERROR(INDEX(Insumos!$B$2:$B$151,MATCH($C942,Insumos!$A$2:$A$151,0)),"Código no cargado"))</f>
        <v/>
      </c>
      <c r="E942" s="21">
        <f>IF($C942="","",IFERROR(INDEX(Insumos!$C$2:$C$151,MATCH($C942,Insumos!$A$2:$A$151,0)),""))</f>
        <v/>
      </c>
      <c r="F942" s="21">
        <f>IF($C942="","",IFERROR(INDEX(Insumos!$D$2:$D$151,MATCH($C942,Insumos!$A$2:$A$151,0)),""))</f>
        <v/>
      </c>
      <c r="G942" s="18" t="n"/>
      <c r="H942" s="19">
        <f>IF(OR($A942="",$C942=""),"",IFERROR(INDEX(Insumos!$M$2:$S$151,MATCH($C942,Insumos!$A$2:$A$151,0),WEEKDAY($A942,2)),""))</f>
        <v/>
      </c>
      <c r="I942" s="19">
        <f>IF(OR($G942="",$H942=""),"",MAX(0,$H942-$G942))</f>
        <v/>
      </c>
      <c r="J942" s="21">
        <f>IF($I942="","",IF($I942=0,"OK",IF($G942&lt;=0,"Sin stock: pedir ya","Pedir o producir")))</f>
        <v/>
      </c>
      <c r="K942" s="17" t="n"/>
      <c r="L942" s="17" t="n"/>
      <c r="M942" s="21">
        <f>IF(OR($A942="",$A942&lt;&gt;'Lista para pedir'!$C$3,N($I942)&lt;=0),"",COUNTIFS($A$2:$A942,$A942,$I$2:$I942,"&gt;0"))</f>
        <v/>
      </c>
    </row>
    <row r="943">
      <c r="A943" s="20" t="n"/>
      <c r="B943" s="21">
        <f>IF($A943="","",CHOOSE(WEEKDAY($A943,2),"Lunes","Martes","Miércoles","Jueves","Viernes","Sábado","Domingo"))</f>
        <v/>
      </c>
      <c r="C943" s="17" t="n"/>
      <c r="D943" s="21">
        <f>IF($C943="","",IFERROR(INDEX(Insumos!$B$2:$B$151,MATCH($C943,Insumos!$A$2:$A$151,0)),"Código no cargado"))</f>
        <v/>
      </c>
      <c r="E943" s="21">
        <f>IF($C943="","",IFERROR(INDEX(Insumos!$C$2:$C$151,MATCH($C943,Insumos!$A$2:$A$151,0)),""))</f>
        <v/>
      </c>
      <c r="F943" s="21">
        <f>IF($C943="","",IFERROR(INDEX(Insumos!$D$2:$D$151,MATCH($C943,Insumos!$A$2:$A$151,0)),""))</f>
        <v/>
      </c>
      <c r="G943" s="18" t="n"/>
      <c r="H943" s="19">
        <f>IF(OR($A943="",$C943=""),"",IFERROR(INDEX(Insumos!$M$2:$S$151,MATCH($C943,Insumos!$A$2:$A$151,0),WEEKDAY($A943,2)),""))</f>
        <v/>
      </c>
      <c r="I943" s="19">
        <f>IF(OR($G943="",$H943=""),"",MAX(0,$H943-$G943))</f>
        <v/>
      </c>
      <c r="J943" s="21">
        <f>IF($I943="","",IF($I943=0,"OK",IF($G943&lt;=0,"Sin stock: pedir ya","Pedir o producir")))</f>
        <v/>
      </c>
      <c r="K943" s="17" t="n"/>
      <c r="L943" s="17" t="n"/>
      <c r="M943" s="21">
        <f>IF(OR($A943="",$A943&lt;&gt;'Lista para pedir'!$C$3,N($I943)&lt;=0),"",COUNTIFS($A$2:$A943,$A943,$I$2:$I943,"&gt;0"))</f>
        <v/>
      </c>
    </row>
    <row r="944">
      <c r="A944" s="20" t="n"/>
      <c r="B944" s="21">
        <f>IF($A944="","",CHOOSE(WEEKDAY($A944,2),"Lunes","Martes","Miércoles","Jueves","Viernes","Sábado","Domingo"))</f>
        <v/>
      </c>
      <c r="C944" s="17" t="n"/>
      <c r="D944" s="21">
        <f>IF($C944="","",IFERROR(INDEX(Insumos!$B$2:$B$151,MATCH($C944,Insumos!$A$2:$A$151,0)),"Código no cargado"))</f>
        <v/>
      </c>
      <c r="E944" s="21">
        <f>IF($C944="","",IFERROR(INDEX(Insumos!$C$2:$C$151,MATCH($C944,Insumos!$A$2:$A$151,0)),""))</f>
        <v/>
      </c>
      <c r="F944" s="21">
        <f>IF($C944="","",IFERROR(INDEX(Insumos!$D$2:$D$151,MATCH($C944,Insumos!$A$2:$A$151,0)),""))</f>
        <v/>
      </c>
      <c r="G944" s="18" t="n"/>
      <c r="H944" s="19">
        <f>IF(OR($A944="",$C944=""),"",IFERROR(INDEX(Insumos!$M$2:$S$151,MATCH($C944,Insumos!$A$2:$A$151,0),WEEKDAY($A944,2)),""))</f>
        <v/>
      </c>
      <c r="I944" s="19">
        <f>IF(OR($G944="",$H944=""),"",MAX(0,$H944-$G944))</f>
        <v/>
      </c>
      <c r="J944" s="21">
        <f>IF($I944="","",IF($I944=0,"OK",IF($G944&lt;=0,"Sin stock: pedir ya","Pedir o producir")))</f>
        <v/>
      </c>
      <c r="K944" s="17" t="n"/>
      <c r="L944" s="17" t="n"/>
      <c r="M944" s="21">
        <f>IF(OR($A944="",$A944&lt;&gt;'Lista para pedir'!$C$3,N($I944)&lt;=0),"",COUNTIFS($A$2:$A944,$A944,$I$2:$I944,"&gt;0"))</f>
        <v/>
      </c>
    </row>
    <row r="945">
      <c r="A945" s="20" t="n"/>
      <c r="B945" s="21">
        <f>IF($A945="","",CHOOSE(WEEKDAY($A945,2),"Lunes","Martes","Miércoles","Jueves","Viernes","Sábado","Domingo"))</f>
        <v/>
      </c>
      <c r="C945" s="17" t="n"/>
      <c r="D945" s="21">
        <f>IF($C945="","",IFERROR(INDEX(Insumos!$B$2:$B$151,MATCH($C945,Insumos!$A$2:$A$151,0)),"Código no cargado"))</f>
        <v/>
      </c>
      <c r="E945" s="21">
        <f>IF($C945="","",IFERROR(INDEX(Insumos!$C$2:$C$151,MATCH($C945,Insumos!$A$2:$A$151,0)),""))</f>
        <v/>
      </c>
      <c r="F945" s="21">
        <f>IF($C945="","",IFERROR(INDEX(Insumos!$D$2:$D$151,MATCH($C945,Insumos!$A$2:$A$151,0)),""))</f>
        <v/>
      </c>
      <c r="G945" s="18" t="n"/>
      <c r="H945" s="19">
        <f>IF(OR($A945="",$C945=""),"",IFERROR(INDEX(Insumos!$M$2:$S$151,MATCH($C945,Insumos!$A$2:$A$151,0),WEEKDAY($A945,2)),""))</f>
        <v/>
      </c>
      <c r="I945" s="19">
        <f>IF(OR($G945="",$H945=""),"",MAX(0,$H945-$G945))</f>
        <v/>
      </c>
      <c r="J945" s="21">
        <f>IF($I945="","",IF($I945=0,"OK",IF($G945&lt;=0,"Sin stock: pedir ya","Pedir o producir")))</f>
        <v/>
      </c>
      <c r="K945" s="17" t="n"/>
      <c r="L945" s="17" t="n"/>
      <c r="M945" s="21">
        <f>IF(OR($A945="",$A945&lt;&gt;'Lista para pedir'!$C$3,N($I945)&lt;=0),"",COUNTIFS($A$2:$A945,$A945,$I$2:$I945,"&gt;0"))</f>
        <v/>
      </c>
    </row>
    <row r="946">
      <c r="A946" s="20" t="n"/>
      <c r="B946" s="21">
        <f>IF($A946="","",CHOOSE(WEEKDAY($A946,2),"Lunes","Martes","Miércoles","Jueves","Viernes","Sábado","Domingo"))</f>
        <v/>
      </c>
      <c r="C946" s="17" t="n"/>
      <c r="D946" s="21">
        <f>IF($C946="","",IFERROR(INDEX(Insumos!$B$2:$B$151,MATCH($C946,Insumos!$A$2:$A$151,0)),"Código no cargado"))</f>
        <v/>
      </c>
      <c r="E946" s="21">
        <f>IF($C946="","",IFERROR(INDEX(Insumos!$C$2:$C$151,MATCH($C946,Insumos!$A$2:$A$151,0)),""))</f>
        <v/>
      </c>
      <c r="F946" s="21">
        <f>IF($C946="","",IFERROR(INDEX(Insumos!$D$2:$D$151,MATCH($C946,Insumos!$A$2:$A$151,0)),""))</f>
        <v/>
      </c>
      <c r="G946" s="18" t="n"/>
      <c r="H946" s="19">
        <f>IF(OR($A946="",$C946=""),"",IFERROR(INDEX(Insumos!$M$2:$S$151,MATCH($C946,Insumos!$A$2:$A$151,0),WEEKDAY($A946,2)),""))</f>
        <v/>
      </c>
      <c r="I946" s="19">
        <f>IF(OR($G946="",$H946=""),"",MAX(0,$H946-$G946))</f>
        <v/>
      </c>
      <c r="J946" s="21">
        <f>IF($I946="","",IF($I946=0,"OK",IF($G946&lt;=0,"Sin stock: pedir ya","Pedir o producir")))</f>
        <v/>
      </c>
      <c r="K946" s="17" t="n"/>
      <c r="L946" s="17" t="n"/>
      <c r="M946" s="21">
        <f>IF(OR($A946="",$A946&lt;&gt;'Lista para pedir'!$C$3,N($I946)&lt;=0),"",COUNTIFS($A$2:$A946,$A946,$I$2:$I946,"&gt;0"))</f>
        <v/>
      </c>
    </row>
    <row r="947">
      <c r="A947" s="20" t="n"/>
      <c r="B947" s="21">
        <f>IF($A947="","",CHOOSE(WEEKDAY($A947,2),"Lunes","Martes","Miércoles","Jueves","Viernes","Sábado","Domingo"))</f>
        <v/>
      </c>
      <c r="C947" s="17" t="n"/>
      <c r="D947" s="21">
        <f>IF($C947="","",IFERROR(INDEX(Insumos!$B$2:$B$151,MATCH($C947,Insumos!$A$2:$A$151,0)),"Código no cargado"))</f>
        <v/>
      </c>
      <c r="E947" s="21">
        <f>IF($C947="","",IFERROR(INDEX(Insumos!$C$2:$C$151,MATCH($C947,Insumos!$A$2:$A$151,0)),""))</f>
        <v/>
      </c>
      <c r="F947" s="21">
        <f>IF($C947="","",IFERROR(INDEX(Insumos!$D$2:$D$151,MATCH($C947,Insumos!$A$2:$A$151,0)),""))</f>
        <v/>
      </c>
      <c r="G947" s="18" t="n"/>
      <c r="H947" s="19">
        <f>IF(OR($A947="",$C947=""),"",IFERROR(INDEX(Insumos!$M$2:$S$151,MATCH($C947,Insumos!$A$2:$A$151,0),WEEKDAY($A947,2)),""))</f>
        <v/>
      </c>
      <c r="I947" s="19">
        <f>IF(OR($G947="",$H947=""),"",MAX(0,$H947-$G947))</f>
        <v/>
      </c>
      <c r="J947" s="21">
        <f>IF($I947="","",IF($I947=0,"OK",IF($G947&lt;=0,"Sin stock: pedir ya","Pedir o producir")))</f>
        <v/>
      </c>
      <c r="K947" s="17" t="n"/>
      <c r="L947" s="17" t="n"/>
      <c r="M947" s="21">
        <f>IF(OR($A947="",$A947&lt;&gt;'Lista para pedir'!$C$3,N($I947)&lt;=0),"",COUNTIFS($A$2:$A947,$A947,$I$2:$I947,"&gt;0"))</f>
        <v/>
      </c>
    </row>
    <row r="948">
      <c r="A948" s="20" t="n"/>
      <c r="B948" s="21">
        <f>IF($A948="","",CHOOSE(WEEKDAY($A948,2),"Lunes","Martes","Miércoles","Jueves","Viernes","Sábado","Domingo"))</f>
        <v/>
      </c>
      <c r="C948" s="17" t="n"/>
      <c r="D948" s="21">
        <f>IF($C948="","",IFERROR(INDEX(Insumos!$B$2:$B$151,MATCH($C948,Insumos!$A$2:$A$151,0)),"Código no cargado"))</f>
        <v/>
      </c>
      <c r="E948" s="21">
        <f>IF($C948="","",IFERROR(INDEX(Insumos!$C$2:$C$151,MATCH($C948,Insumos!$A$2:$A$151,0)),""))</f>
        <v/>
      </c>
      <c r="F948" s="21">
        <f>IF($C948="","",IFERROR(INDEX(Insumos!$D$2:$D$151,MATCH($C948,Insumos!$A$2:$A$151,0)),""))</f>
        <v/>
      </c>
      <c r="G948" s="18" t="n"/>
      <c r="H948" s="19">
        <f>IF(OR($A948="",$C948=""),"",IFERROR(INDEX(Insumos!$M$2:$S$151,MATCH($C948,Insumos!$A$2:$A$151,0),WEEKDAY($A948,2)),""))</f>
        <v/>
      </c>
      <c r="I948" s="19">
        <f>IF(OR($G948="",$H948=""),"",MAX(0,$H948-$G948))</f>
        <v/>
      </c>
      <c r="J948" s="21">
        <f>IF($I948="","",IF($I948=0,"OK",IF($G948&lt;=0,"Sin stock: pedir ya","Pedir o producir")))</f>
        <v/>
      </c>
      <c r="K948" s="17" t="n"/>
      <c r="L948" s="17" t="n"/>
      <c r="M948" s="21">
        <f>IF(OR($A948="",$A948&lt;&gt;'Lista para pedir'!$C$3,N($I948)&lt;=0),"",COUNTIFS($A$2:$A948,$A948,$I$2:$I948,"&gt;0"))</f>
        <v/>
      </c>
    </row>
    <row r="949">
      <c r="A949" s="20" t="n"/>
      <c r="B949" s="21">
        <f>IF($A949="","",CHOOSE(WEEKDAY($A949,2),"Lunes","Martes","Miércoles","Jueves","Viernes","Sábado","Domingo"))</f>
        <v/>
      </c>
      <c r="C949" s="17" t="n"/>
      <c r="D949" s="21">
        <f>IF($C949="","",IFERROR(INDEX(Insumos!$B$2:$B$151,MATCH($C949,Insumos!$A$2:$A$151,0)),"Código no cargado"))</f>
        <v/>
      </c>
      <c r="E949" s="21">
        <f>IF($C949="","",IFERROR(INDEX(Insumos!$C$2:$C$151,MATCH($C949,Insumos!$A$2:$A$151,0)),""))</f>
        <v/>
      </c>
      <c r="F949" s="21">
        <f>IF($C949="","",IFERROR(INDEX(Insumos!$D$2:$D$151,MATCH($C949,Insumos!$A$2:$A$151,0)),""))</f>
        <v/>
      </c>
      <c r="G949" s="18" t="n"/>
      <c r="H949" s="19">
        <f>IF(OR($A949="",$C949=""),"",IFERROR(INDEX(Insumos!$M$2:$S$151,MATCH($C949,Insumos!$A$2:$A$151,0),WEEKDAY($A949,2)),""))</f>
        <v/>
      </c>
      <c r="I949" s="19">
        <f>IF(OR($G949="",$H949=""),"",MAX(0,$H949-$G949))</f>
        <v/>
      </c>
      <c r="J949" s="21">
        <f>IF($I949="","",IF($I949=0,"OK",IF($G949&lt;=0,"Sin stock: pedir ya","Pedir o producir")))</f>
        <v/>
      </c>
      <c r="K949" s="17" t="n"/>
      <c r="L949" s="17" t="n"/>
      <c r="M949" s="21">
        <f>IF(OR($A949="",$A949&lt;&gt;'Lista para pedir'!$C$3,N($I949)&lt;=0),"",COUNTIFS($A$2:$A949,$A949,$I$2:$I949,"&gt;0"))</f>
        <v/>
      </c>
    </row>
    <row r="950">
      <c r="A950" s="20" t="n"/>
      <c r="B950" s="21">
        <f>IF($A950="","",CHOOSE(WEEKDAY($A950,2),"Lunes","Martes","Miércoles","Jueves","Viernes","Sábado","Domingo"))</f>
        <v/>
      </c>
      <c r="C950" s="17" t="n"/>
      <c r="D950" s="21">
        <f>IF($C950="","",IFERROR(INDEX(Insumos!$B$2:$B$151,MATCH($C950,Insumos!$A$2:$A$151,0)),"Código no cargado"))</f>
        <v/>
      </c>
      <c r="E950" s="21">
        <f>IF($C950="","",IFERROR(INDEX(Insumos!$C$2:$C$151,MATCH($C950,Insumos!$A$2:$A$151,0)),""))</f>
        <v/>
      </c>
      <c r="F950" s="21">
        <f>IF($C950="","",IFERROR(INDEX(Insumos!$D$2:$D$151,MATCH($C950,Insumos!$A$2:$A$151,0)),""))</f>
        <v/>
      </c>
      <c r="G950" s="18" t="n"/>
      <c r="H950" s="19">
        <f>IF(OR($A950="",$C950=""),"",IFERROR(INDEX(Insumos!$M$2:$S$151,MATCH($C950,Insumos!$A$2:$A$151,0),WEEKDAY($A950,2)),""))</f>
        <v/>
      </c>
      <c r="I950" s="19">
        <f>IF(OR($G950="",$H950=""),"",MAX(0,$H950-$G950))</f>
        <v/>
      </c>
      <c r="J950" s="21">
        <f>IF($I950="","",IF($I950=0,"OK",IF($G950&lt;=0,"Sin stock: pedir ya","Pedir o producir")))</f>
        <v/>
      </c>
      <c r="K950" s="17" t="n"/>
      <c r="L950" s="17" t="n"/>
      <c r="M950" s="21">
        <f>IF(OR($A950="",$A950&lt;&gt;'Lista para pedir'!$C$3,N($I950)&lt;=0),"",COUNTIFS($A$2:$A950,$A950,$I$2:$I950,"&gt;0"))</f>
        <v/>
      </c>
    </row>
    <row r="951">
      <c r="A951" s="20" t="n"/>
      <c r="B951" s="21">
        <f>IF($A951="","",CHOOSE(WEEKDAY($A951,2),"Lunes","Martes","Miércoles","Jueves","Viernes","Sábado","Domingo"))</f>
        <v/>
      </c>
      <c r="C951" s="17" t="n"/>
      <c r="D951" s="21">
        <f>IF($C951="","",IFERROR(INDEX(Insumos!$B$2:$B$151,MATCH($C951,Insumos!$A$2:$A$151,0)),"Código no cargado"))</f>
        <v/>
      </c>
      <c r="E951" s="21">
        <f>IF($C951="","",IFERROR(INDEX(Insumos!$C$2:$C$151,MATCH($C951,Insumos!$A$2:$A$151,0)),""))</f>
        <v/>
      </c>
      <c r="F951" s="21">
        <f>IF($C951="","",IFERROR(INDEX(Insumos!$D$2:$D$151,MATCH($C951,Insumos!$A$2:$A$151,0)),""))</f>
        <v/>
      </c>
      <c r="G951" s="18" t="n"/>
      <c r="H951" s="19">
        <f>IF(OR($A951="",$C951=""),"",IFERROR(INDEX(Insumos!$M$2:$S$151,MATCH($C951,Insumos!$A$2:$A$151,0),WEEKDAY($A951,2)),""))</f>
        <v/>
      </c>
      <c r="I951" s="19">
        <f>IF(OR($G951="",$H951=""),"",MAX(0,$H951-$G951))</f>
        <v/>
      </c>
      <c r="J951" s="21">
        <f>IF($I951="","",IF($I951=0,"OK",IF($G951&lt;=0,"Sin stock: pedir ya","Pedir o producir")))</f>
        <v/>
      </c>
      <c r="K951" s="17" t="n"/>
      <c r="L951" s="17" t="n"/>
      <c r="M951" s="21">
        <f>IF(OR($A951="",$A951&lt;&gt;'Lista para pedir'!$C$3,N($I951)&lt;=0),"",COUNTIFS($A$2:$A951,$A951,$I$2:$I951,"&gt;0"))</f>
        <v/>
      </c>
    </row>
    <row r="952">
      <c r="A952" s="20" t="n"/>
      <c r="B952" s="21">
        <f>IF($A952="","",CHOOSE(WEEKDAY($A952,2),"Lunes","Martes","Miércoles","Jueves","Viernes","Sábado","Domingo"))</f>
        <v/>
      </c>
      <c r="C952" s="17" t="n"/>
      <c r="D952" s="21">
        <f>IF($C952="","",IFERROR(INDEX(Insumos!$B$2:$B$151,MATCH($C952,Insumos!$A$2:$A$151,0)),"Código no cargado"))</f>
        <v/>
      </c>
      <c r="E952" s="21">
        <f>IF($C952="","",IFERROR(INDEX(Insumos!$C$2:$C$151,MATCH($C952,Insumos!$A$2:$A$151,0)),""))</f>
        <v/>
      </c>
      <c r="F952" s="21">
        <f>IF($C952="","",IFERROR(INDEX(Insumos!$D$2:$D$151,MATCH($C952,Insumos!$A$2:$A$151,0)),""))</f>
        <v/>
      </c>
      <c r="G952" s="18" t="n"/>
      <c r="H952" s="19">
        <f>IF(OR($A952="",$C952=""),"",IFERROR(INDEX(Insumos!$M$2:$S$151,MATCH($C952,Insumos!$A$2:$A$151,0),WEEKDAY($A952,2)),""))</f>
        <v/>
      </c>
      <c r="I952" s="19">
        <f>IF(OR($G952="",$H952=""),"",MAX(0,$H952-$G952))</f>
        <v/>
      </c>
      <c r="J952" s="21">
        <f>IF($I952="","",IF($I952=0,"OK",IF($G952&lt;=0,"Sin stock: pedir ya","Pedir o producir")))</f>
        <v/>
      </c>
      <c r="K952" s="17" t="n"/>
      <c r="L952" s="17" t="n"/>
      <c r="M952" s="21">
        <f>IF(OR($A952="",$A952&lt;&gt;'Lista para pedir'!$C$3,N($I952)&lt;=0),"",COUNTIFS($A$2:$A952,$A952,$I$2:$I952,"&gt;0"))</f>
        <v/>
      </c>
    </row>
    <row r="953">
      <c r="A953" s="20" t="n"/>
      <c r="B953" s="21">
        <f>IF($A953="","",CHOOSE(WEEKDAY($A953,2),"Lunes","Martes","Miércoles","Jueves","Viernes","Sábado","Domingo"))</f>
        <v/>
      </c>
      <c r="C953" s="17" t="n"/>
      <c r="D953" s="21">
        <f>IF($C953="","",IFERROR(INDEX(Insumos!$B$2:$B$151,MATCH($C953,Insumos!$A$2:$A$151,0)),"Código no cargado"))</f>
        <v/>
      </c>
      <c r="E953" s="21">
        <f>IF($C953="","",IFERROR(INDEX(Insumos!$C$2:$C$151,MATCH($C953,Insumos!$A$2:$A$151,0)),""))</f>
        <v/>
      </c>
      <c r="F953" s="21">
        <f>IF($C953="","",IFERROR(INDEX(Insumos!$D$2:$D$151,MATCH($C953,Insumos!$A$2:$A$151,0)),""))</f>
        <v/>
      </c>
      <c r="G953" s="18" t="n"/>
      <c r="H953" s="19">
        <f>IF(OR($A953="",$C953=""),"",IFERROR(INDEX(Insumos!$M$2:$S$151,MATCH($C953,Insumos!$A$2:$A$151,0),WEEKDAY($A953,2)),""))</f>
        <v/>
      </c>
      <c r="I953" s="19">
        <f>IF(OR($G953="",$H953=""),"",MAX(0,$H953-$G953))</f>
        <v/>
      </c>
      <c r="J953" s="21">
        <f>IF($I953="","",IF($I953=0,"OK",IF($G953&lt;=0,"Sin stock: pedir ya","Pedir o producir")))</f>
        <v/>
      </c>
      <c r="K953" s="17" t="n"/>
      <c r="L953" s="17" t="n"/>
      <c r="M953" s="21">
        <f>IF(OR($A953="",$A953&lt;&gt;'Lista para pedir'!$C$3,N($I953)&lt;=0),"",COUNTIFS($A$2:$A953,$A953,$I$2:$I953,"&gt;0"))</f>
        <v/>
      </c>
    </row>
    <row r="954">
      <c r="A954" s="20" t="n"/>
      <c r="B954" s="21">
        <f>IF($A954="","",CHOOSE(WEEKDAY($A954,2),"Lunes","Martes","Miércoles","Jueves","Viernes","Sábado","Domingo"))</f>
        <v/>
      </c>
      <c r="C954" s="17" t="n"/>
      <c r="D954" s="21">
        <f>IF($C954="","",IFERROR(INDEX(Insumos!$B$2:$B$151,MATCH($C954,Insumos!$A$2:$A$151,0)),"Código no cargado"))</f>
        <v/>
      </c>
      <c r="E954" s="21">
        <f>IF($C954="","",IFERROR(INDEX(Insumos!$C$2:$C$151,MATCH($C954,Insumos!$A$2:$A$151,0)),""))</f>
        <v/>
      </c>
      <c r="F954" s="21">
        <f>IF($C954="","",IFERROR(INDEX(Insumos!$D$2:$D$151,MATCH($C954,Insumos!$A$2:$A$151,0)),""))</f>
        <v/>
      </c>
      <c r="G954" s="18" t="n"/>
      <c r="H954" s="19">
        <f>IF(OR($A954="",$C954=""),"",IFERROR(INDEX(Insumos!$M$2:$S$151,MATCH($C954,Insumos!$A$2:$A$151,0),WEEKDAY($A954,2)),""))</f>
        <v/>
      </c>
      <c r="I954" s="19">
        <f>IF(OR($G954="",$H954=""),"",MAX(0,$H954-$G954))</f>
        <v/>
      </c>
      <c r="J954" s="21">
        <f>IF($I954="","",IF($I954=0,"OK",IF($G954&lt;=0,"Sin stock: pedir ya","Pedir o producir")))</f>
        <v/>
      </c>
      <c r="K954" s="17" t="n"/>
      <c r="L954" s="17" t="n"/>
      <c r="M954" s="21">
        <f>IF(OR($A954="",$A954&lt;&gt;'Lista para pedir'!$C$3,N($I954)&lt;=0),"",COUNTIFS($A$2:$A954,$A954,$I$2:$I954,"&gt;0"))</f>
        <v/>
      </c>
    </row>
    <row r="955">
      <c r="A955" s="20" t="n"/>
      <c r="B955" s="21">
        <f>IF($A955="","",CHOOSE(WEEKDAY($A955,2),"Lunes","Martes","Miércoles","Jueves","Viernes","Sábado","Domingo"))</f>
        <v/>
      </c>
      <c r="C955" s="17" t="n"/>
      <c r="D955" s="21">
        <f>IF($C955="","",IFERROR(INDEX(Insumos!$B$2:$B$151,MATCH($C955,Insumos!$A$2:$A$151,0)),"Código no cargado"))</f>
        <v/>
      </c>
      <c r="E955" s="21">
        <f>IF($C955="","",IFERROR(INDEX(Insumos!$C$2:$C$151,MATCH($C955,Insumos!$A$2:$A$151,0)),""))</f>
        <v/>
      </c>
      <c r="F955" s="21">
        <f>IF($C955="","",IFERROR(INDEX(Insumos!$D$2:$D$151,MATCH($C955,Insumos!$A$2:$A$151,0)),""))</f>
        <v/>
      </c>
      <c r="G955" s="18" t="n"/>
      <c r="H955" s="19">
        <f>IF(OR($A955="",$C955=""),"",IFERROR(INDEX(Insumos!$M$2:$S$151,MATCH($C955,Insumos!$A$2:$A$151,0),WEEKDAY($A955,2)),""))</f>
        <v/>
      </c>
      <c r="I955" s="19">
        <f>IF(OR($G955="",$H955=""),"",MAX(0,$H955-$G955))</f>
        <v/>
      </c>
      <c r="J955" s="21">
        <f>IF($I955="","",IF($I955=0,"OK",IF($G955&lt;=0,"Sin stock: pedir ya","Pedir o producir")))</f>
        <v/>
      </c>
      <c r="K955" s="17" t="n"/>
      <c r="L955" s="17" t="n"/>
      <c r="M955" s="21">
        <f>IF(OR($A955="",$A955&lt;&gt;'Lista para pedir'!$C$3,N($I955)&lt;=0),"",COUNTIFS($A$2:$A955,$A955,$I$2:$I955,"&gt;0"))</f>
        <v/>
      </c>
    </row>
    <row r="956">
      <c r="A956" s="20" t="n"/>
      <c r="B956" s="21">
        <f>IF($A956="","",CHOOSE(WEEKDAY($A956,2),"Lunes","Martes","Miércoles","Jueves","Viernes","Sábado","Domingo"))</f>
        <v/>
      </c>
      <c r="C956" s="17" t="n"/>
      <c r="D956" s="21">
        <f>IF($C956="","",IFERROR(INDEX(Insumos!$B$2:$B$151,MATCH($C956,Insumos!$A$2:$A$151,0)),"Código no cargado"))</f>
        <v/>
      </c>
      <c r="E956" s="21">
        <f>IF($C956="","",IFERROR(INDEX(Insumos!$C$2:$C$151,MATCH($C956,Insumos!$A$2:$A$151,0)),""))</f>
        <v/>
      </c>
      <c r="F956" s="21">
        <f>IF($C956="","",IFERROR(INDEX(Insumos!$D$2:$D$151,MATCH($C956,Insumos!$A$2:$A$151,0)),""))</f>
        <v/>
      </c>
      <c r="G956" s="18" t="n"/>
      <c r="H956" s="19">
        <f>IF(OR($A956="",$C956=""),"",IFERROR(INDEX(Insumos!$M$2:$S$151,MATCH($C956,Insumos!$A$2:$A$151,0),WEEKDAY($A956,2)),""))</f>
        <v/>
      </c>
      <c r="I956" s="19">
        <f>IF(OR($G956="",$H956=""),"",MAX(0,$H956-$G956))</f>
        <v/>
      </c>
      <c r="J956" s="21">
        <f>IF($I956="","",IF($I956=0,"OK",IF($G956&lt;=0,"Sin stock: pedir ya","Pedir o producir")))</f>
        <v/>
      </c>
      <c r="K956" s="17" t="n"/>
      <c r="L956" s="17" t="n"/>
      <c r="M956" s="21">
        <f>IF(OR($A956="",$A956&lt;&gt;'Lista para pedir'!$C$3,N($I956)&lt;=0),"",COUNTIFS($A$2:$A956,$A956,$I$2:$I956,"&gt;0"))</f>
        <v/>
      </c>
    </row>
    <row r="957">
      <c r="A957" s="20" t="n"/>
      <c r="B957" s="21">
        <f>IF($A957="","",CHOOSE(WEEKDAY($A957,2),"Lunes","Martes","Miércoles","Jueves","Viernes","Sábado","Domingo"))</f>
        <v/>
      </c>
      <c r="C957" s="17" t="n"/>
      <c r="D957" s="21">
        <f>IF($C957="","",IFERROR(INDEX(Insumos!$B$2:$B$151,MATCH($C957,Insumos!$A$2:$A$151,0)),"Código no cargado"))</f>
        <v/>
      </c>
      <c r="E957" s="21">
        <f>IF($C957="","",IFERROR(INDEX(Insumos!$C$2:$C$151,MATCH($C957,Insumos!$A$2:$A$151,0)),""))</f>
        <v/>
      </c>
      <c r="F957" s="21">
        <f>IF($C957="","",IFERROR(INDEX(Insumos!$D$2:$D$151,MATCH($C957,Insumos!$A$2:$A$151,0)),""))</f>
        <v/>
      </c>
      <c r="G957" s="18" t="n"/>
      <c r="H957" s="19">
        <f>IF(OR($A957="",$C957=""),"",IFERROR(INDEX(Insumos!$M$2:$S$151,MATCH($C957,Insumos!$A$2:$A$151,0),WEEKDAY($A957,2)),""))</f>
        <v/>
      </c>
      <c r="I957" s="19">
        <f>IF(OR($G957="",$H957=""),"",MAX(0,$H957-$G957))</f>
        <v/>
      </c>
      <c r="J957" s="21">
        <f>IF($I957="","",IF($I957=0,"OK",IF($G957&lt;=0,"Sin stock: pedir ya","Pedir o producir")))</f>
        <v/>
      </c>
      <c r="K957" s="17" t="n"/>
      <c r="L957" s="17" t="n"/>
      <c r="M957" s="21">
        <f>IF(OR($A957="",$A957&lt;&gt;'Lista para pedir'!$C$3,N($I957)&lt;=0),"",COUNTIFS($A$2:$A957,$A957,$I$2:$I957,"&gt;0"))</f>
        <v/>
      </c>
    </row>
    <row r="958">
      <c r="A958" s="20" t="n"/>
      <c r="B958" s="21">
        <f>IF($A958="","",CHOOSE(WEEKDAY($A958,2),"Lunes","Martes","Miércoles","Jueves","Viernes","Sábado","Domingo"))</f>
        <v/>
      </c>
      <c r="C958" s="17" t="n"/>
      <c r="D958" s="21">
        <f>IF($C958="","",IFERROR(INDEX(Insumos!$B$2:$B$151,MATCH($C958,Insumos!$A$2:$A$151,0)),"Código no cargado"))</f>
        <v/>
      </c>
      <c r="E958" s="21">
        <f>IF($C958="","",IFERROR(INDEX(Insumos!$C$2:$C$151,MATCH($C958,Insumos!$A$2:$A$151,0)),""))</f>
        <v/>
      </c>
      <c r="F958" s="21">
        <f>IF($C958="","",IFERROR(INDEX(Insumos!$D$2:$D$151,MATCH($C958,Insumos!$A$2:$A$151,0)),""))</f>
        <v/>
      </c>
      <c r="G958" s="18" t="n"/>
      <c r="H958" s="19">
        <f>IF(OR($A958="",$C958=""),"",IFERROR(INDEX(Insumos!$M$2:$S$151,MATCH($C958,Insumos!$A$2:$A$151,0),WEEKDAY($A958,2)),""))</f>
        <v/>
      </c>
      <c r="I958" s="19">
        <f>IF(OR($G958="",$H958=""),"",MAX(0,$H958-$G958))</f>
        <v/>
      </c>
      <c r="J958" s="21">
        <f>IF($I958="","",IF($I958=0,"OK",IF($G958&lt;=0,"Sin stock: pedir ya","Pedir o producir")))</f>
        <v/>
      </c>
      <c r="K958" s="17" t="n"/>
      <c r="L958" s="17" t="n"/>
      <c r="M958" s="21">
        <f>IF(OR($A958="",$A958&lt;&gt;'Lista para pedir'!$C$3,N($I958)&lt;=0),"",COUNTIFS($A$2:$A958,$A958,$I$2:$I958,"&gt;0"))</f>
        <v/>
      </c>
    </row>
    <row r="959">
      <c r="A959" s="20" t="n"/>
      <c r="B959" s="21">
        <f>IF($A959="","",CHOOSE(WEEKDAY($A959,2),"Lunes","Martes","Miércoles","Jueves","Viernes","Sábado","Domingo"))</f>
        <v/>
      </c>
      <c r="C959" s="17" t="n"/>
      <c r="D959" s="21">
        <f>IF($C959="","",IFERROR(INDEX(Insumos!$B$2:$B$151,MATCH($C959,Insumos!$A$2:$A$151,0)),"Código no cargado"))</f>
        <v/>
      </c>
      <c r="E959" s="21">
        <f>IF($C959="","",IFERROR(INDEX(Insumos!$C$2:$C$151,MATCH($C959,Insumos!$A$2:$A$151,0)),""))</f>
        <v/>
      </c>
      <c r="F959" s="21">
        <f>IF($C959="","",IFERROR(INDEX(Insumos!$D$2:$D$151,MATCH($C959,Insumos!$A$2:$A$151,0)),""))</f>
        <v/>
      </c>
      <c r="G959" s="18" t="n"/>
      <c r="H959" s="19">
        <f>IF(OR($A959="",$C959=""),"",IFERROR(INDEX(Insumos!$M$2:$S$151,MATCH($C959,Insumos!$A$2:$A$151,0),WEEKDAY($A959,2)),""))</f>
        <v/>
      </c>
      <c r="I959" s="19">
        <f>IF(OR($G959="",$H959=""),"",MAX(0,$H959-$G959))</f>
        <v/>
      </c>
      <c r="J959" s="21">
        <f>IF($I959="","",IF($I959=0,"OK",IF($G959&lt;=0,"Sin stock: pedir ya","Pedir o producir")))</f>
        <v/>
      </c>
      <c r="K959" s="17" t="n"/>
      <c r="L959" s="17" t="n"/>
      <c r="M959" s="21">
        <f>IF(OR($A959="",$A959&lt;&gt;'Lista para pedir'!$C$3,N($I959)&lt;=0),"",COUNTIFS($A$2:$A959,$A959,$I$2:$I959,"&gt;0"))</f>
        <v/>
      </c>
    </row>
    <row r="960">
      <c r="A960" s="20" t="n"/>
      <c r="B960" s="21">
        <f>IF($A960="","",CHOOSE(WEEKDAY($A960,2),"Lunes","Martes","Miércoles","Jueves","Viernes","Sábado","Domingo"))</f>
        <v/>
      </c>
      <c r="C960" s="17" t="n"/>
      <c r="D960" s="21">
        <f>IF($C960="","",IFERROR(INDEX(Insumos!$B$2:$B$151,MATCH($C960,Insumos!$A$2:$A$151,0)),"Código no cargado"))</f>
        <v/>
      </c>
      <c r="E960" s="21">
        <f>IF($C960="","",IFERROR(INDEX(Insumos!$C$2:$C$151,MATCH($C960,Insumos!$A$2:$A$151,0)),""))</f>
        <v/>
      </c>
      <c r="F960" s="21">
        <f>IF($C960="","",IFERROR(INDEX(Insumos!$D$2:$D$151,MATCH($C960,Insumos!$A$2:$A$151,0)),""))</f>
        <v/>
      </c>
      <c r="G960" s="18" t="n"/>
      <c r="H960" s="19">
        <f>IF(OR($A960="",$C960=""),"",IFERROR(INDEX(Insumos!$M$2:$S$151,MATCH($C960,Insumos!$A$2:$A$151,0),WEEKDAY($A960,2)),""))</f>
        <v/>
      </c>
      <c r="I960" s="19">
        <f>IF(OR($G960="",$H960=""),"",MAX(0,$H960-$G960))</f>
        <v/>
      </c>
      <c r="J960" s="21">
        <f>IF($I960="","",IF($I960=0,"OK",IF($G960&lt;=0,"Sin stock: pedir ya","Pedir o producir")))</f>
        <v/>
      </c>
      <c r="K960" s="17" t="n"/>
      <c r="L960" s="17" t="n"/>
      <c r="M960" s="21">
        <f>IF(OR($A960="",$A960&lt;&gt;'Lista para pedir'!$C$3,N($I960)&lt;=0),"",COUNTIFS($A$2:$A960,$A960,$I$2:$I960,"&gt;0"))</f>
        <v/>
      </c>
    </row>
    <row r="961">
      <c r="A961" s="20" t="n"/>
      <c r="B961" s="21">
        <f>IF($A961="","",CHOOSE(WEEKDAY($A961,2),"Lunes","Martes","Miércoles","Jueves","Viernes","Sábado","Domingo"))</f>
        <v/>
      </c>
      <c r="C961" s="17" t="n"/>
      <c r="D961" s="21">
        <f>IF($C961="","",IFERROR(INDEX(Insumos!$B$2:$B$151,MATCH($C961,Insumos!$A$2:$A$151,0)),"Código no cargado"))</f>
        <v/>
      </c>
      <c r="E961" s="21">
        <f>IF($C961="","",IFERROR(INDEX(Insumos!$C$2:$C$151,MATCH($C961,Insumos!$A$2:$A$151,0)),""))</f>
        <v/>
      </c>
      <c r="F961" s="21">
        <f>IF($C961="","",IFERROR(INDEX(Insumos!$D$2:$D$151,MATCH($C961,Insumos!$A$2:$A$151,0)),""))</f>
        <v/>
      </c>
      <c r="G961" s="18" t="n"/>
      <c r="H961" s="19">
        <f>IF(OR($A961="",$C961=""),"",IFERROR(INDEX(Insumos!$M$2:$S$151,MATCH($C961,Insumos!$A$2:$A$151,0),WEEKDAY($A961,2)),""))</f>
        <v/>
      </c>
      <c r="I961" s="19">
        <f>IF(OR($G961="",$H961=""),"",MAX(0,$H961-$G961))</f>
        <v/>
      </c>
      <c r="J961" s="21">
        <f>IF($I961="","",IF($I961=0,"OK",IF($G961&lt;=0,"Sin stock: pedir ya","Pedir o producir")))</f>
        <v/>
      </c>
      <c r="K961" s="17" t="n"/>
      <c r="L961" s="17" t="n"/>
      <c r="M961" s="21">
        <f>IF(OR($A961="",$A961&lt;&gt;'Lista para pedir'!$C$3,N($I961)&lt;=0),"",COUNTIFS($A$2:$A961,$A961,$I$2:$I961,"&gt;0"))</f>
        <v/>
      </c>
    </row>
    <row r="962">
      <c r="A962" s="20" t="n"/>
      <c r="B962" s="21">
        <f>IF($A962="","",CHOOSE(WEEKDAY($A962,2),"Lunes","Martes","Miércoles","Jueves","Viernes","Sábado","Domingo"))</f>
        <v/>
      </c>
      <c r="C962" s="17" t="n"/>
      <c r="D962" s="21">
        <f>IF($C962="","",IFERROR(INDEX(Insumos!$B$2:$B$151,MATCH($C962,Insumos!$A$2:$A$151,0)),"Código no cargado"))</f>
        <v/>
      </c>
      <c r="E962" s="21">
        <f>IF($C962="","",IFERROR(INDEX(Insumos!$C$2:$C$151,MATCH($C962,Insumos!$A$2:$A$151,0)),""))</f>
        <v/>
      </c>
      <c r="F962" s="21">
        <f>IF($C962="","",IFERROR(INDEX(Insumos!$D$2:$D$151,MATCH($C962,Insumos!$A$2:$A$151,0)),""))</f>
        <v/>
      </c>
      <c r="G962" s="18" t="n"/>
      <c r="H962" s="19">
        <f>IF(OR($A962="",$C962=""),"",IFERROR(INDEX(Insumos!$M$2:$S$151,MATCH($C962,Insumos!$A$2:$A$151,0),WEEKDAY($A962,2)),""))</f>
        <v/>
      </c>
      <c r="I962" s="19">
        <f>IF(OR($G962="",$H962=""),"",MAX(0,$H962-$G962))</f>
        <v/>
      </c>
      <c r="J962" s="21">
        <f>IF($I962="","",IF($I962=0,"OK",IF($G962&lt;=0,"Sin stock: pedir ya","Pedir o producir")))</f>
        <v/>
      </c>
      <c r="K962" s="17" t="n"/>
      <c r="L962" s="17" t="n"/>
      <c r="M962" s="21">
        <f>IF(OR($A962="",$A962&lt;&gt;'Lista para pedir'!$C$3,N($I962)&lt;=0),"",COUNTIFS($A$2:$A962,$A962,$I$2:$I962,"&gt;0"))</f>
        <v/>
      </c>
    </row>
    <row r="963">
      <c r="A963" s="20" t="n"/>
      <c r="B963" s="21">
        <f>IF($A963="","",CHOOSE(WEEKDAY($A963,2),"Lunes","Martes","Miércoles","Jueves","Viernes","Sábado","Domingo"))</f>
        <v/>
      </c>
      <c r="C963" s="17" t="n"/>
      <c r="D963" s="21">
        <f>IF($C963="","",IFERROR(INDEX(Insumos!$B$2:$B$151,MATCH($C963,Insumos!$A$2:$A$151,0)),"Código no cargado"))</f>
        <v/>
      </c>
      <c r="E963" s="21">
        <f>IF($C963="","",IFERROR(INDEX(Insumos!$C$2:$C$151,MATCH($C963,Insumos!$A$2:$A$151,0)),""))</f>
        <v/>
      </c>
      <c r="F963" s="21">
        <f>IF($C963="","",IFERROR(INDEX(Insumos!$D$2:$D$151,MATCH($C963,Insumos!$A$2:$A$151,0)),""))</f>
        <v/>
      </c>
      <c r="G963" s="18" t="n"/>
      <c r="H963" s="19">
        <f>IF(OR($A963="",$C963=""),"",IFERROR(INDEX(Insumos!$M$2:$S$151,MATCH($C963,Insumos!$A$2:$A$151,0),WEEKDAY($A963,2)),""))</f>
        <v/>
      </c>
      <c r="I963" s="19">
        <f>IF(OR($G963="",$H963=""),"",MAX(0,$H963-$G963))</f>
        <v/>
      </c>
      <c r="J963" s="21">
        <f>IF($I963="","",IF($I963=0,"OK",IF($G963&lt;=0,"Sin stock: pedir ya","Pedir o producir")))</f>
        <v/>
      </c>
      <c r="K963" s="17" t="n"/>
      <c r="L963" s="17" t="n"/>
      <c r="M963" s="21">
        <f>IF(OR($A963="",$A963&lt;&gt;'Lista para pedir'!$C$3,N($I963)&lt;=0),"",COUNTIFS($A$2:$A963,$A963,$I$2:$I963,"&gt;0"))</f>
        <v/>
      </c>
    </row>
    <row r="964">
      <c r="A964" s="20" t="n"/>
      <c r="B964" s="21">
        <f>IF($A964="","",CHOOSE(WEEKDAY($A964,2),"Lunes","Martes","Miércoles","Jueves","Viernes","Sábado","Domingo"))</f>
        <v/>
      </c>
      <c r="C964" s="17" t="n"/>
      <c r="D964" s="21">
        <f>IF($C964="","",IFERROR(INDEX(Insumos!$B$2:$B$151,MATCH($C964,Insumos!$A$2:$A$151,0)),"Código no cargado"))</f>
        <v/>
      </c>
      <c r="E964" s="21">
        <f>IF($C964="","",IFERROR(INDEX(Insumos!$C$2:$C$151,MATCH($C964,Insumos!$A$2:$A$151,0)),""))</f>
        <v/>
      </c>
      <c r="F964" s="21">
        <f>IF($C964="","",IFERROR(INDEX(Insumos!$D$2:$D$151,MATCH($C964,Insumos!$A$2:$A$151,0)),""))</f>
        <v/>
      </c>
      <c r="G964" s="18" t="n"/>
      <c r="H964" s="19">
        <f>IF(OR($A964="",$C964=""),"",IFERROR(INDEX(Insumos!$M$2:$S$151,MATCH($C964,Insumos!$A$2:$A$151,0),WEEKDAY($A964,2)),""))</f>
        <v/>
      </c>
      <c r="I964" s="19">
        <f>IF(OR($G964="",$H964=""),"",MAX(0,$H964-$G964))</f>
        <v/>
      </c>
      <c r="J964" s="21">
        <f>IF($I964="","",IF($I964=0,"OK",IF($G964&lt;=0,"Sin stock: pedir ya","Pedir o producir")))</f>
        <v/>
      </c>
      <c r="K964" s="17" t="n"/>
      <c r="L964" s="17" t="n"/>
      <c r="M964" s="21">
        <f>IF(OR($A964="",$A964&lt;&gt;'Lista para pedir'!$C$3,N($I964)&lt;=0),"",COUNTIFS($A$2:$A964,$A964,$I$2:$I964,"&gt;0"))</f>
        <v/>
      </c>
    </row>
    <row r="965">
      <c r="A965" s="20" t="n"/>
      <c r="B965" s="21">
        <f>IF($A965="","",CHOOSE(WEEKDAY($A965,2),"Lunes","Martes","Miércoles","Jueves","Viernes","Sábado","Domingo"))</f>
        <v/>
      </c>
      <c r="C965" s="17" t="n"/>
      <c r="D965" s="21">
        <f>IF($C965="","",IFERROR(INDEX(Insumos!$B$2:$B$151,MATCH($C965,Insumos!$A$2:$A$151,0)),"Código no cargado"))</f>
        <v/>
      </c>
      <c r="E965" s="21">
        <f>IF($C965="","",IFERROR(INDEX(Insumos!$C$2:$C$151,MATCH($C965,Insumos!$A$2:$A$151,0)),""))</f>
        <v/>
      </c>
      <c r="F965" s="21">
        <f>IF($C965="","",IFERROR(INDEX(Insumos!$D$2:$D$151,MATCH($C965,Insumos!$A$2:$A$151,0)),""))</f>
        <v/>
      </c>
      <c r="G965" s="18" t="n"/>
      <c r="H965" s="19">
        <f>IF(OR($A965="",$C965=""),"",IFERROR(INDEX(Insumos!$M$2:$S$151,MATCH($C965,Insumos!$A$2:$A$151,0),WEEKDAY($A965,2)),""))</f>
        <v/>
      </c>
      <c r="I965" s="19">
        <f>IF(OR($G965="",$H965=""),"",MAX(0,$H965-$G965))</f>
        <v/>
      </c>
      <c r="J965" s="21">
        <f>IF($I965="","",IF($I965=0,"OK",IF($G965&lt;=0,"Sin stock: pedir ya","Pedir o producir")))</f>
        <v/>
      </c>
      <c r="K965" s="17" t="n"/>
      <c r="L965" s="17" t="n"/>
      <c r="M965" s="21">
        <f>IF(OR($A965="",$A965&lt;&gt;'Lista para pedir'!$C$3,N($I965)&lt;=0),"",COUNTIFS($A$2:$A965,$A965,$I$2:$I965,"&gt;0"))</f>
        <v/>
      </c>
    </row>
    <row r="966">
      <c r="A966" s="20" t="n"/>
      <c r="B966" s="21">
        <f>IF($A966="","",CHOOSE(WEEKDAY($A966,2),"Lunes","Martes","Miércoles","Jueves","Viernes","Sábado","Domingo"))</f>
        <v/>
      </c>
      <c r="C966" s="17" t="n"/>
      <c r="D966" s="21">
        <f>IF($C966="","",IFERROR(INDEX(Insumos!$B$2:$B$151,MATCH($C966,Insumos!$A$2:$A$151,0)),"Código no cargado"))</f>
        <v/>
      </c>
      <c r="E966" s="21">
        <f>IF($C966="","",IFERROR(INDEX(Insumos!$C$2:$C$151,MATCH($C966,Insumos!$A$2:$A$151,0)),""))</f>
        <v/>
      </c>
      <c r="F966" s="21">
        <f>IF($C966="","",IFERROR(INDEX(Insumos!$D$2:$D$151,MATCH($C966,Insumos!$A$2:$A$151,0)),""))</f>
        <v/>
      </c>
      <c r="G966" s="18" t="n"/>
      <c r="H966" s="19">
        <f>IF(OR($A966="",$C966=""),"",IFERROR(INDEX(Insumos!$M$2:$S$151,MATCH($C966,Insumos!$A$2:$A$151,0),WEEKDAY($A966,2)),""))</f>
        <v/>
      </c>
      <c r="I966" s="19">
        <f>IF(OR($G966="",$H966=""),"",MAX(0,$H966-$G966))</f>
        <v/>
      </c>
      <c r="J966" s="21">
        <f>IF($I966="","",IF($I966=0,"OK",IF($G966&lt;=0,"Sin stock: pedir ya","Pedir o producir")))</f>
        <v/>
      </c>
      <c r="K966" s="17" t="n"/>
      <c r="L966" s="17" t="n"/>
      <c r="M966" s="21">
        <f>IF(OR($A966="",$A966&lt;&gt;'Lista para pedir'!$C$3,N($I966)&lt;=0),"",COUNTIFS($A$2:$A966,$A966,$I$2:$I966,"&gt;0"))</f>
        <v/>
      </c>
    </row>
    <row r="967">
      <c r="A967" s="20" t="n"/>
      <c r="B967" s="21">
        <f>IF($A967="","",CHOOSE(WEEKDAY($A967,2),"Lunes","Martes","Miércoles","Jueves","Viernes","Sábado","Domingo"))</f>
        <v/>
      </c>
      <c r="C967" s="17" t="n"/>
      <c r="D967" s="21">
        <f>IF($C967="","",IFERROR(INDEX(Insumos!$B$2:$B$151,MATCH($C967,Insumos!$A$2:$A$151,0)),"Código no cargado"))</f>
        <v/>
      </c>
      <c r="E967" s="21">
        <f>IF($C967="","",IFERROR(INDEX(Insumos!$C$2:$C$151,MATCH($C967,Insumos!$A$2:$A$151,0)),""))</f>
        <v/>
      </c>
      <c r="F967" s="21">
        <f>IF($C967="","",IFERROR(INDEX(Insumos!$D$2:$D$151,MATCH($C967,Insumos!$A$2:$A$151,0)),""))</f>
        <v/>
      </c>
      <c r="G967" s="18" t="n"/>
      <c r="H967" s="19">
        <f>IF(OR($A967="",$C967=""),"",IFERROR(INDEX(Insumos!$M$2:$S$151,MATCH($C967,Insumos!$A$2:$A$151,0),WEEKDAY($A967,2)),""))</f>
        <v/>
      </c>
      <c r="I967" s="19">
        <f>IF(OR($G967="",$H967=""),"",MAX(0,$H967-$G967))</f>
        <v/>
      </c>
      <c r="J967" s="21">
        <f>IF($I967="","",IF($I967=0,"OK",IF($G967&lt;=0,"Sin stock: pedir ya","Pedir o producir")))</f>
        <v/>
      </c>
      <c r="K967" s="17" t="n"/>
      <c r="L967" s="17" t="n"/>
      <c r="M967" s="21">
        <f>IF(OR($A967="",$A967&lt;&gt;'Lista para pedir'!$C$3,N($I967)&lt;=0),"",COUNTIFS($A$2:$A967,$A967,$I$2:$I967,"&gt;0"))</f>
        <v/>
      </c>
    </row>
    <row r="968">
      <c r="A968" s="20" t="n"/>
      <c r="B968" s="21">
        <f>IF($A968="","",CHOOSE(WEEKDAY($A968,2),"Lunes","Martes","Miércoles","Jueves","Viernes","Sábado","Domingo"))</f>
        <v/>
      </c>
      <c r="C968" s="17" t="n"/>
      <c r="D968" s="21">
        <f>IF($C968="","",IFERROR(INDEX(Insumos!$B$2:$B$151,MATCH($C968,Insumos!$A$2:$A$151,0)),"Código no cargado"))</f>
        <v/>
      </c>
      <c r="E968" s="21">
        <f>IF($C968="","",IFERROR(INDEX(Insumos!$C$2:$C$151,MATCH($C968,Insumos!$A$2:$A$151,0)),""))</f>
        <v/>
      </c>
      <c r="F968" s="21">
        <f>IF($C968="","",IFERROR(INDEX(Insumos!$D$2:$D$151,MATCH($C968,Insumos!$A$2:$A$151,0)),""))</f>
        <v/>
      </c>
      <c r="G968" s="18" t="n"/>
      <c r="H968" s="19">
        <f>IF(OR($A968="",$C968=""),"",IFERROR(INDEX(Insumos!$M$2:$S$151,MATCH($C968,Insumos!$A$2:$A$151,0),WEEKDAY($A968,2)),""))</f>
        <v/>
      </c>
      <c r="I968" s="19">
        <f>IF(OR($G968="",$H968=""),"",MAX(0,$H968-$G968))</f>
        <v/>
      </c>
      <c r="J968" s="21">
        <f>IF($I968="","",IF($I968=0,"OK",IF($G968&lt;=0,"Sin stock: pedir ya","Pedir o producir")))</f>
        <v/>
      </c>
      <c r="K968" s="17" t="n"/>
      <c r="L968" s="17" t="n"/>
      <c r="M968" s="21">
        <f>IF(OR($A968="",$A968&lt;&gt;'Lista para pedir'!$C$3,N($I968)&lt;=0),"",COUNTIFS($A$2:$A968,$A968,$I$2:$I968,"&gt;0"))</f>
        <v/>
      </c>
    </row>
    <row r="969">
      <c r="A969" s="20" t="n"/>
      <c r="B969" s="21">
        <f>IF($A969="","",CHOOSE(WEEKDAY($A969,2),"Lunes","Martes","Miércoles","Jueves","Viernes","Sábado","Domingo"))</f>
        <v/>
      </c>
      <c r="C969" s="17" t="n"/>
      <c r="D969" s="21">
        <f>IF($C969="","",IFERROR(INDEX(Insumos!$B$2:$B$151,MATCH($C969,Insumos!$A$2:$A$151,0)),"Código no cargado"))</f>
        <v/>
      </c>
      <c r="E969" s="21">
        <f>IF($C969="","",IFERROR(INDEX(Insumos!$C$2:$C$151,MATCH($C969,Insumos!$A$2:$A$151,0)),""))</f>
        <v/>
      </c>
      <c r="F969" s="21">
        <f>IF($C969="","",IFERROR(INDEX(Insumos!$D$2:$D$151,MATCH($C969,Insumos!$A$2:$A$151,0)),""))</f>
        <v/>
      </c>
      <c r="G969" s="18" t="n"/>
      <c r="H969" s="19">
        <f>IF(OR($A969="",$C969=""),"",IFERROR(INDEX(Insumos!$M$2:$S$151,MATCH($C969,Insumos!$A$2:$A$151,0),WEEKDAY($A969,2)),""))</f>
        <v/>
      </c>
      <c r="I969" s="19">
        <f>IF(OR($G969="",$H969=""),"",MAX(0,$H969-$G969))</f>
        <v/>
      </c>
      <c r="J969" s="21">
        <f>IF($I969="","",IF($I969=0,"OK",IF($G969&lt;=0,"Sin stock: pedir ya","Pedir o producir")))</f>
        <v/>
      </c>
      <c r="K969" s="17" t="n"/>
      <c r="L969" s="17" t="n"/>
      <c r="M969" s="21">
        <f>IF(OR($A969="",$A969&lt;&gt;'Lista para pedir'!$C$3,N($I969)&lt;=0),"",COUNTIFS($A$2:$A969,$A969,$I$2:$I969,"&gt;0"))</f>
        <v/>
      </c>
    </row>
    <row r="970">
      <c r="A970" s="20" t="n"/>
      <c r="B970" s="21">
        <f>IF($A970="","",CHOOSE(WEEKDAY($A970,2),"Lunes","Martes","Miércoles","Jueves","Viernes","Sábado","Domingo"))</f>
        <v/>
      </c>
      <c r="C970" s="17" t="n"/>
      <c r="D970" s="21">
        <f>IF($C970="","",IFERROR(INDEX(Insumos!$B$2:$B$151,MATCH($C970,Insumos!$A$2:$A$151,0)),"Código no cargado"))</f>
        <v/>
      </c>
      <c r="E970" s="21">
        <f>IF($C970="","",IFERROR(INDEX(Insumos!$C$2:$C$151,MATCH($C970,Insumos!$A$2:$A$151,0)),""))</f>
        <v/>
      </c>
      <c r="F970" s="21">
        <f>IF($C970="","",IFERROR(INDEX(Insumos!$D$2:$D$151,MATCH($C970,Insumos!$A$2:$A$151,0)),""))</f>
        <v/>
      </c>
      <c r="G970" s="18" t="n"/>
      <c r="H970" s="19">
        <f>IF(OR($A970="",$C970=""),"",IFERROR(INDEX(Insumos!$M$2:$S$151,MATCH($C970,Insumos!$A$2:$A$151,0),WEEKDAY($A970,2)),""))</f>
        <v/>
      </c>
      <c r="I970" s="19">
        <f>IF(OR($G970="",$H970=""),"",MAX(0,$H970-$G970))</f>
        <v/>
      </c>
      <c r="J970" s="21">
        <f>IF($I970="","",IF($I970=0,"OK",IF($G970&lt;=0,"Sin stock: pedir ya","Pedir o producir")))</f>
        <v/>
      </c>
      <c r="K970" s="17" t="n"/>
      <c r="L970" s="17" t="n"/>
      <c r="M970" s="21">
        <f>IF(OR($A970="",$A970&lt;&gt;'Lista para pedir'!$C$3,N($I970)&lt;=0),"",COUNTIFS($A$2:$A970,$A970,$I$2:$I970,"&gt;0"))</f>
        <v/>
      </c>
    </row>
    <row r="971">
      <c r="A971" s="20" t="n"/>
      <c r="B971" s="21">
        <f>IF($A971="","",CHOOSE(WEEKDAY($A971,2),"Lunes","Martes","Miércoles","Jueves","Viernes","Sábado","Domingo"))</f>
        <v/>
      </c>
      <c r="C971" s="17" t="n"/>
      <c r="D971" s="21">
        <f>IF($C971="","",IFERROR(INDEX(Insumos!$B$2:$B$151,MATCH($C971,Insumos!$A$2:$A$151,0)),"Código no cargado"))</f>
        <v/>
      </c>
      <c r="E971" s="21">
        <f>IF($C971="","",IFERROR(INDEX(Insumos!$C$2:$C$151,MATCH($C971,Insumos!$A$2:$A$151,0)),""))</f>
        <v/>
      </c>
      <c r="F971" s="21">
        <f>IF($C971="","",IFERROR(INDEX(Insumos!$D$2:$D$151,MATCH($C971,Insumos!$A$2:$A$151,0)),""))</f>
        <v/>
      </c>
      <c r="G971" s="18" t="n"/>
      <c r="H971" s="19">
        <f>IF(OR($A971="",$C971=""),"",IFERROR(INDEX(Insumos!$M$2:$S$151,MATCH($C971,Insumos!$A$2:$A$151,0),WEEKDAY($A971,2)),""))</f>
        <v/>
      </c>
      <c r="I971" s="19">
        <f>IF(OR($G971="",$H971=""),"",MAX(0,$H971-$G971))</f>
        <v/>
      </c>
      <c r="J971" s="21">
        <f>IF($I971="","",IF($I971=0,"OK",IF($G971&lt;=0,"Sin stock: pedir ya","Pedir o producir")))</f>
        <v/>
      </c>
      <c r="K971" s="17" t="n"/>
      <c r="L971" s="17" t="n"/>
      <c r="M971" s="21">
        <f>IF(OR($A971="",$A971&lt;&gt;'Lista para pedir'!$C$3,N($I971)&lt;=0),"",COUNTIFS($A$2:$A971,$A971,$I$2:$I971,"&gt;0"))</f>
        <v/>
      </c>
    </row>
    <row r="972">
      <c r="A972" s="20" t="n"/>
      <c r="B972" s="21">
        <f>IF($A972="","",CHOOSE(WEEKDAY($A972,2),"Lunes","Martes","Miércoles","Jueves","Viernes","Sábado","Domingo"))</f>
        <v/>
      </c>
      <c r="C972" s="17" t="n"/>
      <c r="D972" s="21">
        <f>IF($C972="","",IFERROR(INDEX(Insumos!$B$2:$B$151,MATCH($C972,Insumos!$A$2:$A$151,0)),"Código no cargado"))</f>
        <v/>
      </c>
      <c r="E972" s="21">
        <f>IF($C972="","",IFERROR(INDEX(Insumos!$C$2:$C$151,MATCH($C972,Insumos!$A$2:$A$151,0)),""))</f>
        <v/>
      </c>
      <c r="F972" s="21">
        <f>IF($C972="","",IFERROR(INDEX(Insumos!$D$2:$D$151,MATCH($C972,Insumos!$A$2:$A$151,0)),""))</f>
        <v/>
      </c>
      <c r="G972" s="18" t="n"/>
      <c r="H972" s="19">
        <f>IF(OR($A972="",$C972=""),"",IFERROR(INDEX(Insumos!$M$2:$S$151,MATCH($C972,Insumos!$A$2:$A$151,0),WEEKDAY($A972,2)),""))</f>
        <v/>
      </c>
      <c r="I972" s="19">
        <f>IF(OR($G972="",$H972=""),"",MAX(0,$H972-$G972))</f>
        <v/>
      </c>
      <c r="J972" s="21">
        <f>IF($I972="","",IF($I972=0,"OK",IF($G972&lt;=0,"Sin stock: pedir ya","Pedir o producir")))</f>
        <v/>
      </c>
      <c r="K972" s="17" t="n"/>
      <c r="L972" s="17" t="n"/>
      <c r="M972" s="21">
        <f>IF(OR($A972="",$A972&lt;&gt;'Lista para pedir'!$C$3,N($I972)&lt;=0),"",COUNTIFS($A$2:$A972,$A972,$I$2:$I972,"&gt;0"))</f>
        <v/>
      </c>
    </row>
    <row r="973">
      <c r="A973" s="20" t="n"/>
      <c r="B973" s="21">
        <f>IF($A973="","",CHOOSE(WEEKDAY($A973,2),"Lunes","Martes","Miércoles","Jueves","Viernes","Sábado","Domingo"))</f>
        <v/>
      </c>
      <c r="C973" s="17" t="n"/>
      <c r="D973" s="21">
        <f>IF($C973="","",IFERROR(INDEX(Insumos!$B$2:$B$151,MATCH($C973,Insumos!$A$2:$A$151,0)),"Código no cargado"))</f>
        <v/>
      </c>
      <c r="E973" s="21">
        <f>IF($C973="","",IFERROR(INDEX(Insumos!$C$2:$C$151,MATCH($C973,Insumos!$A$2:$A$151,0)),""))</f>
        <v/>
      </c>
      <c r="F973" s="21">
        <f>IF($C973="","",IFERROR(INDEX(Insumos!$D$2:$D$151,MATCH($C973,Insumos!$A$2:$A$151,0)),""))</f>
        <v/>
      </c>
      <c r="G973" s="18" t="n"/>
      <c r="H973" s="19">
        <f>IF(OR($A973="",$C973=""),"",IFERROR(INDEX(Insumos!$M$2:$S$151,MATCH($C973,Insumos!$A$2:$A$151,0),WEEKDAY($A973,2)),""))</f>
        <v/>
      </c>
      <c r="I973" s="19">
        <f>IF(OR($G973="",$H973=""),"",MAX(0,$H973-$G973))</f>
        <v/>
      </c>
      <c r="J973" s="21">
        <f>IF($I973="","",IF($I973=0,"OK",IF($G973&lt;=0,"Sin stock: pedir ya","Pedir o producir")))</f>
        <v/>
      </c>
      <c r="K973" s="17" t="n"/>
      <c r="L973" s="17" t="n"/>
      <c r="M973" s="21">
        <f>IF(OR($A973="",$A973&lt;&gt;'Lista para pedir'!$C$3,N($I973)&lt;=0),"",COUNTIFS($A$2:$A973,$A973,$I$2:$I973,"&gt;0"))</f>
        <v/>
      </c>
    </row>
    <row r="974">
      <c r="A974" s="20" t="n"/>
      <c r="B974" s="21">
        <f>IF($A974="","",CHOOSE(WEEKDAY($A974,2),"Lunes","Martes","Miércoles","Jueves","Viernes","Sábado","Domingo"))</f>
        <v/>
      </c>
      <c r="C974" s="17" t="n"/>
      <c r="D974" s="21">
        <f>IF($C974="","",IFERROR(INDEX(Insumos!$B$2:$B$151,MATCH($C974,Insumos!$A$2:$A$151,0)),"Código no cargado"))</f>
        <v/>
      </c>
      <c r="E974" s="21">
        <f>IF($C974="","",IFERROR(INDEX(Insumos!$C$2:$C$151,MATCH($C974,Insumos!$A$2:$A$151,0)),""))</f>
        <v/>
      </c>
      <c r="F974" s="21">
        <f>IF($C974="","",IFERROR(INDEX(Insumos!$D$2:$D$151,MATCH($C974,Insumos!$A$2:$A$151,0)),""))</f>
        <v/>
      </c>
      <c r="G974" s="18" t="n"/>
      <c r="H974" s="19">
        <f>IF(OR($A974="",$C974=""),"",IFERROR(INDEX(Insumos!$M$2:$S$151,MATCH($C974,Insumos!$A$2:$A$151,0),WEEKDAY($A974,2)),""))</f>
        <v/>
      </c>
      <c r="I974" s="19">
        <f>IF(OR($G974="",$H974=""),"",MAX(0,$H974-$G974))</f>
        <v/>
      </c>
      <c r="J974" s="21">
        <f>IF($I974="","",IF($I974=0,"OK",IF($G974&lt;=0,"Sin stock: pedir ya","Pedir o producir")))</f>
        <v/>
      </c>
      <c r="K974" s="17" t="n"/>
      <c r="L974" s="17" t="n"/>
      <c r="M974" s="21">
        <f>IF(OR($A974="",$A974&lt;&gt;'Lista para pedir'!$C$3,N($I974)&lt;=0),"",COUNTIFS($A$2:$A974,$A974,$I$2:$I974,"&gt;0"))</f>
        <v/>
      </c>
    </row>
    <row r="975">
      <c r="A975" s="20" t="n"/>
      <c r="B975" s="21">
        <f>IF($A975="","",CHOOSE(WEEKDAY($A975,2),"Lunes","Martes","Miércoles","Jueves","Viernes","Sábado","Domingo"))</f>
        <v/>
      </c>
      <c r="C975" s="17" t="n"/>
      <c r="D975" s="21">
        <f>IF($C975="","",IFERROR(INDEX(Insumos!$B$2:$B$151,MATCH($C975,Insumos!$A$2:$A$151,0)),"Código no cargado"))</f>
        <v/>
      </c>
      <c r="E975" s="21">
        <f>IF($C975="","",IFERROR(INDEX(Insumos!$C$2:$C$151,MATCH($C975,Insumos!$A$2:$A$151,0)),""))</f>
        <v/>
      </c>
      <c r="F975" s="21">
        <f>IF($C975="","",IFERROR(INDEX(Insumos!$D$2:$D$151,MATCH($C975,Insumos!$A$2:$A$151,0)),""))</f>
        <v/>
      </c>
      <c r="G975" s="18" t="n"/>
      <c r="H975" s="19">
        <f>IF(OR($A975="",$C975=""),"",IFERROR(INDEX(Insumos!$M$2:$S$151,MATCH($C975,Insumos!$A$2:$A$151,0),WEEKDAY($A975,2)),""))</f>
        <v/>
      </c>
      <c r="I975" s="19">
        <f>IF(OR($G975="",$H975=""),"",MAX(0,$H975-$G975))</f>
        <v/>
      </c>
      <c r="J975" s="21">
        <f>IF($I975="","",IF($I975=0,"OK",IF($G975&lt;=0,"Sin stock: pedir ya","Pedir o producir")))</f>
        <v/>
      </c>
      <c r="K975" s="17" t="n"/>
      <c r="L975" s="17" t="n"/>
      <c r="M975" s="21">
        <f>IF(OR($A975="",$A975&lt;&gt;'Lista para pedir'!$C$3,N($I975)&lt;=0),"",COUNTIFS($A$2:$A975,$A975,$I$2:$I975,"&gt;0"))</f>
        <v/>
      </c>
    </row>
    <row r="976">
      <c r="A976" s="20" t="n"/>
      <c r="B976" s="21">
        <f>IF($A976="","",CHOOSE(WEEKDAY($A976,2),"Lunes","Martes","Miércoles","Jueves","Viernes","Sábado","Domingo"))</f>
        <v/>
      </c>
      <c r="C976" s="17" t="n"/>
      <c r="D976" s="21">
        <f>IF($C976="","",IFERROR(INDEX(Insumos!$B$2:$B$151,MATCH($C976,Insumos!$A$2:$A$151,0)),"Código no cargado"))</f>
        <v/>
      </c>
      <c r="E976" s="21">
        <f>IF($C976="","",IFERROR(INDEX(Insumos!$C$2:$C$151,MATCH($C976,Insumos!$A$2:$A$151,0)),""))</f>
        <v/>
      </c>
      <c r="F976" s="21">
        <f>IF($C976="","",IFERROR(INDEX(Insumos!$D$2:$D$151,MATCH($C976,Insumos!$A$2:$A$151,0)),""))</f>
        <v/>
      </c>
      <c r="G976" s="18" t="n"/>
      <c r="H976" s="19">
        <f>IF(OR($A976="",$C976=""),"",IFERROR(INDEX(Insumos!$M$2:$S$151,MATCH($C976,Insumos!$A$2:$A$151,0),WEEKDAY($A976,2)),""))</f>
        <v/>
      </c>
      <c r="I976" s="19">
        <f>IF(OR($G976="",$H976=""),"",MAX(0,$H976-$G976))</f>
        <v/>
      </c>
      <c r="J976" s="21">
        <f>IF($I976="","",IF($I976=0,"OK",IF($G976&lt;=0,"Sin stock: pedir ya","Pedir o producir")))</f>
        <v/>
      </c>
      <c r="K976" s="17" t="n"/>
      <c r="L976" s="17" t="n"/>
      <c r="M976" s="21">
        <f>IF(OR($A976="",$A976&lt;&gt;'Lista para pedir'!$C$3,N($I976)&lt;=0),"",COUNTIFS($A$2:$A976,$A976,$I$2:$I976,"&gt;0"))</f>
        <v/>
      </c>
    </row>
    <row r="977">
      <c r="A977" s="20" t="n"/>
      <c r="B977" s="21">
        <f>IF($A977="","",CHOOSE(WEEKDAY($A977,2),"Lunes","Martes","Miércoles","Jueves","Viernes","Sábado","Domingo"))</f>
        <v/>
      </c>
      <c r="C977" s="17" t="n"/>
      <c r="D977" s="21">
        <f>IF($C977="","",IFERROR(INDEX(Insumos!$B$2:$B$151,MATCH($C977,Insumos!$A$2:$A$151,0)),"Código no cargado"))</f>
        <v/>
      </c>
      <c r="E977" s="21">
        <f>IF($C977="","",IFERROR(INDEX(Insumos!$C$2:$C$151,MATCH($C977,Insumos!$A$2:$A$151,0)),""))</f>
        <v/>
      </c>
      <c r="F977" s="21">
        <f>IF($C977="","",IFERROR(INDEX(Insumos!$D$2:$D$151,MATCH($C977,Insumos!$A$2:$A$151,0)),""))</f>
        <v/>
      </c>
      <c r="G977" s="18" t="n"/>
      <c r="H977" s="19">
        <f>IF(OR($A977="",$C977=""),"",IFERROR(INDEX(Insumos!$M$2:$S$151,MATCH($C977,Insumos!$A$2:$A$151,0),WEEKDAY($A977,2)),""))</f>
        <v/>
      </c>
      <c r="I977" s="19">
        <f>IF(OR($G977="",$H977=""),"",MAX(0,$H977-$G977))</f>
        <v/>
      </c>
      <c r="J977" s="21">
        <f>IF($I977="","",IF($I977=0,"OK",IF($G977&lt;=0,"Sin stock: pedir ya","Pedir o producir")))</f>
        <v/>
      </c>
      <c r="K977" s="17" t="n"/>
      <c r="L977" s="17" t="n"/>
      <c r="M977" s="21">
        <f>IF(OR($A977="",$A977&lt;&gt;'Lista para pedir'!$C$3,N($I977)&lt;=0),"",COUNTIFS($A$2:$A977,$A977,$I$2:$I977,"&gt;0"))</f>
        <v/>
      </c>
    </row>
    <row r="978">
      <c r="A978" s="20" t="n"/>
      <c r="B978" s="21">
        <f>IF($A978="","",CHOOSE(WEEKDAY($A978,2),"Lunes","Martes","Miércoles","Jueves","Viernes","Sábado","Domingo"))</f>
        <v/>
      </c>
      <c r="C978" s="17" t="n"/>
      <c r="D978" s="21">
        <f>IF($C978="","",IFERROR(INDEX(Insumos!$B$2:$B$151,MATCH($C978,Insumos!$A$2:$A$151,0)),"Código no cargado"))</f>
        <v/>
      </c>
      <c r="E978" s="21">
        <f>IF($C978="","",IFERROR(INDEX(Insumos!$C$2:$C$151,MATCH($C978,Insumos!$A$2:$A$151,0)),""))</f>
        <v/>
      </c>
      <c r="F978" s="21">
        <f>IF($C978="","",IFERROR(INDEX(Insumos!$D$2:$D$151,MATCH($C978,Insumos!$A$2:$A$151,0)),""))</f>
        <v/>
      </c>
      <c r="G978" s="18" t="n"/>
      <c r="H978" s="19">
        <f>IF(OR($A978="",$C978=""),"",IFERROR(INDEX(Insumos!$M$2:$S$151,MATCH($C978,Insumos!$A$2:$A$151,0),WEEKDAY($A978,2)),""))</f>
        <v/>
      </c>
      <c r="I978" s="19">
        <f>IF(OR($G978="",$H978=""),"",MAX(0,$H978-$G978))</f>
        <v/>
      </c>
      <c r="J978" s="21">
        <f>IF($I978="","",IF($I978=0,"OK",IF($G978&lt;=0,"Sin stock: pedir ya","Pedir o producir")))</f>
        <v/>
      </c>
      <c r="K978" s="17" t="n"/>
      <c r="L978" s="17" t="n"/>
      <c r="M978" s="21">
        <f>IF(OR($A978="",$A978&lt;&gt;'Lista para pedir'!$C$3,N($I978)&lt;=0),"",COUNTIFS($A$2:$A978,$A978,$I$2:$I978,"&gt;0"))</f>
        <v/>
      </c>
    </row>
    <row r="979">
      <c r="A979" s="20" t="n"/>
      <c r="B979" s="21">
        <f>IF($A979="","",CHOOSE(WEEKDAY($A979,2),"Lunes","Martes","Miércoles","Jueves","Viernes","Sábado","Domingo"))</f>
        <v/>
      </c>
      <c r="C979" s="17" t="n"/>
      <c r="D979" s="21">
        <f>IF($C979="","",IFERROR(INDEX(Insumos!$B$2:$B$151,MATCH($C979,Insumos!$A$2:$A$151,0)),"Código no cargado"))</f>
        <v/>
      </c>
      <c r="E979" s="21">
        <f>IF($C979="","",IFERROR(INDEX(Insumos!$C$2:$C$151,MATCH($C979,Insumos!$A$2:$A$151,0)),""))</f>
        <v/>
      </c>
      <c r="F979" s="21">
        <f>IF($C979="","",IFERROR(INDEX(Insumos!$D$2:$D$151,MATCH($C979,Insumos!$A$2:$A$151,0)),""))</f>
        <v/>
      </c>
      <c r="G979" s="18" t="n"/>
      <c r="H979" s="19">
        <f>IF(OR($A979="",$C979=""),"",IFERROR(INDEX(Insumos!$M$2:$S$151,MATCH($C979,Insumos!$A$2:$A$151,0),WEEKDAY($A979,2)),""))</f>
        <v/>
      </c>
      <c r="I979" s="19">
        <f>IF(OR($G979="",$H979=""),"",MAX(0,$H979-$G979))</f>
        <v/>
      </c>
      <c r="J979" s="21">
        <f>IF($I979="","",IF($I979=0,"OK",IF($G979&lt;=0,"Sin stock: pedir ya","Pedir o producir")))</f>
        <v/>
      </c>
      <c r="K979" s="17" t="n"/>
      <c r="L979" s="17" t="n"/>
      <c r="M979" s="21">
        <f>IF(OR($A979="",$A979&lt;&gt;'Lista para pedir'!$C$3,N($I979)&lt;=0),"",COUNTIFS($A$2:$A979,$A979,$I$2:$I979,"&gt;0"))</f>
        <v/>
      </c>
    </row>
    <row r="980">
      <c r="A980" s="20" t="n"/>
      <c r="B980" s="21">
        <f>IF($A980="","",CHOOSE(WEEKDAY($A980,2),"Lunes","Martes","Miércoles","Jueves","Viernes","Sábado","Domingo"))</f>
        <v/>
      </c>
      <c r="C980" s="17" t="n"/>
      <c r="D980" s="21">
        <f>IF($C980="","",IFERROR(INDEX(Insumos!$B$2:$B$151,MATCH($C980,Insumos!$A$2:$A$151,0)),"Código no cargado"))</f>
        <v/>
      </c>
      <c r="E980" s="21">
        <f>IF($C980="","",IFERROR(INDEX(Insumos!$C$2:$C$151,MATCH($C980,Insumos!$A$2:$A$151,0)),""))</f>
        <v/>
      </c>
      <c r="F980" s="21">
        <f>IF($C980="","",IFERROR(INDEX(Insumos!$D$2:$D$151,MATCH($C980,Insumos!$A$2:$A$151,0)),""))</f>
        <v/>
      </c>
      <c r="G980" s="18" t="n"/>
      <c r="H980" s="19">
        <f>IF(OR($A980="",$C980=""),"",IFERROR(INDEX(Insumos!$M$2:$S$151,MATCH($C980,Insumos!$A$2:$A$151,0),WEEKDAY($A980,2)),""))</f>
        <v/>
      </c>
      <c r="I980" s="19">
        <f>IF(OR($G980="",$H980=""),"",MAX(0,$H980-$G980))</f>
        <v/>
      </c>
      <c r="J980" s="21">
        <f>IF($I980="","",IF($I980=0,"OK",IF($G980&lt;=0,"Sin stock: pedir ya","Pedir o producir")))</f>
        <v/>
      </c>
      <c r="K980" s="17" t="n"/>
      <c r="L980" s="17" t="n"/>
      <c r="M980" s="21">
        <f>IF(OR($A980="",$A980&lt;&gt;'Lista para pedir'!$C$3,N($I980)&lt;=0),"",COUNTIFS($A$2:$A980,$A980,$I$2:$I980,"&gt;0"))</f>
        <v/>
      </c>
    </row>
    <row r="981">
      <c r="A981" s="20" t="n"/>
      <c r="B981" s="21">
        <f>IF($A981="","",CHOOSE(WEEKDAY($A981,2),"Lunes","Martes","Miércoles","Jueves","Viernes","Sábado","Domingo"))</f>
        <v/>
      </c>
      <c r="C981" s="17" t="n"/>
      <c r="D981" s="21">
        <f>IF($C981="","",IFERROR(INDEX(Insumos!$B$2:$B$151,MATCH($C981,Insumos!$A$2:$A$151,0)),"Código no cargado"))</f>
        <v/>
      </c>
      <c r="E981" s="21">
        <f>IF($C981="","",IFERROR(INDEX(Insumos!$C$2:$C$151,MATCH($C981,Insumos!$A$2:$A$151,0)),""))</f>
        <v/>
      </c>
      <c r="F981" s="21">
        <f>IF($C981="","",IFERROR(INDEX(Insumos!$D$2:$D$151,MATCH($C981,Insumos!$A$2:$A$151,0)),""))</f>
        <v/>
      </c>
      <c r="G981" s="18" t="n"/>
      <c r="H981" s="19">
        <f>IF(OR($A981="",$C981=""),"",IFERROR(INDEX(Insumos!$M$2:$S$151,MATCH($C981,Insumos!$A$2:$A$151,0),WEEKDAY($A981,2)),""))</f>
        <v/>
      </c>
      <c r="I981" s="19">
        <f>IF(OR($G981="",$H981=""),"",MAX(0,$H981-$G981))</f>
        <v/>
      </c>
      <c r="J981" s="21">
        <f>IF($I981="","",IF($I981=0,"OK",IF($G981&lt;=0,"Sin stock: pedir ya","Pedir o producir")))</f>
        <v/>
      </c>
      <c r="K981" s="17" t="n"/>
      <c r="L981" s="17" t="n"/>
      <c r="M981" s="21">
        <f>IF(OR($A981="",$A981&lt;&gt;'Lista para pedir'!$C$3,N($I981)&lt;=0),"",COUNTIFS($A$2:$A981,$A981,$I$2:$I981,"&gt;0"))</f>
        <v/>
      </c>
    </row>
    <row r="982">
      <c r="A982" s="20" t="n"/>
      <c r="B982" s="21">
        <f>IF($A982="","",CHOOSE(WEEKDAY($A982,2),"Lunes","Martes","Miércoles","Jueves","Viernes","Sábado","Domingo"))</f>
        <v/>
      </c>
      <c r="C982" s="17" t="n"/>
      <c r="D982" s="21">
        <f>IF($C982="","",IFERROR(INDEX(Insumos!$B$2:$B$151,MATCH($C982,Insumos!$A$2:$A$151,0)),"Código no cargado"))</f>
        <v/>
      </c>
      <c r="E982" s="21">
        <f>IF($C982="","",IFERROR(INDEX(Insumos!$C$2:$C$151,MATCH($C982,Insumos!$A$2:$A$151,0)),""))</f>
        <v/>
      </c>
      <c r="F982" s="21">
        <f>IF($C982="","",IFERROR(INDEX(Insumos!$D$2:$D$151,MATCH($C982,Insumos!$A$2:$A$151,0)),""))</f>
        <v/>
      </c>
      <c r="G982" s="18" t="n"/>
      <c r="H982" s="19">
        <f>IF(OR($A982="",$C982=""),"",IFERROR(INDEX(Insumos!$M$2:$S$151,MATCH($C982,Insumos!$A$2:$A$151,0),WEEKDAY($A982,2)),""))</f>
        <v/>
      </c>
      <c r="I982" s="19">
        <f>IF(OR($G982="",$H982=""),"",MAX(0,$H982-$G982))</f>
        <v/>
      </c>
      <c r="J982" s="21">
        <f>IF($I982="","",IF($I982=0,"OK",IF($G982&lt;=0,"Sin stock: pedir ya","Pedir o producir")))</f>
        <v/>
      </c>
      <c r="K982" s="17" t="n"/>
      <c r="L982" s="17" t="n"/>
      <c r="M982" s="21">
        <f>IF(OR($A982="",$A982&lt;&gt;'Lista para pedir'!$C$3,N($I982)&lt;=0),"",COUNTIFS($A$2:$A982,$A982,$I$2:$I982,"&gt;0"))</f>
        <v/>
      </c>
    </row>
    <row r="983">
      <c r="A983" s="20" t="n"/>
      <c r="B983" s="21">
        <f>IF($A983="","",CHOOSE(WEEKDAY($A983,2),"Lunes","Martes","Miércoles","Jueves","Viernes","Sábado","Domingo"))</f>
        <v/>
      </c>
      <c r="C983" s="17" t="n"/>
      <c r="D983" s="21">
        <f>IF($C983="","",IFERROR(INDEX(Insumos!$B$2:$B$151,MATCH($C983,Insumos!$A$2:$A$151,0)),"Código no cargado"))</f>
        <v/>
      </c>
      <c r="E983" s="21">
        <f>IF($C983="","",IFERROR(INDEX(Insumos!$C$2:$C$151,MATCH($C983,Insumos!$A$2:$A$151,0)),""))</f>
        <v/>
      </c>
      <c r="F983" s="21">
        <f>IF($C983="","",IFERROR(INDEX(Insumos!$D$2:$D$151,MATCH($C983,Insumos!$A$2:$A$151,0)),""))</f>
        <v/>
      </c>
      <c r="G983" s="18" t="n"/>
      <c r="H983" s="19">
        <f>IF(OR($A983="",$C983=""),"",IFERROR(INDEX(Insumos!$M$2:$S$151,MATCH($C983,Insumos!$A$2:$A$151,0),WEEKDAY($A983,2)),""))</f>
        <v/>
      </c>
      <c r="I983" s="19">
        <f>IF(OR($G983="",$H983=""),"",MAX(0,$H983-$G983))</f>
        <v/>
      </c>
      <c r="J983" s="21">
        <f>IF($I983="","",IF($I983=0,"OK",IF($G983&lt;=0,"Sin stock: pedir ya","Pedir o producir")))</f>
        <v/>
      </c>
      <c r="K983" s="17" t="n"/>
      <c r="L983" s="17" t="n"/>
      <c r="M983" s="21">
        <f>IF(OR($A983="",$A983&lt;&gt;'Lista para pedir'!$C$3,N($I983)&lt;=0),"",COUNTIFS($A$2:$A983,$A983,$I$2:$I983,"&gt;0"))</f>
        <v/>
      </c>
    </row>
    <row r="984">
      <c r="A984" s="20" t="n"/>
      <c r="B984" s="21">
        <f>IF($A984="","",CHOOSE(WEEKDAY($A984,2),"Lunes","Martes","Miércoles","Jueves","Viernes","Sábado","Domingo"))</f>
        <v/>
      </c>
      <c r="C984" s="17" t="n"/>
      <c r="D984" s="21">
        <f>IF($C984="","",IFERROR(INDEX(Insumos!$B$2:$B$151,MATCH($C984,Insumos!$A$2:$A$151,0)),"Código no cargado"))</f>
        <v/>
      </c>
      <c r="E984" s="21">
        <f>IF($C984="","",IFERROR(INDEX(Insumos!$C$2:$C$151,MATCH($C984,Insumos!$A$2:$A$151,0)),""))</f>
        <v/>
      </c>
      <c r="F984" s="21">
        <f>IF($C984="","",IFERROR(INDEX(Insumos!$D$2:$D$151,MATCH($C984,Insumos!$A$2:$A$151,0)),""))</f>
        <v/>
      </c>
      <c r="G984" s="18" t="n"/>
      <c r="H984" s="19">
        <f>IF(OR($A984="",$C984=""),"",IFERROR(INDEX(Insumos!$M$2:$S$151,MATCH($C984,Insumos!$A$2:$A$151,0),WEEKDAY($A984,2)),""))</f>
        <v/>
      </c>
      <c r="I984" s="19">
        <f>IF(OR($G984="",$H984=""),"",MAX(0,$H984-$G984))</f>
        <v/>
      </c>
      <c r="J984" s="21">
        <f>IF($I984="","",IF($I984=0,"OK",IF($G984&lt;=0,"Sin stock: pedir ya","Pedir o producir")))</f>
        <v/>
      </c>
      <c r="K984" s="17" t="n"/>
      <c r="L984" s="17" t="n"/>
      <c r="M984" s="21">
        <f>IF(OR($A984="",$A984&lt;&gt;'Lista para pedir'!$C$3,N($I984)&lt;=0),"",COUNTIFS($A$2:$A984,$A984,$I$2:$I984,"&gt;0"))</f>
        <v/>
      </c>
    </row>
    <row r="985">
      <c r="A985" s="20" t="n"/>
      <c r="B985" s="21">
        <f>IF($A985="","",CHOOSE(WEEKDAY($A985,2),"Lunes","Martes","Miércoles","Jueves","Viernes","Sábado","Domingo"))</f>
        <v/>
      </c>
      <c r="C985" s="17" t="n"/>
      <c r="D985" s="21">
        <f>IF($C985="","",IFERROR(INDEX(Insumos!$B$2:$B$151,MATCH($C985,Insumos!$A$2:$A$151,0)),"Código no cargado"))</f>
        <v/>
      </c>
      <c r="E985" s="21">
        <f>IF($C985="","",IFERROR(INDEX(Insumos!$C$2:$C$151,MATCH($C985,Insumos!$A$2:$A$151,0)),""))</f>
        <v/>
      </c>
      <c r="F985" s="21">
        <f>IF($C985="","",IFERROR(INDEX(Insumos!$D$2:$D$151,MATCH($C985,Insumos!$A$2:$A$151,0)),""))</f>
        <v/>
      </c>
      <c r="G985" s="18" t="n"/>
      <c r="H985" s="19">
        <f>IF(OR($A985="",$C985=""),"",IFERROR(INDEX(Insumos!$M$2:$S$151,MATCH($C985,Insumos!$A$2:$A$151,0),WEEKDAY($A985,2)),""))</f>
        <v/>
      </c>
      <c r="I985" s="19">
        <f>IF(OR($G985="",$H985=""),"",MAX(0,$H985-$G985))</f>
        <v/>
      </c>
      <c r="J985" s="21">
        <f>IF($I985="","",IF($I985=0,"OK",IF($G985&lt;=0,"Sin stock: pedir ya","Pedir o producir")))</f>
        <v/>
      </c>
      <c r="K985" s="17" t="n"/>
      <c r="L985" s="17" t="n"/>
      <c r="M985" s="21">
        <f>IF(OR($A985="",$A985&lt;&gt;'Lista para pedir'!$C$3,N($I985)&lt;=0),"",COUNTIFS($A$2:$A985,$A985,$I$2:$I985,"&gt;0"))</f>
        <v/>
      </c>
    </row>
    <row r="986">
      <c r="A986" s="20" t="n"/>
      <c r="B986" s="21">
        <f>IF($A986="","",CHOOSE(WEEKDAY($A986,2),"Lunes","Martes","Miércoles","Jueves","Viernes","Sábado","Domingo"))</f>
        <v/>
      </c>
      <c r="C986" s="17" t="n"/>
      <c r="D986" s="21">
        <f>IF($C986="","",IFERROR(INDEX(Insumos!$B$2:$B$151,MATCH($C986,Insumos!$A$2:$A$151,0)),"Código no cargado"))</f>
        <v/>
      </c>
      <c r="E986" s="21">
        <f>IF($C986="","",IFERROR(INDEX(Insumos!$C$2:$C$151,MATCH($C986,Insumos!$A$2:$A$151,0)),""))</f>
        <v/>
      </c>
      <c r="F986" s="21">
        <f>IF($C986="","",IFERROR(INDEX(Insumos!$D$2:$D$151,MATCH($C986,Insumos!$A$2:$A$151,0)),""))</f>
        <v/>
      </c>
      <c r="G986" s="18" t="n"/>
      <c r="H986" s="19">
        <f>IF(OR($A986="",$C986=""),"",IFERROR(INDEX(Insumos!$M$2:$S$151,MATCH($C986,Insumos!$A$2:$A$151,0),WEEKDAY($A986,2)),""))</f>
        <v/>
      </c>
      <c r="I986" s="19">
        <f>IF(OR($G986="",$H986=""),"",MAX(0,$H986-$G986))</f>
        <v/>
      </c>
      <c r="J986" s="21">
        <f>IF($I986="","",IF($I986=0,"OK",IF($G986&lt;=0,"Sin stock: pedir ya","Pedir o producir")))</f>
        <v/>
      </c>
      <c r="K986" s="17" t="n"/>
      <c r="L986" s="17" t="n"/>
      <c r="M986" s="21">
        <f>IF(OR($A986="",$A986&lt;&gt;'Lista para pedir'!$C$3,N($I986)&lt;=0),"",COUNTIFS($A$2:$A986,$A986,$I$2:$I986,"&gt;0"))</f>
        <v/>
      </c>
    </row>
    <row r="987">
      <c r="A987" s="20" t="n"/>
      <c r="B987" s="21">
        <f>IF($A987="","",CHOOSE(WEEKDAY($A987,2),"Lunes","Martes","Miércoles","Jueves","Viernes","Sábado","Domingo"))</f>
        <v/>
      </c>
      <c r="C987" s="17" t="n"/>
      <c r="D987" s="21">
        <f>IF($C987="","",IFERROR(INDEX(Insumos!$B$2:$B$151,MATCH($C987,Insumos!$A$2:$A$151,0)),"Código no cargado"))</f>
        <v/>
      </c>
      <c r="E987" s="21">
        <f>IF($C987="","",IFERROR(INDEX(Insumos!$C$2:$C$151,MATCH($C987,Insumos!$A$2:$A$151,0)),""))</f>
        <v/>
      </c>
      <c r="F987" s="21">
        <f>IF($C987="","",IFERROR(INDEX(Insumos!$D$2:$D$151,MATCH($C987,Insumos!$A$2:$A$151,0)),""))</f>
        <v/>
      </c>
      <c r="G987" s="18" t="n"/>
      <c r="H987" s="19">
        <f>IF(OR($A987="",$C987=""),"",IFERROR(INDEX(Insumos!$M$2:$S$151,MATCH($C987,Insumos!$A$2:$A$151,0),WEEKDAY($A987,2)),""))</f>
        <v/>
      </c>
      <c r="I987" s="19">
        <f>IF(OR($G987="",$H987=""),"",MAX(0,$H987-$G987))</f>
        <v/>
      </c>
      <c r="J987" s="21">
        <f>IF($I987="","",IF($I987=0,"OK",IF($G987&lt;=0,"Sin stock: pedir ya","Pedir o producir")))</f>
        <v/>
      </c>
      <c r="K987" s="17" t="n"/>
      <c r="L987" s="17" t="n"/>
      <c r="M987" s="21">
        <f>IF(OR($A987="",$A987&lt;&gt;'Lista para pedir'!$C$3,N($I987)&lt;=0),"",COUNTIFS($A$2:$A987,$A987,$I$2:$I987,"&gt;0"))</f>
        <v/>
      </c>
    </row>
    <row r="988">
      <c r="A988" s="20" t="n"/>
      <c r="B988" s="21">
        <f>IF($A988="","",CHOOSE(WEEKDAY($A988,2),"Lunes","Martes","Miércoles","Jueves","Viernes","Sábado","Domingo"))</f>
        <v/>
      </c>
      <c r="C988" s="17" t="n"/>
      <c r="D988" s="21">
        <f>IF($C988="","",IFERROR(INDEX(Insumos!$B$2:$B$151,MATCH($C988,Insumos!$A$2:$A$151,0)),"Código no cargado"))</f>
        <v/>
      </c>
      <c r="E988" s="21">
        <f>IF($C988="","",IFERROR(INDEX(Insumos!$C$2:$C$151,MATCH($C988,Insumos!$A$2:$A$151,0)),""))</f>
        <v/>
      </c>
      <c r="F988" s="21">
        <f>IF($C988="","",IFERROR(INDEX(Insumos!$D$2:$D$151,MATCH($C988,Insumos!$A$2:$A$151,0)),""))</f>
        <v/>
      </c>
      <c r="G988" s="18" t="n"/>
      <c r="H988" s="19">
        <f>IF(OR($A988="",$C988=""),"",IFERROR(INDEX(Insumos!$M$2:$S$151,MATCH($C988,Insumos!$A$2:$A$151,0),WEEKDAY($A988,2)),""))</f>
        <v/>
      </c>
      <c r="I988" s="19">
        <f>IF(OR($G988="",$H988=""),"",MAX(0,$H988-$G988))</f>
        <v/>
      </c>
      <c r="J988" s="21">
        <f>IF($I988="","",IF($I988=0,"OK",IF($G988&lt;=0,"Sin stock: pedir ya","Pedir o producir")))</f>
        <v/>
      </c>
      <c r="K988" s="17" t="n"/>
      <c r="L988" s="17" t="n"/>
      <c r="M988" s="21">
        <f>IF(OR($A988="",$A988&lt;&gt;'Lista para pedir'!$C$3,N($I988)&lt;=0),"",COUNTIFS($A$2:$A988,$A988,$I$2:$I988,"&gt;0"))</f>
        <v/>
      </c>
    </row>
    <row r="989">
      <c r="A989" s="20" t="n"/>
      <c r="B989" s="21">
        <f>IF($A989="","",CHOOSE(WEEKDAY($A989,2),"Lunes","Martes","Miércoles","Jueves","Viernes","Sábado","Domingo"))</f>
        <v/>
      </c>
      <c r="C989" s="17" t="n"/>
      <c r="D989" s="21">
        <f>IF($C989="","",IFERROR(INDEX(Insumos!$B$2:$B$151,MATCH($C989,Insumos!$A$2:$A$151,0)),"Código no cargado"))</f>
        <v/>
      </c>
      <c r="E989" s="21">
        <f>IF($C989="","",IFERROR(INDEX(Insumos!$C$2:$C$151,MATCH($C989,Insumos!$A$2:$A$151,0)),""))</f>
        <v/>
      </c>
      <c r="F989" s="21">
        <f>IF($C989="","",IFERROR(INDEX(Insumos!$D$2:$D$151,MATCH($C989,Insumos!$A$2:$A$151,0)),""))</f>
        <v/>
      </c>
      <c r="G989" s="18" t="n"/>
      <c r="H989" s="19">
        <f>IF(OR($A989="",$C989=""),"",IFERROR(INDEX(Insumos!$M$2:$S$151,MATCH($C989,Insumos!$A$2:$A$151,0),WEEKDAY($A989,2)),""))</f>
        <v/>
      </c>
      <c r="I989" s="19">
        <f>IF(OR($G989="",$H989=""),"",MAX(0,$H989-$G989))</f>
        <v/>
      </c>
      <c r="J989" s="21">
        <f>IF($I989="","",IF($I989=0,"OK",IF($G989&lt;=0,"Sin stock: pedir ya","Pedir o producir")))</f>
        <v/>
      </c>
      <c r="K989" s="17" t="n"/>
      <c r="L989" s="17" t="n"/>
      <c r="M989" s="21">
        <f>IF(OR($A989="",$A989&lt;&gt;'Lista para pedir'!$C$3,N($I989)&lt;=0),"",COUNTIFS($A$2:$A989,$A989,$I$2:$I989,"&gt;0"))</f>
        <v/>
      </c>
    </row>
    <row r="990">
      <c r="A990" s="20" t="n"/>
      <c r="B990" s="21">
        <f>IF($A990="","",CHOOSE(WEEKDAY($A990,2),"Lunes","Martes","Miércoles","Jueves","Viernes","Sábado","Domingo"))</f>
        <v/>
      </c>
      <c r="C990" s="17" t="n"/>
      <c r="D990" s="21">
        <f>IF($C990="","",IFERROR(INDEX(Insumos!$B$2:$B$151,MATCH($C990,Insumos!$A$2:$A$151,0)),"Código no cargado"))</f>
        <v/>
      </c>
      <c r="E990" s="21">
        <f>IF($C990="","",IFERROR(INDEX(Insumos!$C$2:$C$151,MATCH($C990,Insumos!$A$2:$A$151,0)),""))</f>
        <v/>
      </c>
      <c r="F990" s="21">
        <f>IF($C990="","",IFERROR(INDEX(Insumos!$D$2:$D$151,MATCH($C990,Insumos!$A$2:$A$151,0)),""))</f>
        <v/>
      </c>
      <c r="G990" s="18" t="n"/>
      <c r="H990" s="19">
        <f>IF(OR($A990="",$C990=""),"",IFERROR(INDEX(Insumos!$M$2:$S$151,MATCH($C990,Insumos!$A$2:$A$151,0),WEEKDAY($A990,2)),""))</f>
        <v/>
      </c>
      <c r="I990" s="19">
        <f>IF(OR($G990="",$H990=""),"",MAX(0,$H990-$G990))</f>
        <v/>
      </c>
      <c r="J990" s="21">
        <f>IF($I990="","",IF($I990=0,"OK",IF($G990&lt;=0,"Sin stock: pedir ya","Pedir o producir")))</f>
        <v/>
      </c>
      <c r="K990" s="17" t="n"/>
      <c r="L990" s="17" t="n"/>
      <c r="M990" s="21">
        <f>IF(OR($A990="",$A990&lt;&gt;'Lista para pedir'!$C$3,N($I990)&lt;=0),"",COUNTIFS($A$2:$A990,$A990,$I$2:$I990,"&gt;0"))</f>
        <v/>
      </c>
    </row>
    <row r="991">
      <c r="A991" s="20" t="n"/>
      <c r="B991" s="21">
        <f>IF($A991="","",CHOOSE(WEEKDAY($A991,2),"Lunes","Martes","Miércoles","Jueves","Viernes","Sábado","Domingo"))</f>
        <v/>
      </c>
      <c r="C991" s="17" t="n"/>
      <c r="D991" s="21">
        <f>IF($C991="","",IFERROR(INDEX(Insumos!$B$2:$B$151,MATCH($C991,Insumos!$A$2:$A$151,0)),"Código no cargado"))</f>
        <v/>
      </c>
      <c r="E991" s="21">
        <f>IF($C991="","",IFERROR(INDEX(Insumos!$C$2:$C$151,MATCH($C991,Insumos!$A$2:$A$151,0)),""))</f>
        <v/>
      </c>
      <c r="F991" s="21">
        <f>IF($C991="","",IFERROR(INDEX(Insumos!$D$2:$D$151,MATCH($C991,Insumos!$A$2:$A$151,0)),""))</f>
        <v/>
      </c>
      <c r="G991" s="18" t="n"/>
      <c r="H991" s="19">
        <f>IF(OR($A991="",$C991=""),"",IFERROR(INDEX(Insumos!$M$2:$S$151,MATCH($C991,Insumos!$A$2:$A$151,0),WEEKDAY($A991,2)),""))</f>
        <v/>
      </c>
      <c r="I991" s="19">
        <f>IF(OR($G991="",$H991=""),"",MAX(0,$H991-$G991))</f>
        <v/>
      </c>
      <c r="J991" s="21">
        <f>IF($I991="","",IF($I991=0,"OK",IF($G991&lt;=0,"Sin stock: pedir ya","Pedir o producir")))</f>
        <v/>
      </c>
      <c r="K991" s="17" t="n"/>
      <c r="L991" s="17" t="n"/>
      <c r="M991" s="21">
        <f>IF(OR($A991="",$A991&lt;&gt;'Lista para pedir'!$C$3,N($I991)&lt;=0),"",COUNTIFS($A$2:$A991,$A991,$I$2:$I991,"&gt;0"))</f>
        <v/>
      </c>
    </row>
    <row r="992">
      <c r="A992" s="20" t="n"/>
      <c r="B992" s="21">
        <f>IF($A992="","",CHOOSE(WEEKDAY($A992,2),"Lunes","Martes","Miércoles","Jueves","Viernes","Sábado","Domingo"))</f>
        <v/>
      </c>
      <c r="C992" s="17" t="n"/>
      <c r="D992" s="21">
        <f>IF($C992="","",IFERROR(INDEX(Insumos!$B$2:$B$151,MATCH($C992,Insumos!$A$2:$A$151,0)),"Código no cargado"))</f>
        <v/>
      </c>
      <c r="E992" s="21">
        <f>IF($C992="","",IFERROR(INDEX(Insumos!$C$2:$C$151,MATCH($C992,Insumos!$A$2:$A$151,0)),""))</f>
        <v/>
      </c>
      <c r="F992" s="21">
        <f>IF($C992="","",IFERROR(INDEX(Insumos!$D$2:$D$151,MATCH($C992,Insumos!$A$2:$A$151,0)),""))</f>
        <v/>
      </c>
      <c r="G992" s="18" t="n"/>
      <c r="H992" s="19">
        <f>IF(OR($A992="",$C992=""),"",IFERROR(INDEX(Insumos!$M$2:$S$151,MATCH($C992,Insumos!$A$2:$A$151,0),WEEKDAY($A992,2)),""))</f>
        <v/>
      </c>
      <c r="I992" s="19">
        <f>IF(OR($G992="",$H992=""),"",MAX(0,$H992-$G992))</f>
        <v/>
      </c>
      <c r="J992" s="21">
        <f>IF($I992="","",IF($I992=0,"OK",IF($G992&lt;=0,"Sin stock: pedir ya","Pedir o producir")))</f>
        <v/>
      </c>
      <c r="K992" s="17" t="n"/>
      <c r="L992" s="17" t="n"/>
      <c r="M992" s="21">
        <f>IF(OR($A992="",$A992&lt;&gt;'Lista para pedir'!$C$3,N($I992)&lt;=0),"",COUNTIFS($A$2:$A992,$A992,$I$2:$I992,"&gt;0"))</f>
        <v/>
      </c>
    </row>
    <row r="993">
      <c r="A993" s="20" t="n"/>
      <c r="B993" s="21">
        <f>IF($A993="","",CHOOSE(WEEKDAY($A993,2),"Lunes","Martes","Miércoles","Jueves","Viernes","Sábado","Domingo"))</f>
        <v/>
      </c>
      <c r="C993" s="17" t="n"/>
      <c r="D993" s="21">
        <f>IF($C993="","",IFERROR(INDEX(Insumos!$B$2:$B$151,MATCH($C993,Insumos!$A$2:$A$151,0)),"Código no cargado"))</f>
        <v/>
      </c>
      <c r="E993" s="21">
        <f>IF($C993="","",IFERROR(INDEX(Insumos!$C$2:$C$151,MATCH($C993,Insumos!$A$2:$A$151,0)),""))</f>
        <v/>
      </c>
      <c r="F993" s="21">
        <f>IF($C993="","",IFERROR(INDEX(Insumos!$D$2:$D$151,MATCH($C993,Insumos!$A$2:$A$151,0)),""))</f>
        <v/>
      </c>
      <c r="G993" s="18" t="n"/>
      <c r="H993" s="19">
        <f>IF(OR($A993="",$C993=""),"",IFERROR(INDEX(Insumos!$M$2:$S$151,MATCH($C993,Insumos!$A$2:$A$151,0),WEEKDAY($A993,2)),""))</f>
        <v/>
      </c>
      <c r="I993" s="19">
        <f>IF(OR($G993="",$H993=""),"",MAX(0,$H993-$G993))</f>
        <v/>
      </c>
      <c r="J993" s="21">
        <f>IF($I993="","",IF($I993=0,"OK",IF($G993&lt;=0,"Sin stock: pedir ya","Pedir o producir")))</f>
        <v/>
      </c>
      <c r="K993" s="17" t="n"/>
      <c r="L993" s="17" t="n"/>
      <c r="M993" s="21">
        <f>IF(OR($A993="",$A993&lt;&gt;'Lista para pedir'!$C$3,N($I993)&lt;=0),"",COUNTIFS($A$2:$A993,$A993,$I$2:$I993,"&gt;0"))</f>
        <v/>
      </c>
    </row>
    <row r="994">
      <c r="A994" s="20" t="n"/>
      <c r="B994" s="21">
        <f>IF($A994="","",CHOOSE(WEEKDAY($A994,2),"Lunes","Martes","Miércoles","Jueves","Viernes","Sábado","Domingo"))</f>
        <v/>
      </c>
      <c r="C994" s="17" t="n"/>
      <c r="D994" s="21">
        <f>IF($C994="","",IFERROR(INDEX(Insumos!$B$2:$B$151,MATCH($C994,Insumos!$A$2:$A$151,0)),"Código no cargado"))</f>
        <v/>
      </c>
      <c r="E994" s="21">
        <f>IF($C994="","",IFERROR(INDEX(Insumos!$C$2:$C$151,MATCH($C994,Insumos!$A$2:$A$151,0)),""))</f>
        <v/>
      </c>
      <c r="F994" s="21">
        <f>IF($C994="","",IFERROR(INDEX(Insumos!$D$2:$D$151,MATCH($C994,Insumos!$A$2:$A$151,0)),""))</f>
        <v/>
      </c>
      <c r="G994" s="18" t="n"/>
      <c r="H994" s="19">
        <f>IF(OR($A994="",$C994=""),"",IFERROR(INDEX(Insumos!$M$2:$S$151,MATCH($C994,Insumos!$A$2:$A$151,0),WEEKDAY($A994,2)),""))</f>
        <v/>
      </c>
      <c r="I994" s="19">
        <f>IF(OR($G994="",$H994=""),"",MAX(0,$H994-$G994))</f>
        <v/>
      </c>
      <c r="J994" s="21">
        <f>IF($I994="","",IF($I994=0,"OK",IF($G994&lt;=0,"Sin stock: pedir ya","Pedir o producir")))</f>
        <v/>
      </c>
      <c r="K994" s="17" t="n"/>
      <c r="L994" s="17" t="n"/>
      <c r="M994" s="21">
        <f>IF(OR($A994="",$A994&lt;&gt;'Lista para pedir'!$C$3,N($I994)&lt;=0),"",COUNTIFS($A$2:$A994,$A994,$I$2:$I994,"&gt;0"))</f>
        <v/>
      </c>
    </row>
    <row r="995">
      <c r="A995" s="20" t="n"/>
      <c r="B995" s="21">
        <f>IF($A995="","",CHOOSE(WEEKDAY($A995,2),"Lunes","Martes","Miércoles","Jueves","Viernes","Sábado","Domingo"))</f>
        <v/>
      </c>
      <c r="C995" s="17" t="n"/>
      <c r="D995" s="21">
        <f>IF($C995="","",IFERROR(INDEX(Insumos!$B$2:$B$151,MATCH($C995,Insumos!$A$2:$A$151,0)),"Código no cargado"))</f>
        <v/>
      </c>
      <c r="E995" s="21">
        <f>IF($C995="","",IFERROR(INDEX(Insumos!$C$2:$C$151,MATCH($C995,Insumos!$A$2:$A$151,0)),""))</f>
        <v/>
      </c>
      <c r="F995" s="21">
        <f>IF($C995="","",IFERROR(INDEX(Insumos!$D$2:$D$151,MATCH($C995,Insumos!$A$2:$A$151,0)),""))</f>
        <v/>
      </c>
      <c r="G995" s="18" t="n"/>
      <c r="H995" s="19">
        <f>IF(OR($A995="",$C995=""),"",IFERROR(INDEX(Insumos!$M$2:$S$151,MATCH($C995,Insumos!$A$2:$A$151,0),WEEKDAY($A995,2)),""))</f>
        <v/>
      </c>
      <c r="I995" s="19">
        <f>IF(OR($G995="",$H995=""),"",MAX(0,$H995-$G995))</f>
        <v/>
      </c>
      <c r="J995" s="21">
        <f>IF($I995="","",IF($I995=0,"OK",IF($G995&lt;=0,"Sin stock: pedir ya","Pedir o producir")))</f>
        <v/>
      </c>
      <c r="K995" s="17" t="n"/>
      <c r="L995" s="17" t="n"/>
      <c r="M995" s="21">
        <f>IF(OR($A995="",$A995&lt;&gt;'Lista para pedir'!$C$3,N($I995)&lt;=0),"",COUNTIFS($A$2:$A995,$A995,$I$2:$I995,"&gt;0"))</f>
        <v/>
      </c>
    </row>
    <row r="996">
      <c r="A996" s="20" t="n"/>
      <c r="B996" s="21">
        <f>IF($A996="","",CHOOSE(WEEKDAY($A996,2),"Lunes","Martes","Miércoles","Jueves","Viernes","Sábado","Domingo"))</f>
        <v/>
      </c>
      <c r="C996" s="17" t="n"/>
      <c r="D996" s="21">
        <f>IF($C996="","",IFERROR(INDEX(Insumos!$B$2:$B$151,MATCH($C996,Insumos!$A$2:$A$151,0)),"Código no cargado"))</f>
        <v/>
      </c>
      <c r="E996" s="21">
        <f>IF($C996="","",IFERROR(INDEX(Insumos!$C$2:$C$151,MATCH($C996,Insumos!$A$2:$A$151,0)),""))</f>
        <v/>
      </c>
      <c r="F996" s="21">
        <f>IF($C996="","",IFERROR(INDEX(Insumos!$D$2:$D$151,MATCH($C996,Insumos!$A$2:$A$151,0)),""))</f>
        <v/>
      </c>
      <c r="G996" s="18" t="n"/>
      <c r="H996" s="19">
        <f>IF(OR($A996="",$C996=""),"",IFERROR(INDEX(Insumos!$M$2:$S$151,MATCH($C996,Insumos!$A$2:$A$151,0),WEEKDAY($A996,2)),""))</f>
        <v/>
      </c>
      <c r="I996" s="19">
        <f>IF(OR($G996="",$H996=""),"",MAX(0,$H996-$G996))</f>
        <v/>
      </c>
      <c r="J996" s="21">
        <f>IF($I996="","",IF($I996=0,"OK",IF($G996&lt;=0,"Sin stock: pedir ya","Pedir o producir")))</f>
        <v/>
      </c>
      <c r="K996" s="17" t="n"/>
      <c r="L996" s="17" t="n"/>
      <c r="M996" s="21">
        <f>IF(OR($A996="",$A996&lt;&gt;'Lista para pedir'!$C$3,N($I996)&lt;=0),"",COUNTIFS($A$2:$A996,$A996,$I$2:$I996,"&gt;0"))</f>
        <v/>
      </c>
    </row>
    <row r="997">
      <c r="A997" s="20" t="n"/>
      <c r="B997" s="21">
        <f>IF($A997="","",CHOOSE(WEEKDAY($A997,2),"Lunes","Martes","Miércoles","Jueves","Viernes","Sábado","Domingo"))</f>
        <v/>
      </c>
      <c r="C997" s="17" t="n"/>
      <c r="D997" s="21">
        <f>IF($C997="","",IFERROR(INDEX(Insumos!$B$2:$B$151,MATCH($C997,Insumos!$A$2:$A$151,0)),"Código no cargado"))</f>
        <v/>
      </c>
      <c r="E997" s="21">
        <f>IF($C997="","",IFERROR(INDEX(Insumos!$C$2:$C$151,MATCH($C997,Insumos!$A$2:$A$151,0)),""))</f>
        <v/>
      </c>
      <c r="F997" s="21">
        <f>IF($C997="","",IFERROR(INDEX(Insumos!$D$2:$D$151,MATCH($C997,Insumos!$A$2:$A$151,0)),""))</f>
        <v/>
      </c>
      <c r="G997" s="18" t="n"/>
      <c r="H997" s="19">
        <f>IF(OR($A997="",$C997=""),"",IFERROR(INDEX(Insumos!$M$2:$S$151,MATCH($C997,Insumos!$A$2:$A$151,0),WEEKDAY($A997,2)),""))</f>
        <v/>
      </c>
      <c r="I997" s="19">
        <f>IF(OR($G997="",$H997=""),"",MAX(0,$H997-$G997))</f>
        <v/>
      </c>
      <c r="J997" s="21">
        <f>IF($I997="","",IF($I997=0,"OK",IF($G997&lt;=0,"Sin stock: pedir ya","Pedir o producir")))</f>
        <v/>
      </c>
      <c r="K997" s="17" t="n"/>
      <c r="L997" s="17" t="n"/>
      <c r="M997" s="21">
        <f>IF(OR($A997="",$A997&lt;&gt;'Lista para pedir'!$C$3,N($I997)&lt;=0),"",COUNTIFS($A$2:$A997,$A997,$I$2:$I997,"&gt;0"))</f>
        <v/>
      </c>
    </row>
    <row r="998">
      <c r="A998" s="20" t="n"/>
      <c r="B998" s="21">
        <f>IF($A998="","",CHOOSE(WEEKDAY($A998,2),"Lunes","Martes","Miércoles","Jueves","Viernes","Sábado","Domingo"))</f>
        <v/>
      </c>
      <c r="C998" s="17" t="n"/>
      <c r="D998" s="21">
        <f>IF($C998="","",IFERROR(INDEX(Insumos!$B$2:$B$151,MATCH($C998,Insumos!$A$2:$A$151,0)),"Código no cargado"))</f>
        <v/>
      </c>
      <c r="E998" s="21">
        <f>IF($C998="","",IFERROR(INDEX(Insumos!$C$2:$C$151,MATCH($C998,Insumos!$A$2:$A$151,0)),""))</f>
        <v/>
      </c>
      <c r="F998" s="21">
        <f>IF($C998="","",IFERROR(INDEX(Insumos!$D$2:$D$151,MATCH($C998,Insumos!$A$2:$A$151,0)),""))</f>
        <v/>
      </c>
      <c r="G998" s="18" t="n"/>
      <c r="H998" s="19">
        <f>IF(OR($A998="",$C998=""),"",IFERROR(INDEX(Insumos!$M$2:$S$151,MATCH($C998,Insumos!$A$2:$A$151,0),WEEKDAY($A998,2)),""))</f>
        <v/>
      </c>
      <c r="I998" s="19">
        <f>IF(OR($G998="",$H998=""),"",MAX(0,$H998-$G998))</f>
        <v/>
      </c>
      <c r="J998" s="21">
        <f>IF($I998="","",IF($I998=0,"OK",IF($G998&lt;=0,"Sin stock: pedir ya","Pedir o producir")))</f>
        <v/>
      </c>
      <c r="K998" s="17" t="n"/>
      <c r="L998" s="17" t="n"/>
      <c r="M998" s="21">
        <f>IF(OR($A998="",$A998&lt;&gt;'Lista para pedir'!$C$3,N($I998)&lt;=0),"",COUNTIFS($A$2:$A998,$A998,$I$2:$I998,"&gt;0"))</f>
        <v/>
      </c>
    </row>
    <row r="999">
      <c r="A999" s="20" t="n"/>
      <c r="B999" s="21">
        <f>IF($A999="","",CHOOSE(WEEKDAY($A999,2),"Lunes","Martes","Miércoles","Jueves","Viernes","Sábado","Domingo"))</f>
        <v/>
      </c>
      <c r="C999" s="17" t="n"/>
      <c r="D999" s="21">
        <f>IF($C999="","",IFERROR(INDEX(Insumos!$B$2:$B$151,MATCH($C999,Insumos!$A$2:$A$151,0)),"Código no cargado"))</f>
        <v/>
      </c>
      <c r="E999" s="21">
        <f>IF($C999="","",IFERROR(INDEX(Insumos!$C$2:$C$151,MATCH($C999,Insumos!$A$2:$A$151,0)),""))</f>
        <v/>
      </c>
      <c r="F999" s="21">
        <f>IF($C999="","",IFERROR(INDEX(Insumos!$D$2:$D$151,MATCH($C999,Insumos!$A$2:$A$151,0)),""))</f>
        <v/>
      </c>
      <c r="G999" s="18" t="n"/>
      <c r="H999" s="19">
        <f>IF(OR($A999="",$C999=""),"",IFERROR(INDEX(Insumos!$M$2:$S$151,MATCH($C999,Insumos!$A$2:$A$151,0),WEEKDAY($A999,2)),""))</f>
        <v/>
      </c>
      <c r="I999" s="19">
        <f>IF(OR($G999="",$H999=""),"",MAX(0,$H999-$G999))</f>
        <v/>
      </c>
      <c r="J999" s="21">
        <f>IF($I999="","",IF($I999=0,"OK",IF($G999&lt;=0,"Sin stock: pedir ya","Pedir o producir")))</f>
        <v/>
      </c>
      <c r="K999" s="17" t="n"/>
      <c r="L999" s="17" t="n"/>
      <c r="M999" s="21">
        <f>IF(OR($A999="",$A999&lt;&gt;'Lista para pedir'!$C$3,N($I999)&lt;=0),"",COUNTIFS($A$2:$A999,$A999,$I$2:$I999,"&gt;0"))</f>
        <v/>
      </c>
    </row>
    <row r="1000">
      <c r="A1000" s="20" t="n"/>
      <c r="B1000" s="21">
        <f>IF($A1000="","",CHOOSE(WEEKDAY($A1000,2),"Lunes","Martes","Miércoles","Jueves","Viernes","Sábado","Domingo"))</f>
        <v/>
      </c>
      <c r="C1000" s="17" t="n"/>
      <c r="D1000" s="21">
        <f>IF($C1000="","",IFERROR(INDEX(Insumos!$B$2:$B$151,MATCH($C1000,Insumos!$A$2:$A$151,0)),"Código no cargado"))</f>
        <v/>
      </c>
      <c r="E1000" s="21">
        <f>IF($C1000="","",IFERROR(INDEX(Insumos!$C$2:$C$151,MATCH($C1000,Insumos!$A$2:$A$151,0)),""))</f>
        <v/>
      </c>
      <c r="F1000" s="21">
        <f>IF($C1000="","",IFERROR(INDEX(Insumos!$D$2:$D$151,MATCH($C1000,Insumos!$A$2:$A$151,0)),""))</f>
        <v/>
      </c>
      <c r="G1000" s="18" t="n"/>
      <c r="H1000" s="19">
        <f>IF(OR($A1000="",$C1000=""),"",IFERROR(INDEX(Insumos!$M$2:$S$151,MATCH($C1000,Insumos!$A$2:$A$151,0),WEEKDAY($A1000,2)),""))</f>
        <v/>
      </c>
      <c r="I1000" s="19">
        <f>IF(OR($G1000="",$H1000=""),"",MAX(0,$H1000-$G1000))</f>
        <v/>
      </c>
      <c r="J1000" s="21">
        <f>IF($I1000="","",IF($I1000=0,"OK",IF($G1000&lt;=0,"Sin stock: pedir ya","Pedir o producir")))</f>
        <v/>
      </c>
      <c r="K1000" s="17" t="n"/>
      <c r="L1000" s="17" t="n"/>
      <c r="M1000" s="21">
        <f>IF(OR($A1000="",$A1000&lt;&gt;'Lista para pedir'!$C$3,N($I1000)&lt;=0),"",COUNTIFS($A$2:$A1000,$A1000,$I$2:$I1000,"&gt;0"))</f>
        <v/>
      </c>
    </row>
    <row r="1001">
      <c r="A1001" s="20" t="n"/>
      <c r="B1001" s="21">
        <f>IF($A1001="","",CHOOSE(WEEKDAY($A1001,2),"Lunes","Martes","Miércoles","Jueves","Viernes","Sábado","Domingo"))</f>
        <v/>
      </c>
      <c r="C1001" s="17" t="n"/>
      <c r="D1001" s="21">
        <f>IF($C1001="","",IFERROR(INDEX(Insumos!$B$2:$B$151,MATCH($C1001,Insumos!$A$2:$A$151,0)),"Código no cargado"))</f>
        <v/>
      </c>
      <c r="E1001" s="21">
        <f>IF($C1001="","",IFERROR(INDEX(Insumos!$C$2:$C$151,MATCH($C1001,Insumos!$A$2:$A$151,0)),""))</f>
        <v/>
      </c>
      <c r="F1001" s="21">
        <f>IF($C1001="","",IFERROR(INDEX(Insumos!$D$2:$D$151,MATCH($C1001,Insumos!$A$2:$A$151,0)),""))</f>
        <v/>
      </c>
      <c r="G1001" s="18" t="n"/>
      <c r="H1001" s="19">
        <f>IF(OR($A1001="",$C1001=""),"",IFERROR(INDEX(Insumos!$M$2:$S$151,MATCH($C1001,Insumos!$A$2:$A$151,0),WEEKDAY($A1001,2)),""))</f>
        <v/>
      </c>
      <c r="I1001" s="19">
        <f>IF(OR($G1001="",$H1001=""),"",MAX(0,$H1001-$G1001))</f>
        <v/>
      </c>
      <c r="J1001" s="21">
        <f>IF($I1001="","",IF($I1001=0,"OK",IF($G1001&lt;=0,"Sin stock: pedir ya","Pedir o producir")))</f>
        <v/>
      </c>
      <c r="K1001" s="17" t="n"/>
      <c r="L1001" s="17" t="n"/>
      <c r="M1001" s="21">
        <f>IF(OR($A1001="",$A1001&lt;&gt;'Lista para pedir'!$C$3,N($I1001)&lt;=0),"",COUNTIFS($A$2:$A1001,$A1001,$I$2:$I1001,"&gt;0"))</f>
        <v/>
      </c>
    </row>
    <row r="1002">
      <c r="A1002" s="20" t="n"/>
      <c r="B1002" s="21">
        <f>IF($A1002="","",CHOOSE(WEEKDAY($A1002,2),"Lunes","Martes","Miércoles","Jueves","Viernes","Sábado","Domingo"))</f>
        <v/>
      </c>
      <c r="C1002" s="17" t="n"/>
      <c r="D1002" s="21">
        <f>IF($C1002="","",IFERROR(INDEX(Insumos!$B$2:$B$151,MATCH($C1002,Insumos!$A$2:$A$151,0)),"Código no cargado"))</f>
        <v/>
      </c>
      <c r="E1002" s="21">
        <f>IF($C1002="","",IFERROR(INDEX(Insumos!$C$2:$C$151,MATCH($C1002,Insumos!$A$2:$A$151,0)),""))</f>
        <v/>
      </c>
      <c r="F1002" s="21">
        <f>IF($C1002="","",IFERROR(INDEX(Insumos!$D$2:$D$151,MATCH($C1002,Insumos!$A$2:$A$151,0)),""))</f>
        <v/>
      </c>
      <c r="G1002" s="18" t="n"/>
      <c r="H1002" s="19">
        <f>IF(OR($A1002="",$C1002=""),"",IFERROR(INDEX(Insumos!$M$2:$S$151,MATCH($C1002,Insumos!$A$2:$A$151,0),WEEKDAY($A1002,2)),""))</f>
        <v/>
      </c>
      <c r="I1002" s="19">
        <f>IF(OR($G1002="",$H1002=""),"",MAX(0,$H1002-$G1002))</f>
        <v/>
      </c>
      <c r="J1002" s="21">
        <f>IF($I1002="","",IF($I1002=0,"OK",IF($G1002&lt;=0,"Sin stock: pedir ya","Pedir o producir")))</f>
        <v/>
      </c>
      <c r="K1002" s="17" t="n"/>
      <c r="L1002" s="17" t="n"/>
      <c r="M1002" s="21">
        <f>IF(OR($A1002="",$A1002&lt;&gt;'Lista para pedir'!$C$3,N($I1002)&lt;=0),"",COUNTIFS($A$2:$A1002,$A1002,$I$2:$I1002,"&gt;0"))</f>
        <v/>
      </c>
    </row>
    <row r="1003">
      <c r="A1003" s="20" t="n"/>
      <c r="B1003" s="21">
        <f>IF($A1003="","",CHOOSE(WEEKDAY($A1003,2),"Lunes","Martes","Miércoles","Jueves","Viernes","Sábado","Domingo"))</f>
        <v/>
      </c>
      <c r="C1003" s="17" t="n"/>
      <c r="D1003" s="21">
        <f>IF($C1003="","",IFERROR(INDEX(Insumos!$B$2:$B$151,MATCH($C1003,Insumos!$A$2:$A$151,0)),"Código no cargado"))</f>
        <v/>
      </c>
      <c r="E1003" s="21">
        <f>IF($C1003="","",IFERROR(INDEX(Insumos!$C$2:$C$151,MATCH($C1003,Insumos!$A$2:$A$151,0)),""))</f>
        <v/>
      </c>
      <c r="F1003" s="21">
        <f>IF($C1003="","",IFERROR(INDEX(Insumos!$D$2:$D$151,MATCH($C1003,Insumos!$A$2:$A$151,0)),""))</f>
        <v/>
      </c>
      <c r="G1003" s="18" t="n"/>
      <c r="H1003" s="19">
        <f>IF(OR($A1003="",$C1003=""),"",IFERROR(INDEX(Insumos!$M$2:$S$151,MATCH($C1003,Insumos!$A$2:$A$151,0),WEEKDAY($A1003,2)),""))</f>
        <v/>
      </c>
      <c r="I1003" s="19">
        <f>IF(OR($G1003="",$H1003=""),"",MAX(0,$H1003-$G1003))</f>
        <v/>
      </c>
      <c r="J1003" s="21">
        <f>IF($I1003="","",IF($I1003=0,"OK",IF($G1003&lt;=0,"Sin stock: pedir ya","Pedir o producir")))</f>
        <v/>
      </c>
      <c r="K1003" s="17" t="n"/>
      <c r="L1003" s="17" t="n"/>
      <c r="M1003" s="21">
        <f>IF(OR($A1003="",$A1003&lt;&gt;'Lista para pedir'!$C$3,N($I1003)&lt;=0),"",COUNTIFS($A$2:$A1003,$A1003,$I$2:$I1003,"&gt;0"))</f>
        <v/>
      </c>
    </row>
    <row r="1004">
      <c r="A1004" s="20" t="n"/>
      <c r="B1004" s="21">
        <f>IF($A1004="","",CHOOSE(WEEKDAY($A1004,2),"Lunes","Martes","Miércoles","Jueves","Viernes","Sábado","Domingo"))</f>
        <v/>
      </c>
      <c r="C1004" s="17" t="n"/>
      <c r="D1004" s="21">
        <f>IF($C1004="","",IFERROR(INDEX(Insumos!$B$2:$B$151,MATCH($C1004,Insumos!$A$2:$A$151,0)),"Código no cargado"))</f>
        <v/>
      </c>
      <c r="E1004" s="21">
        <f>IF($C1004="","",IFERROR(INDEX(Insumos!$C$2:$C$151,MATCH($C1004,Insumos!$A$2:$A$151,0)),""))</f>
        <v/>
      </c>
      <c r="F1004" s="21">
        <f>IF($C1004="","",IFERROR(INDEX(Insumos!$D$2:$D$151,MATCH($C1004,Insumos!$A$2:$A$151,0)),""))</f>
        <v/>
      </c>
      <c r="G1004" s="18" t="n"/>
      <c r="H1004" s="19">
        <f>IF(OR($A1004="",$C1004=""),"",IFERROR(INDEX(Insumos!$M$2:$S$151,MATCH($C1004,Insumos!$A$2:$A$151,0),WEEKDAY($A1004,2)),""))</f>
        <v/>
      </c>
      <c r="I1004" s="19">
        <f>IF(OR($G1004="",$H1004=""),"",MAX(0,$H1004-$G1004))</f>
        <v/>
      </c>
      <c r="J1004" s="21">
        <f>IF($I1004="","",IF($I1004=0,"OK",IF($G1004&lt;=0,"Sin stock: pedir ya","Pedir o producir")))</f>
        <v/>
      </c>
      <c r="K1004" s="17" t="n"/>
      <c r="L1004" s="17" t="n"/>
      <c r="M1004" s="21">
        <f>IF(OR($A1004="",$A1004&lt;&gt;'Lista para pedir'!$C$3,N($I1004)&lt;=0),"",COUNTIFS($A$2:$A1004,$A1004,$I$2:$I1004,"&gt;0"))</f>
        <v/>
      </c>
    </row>
    <row r="1005">
      <c r="A1005" s="20" t="n"/>
      <c r="B1005" s="21">
        <f>IF($A1005="","",CHOOSE(WEEKDAY($A1005,2),"Lunes","Martes","Miércoles","Jueves","Viernes","Sábado","Domingo"))</f>
        <v/>
      </c>
      <c r="C1005" s="17" t="n"/>
      <c r="D1005" s="21">
        <f>IF($C1005="","",IFERROR(INDEX(Insumos!$B$2:$B$151,MATCH($C1005,Insumos!$A$2:$A$151,0)),"Código no cargado"))</f>
        <v/>
      </c>
      <c r="E1005" s="21">
        <f>IF($C1005="","",IFERROR(INDEX(Insumos!$C$2:$C$151,MATCH($C1005,Insumos!$A$2:$A$151,0)),""))</f>
        <v/>
      </c>
      <c r="F1005" s="21">
        <f>IF($C1005="","",IFERROR(INDEX(Insumos!$D$2:$D$151,MATCH($C1005,Insumos!$A$2:$A$151,0)),""))</f>
        <v/>
      </c>
      <c r="G1005" s="18" t="n"/>
      <c r="H1005" s="19">
        <f>IF(OR($A1005="",$C1005=""),"",IFERROR(INDEX(Insumos!$M$2:$S$151,MATCH($C1005,Insumos!$A$2:$A$151,0),WEEKDAY($A1005,2)),""))</f>
        <v/>
      </c>
      <c r="I1005" s="19">
        <f>IF(OR($G1005="",$H1005=""),"",MAX(0,$H1005-$G1005))</f>
        <v/>
      </c>
      <c r="J1005" s="21">
        <f>IF($I1005="","",IF($I1005=0,"OK",IF($G1005&lt;=0,"Sin stock: pedir ya","Pedir o producir")))</f>
        <v/>
      </c>
      <c r="K1005" s="17" t="n"/>
      <c r="L1005" s="17" t="n"/>
      <c r="M1005" s="21">
        <f>IF(OR($A1005="",$A1005&lt;&gt;'Lista para pedir'!$C$3,N($I1005)&lt;=0),"",COUNTIFS($A$2:$A1005,$A1005,$I$2:$I1005,"&gt;0"))</f>
        <v/>
      </c>
    </row>
    <row r="1006">
      <c r="A1006" s="20" t="n"/>
      <c r="B1006" s="21">
        <f>IF($A1006="","",CHOOSE(WEEKDAY($A1006,2),"Lunes","Martes","Miércoles","Jueves","Viernes","Sábado","Domingo"))</f>
        <v/>
      </c>
      <c r="C1006" s="17" t="n"/>
      <c r="D1006" s="21">
        <f>IF($C1006="","",IFERROR(INDEX(Insumos!$B$2:$B$151,MATCH($C1006,Insumos!$A$2:$A$151,0)),"Código no cargado"))</f>
        <v/>
      </c>
      <c r="E1006" s="21">
        <f>IF($C1006="","",IFERROR(INDEX(Insumos!$C$2:$C$151,MATCH($C1006,Insumos!$A$2:$A$151,0)),""))</f>
        <v/>
      </c>
      <c r="F1006" s="21">
        <f>IF($C1006="","",IFERROR(INDEX(Insumos!$D$2:$D$151,MATCH($C1006,Insumos!$A$2:$A$151,0)),""))</f>
        <v/>
      </c>
      <c r="G1006" s="18" t="n"/>
      <c r="H1006" s="19">
        <f>IF(OR($A1006="",$C1006=""),"",IFERROR(INDEX(Insumos!$M$2:$S$151,MATCH($C1006,Insumos!$A$2:$A$151,0),WEEKDAY($A1006,2)),""))</f>
        <v/>
      </c>
      <c r="I1006" s="19">
        <f>IF(OR($G1006="",$H1006=""),"",MAX(0,$H1006-$G1006))</f>
        <v/>
      </c>
      <c r="J1006" s="21">
        <f>IF($I1006="","",IF($I1006=0,"OK",IF($G1006&lt;=0,"Sin stock: pedir ya","Pedir o producir")))</f>
        <v/>
      </c>
      <c r="K1006" s="17" t="n"/>
      <c r="L1006" s="17" t="n"/>
      <c r="M1006" s="21">
        <f>IF(OR($A1006="",$A1006&lt;&gt;'Lista para pedir'!$C$3,N($I1006)&lt;=0),"",COUNTIFS($A$2:$A1006,$A1006,$I$2:$I1006,"&gt;0"))</f>
        <v/>
      </c>
    </row>
    <row r="1007">
      <c r="A1007" s="20" t="n"/>
      <c r="B1007" s="21">
        <f>IF($A1007="","",CHOOSE(WEEKDAY($A1007,2),"Lunes","Martes","Miércoles","Jueves","Viernes","Sábado","Domingo"))</f>
        <v/>
      </c>
      <c r="C1007" s="17" t="n"/>
      <c r="D1007" s="21">
        <f>IF($C1007="","",IFERROR(INDEX(Insumos!$B$2:$B$151,MATCH($C1007,Insumos!$A$2:$A$151,0)),"Código no cargado"))</f>
        <v/>
      </c>
      <c r="E1007" s="21">
        <f>IF($C1007="","",IFERROR(INDEX(Insumos!$C$2:$C$151,MATCH($C1007,Insumos!$A$2:$A$151,0)),""))</f>
        <v/>
      </c>
      <c r="F1007" s="21">
        <f>IF($C1007="","",IFERROR(INDEX(Insumos!$D$2:$D$151,MATCH($C1007,Insumos!$A$2:$A$151,0)),""))</f>
        <v/>
      </c>
      <c r="G1007" s="18" t="n"/>
      <c r="H1007" s="19">
        <f>IF(OR($A1007="",$C1007=""),"",IFERROR(INDEX(Insumos!$M$2:$S$151,MATCH($C1007,Insumos!$A$2:$A$151,0),WEEKDAY($A1007,2)),""))</f>
        <v/>
      </c>
      <c r="I1007" s="19">
        <f>IF(OR($G1007="",$H1007=""),"",MAX(0,$H1007-$G1007))</f>
        <v/>
      </c>
      <c r="J1007" s="21">
        <f>IF($I1007="","",IF($I1007=0,"OK",IF($G1007&lt;=0,"Sin stock: pedir ya","Pedir o producir")))</f>
        <v/>
      </c>
      <c r="K1007" s="17" t="n"/>
      <c r="L1007" s="17" t="n"/>
      <c r="M1007" s="21">
        <f>IF(OR($A1007="",$A1007&lt;&gt;'Lista para pedir'!$C$3,N($I1007)&lt;=0),"",COUNTIFS($A$2:$A1007,$A1007,$I$2:$I1007,"&gt;0"))</f>
        <v/>
      </c>
    </row>
    <row r="1008">
      <c r="A1008" s="20" t="n"/>
      <c r="B1008" s="21">
        <f>IF($A1008="","",CHOOSE(WEEKDAY($A1008,2),"Lunes","Martes","Miércoles","Jueves","Viernes","Sábado","Domingo"))</f>
        <v/>
      </c>
      <c r="C1008" s="17" t="n"/>
      <c r="D1008" s="21">
        <f>IF($C1008="","",IFERROR(INDEX(Insumos!$B$2:$B$151,MATCH($C1008,Insumos!$A$2:$A$151,0)),"Código no cargado"))</f>
        <v/>
      </c>
      <c r="E1008" s="21">
        <f>IF($C1008="","",IFERROR(INDEX(Insumos!$C$2:$C$151,MATCH($C1008,Insumos!$A$2:$A$151,0)),""))</f>
        <v/>
      </c>
      <c r="F1008" s="21">
        <f>IF($C1008="","",IFERROR(INDEX(Insumos!$D$2:$D$151,MATCH($C1008,Insumos!$A$2:$A$151,0)),""))</f>
        <v/>
      </c>
      <c r="G1008" s="18" t="n"/>
      <c r="H1008" s="19">
        <f>IF(OR($A1008="",$C1008=""),"",IFERROR(INDEX(Insumos!$M$2:$S$151,MATCH($C1008,Insumos!$A$2:$A$151,0),WEEKDAY($A1008,2)),""))</f>
        <v/>
      </c>
      <c r="I1008" s="19">
        <f>IF(OR($G1008="",$H1008=""),"",MAX(0,$H1008-$G1008))</f>
        <v/>
      </c>
      <c r="J1008" s="21">
        <f>IF($I1008="","",IF($I1008=0,"OK",IF($G1008&lt;=0,"Sin stock: pedir ya","Pedir o producir")))</f>
        <v/>
      </c>
      <c r="K1008" s="17" t="n"/>
      <c r="L1008" s="17" t="n"/>
      <c r="M1008" s="21">
        <f>IF(OR($A1008="",$A1008&lt;&gt;'Lista para pedir'!$C$3,N($I1008)&lt;=0),"",COUNTIFS($A$2:$A1008,$A1008,$I$2:$I1008,"&gt;0"))</f>
        <v/>
      </c>
    </row>
    <row r="1009">
      <c r="A1009" s="20" t="n"/>
      <c r="B1009" s="21">
        <f>IF($A1009="","",CHOOSE(WEEKDAY($A1009,2),"Lunes","Martes","Miércoles","Jueves","Viernes","Sábado","Domingo"))</f>
        <v/>
      </c>
      <c r="C1009" s="17" t="n"/>
      <c r="D1009" s="21">
        <f>IF($C1009="","",IFERROR(INDEX(Insumos!$B$2:$B$151,MATCH($C1009,Insumos!$A$2:$A$151,0)),"Código no cargado"))</f>
        <v/>
      </c>
      <c r="E1009" s="21">
        <f>IF($C1009="","",IFERROR(INDEX(Insumos!$C$2:$C$151,MATCH($C1009,Insumos!$A$2:$A$151,0)),""))</f>
        <v/>
      </c>
      <c r="F1009" s="21">
        <f>IF($C1009="","",IFERROR(INDEX(Insumos!$D$2:$D$151,MATCH($C1009,Insumos!$A$2:$A$151,0)),""))</f>
        <v/>
      </c>
      <c r="G1009" s="18" t="n"/>
      <c r="H1009" s="19">
        <f>IF(OR($A1009="",$C1009=""),"",IFERROR(INDEX(Insumos!$M$2:$S$151,MATCH($C1009,Insumos!$A$2:$A$151,0),WEEKDAY($A1009,2)),""))</f>
        <v/>
      </c>
      <c r="I1009" s="19">
        <f>IF(OR($G1009="",$H1009=""),"",MAX(0,$H1009-$G1009))</f>
        <v/>
      </c>
      <c r="J1009" s="21">
        <f>IF($I1009="","",IF($I1009=0,"OK",IF($G1009&lt;=0,"Sin stock: pedir ya","Pedir o producir")))</f>
        <v/>
      </c>
      <c r="K1009" s="17" t="n"/>
      <c r="L1009" s="17" t="n"/>
      <c r="M1009" s="21">
        <f>IF(OR($A1009="",$A1009&lt;&gt;'Lista para pedir'!$C$3,N($I1009)&lt;=0),"",COUNTIFS($A$2:$A1009,$A1009,$I$2:$I1009,"&gt;0"))</f>
        <v/>
      </c>
    </row>
    <row r="1010">
      <c r="A1010" s="20" t="n"/>
      <c r="B1010" s="21">
        <f>IF($A1010="","",CHOOSE(WEEKDAY($A1010,2),"Lunes","Martes","Miércoles","Jueves","Viernes","Sábado","Domingo"))</f>
        <v/>
      </c>
      <c r="C1010" s="17" t="n"/>
      <c r="D1010" s="21">
        <f>IF($C1010="","",IFERROR(INDEX(Insumos!$B$2:$B$151,MATCH($C1010,Insumos!$A$2:$A$151,0)),"Código no cargado"))</f>
        <v/>
      </c>
      <c r="E1010" s="21">
        <f>IF($C1010="","",IFERROR(INDEX(Insumos!$C$2:$C$151,MATCH($C1010,Insumos!$A$2:$A$151,0)),""))</f>
        <v/>
      </c>
      <c r="F1010" s="21">
        <f>IF($C1010="","",IFERROR(INDEX(Insumos!$D$2:$D$151,MATCH($C1010,Insumos!$A$2:$A$151,0)),""))</f>
        <v/>
      </c>
      <c r="G1010" s="18" t="n"/>
      <c r="H1010" s="19">
        <f>IF(OR($A1010="",$C1010=""),"",IFERROR(INDEX(Insumos!$M$2:$S$151,MATCH($C1010,Insumos!$A$2:$A$151,0),WEEKDAY($A1010,2)),""))</f>
        <v/>
      </c>
      <c r="I1010" s="19">
        <f>IF(OR($G1010="",$H1010=""),"",MAX(0,$H1010-$G1010))</f>
        <v/>
      </c>
      <c r="J1010" s="21">
        <f>IF($I1010="","",IF($I1010=0,"OK",IF($G1010&lt;=0,"Sin stock: pedir ya","Pedir o producir")))</f>
        <v/>
      </c>
      <c r="K1010" s="17" t="n"/>
      <c r="L1010" s="17" t="n"/>
      <c r="M1010" s="21">
        <f>IF(OR($A1010="",$A1010&lt;&gt;'Lista para pedir'!$C$3,N($I1010)&lt;=0),"",COUNTIFS($A$2:$A1010,$A1010,$I$2:$I1010,"&gt;0"))</f>
        <v/>
      </c>
    </row>
    <row r="1011">
      <c r="A1011" s="20" t="n"/>
      <c r="B1011" s="21">
        <f>IF($A1011="","",CHOOSE(WEEKDAY($A1011,2),"Lunes","Martes","Miércoles","Jueves","Viernes","Sábado","Domingo"))</f>
        <v/>
      </c>
      <c r="C1011" s="17" t="n"/>
      <c r="D1011" s="21">
        <f>IF($C1011="","",IFERROR(INDEX(Insumos!$B$2:$B$151,MATCH($C1011,Insumos!$A$2:$A$151,0)),"Código no cargado"))</f>
        <v/>
      </c>
      <c r="E1011" s="21">
        <f>IF($C1011="","",IFERROR(INDEX(Insumos!$C$2:$C$151,MATCH($C1011,Insumos!$A$2:$A$151,0)),""))</f>
        <v/>
      </c>
      <c r="F1011" s="21">
        <f>IF($C1011="","",IFERROR(INDEX(Insumos!$D$2:$D$151,MATCH($C1011,Insumos!$A$2:$A$151,0)),""))</f>
        <v/>
      </c>
      <c r="G1011" s="18" t="n"/>
      <c r="H1011" s="19">
        <f>IF(OR($A1011="",$C1011=""),"",IFERROR(INDEX(Insumos!$M$2:$S$151,MATCH($C1011,Insumos!$A$2:$A$151,0),WEEKDAY($A1011,2)),""))</f>
        <v/>
      </c>
      <c r="I1011" s="19">
        <f>IF(OR($G1011="",$H1011=""),"",MAX(0,$H1011-$G1011))</f>
        <v/>
      </c>
      <c r="J1011" s="21">
        <f>IF($I1011="","",IF($I1011=0,"OK",IF($G1011&lt;=0,"Sin stock: pedir ya","Pedir o producir")))</f>
        <v/>
      </c>
      <c r="K1011" s="17" t="n"/>
      <c r="L1011" s="17" t="n"/>
      <c r="M1011" s="21">
        <f>IF(OR($A1011="",$A1011&lt;&gt;'Lista para pedir'!$C$3,N($I1011)&lt;=0),"",COUNTIFS($A$2:$A1011,$A1011,$I$2:$I1011,"&gt;0"))</f>
        <v/>
      </c>
    </row>
    <row r="1012">
      <c r="A1012" s="20" t="n"/>
      <c r="B1012" s="21">
        <f>IF($A1012="","",CHOOSE(WEEKDAY($A1012,2),"Lunes","Martes","Miércoles","Jueves","Viernes","Sábado","Domingo"))</f>
        <v/>
      </c>
      <c r="C1012" s="17" t="n"/>
      <c r="D1012" s="21">
        <f>IF($C1012="","",IFERROR(INDEX(Insumos!$B$2:$B$151,MATCH($C1012,Insumos!$A$2:$A$151,0)),"Código no cargado"))</f>
        <v/>
      </c>
      <c r="E1012" s="21">
        <f>IF($C1012="","",IFERROR(INDEX(Insumos!$C$2:$C$151,MATCH($C1012,Insumos!$A$2:$A$151,0)),""))</f>
        <v/>
      </c>
      <c r="F1012" s="21">
        <f>IF($C1012="","",IFERROR(INDEX(Insumos!$D$2:$D$151,MATCH($C1012,Insumos!$A$2:$A$151,0)),""))</f>
        <v/>
      </c>
      <c r="G1012" s="18" t="n"/>
      <c r="H1012" s="19">
        <f>IF(OR($A1012="",$C1012=""),"",IFERROR(INDEX(Insumos!$M$2:$S$151,MATCH($C1012,Insumos!$A$2:$A$151,0),WEEKDAY($A1012,2)),""))</f>
        <v/>
      </c>
      <c r="I1012" s="19">
        <f>IF(OR($G1012="",$H1012=""),"",MAX(0,$H1012-$G1012))</f>
        <v/>
      </c>
      <c r="J1012" s="21">
        <f>IF($I1012="","",IF($I1012=0,"OK",IF($G1012&lt;=0,"Sin stock: pedir ya","Pedir o producir")))</f>
        <v/>
      </c>
      <c r="K1012" s="17" t="n"/>
      <c r="L1012" s="17" t="n"/>
      <c r="M1012" s="21">
        <f>IF(OR($A1012="",$A1012&lt;&gt;'Lista para pedir'!$C$3,N($I1012)&lt;=0),"",COUNTIFS($A$2:$A1012,$A1012,$I$2:$I1012,"&gt;0"))</f>
        <v/>
      </c>
    </row>
    <row r="1013">
      <c r="A1013" s="20" t="n"/>
      <c r="B1013" s="21">
        <f>IF($A1013="","",CHOOSE(WEEKDAY($A1013,2),"Lunes","Martes","Miércoles","Jueves","Viernes","Sábado","Domingo"))</f>
        <v/>
      </c>
      <c r="C1013" s="17" t="n"/>
      <c r="D1013" s="21">
        <f>IF($C1013="","",IFERROR(INDEX(Insumos!$B$2:$B$151,MATCH($C1013,Insumos!$A$2:$A$151,0)),"Código no cargado"))</f>
        <v/>
      </c>
      <c r="E1013" s="21">
        <f>IF($C1013="","",IFERROR(INDEX(Insumos!$C$2:$C$151,MATCH($C1013,Insumos!$A$2:$A$151,0)),""))</f>
        <v/>
      </c>
      <c r="F1013" s="21">
        <f>IF($C1013="","",IFERROR(INDEX(Insumos!$D$2:$D$151,MATCH($C1013,Insumos!$A$2:$A$151,0)),""))</f>
        <v/>
      </c>
      <c r="G1013" s="18" t="n"/>
      <c r="H1013" s="19">
        <f>IF(OR($A1013="",$C1013=""),"",IFERROR(INDEX(Insumos!$M$2:$S$151,MATCH($C1013,Insumos!$A$2:$A$151,0),WEEKDAY($A1013,2)),""))</f>
        <v/>
      </c>
      <c r="I1013" s="19">
        <f>IF(OR($G1013="",$H1013=""),"",MAX(0,$H1013-$G1013))</f>
        <v/>
      </c>
      <c r="J1013" s="21">
        <f>IF($I1013="","",IF($I1013=0,"OK",IF($G1013&lt;=0,"Sin stock: pedir ya","Pedir o producir")))</f>
        <v/>
      </c>
      <c r="K1013" s="17" t="n"/>
      <c r="L1013" s="17" t="n"/>
      <c r="M1013" s="21">
        <f>IF(OR($A1013="",$A1013&lt;&gt;'Lista para pedir'!$C$3,N($I1013)&lt;=0),"",COUNTIFS($A$2:$A1013,$A1013,$I$2:$I1013,"&gt;0"))</f>
        <v/>
      </c>
    </row>
    <row r="1014">
      <c r="A1014" s="20" t="n"/>
      <c r="B1014" s="21">
        <f>IF($A1014="","",CHOOSE(WEEKDAY($A1014,2),"Lunes","Martes","Miércoles","Jueves","Viernes","Sábado","Domingo"))</f>
        <v/>
      </c>
      <c r="C1014" s="17" t="n"/>
      <c r="D1014" s="21">
        <f>IF($C1014="","",IFERROR(INDEX(Insumos!$B$2:$B$151,MATCH($C1014,Insumos!$A$2:$A$151,0)),"Código no cargado"))</f>
        <v/>
      </c>
      <c r="E1014" s="21">
        <f>IF($C1014="","",IFERROR(INDEX(Insumos!$C$2:$C$151,MATCH($C1014,Insumos!$A$2:$A$151,0)),""))</f>
        <v/>
      </c>
      <c r="F1014" s="21">
        <f>IF($C1014="","",IFERROR(INDEX(Insumos!$D$2:$D$151,MATCH($C1014,Insumos!$A$2:$A$151,0)),""))</f>
        <v/>
      </c>
      <c r="G1014" s="18" t="n"/>
      <c r="H1014" s="19">
        <f>IF(OR($A1014="",$C1014=""),"",IFERROR(INDEX(Insumos!$M$2:$S$151,MATCH($C1014,Insumos!$A$2:$A$151,0),WEEKDAY($A1014,2)),""))</f>
        <v/>
      </c>
      <c r="I1014" s="19">
        <f>IF(OR($G1014="",$H1014=""),"",MAX(0,$H1014-$G1014))</f>
        <v/>
      </c>
      <c r="J1014" s="21">
        <f>IF($I1014="","",IF($I1014=0,"OK",IF($G1014&lt;=0,"Sin stock: pedir ya","Pedir o producir")))</f>
        <v/>
      </c>
      <c r="K1014" s="17" t="n"/>
      <c r="L1014" s="17" t="n"/>
      <c r="M1014" s="21">
        <f>IF(OR($A1014="",$A1014&lt;&gt;'Lista para pedir'!$C$3,N($I1014)&lt;=0),"",COUNTIFS($A$2:$A1014,$A1014,$I$2:$I1014,"&gt;0"))</f>
        <v/>
      </c>
    </row>
    <row r="1015">
      <c r="A1015" s="20" t="n"/>
      <c r="B1015" s="21">
        <f>IF($A1015="","",CHOOSE(WEEKDAY($A1015,2),"Lunes","Martes","Miércoles","Jueves","Viernes","Sábado","Domingo"))</f>
        <v/>
      </c>
      <c r="C1015" s="17" t="n"/>
      <c r="D1015" s="21">
        <f>IF($C1015="","",IFERROR(INDEX(Insumos!$B$2:$B$151,MATCH($C1015,Insumos!$A$2:$A$151,0)),"Código no cargado"))</f>
        <v/>
      </c>
      <c r="E1015" s="21">
        <f>IF($C1015="","",IFERROR(INDEX(Insumos!$C$2:$C$151,MATCH($C1015,Insumos!$A$2:$A$151,0)),""))</f>
        <v/>
      </c>
      <c r="F1015" s="21">
        <f>IF($C1015="","",IFERROR(INDEX(Insumos!$D$2:$D$151,MATCH($C1015,Insumos!$A$2:$A$151,0)),""))</f>
        <v/>
      </c>
      <c r="G1015" s="18" t="n"/>
      <c r="H1015" s="19">
        <f>IF(OR($A1015="",$C1015=""),"",IFERROR(INDEX(Insumos!$M$2:$S$151,MATCH($C1015,Insumos!$A$2:$A$151,0),WEEKDAY($A1015,2)),""))</f>
        <v/>
      </c>
      <c r="I1015" s="19">
        <f>IF(OR($G1015="",$H1015=""),"",MAX(0,$H1015-$G1015))</f>
        <v/>
      </c>
      <c r="J1015" s="21">
        <f>IF($I1015="","",IF($I1015=0,"OK",IF($G1015&lt;=0,"Sin stock: pedir ya","Pedir o producir")))</f>
        <v/>
      </c>
      <c r="K1015" s="17" t="n"/>
      <c r="L1015" s="17" t="n"/>
      <c r="M1015" s="21">
        <f>IF(OR($A1015="",$A1015&lt;&gt;'Lista para pedir'!$C$3,N($I1015)&lt;=0),"",COUNTIFS($A$2:$A1015,$A1015,$I$2:$I1015,"&gt;0"))</f>
        <v/>
      </c>
    </row>
    <row r="1016">
      <c r="A1016" s="20" t="n"/>
      <c r="B1016" s="21">
        <f>IF($A1016="","",CHOOSE(WEEKDAY($A1016,2),"Lunes","Martes","Miércoles","Jueves","Viernes","Sábado","Domingo"))</f>
        <v/>
      </c>
      <c r="C1016" s="17" t="n"/>
      <c r="D1016" s="21">
        <f>IF($C1016="","",IFERROR(INDEX(Insumos!$B$2:$B$151,MATCH($C1016,Insumos!$A$2:$A$151,0)),"Código no cargado"))</f>
        <v/>
      </c>
      <c r="E1016" s="21">
        <f>IF($C1016="","",IFERROR(INDEX(Insumos!$C$2:$C$151,MATCH($C1016,Insumos!$A$2:$A$151,0)),""))</f>
        <v/>
      </c>
      <c r="F1016" s="21">
        <f>IF($C1016="","",IFERROR(INDEX(Insumos!$D$2:$D$151,MATCH($C1016,Insumos!$A$2:$A$151,0)),""))</f>
        <v/>
      </c>
      <c r="G1016" s="18" t="n"/>
      <c r="H1016" s="19">
        <f>IF(OR($A1016="",$C1016=""),"",IFERROR(INDEX(Insumos!$M$2:$S$151,MATCH($C1016,Insumos!$A$2:$A$151,0),WEEKDAY($A1016,2)),""))</f>
        <v/>
      </c>
      <c r="I1016" s="19">
        <f>IF(OR($G1016="",$H1016=""),"",MAX(0,$H1016-$G1016))</f>
        <v/>
      </c>
      <c r="J1016" s="21">
        <f>IF($I1016="","",IF($I1016=0,"OK",IF($G1016&lt;=0,"Sin stock: pedir ya","Pedir o producir")))</f>
        <v/>
      </c>
      <c r="K1016" s="17" t="n"/>
      <c r="L1016" s="17" t="n"/>
      <c r="M1016" s="21">
        <f>IF(OR($A1016="",$A1016&lt;&gt;'Lista para pedir'!$C$3,N($I1016)&lt;=0),"",COUNTIFS($A$2:$A1016,$A1016,$I$2:$I1016,"&gt;0"))</f>
        <v/>
      </c>
    </row>
    <row r="1017">
      <c r="A1017" s="20" t="n"/>
      <c r="B1017" s="21">
        <f>IF($A1017="","",CHOOSE(WEEKDAY($A1017,2),"Lunes","Martes","Miércoles","Jueves","Viernes","Sábado","Domingo"))</f>
        <v/>
      </c>
      <c r="C1017" s="17" t="n"/>
      <c r="D1017" s="21">
        <f>IF($C1017="","",IFERROR(INDEX(Insumos!$B$2:$B$151,MATCH($C1017,Insumos!$A$2:$A$151,0)),"Código no cargado"))</f>
        <v/>
      </c>
      <c r="E1017" s="21">
        <f>IF($C1017="","",IFERROR(INDEX(Insumos!$C$2:$C$151,MATCH($C1017,Insumos!$A$2:$A$151,0)),""))</f>
        <v/>
      </c>
      <c r="F1017" s="21">
        <f>IF($C1017="","",IFERROR(INDEX(Insumos!$D$2:$D$151,MATCH($C1017,Insumos!$A$2:$A$151,0)),""))</f>
        <v/>
      </c>
      <c r="G1017" s="18" t="n"/>
      <c r="H1017" s="19">
        <f>IF(OR($A1017="",$C1017=""),"",IFERROR(INDEX(Insumos!$M$2:$S$151,MATCH($C1017,Insumos!$A$2:$A$151,0),WEEKDAY($A1017,2)),""))</f>
        <v/>
      </c>
      <c r="I1017" s="19">
        <f>IF(OR($G1017="",$H1017=""),"",MAX(0,$H1017-$G1017))</f>
        <v/>
      </c>
      <c r="J1017" s="21">
        <f>IF($I1017="","",IF($I1017=0,"OK",IF($G1017&lt;=0,"Sin stock: pedir ya","Pedir o producir")))</f>
        <v/>
      </c>
      <c r="K1017" s="17" t="n"/>
      <c r="L1017" s="17" t="n"/>
      <c r="M1017" s="21">
        <f>IF(OR($A1017="",$A1017&lt;&gt;'Lista para pedir'!$C$3,N($I1017)&lt;=0),"",COUNTIFS($A$2:$A1017,$A1017,$I$2:$I1017,"&gt;0"))</f>
        <v/>
      </c>
    </row>
    <row r="1018">
      <c r="A1018" s="20" t="n"/>
      <c r="B1018" s="21">
        <f>IF($A1018="","",CHOOSE(WEEKDAY($A1018,2),"Lunes","Martes","Miércoles","Jueves","Viernes","Sábado","Domingo"))</f>
        <v/>
      </c>
      <c r="C1018" s="17" t="n"/>
      <c r="D1018" s="21">
        <f>IF($C1018="","",IFERROR(INDEX(Insumos!$B$2:$B$151,MATCH($C1018,Insumos!$A$2:$A$151,0)),"Código no cargado"))</f>
        <v/>
      </c>
      <c r="E1018" s="21">
        <f>IF($C1018="","",IFERROR(INDEX(Insumos!$C$2:$C$151,MATCH($C1018,Insumos!$A$2:$A$151,0)),""))</f>
        <v/>
      </c>
      <c r="F1018" s="21">
        <f>IF($C1018="","",IFERROR(INDEX(Insumos!$D$2:$D$151,MATCH($C1018,Insumos!$A$2:$A$151,0)),""))</f>
        <v/>
      </c>
      <c r="G1018" s="18" t="n"/>
      <c r="H1018" s="19">
        <f>IF(OR($A1018="",$C1018=""),"",IFERROR(INDEX(Insumos!$M$2:$S$151,MATCH($C1018,Insumos!$A$2:$A$151,0),WEEKDAY($A1018,2)),""))</f>
        <v/>
      </c>
      <c r="I1018" s="19">
        <f>IF(OR($G1018="",$H1018=""),"",MAX(0,$H1018-$G1018))</f>
        <v/>
      </c>
      <c r="J1018" s="21">
        <f>IF($I1018="","",IF($I1018=0,"OK",IF($G1018&lt;=0,"Sin stock: pedir ya","Pedir o producir")))</f>
        <v/>
      </c>
      <c r="K1018" s="17" t="n"/>
      <c r="L1018" s="17" t="n"/>
      <c r="M1018" s="21">
        <f>IF(OR($A1018="",$A1018&lt;&gt;'Lista para pedir'!$C$3,N($I1018)&lt;=0),"",COUNTIFS($A$2:$A1018,$A1018,$I$2:$I1018,"&gt;0"))</f>
        <v/>
      </c>
    </row>
    <row r="1019">
      <c r="A1019" s="20" t="n"/>
      <c r="B1019" s="21">
        <f>IF($A1019="","",CHOOSE(WEEKDAY($A1019,2),"Lunes","Martes","Miércoles","Jueves","Viernes","Sábado","Domingo"))</f>
        <v/>
      </c>
      <c r="C1019" s="17" t="n"/>
      <c r="D1019" s="21">
        <f>IF($C1019="","",IFERROR(INDEX(Insumos!$B$2:$B$151,MATCH($C1019,Insumos!$A$2:$A$151,0)),"Código no cargado"))</f>
        <v/>
      </c>
      <c r="E1019" s="21">
        <f>IF($C1019="","",IFERROR(INDEX(Insumos!$C$2:$C$151,MATCH($C1019,Insumos!$A$2:$A$151,0)),""))</f>
        <v/>
      </c>
      <c r="F1019" s="21">
        <f>IF($C1019="","",IFERROR(INDEX(Insumos!$D$2:$D$151,MATCH($C1019,Insumos!$A$2:$A$151,0)),""))</f>
        <v/>
      </c>
      <c r="G1019" s="18" t="n"/>
      <c r="H1019" s="19">
        <f>IF(OR($A1019="",$C1019=""),"",IFERROR(INDEX(Insumos!$M$2:$S$151,MATCH($C1019,Insumos!$A$2:$A$151,0),WEEKDAY($A1019,2)),""))</f>
        <v/>
      </c>
      <c r="I1019" s="19">
        <f>IF(OR($G1019="",$H1019=""),"",MAX(0,$H1019-$G1019))</f>
        <v/>
      </c>
      <c r="J1019" s="21">
        <f>IF($I1019="","",IF($I1019=0,"OK",IF($G1019&lt;=0,"Sin stock: pedir ya","Pedir o producir")))</f>
        <v/>
      </c>
      <c r="K1019" s="17" t="n"/>
      <c r="L1019" s="17" t="n"/>
      <c r="M1019" s="21">
        <f>IF(OR($A1019="",$A1019&lt;&gt;'Lista para pedir'!$C$3,N($I1019)&lt;=0),"",COUNTIFS($A$2:$A1019,$A1019,$I$2:$I1019,"&gt;0"))</f>
        <v/>
      </c>
    </row>
    <row r="1020">
      <c r="A1020" s="20" t="n"/>
      <c r="B1020" s="21">
        <f>IF($A1020="","",CHOOSE(WEEKDAY($A1020,2),"Lunes","Martes","Miércoles","Jueves","Viernes","Sábado","Domingo"))</f>
        <v/>
      </c>
      <c r="C1020" s="17" t="n"/>
      <c r="D1020" s="21">
        <f>IF($C1020="","",IFERROR(INDEX(Insumos!$B$2:$B$151,MATCH($C1020,Insumos!$A$2:$A$151,0)),"Código no cargado"))</f>
        <v/>
      </c>
      <c r="E1020" s="21">
        <f>IF($C1020="","",IFERROR(INDEX(Insumos!$C$2:$C$151,MATCH($C1020,Insumos!$A$2:$A$151,0)),""))</f>
        <v/>
      </c>
      <c r="F1020" s="21">
        <f>IF($C1020="","",IFERROR(INDEX(Insumos!$D$2:$D$151,MATCH($C1020,Insumos!$A$2:$A$151,0)),""))</f>
        <v/>
      </c>
      <c r="G1020" s="18" t="n"/>
      <c r="H1020" s="19">
        <f>IF(OR($A1020="",$C1020=""),"",IFERROR(INDEX(Insumos!$M$2:$S$151,MATCH($C1020,Insumos!$A$2:$A$151,0),WEEKDAY($A1020,2)),""))</f>
        <v/>
      </c>
      <c r="I1020" s="19">
        <f>IF(OR($G1020="",$H1020=""),"",MAX(0,$H1020-$G1020))</f>
        <v/>
      </c>
      <c r="J1020" s="21">
        <f>IF($I1020="","",IF($I1020=0,"OK",IF($G1020&lt;=0,"Sin stock: pedir ya","Pedir o producir")))</f>
        <v/>
      </c>
      <c r="K1020" s="17" t="n"/>
      <c r="L1020" s="17" t="n"/>
      <c r="M1020" s="21">
        <f>IF(OR($A1020="",$A1020&lt;&gt;'Lista para pedir'!$C$3,N($I1020)&lt;=0),"",COUNTIFS($A$2:$A1020,$A1020,$I$2:$I1020,"&gt;0"))</f>
        <v/>
      </c>
    </row>
    <row r="1021">
      <c r="A1021" s="20" t="n"/>
      <c r="B1021" s="21">
        <f>IF($A1021="","",CHOOSE(WEEKDAY($A1021,2),"Lunes","Martes","Miércoles","Jueves","Viernes","Sábado","Domingo"))</f>
        <v/>
      </c>
      <c r="C1021" s="17" t="n"/>
      <c r="D1021" s="21">
        <f>IF($C1021="","",IFERROR(INDEX(Insumos!$B$2:$B$151,MATCH($C1021,Insumos!$A$2:$A$151,0)),"Código no cargado"))</f>
        <v/>
      </c>
      <c r="E1021" s="21">
        <f>IF($C1021="","",IFERROR(INDEX(Insumos!$C$2:$C$151,MATCH($C1021,Insumos!$A$2:$A$151,0)),""))</f>
        <v/>
      </c>
      <c r="F1021" s="21">
        <f>IF($C1021="","",IFERROR(INDEX(Insumos!$D$2:$D$151,MATCH($C1021,Insumos!$A$2:$A$151,0)),""))</f>
        <v/>
      </c>
      <c r="G1021" s="18" t="n"/>
      <c r="H1021" s="19">
        <f>IF(OR($A1021="",$C1021=""),"",IFERROR(INDEX(Insumos!$M$2:$S$151,MATCH($C1021,Insumos!$A$2:$A$151,0),WEEKDAY($A1021,2)),""))</f>
        <v/>
      </c>
      <c r="I1021" s="19">
        <f>IF(OR($G1021="",$H1021=""),"",MAX(0,$H1021-$G1021))</f>
        <v/>
      </c>
      <c r="J1021" s="21">
        <f>IF($I1021="","",IF($I1021=0,"OK",IF($G1021&lt;=0,"Sin stock: pedir ya","Pedir o producir")))</f>
        <v/>
      </c>
      <c r="K1021" s="17" t="n"/>
      <c r="L1021" s="17" t="n"/>
      <c r="M1021" s="21">
        <f>IF(OR($A1021="",$A1021&lt;&gt;'Lista para pedir'!$C$3,N($I1021)&lt;=0),"",COUNTIFS($A$2:$A1021,$A1021,$I$2:$I1021,"&gt;0"))</f>
        <v/>
      </c>
    </row>
    <row r="1022">
      <c r="A1022" s="20" t="n"/>
      <c r="B1022" s="21">
        <f>IF($A1022="","",CHOOSE(WEEKDAY($A1022,2),"Lunes","Martes","Miércoles","Jueves","Viernes","Sábado","Domingo"))</f>
        <v/>
      </c>
      <c r="C1022" s="17" t="n"/>
      <c r="D1022" s="21">
        <f>IF($C1022="","",IFERROR(INDEX(Insumos!$B$2:$B$151,MATCH($C1022,Insumos!$A$2:$A$151,0)),"Código no cargado"))</f>
        <v/>
      </c>
      <c r="E1022" s="21">
        <f>IF($C1022="","",IFERROR(INDEX(Insumos!$C$2:$C$151,MATCH($C1022,Insumos!$A$2:$A$151,0)),""))</f>
        <v/>
      </c>
      <c r="F1022" s="21">
        <f>IF($C1022="","",IFERROR(INDEX(Insumos!$D$2:$D$151,MATCH($C1022,Insumos!$A$2:$A$151,0)),""))</f>
        <v/>
      </c>
      <c r="G1022" s="18" t="n"/>
      <c r="H1022" s="19">
        <f>IF(OR($A1022="",$C1022=""),"",IFERROR(INDEX(Insumos!$M$2:$S$151,MATCH($C1022,Insumos!$A$2:$A$151,0),WEEKDAY($A1022,2)),""))</f>
        <v/>
      </c>
      <c r="I1022" s="19">
        <f>IF(OR($G1022="",$H1022=""),"",MAX(0,$H1022-$G1022))</f>
        <v/>
      </c>
      <c r="J1022" s="21">
        <f>IF($I1022="","",IF($I1022=0,"OK",IF($G1022&lt;=0,"Sin stock: pedir ya","Pedir o producir")))</f>
        <v/>
      </c>
      <c r="K1022" s="17" t="n"/>
      <c r="L1022" s="17" t="n"/>
      <c r="M1022" s="21">
        <f>IF(OR($A1022="",$A1022&lt;&gt;'Lista para pedir'!$C$3,N($I1022)&lt;=0),"",COUNTIFS($A$2:$A1022,$A1022,$I$2:$I1022,"&gt;0"))</f>
        <v/>
      </c>
    </row>
    <row r="1023">
      <c r="A1023" s="20" t="n"/>
      <c r="B1023" s="21">
        <f>IF($A1023="","",CHOOSE(WEEKDAY($A1023,2),"Lunes","Martes","Miércoles","Jueves","Viernes","Sábado","Domingo"))</f>
        <v/>
      </c>
      <c r="C1023" s="17" t="n"/>
      <c r="D1023" s="21">
        <f>IF($C1023="","",IFERROR(INDEX(Insumos!$B$2:$B$151,MATCH($C1023,Insumos!$A$2:$A$151,0)),"Código no cargado"))</f>
        <v/>
      </c>
      <c r="E1023" s="21">
        <f>IF($C1023="","",IFERROR(INDEX(Insumos!$C$2:$C$151,MATCH($C1023,Insumos!$A$2:$A$151,0)),""))</f>
        <v/>
      </c>
      <c r="F1023" s="21">
        <f>IF($C1023="","",IFERROR(INDEX(Insumos!$D$2:$D$151,MATCH($C1023,Insumos!$A$2:$A$151,0)),""))</f>
        <v/>
      </c>
      <c r="G1023" s="18" t="n"/>
      <c r="H1023" s="19">
        <f>IF(OR($A1023="",$C1023=""),"",IFERROR(INDEX(Insumos!$M$2:$S$151,MATCH($C1023,Insumos!$A$2:$A$151,0),WEEKDAY($A1023,2)),""))</f>
        <v/>
      </c>
      <c r="I1023" s="19">
        <f>IF(OR($G1023="",$H1023=""),"",MAX(0,$H1023-$G1023))</f>
        <v/>
      </c>
      <c r="J1023" s="21">
        <f>IF($I1023="","",IF($I1023=0,"OK",IF($G1023&lt;=0,"Sin stock: pedir ya","Pedir o producir")))</f>
        <v/>
      </c>
      <c r="K1023" s="17" t="n"/>
      <c r="L1023" s="17" t="n"/>
      <c r="M1023" s="21">
        <f>IF(OR($A1023="",$A1023&lt;&gt;'Lista para pedir'!$C$3,N($I1023)&lt;=0),"",COUNTIFS($A$2:$A1023,$A1023,$I$2:$I1023,"&gt;0"))</f>
        <v/>
      </c>
    </row>
    <row r="1024">
      <c r="A1024" s="20" t="n"/>
      <c r="B1024" s="21">
        <f>IF($A1024="","",CHOOSE(WEEKDAY($A1024,2),"Lunes","Martes","Miércoles","Jueves","Viernes","Sábado","Domingo"))</f>
        <v/>
      </c>
      <c r="C1024" s="17" t="n"/>
      <c r="D1024" s="21">
        <f>IF($C1024="","",IFERROR(INDEX(Insumos!$B$2:$B$151,MATCH($C1024,Insumos!$A$2:$A$151,0)),"Código no cargado"))</f>
        <v/>
      </c>
      <c r="E1024" s="21">
        <f>IF($C1024="","",IFERROR(INDEX(Insumos!$C$2:$C$151,MATCH($C1024,Insumos!$A$2:$A$151,0)),""))</f>
        <v/>
      </c>
      <c r="F1024" s="21">
        <f>IF($C1024="","",IFERROR(INDEX(Insumos!$D$2:$D$151,MATCH($C1024,Insumos!$A$2:$A$151,0)),""))</f>
        <v/>
      </c>
      <c r="G1024" s="18" t="n"/>
      <c r="H1024" s="19">
        <f>IF(OR($A1024="",$C1024=""),"",IFERROR(INDEX(Insumos!$M$2:$S$151,MATCH($C1024,Insumos!$A$2:$A$151,0),WEEKDAY($A1024,2)),""))</f>
        <v/>
      </c>
      <c r="I1024" s="19">
        <f>IF(OR($G1024="",$H1024=""),"",MAX(0,$H1024-$G1024))</f>
        <v/>
      </c>
      <c r="J1024" s="21">
        <f>IF($I1024="","",IF($I1024=0,"OK",IF($G1024&lt;=0,"Sin stock: pedir ya","Pedir o producir")))</f>
        <v/>
      </c>
      <c r="K1024" s="17" t="n"/>
      <c r="L1024" s="17" t="n"/>
      <c r="M1024" s="21">
        <f>IF(OR($A1024="",$A1024&lt;&gt;'Lista para pedir'!$C$3,N($I1024)&lt;=0),"",COUNTIFS($A$2:$A1024,$A1024,$I$2:$I1024,"&gt;0"))</f>
        <v/>
      </c>
    </row>
    <row r="1025">
      <c r="A1025" s="20" t="n"/>
      <c r="B1025" s="21">
        <f>IF($A1025="","",CHOOSE(WEEKDAY($A1025,2),"Lunes","Martes","Miércoles","Jueves","Viernes","Sábado","Domingo"))</f>
        <v/>
      </c>
      <c r="C1025" s="17" t="n"/>
      <c r="D1025" s="21">
        <f>IF($C1025="","",IFERROR(INDEX(Insumos!$B$2:$B$151,MATCH($C1025,Insumos!$A$2:$A$151,0)),"Código no cargado"))</f>
        <v/>
      </c>
      <c r="E1025" s="21">
        <f>IF($C1025="","",IFERROR(INDEX(Insumos!$C$2:$C$151,MATCH($C1025,Insumos!$A$2:$A$151,0)),""))</f>
        <v/>
      </c>
      <c r="F1025" s="21">
        <f>IF($C1025="","",IFERROR(INDEX(Insumos!$D$2:$D$151,MATCH($C1025,Insumos!$A$2:$A$151,0)),""))</f>
        <v/>
      </c>
      <c r="G1025" s="18" t="n"/>
      <c r="H1025" s="19">
        <f>IF(OR($A1025="",$C1025=""),"",IFERROR(INDEX(Insumos!$M$2:$S$151,MATCH($C1025,Insumos!$A$2:$A$151,0),WEEKDAY($A1025,2)),""))</f>
        <v/>
      </c>
      <c r="I1025" s="19">
        <f>IF(OR($G1025="",$H1025=""),"",MAX(0,$H1025-$G1025))</f>
        <v/>
      </c>
      <c r="J1025" s="21">
        <f>IF($I1025="","",IF($I1025=0,"OK",IF($G1025&lt;=0,"Sin stock: pedir ya","Pedir o producir")))</f>
        <v/>
      </c>
      <c r="K1025" s="17" t="n"/>
      <c r="L1025" s="17" t="n"/>
      <c r="M1025" s="21">
        <f>IF(OR($A1025="",$A1025&lt;&gt;'Lista para pedir'!$C$3,N($I1025)&lt;=0),"",COUNTIFS($A$2:$A1025,$A1025,$I$2:$I1025,"&gt;0"))</f>
        <v/>
      </c>
    </row>
    <row r="1026">
      <c r="A1026" s="20" t="n"/>
      <c r="B1026" s="21">
        <f>IF($A1026="","",CHOOSE(WEEKDAY($A1026,2),"Lunes","Martes","Miércoles","Jueves","Viernes","Sábado","Domingo"))</f>
        <v/>
      </c>
      <c r="C1026" s="17" t="n"/>
      <c r="D1026" s="21">
        <f>IF($C1026="","",IFERROR(INDEX(Insumos!$B$2:$B$151,MATCH($C1026,Insumos!$A$2:$A$151,0)),"Código no cargado"))</f>
        <v/>
      </c>
      <c r="E1026" s="21">
        <f>IF($C1026="","",IFERROR(INDEX(Insumos!$C$2:$C$151,MATCH($C1026,Insumos!$A$2:$A$151,0)),""))</f>
        <v/>
      </c>
      <c r="F1026" s="21">
        <f>IF($C1026="","",IFERROR(INDEX(Insumos!$D$2:$D$151,MATCH($C1026,Insumos!$A$2:$A$151,0)),""))</f>
        <v/>
      </c>
      <c r="G1026" s="18" t="n"/>
      <c r="H1026" s="19">
        <f>IF(OR($A1026="",$C1026=""),"",IFERROR(INDEX(Insumos!$M$2:$S$151,MATCH($C1026,Insumos!$A$2:$A$151,0),WEEKDAY($A1026,2)),""))</f>
        <v/>
      </c>
      <c r="I1026" s="19">
        <f>IF(OR($G1026="",$H1026=""),"",MAX(0,$H1026-$G1026))</f>
        <v/>
      </c>
      <c r="J1026" s="21">
        <f>IF($I1026="","",IF($I1026=0,"OK",IF($G1026&lt;=0,"Sin stock: pedir ya","Pedir o producir")))</f>
        <v/>
      </c>
      <c r="K1026" s="17" t="n"/>
      <c r="L1026" s="17" t="n"/>
      <c r="M1026" s="21">
        <f>IF(OR($A1026="",$A1026&lt;&gt;'Lista para pedir'!$C$3,N($I1026)&lt;=0),"",COUNTIFS($A$2:$A1026,$A1026,$I$2:$I1026,"&gt;0"))</f>
        <v/>
      </c>
    </row>
    <row r="1027">
      <c r="A1027" s="20" t="n"/>
      <c r="B1027" s="21">
        <f>IF($A1027="","",CHOOSE(WEEKDAY($A1027,2),"Lunes","Martes","Miércoles","Jueves","Viernes","Sábado","Domingo"))</f>
        <v/>
      </c>
      <c r="C1027" s="17" t="n"/>
      <c r="D1027" s="21">
        <f>IF($C1027="","",IFERROR(INDEX(Insumos!$B$2:$B$151,MATCH($C1027,Insumos!$A$2:$A$151,0)),"Código no cargado"))</f>
        <v/>
      </c>
      <c r="E1027" s="21">
        <f>IF($C1027="","",IFERROR(INDEX(Insumos!$C$2:$C$151,MATCH($C1027,Insumos!$A$2:$A$151,0)),""))</f>
        <v/>
      </c>
      <c r="F1027" s="21">
        <f>IF($C1027="","",IFERROR(INDEX(Insumos!$D$2:$D$151,MATCH($C1027,Insumos!$A$2:$A$151,0)),""))</f>
        <v/>
      </c>
      <c r="G1027" s="18" t="n"/>
      <c r="H1027" s="19">
        <f>IF(OR($A1027="",$C1027=""),"",IFERROR(INDEX(Insumos!$M$2:$S$151,MATCH($C1027,Insumos!$A$2:$A$151,0),WEEKDAY($A1027,2)),""))</f>
        <v/>
      </c>
      <c r="I1027" s="19">
        <f>IF(OR($G1027="",$H1027=""),"",MAX(0,$H1027-$G1027))</f>
        <v/>
      </c>
      <c r="J1027" s="21">
        <f>IF($I1027="","",IF($I1027=0,"OK",IF($G1027&lt;=0,"Sin stock: pedir ya","Pedir o producir")))</f>
        <v/>
      </c>
      <c r="K1027" s="17" t="n"/>
      <c r="L1027" s="17" t="n"/>
      <c r="M1027" s="21">
        <f>IF(OR($A1027="",$A1027&lt;&gt;'Lista para pedir'!$C$3,N($I1027)&lt;=0),"",COUNTIFS($A$2:$A1027,$A1027,$I$2:$I1027,"&gt;0"))</f>
        <v/>
      </c>
    </row>
    <row r="1028">
      <c r="A1028" s="20" t="n"/>
      <c r="B1028" s="21">
        <f>IF($A1028="","",CHOOSE(WEEKDAY($A1028,2),"Lunes","Martes","Miércoles","Jueves","Viernes","Sábado","Domingo"))</f>
        <v/>
      </c>
      <c r="C1028" s="17" t="n"/>
      <c r="D1028" s="21">
        <f>IF($C1028="","",IFERROR(INDEX(Insumos!$B$2:$B$151,MATCH($C1028,Insumos!$A$2:$A$151,0)),"Código no cargado"))</f>
        <v/>
      </c>
      <c r="E1028" s="21">
        <f>IF($C1028="","",IFERROR(INDEX(Insumos!$C$2:$C$151,MATCH($C1028,Insumos!$A$2:$A$151,0)),""))</f>
        <v/>
      </c>
      <c r="F1028" s="21">
        <f>IF($C1028="","",IFERROR(INDEX(Insumos!$D$2:$D$151,MATCH($C1028,Insumos!$A$2:$A$151,0)),""))</f>
        <v/>
      </c>
      <c r="G1028" s="18" t="n"/>
      <c r="H1028" s="19">
        <f>IF(OR($A1028="",$C1028=""),"",IFERROR(INDEX(Insumos!$M$2:$S$151,MATCH($C1028,Insumos!$A$2:$A$151,0),WEEKDAY($A1028,2)),""))</f>
        <v/>
      </c>
      <c r="I1028" s="19">
        <f>IF(OR($G1028="",$H1028=""),"",MAX(0,$H1028-$G1028))</f>
        <v/>
      </c>
      <c r="J1028" s="21">
        <f>IF($I1028="","",IF($I1028=0,"OK",IF($G1028&lt;=0,"Sin stock: pedir ya","Pedir o producir")))</f>
        <v/>
      </c>
      <c r="K1028" s="17" t="n"/>
      <c r="L1028" s="17" t="n"/>
      <c r="M1028" s="21">
        <f>IF(OR($A1028="",$A1028&lt;&gt;'Lista para pedir'!$C$3,N($I1028)&lt;=0),"",COUNTIFS($A$2:$A1028,$A1028,$I$2:$I1028,"&gt;0"))</f>
        <v/>
      </c>
    </row>
    <row r="1029">
      <c r="A1029" s="20" t="n"/>
      <c r="B1029" s="21">
        <f>IF($A1029="","",CHOOSE(WEEKDAY($A1029,2),"Lunes","Martes","Miércoles","Jueves","Viernes","Sábado","Domingo"))</f>
        <v/>
      </c>
      <c r="C1029" s="17" t="n"/>
      <c r="D1029" s="21">
        <f>IF($C1029="","",IFERROR(INDEX(Insumos!$B$2:$B$151,MATCH($C1029,Insumos!$A$2:$A$151,0)),"Código no cargado"))</f>
        <v/>
      </c>
      <c r="E1029" s="21">
        <f>IF($C1029="","",IFERROR(INDEX(Insumos!$C$2:$C$151,MATCH($C1029,Insumos!$A$2:$A$151,0)),""))</f>
        <v/>
      </c>
      <c r="F1029" s="21">
        <f>IF($C1029="","",IFERROR(INDEX(Insumos!$D$2:$D$151,MATCH($C1029,Insumos!$A$2:$A$151,0)),""))</f>
        <v/>
      </c>
      <c r="G1029" s="18" t="n"/>
      <c r="H1029" s="19">
        <f>IF(OR($A1029="",$C1029=""),"",IFERROR(INDEX(Insumos!$M$2:$S$151,MATCH($C1029,Insumos!$A$2:$A$151,0),WEEKDAY($A1029,2)),""))</f>
        <v/>
      </c>
      <c r="I1029" s="19">
        <f>IF(OR($G1029="",$H1029=""),"",MAX(0,$H1029-$G1029))</f>
        <v/>
      </c>
      <c r="J1029" s="21">
        <f>IF($I1029="","",IF($I1029=0,"OK",IF($G1029&lt;=0,"Sin stock: pedir ya","Pedir o producir")))</f>
        <v/>
      </c>
      <c r="K1029" s="17" t="n"/>
      <c r="L1029" s="17" t="n"/>
      <c r="M1029" s="21">
        <f>IF(OR($A1029="",$A1029&lt;&gt;'Lista para pedir'!$C$3,N($I1029)&lt;=0),"",COUNTIFS($A$2:$A1029,$A1029,$I$2:$I1029,"&gt;0"))</f>
        <v/>
      </c>
    </row>
    <row r="1030">
      <c r="A1030" s="20" t="n"/>
      <c r="B1030" s="21">
        <f>IF($A1030="","",CHOOSE(WEEKDAY($A1030,2),"Lunes","Martes","Miércoles","Jueves","Viernes","Sábado","Domingo"))</f>
        <v/>
      </c>
      <c r="C1030" s="17" t="n"/>
      <c r="D1030" s="21">
        <f>IF($C1030="","",IFERROR(INDEX(Insumos!$B$2:$B$151,MATCH($C1030,Insumos!$A$2:$A$151,0)),"Código no cargado"))</f>
        <v/>
      </c>
      <c r="E1030" s="21">
        <f>IF($C1030="","",IFERROR(INDEX(Insumos!$C$2:$C$151,MATCH($C1030,Insumos!$A$2:$A$151,0)),""))</f>
        <v/>
      </c>
      <c r="F1030" s="21">
        <f>IF($C1030="","",IFERROR(INDEX(Insumos!$D$2:$D$151,MATCH($C1030,Insumos!$A$2:$A$151,0)),""))</f>
        <v/>
      </c>
      <c r="G1030" s="18" t="n"/>
      <c r="H1030" s="19">
        <f>IF(OR($A1030="",$C1030=""),"",IFERROR(INDEX(Insumos!$M$2:$S$151,MATCH($C1030,Insumos!$A$2:$A$151,0),WEEKDAY($A1030,2)),""))</f>
        <v/>
      </c>
      <c r="I1030" s="19">
        <f>IF(OR($G1030="",$H1030=""),"",MAX(0,$H1030-$G1030))</f>
        <v/>
      </c>
      <c r="J1030" s="21">
        <f>IF($I1030="","",IF($I1030=0,"OK",IF($G1030&lt;=0,"Sin stock: pedir ya","Pedir o producir")))</f>
        <v/>
      </c>
      <c r="K1030" s="17" t="n"/>
      <c r="L1030" s="17" t="n"/>
      <c r="M1030" s="21">
        <f>IF(OR($A1030="",$A1030&lt;&gt;'Lista para pedir'!$C$3,N($I1030)&lt;=0),"",COUNTIFS($A$2:$A1030,$A1030,$I$2:$I1030,"&gt;0"))</f>
        <v/>
      </c>
    </row>
    <row r="1031">
      <c r="A1031" s="20" t="n"/>
      <c r="B1031" s="21">
        <f>IF($A1031="","",CHOOSE(WEEKDAY($A1031,2),"Lunes","Martes","Miércoles","Jueves","Viernes","Sábado","Domingo"))</f>
        <v/>
      </c>
      <c r="C1031" s="17" t="n"/>
      <c r="D1031" s="21">
        <f>IF($C1031="","",IFERROR(INDEX(Insumos!$B$2:$B$151,MATCH($C1031,Insumos!$A$2:$A$151,0)),"Código no cargado"))</f>
        <v/>
      </c>
      <c r="E1031" s="21">
        <f>IF($C1031="","",IFERROR(INDEX(Insumos!$C$2:$C$151,MATCH($C1031,Insumos!$A$2:$A$151,0)),""))</f>
        <v/>
      </c>
      <c r="F1031" s="21">
        <f>IF($C1031="","",IFERROR(INDEX(Insumos!$D$2:$D$151,MATCH($C1031,Insumos!$A$2:$A$151,0)),""))</f>
        <v/>
      </c>
      <c r="G1031" s="18" t="n"/>
      <c r="H1031" s="19">
        <f>IF(OR($A1031="",$C1031=""),"",IFERROR(INDEX(Insumos!$M$2:$S$151,MATCH($C1031,Insumos!$A$2:$A$151,0),WEEKDAY($A1031,2)),""))</f>
        <v/>
      </c>
      <c r="I1031" s="19">
        <f>IF(OR($G1031="",$H1031=""),"",MAX(0,$H1031-$G1031))</f>
        <v/>
      </c>
      <c r="J1031" s="21">
        <f>IF($I1031="","",IF($I1031=0,"OK",IF($G1031&lt;=0,"Sin stock: pedir ya","Pedir o producir")))</f>
        <v/>
      </c>
      <c r="K1031" s="17" t="n"/>
      <c r="L1031" s="17" t="n"/>
      <c r="M1031" s="21">
        <f>IF(OR($A1031="",$A1031&lt;&gt;'Lista para pedir'!$C$3,N($I1031)&lt;=0),"",COUNTIFS($A$2:$A1031,$A1031,$I$2:$I1031,"&gt;0"))</f>
        <v/>
      </c>
    </row>
    <row r="1032">
      <c r="A1032" s="20" t="n"/>
      <c r="B1032" s="21">
        <f>IF($A1032="","",CHOOSE(WEEKDAY($A1032,2),"Lunes","Martes","Miércoles","Jueves","Viernes","Sábado","Domingo"))</f>
        <v/>
      </c>
      <c r="C1032" s="17" t="n"/>
      <c r="D1032" s="21">
        <f>IF($C1032="","",IFERROR(INDEX(Insumos!$B$2:$B$151,MATCH($C1032,Insumos!$A$2:$A$151,0)),"Código no cargado"))</f>
        <v/>
      </c>
      <c r="E1032" s="21">
        <f>IF($C1032="","",IFERROR(INDEX(Insumos!$C$2:$C$151,MATCH($C1032,Insumos!$A$2:$A$151,0)),""))</f>
        <v/>
      </c>
      <c r="F1032" s="21">
        <f>IF($C1032="","",IFERROR(INDEX(Insumos!$D$2:$D$151,MATCH($C1032,Insumos!$A$2:$A$151,0)),""))</f>
        <v/>
      </c>
      <c r="G1032" s="18" t="n"/>
      <c r="H1032" s="19">
        <f>IF(OR($A1032="",$C1032=""),"",IFERROR(INDEX(Insumos!$M$2:$S$151,MATCH($C1032,Insumos!$A$2:$A$151,0),WEEKDAY($A1032,2)),""))</f>
        <v/>
      </c>
      <c r="I1032" s="19">
        <f>IF(OR($G1032="",$H1032=""),"",MAX(0,$H1032-$G1032))</f>
        <v/>
      </c>
      <c r="J1032" s="21">
        <f>IF($I1032="","",IF($I1032=0,"OK",IF($G1032&lt;=0,"Sin stock: pedir ya","Pedir o producir")))</f>
        <v/>
      </c>
      <c r="K1032" s="17" t="n"/>
      <c r="L1032" s="17" t="n"/>
      <c r="M1032" s="21">
        <f>IF(OR($A1032="",$A1032&lt;&gt;'Lista para pedir'!$C$3,N($I1032)&lt;=0),"",COUNTIFS($A$2:$A1032,$A1032,$I$2:$I1032,"&gt;0"))</f>
        <v/>
      </c>
    </row>
    <row r="1033">
      <c r="A1033" s="20" t="n"/>
      <c r="B1033" s="21">
        <f>IF($A1033="","",CHOOSE(WEEKDAY($A1033,2),"Lunes","Martes","Miércoles","Jueves","Viernes","Sábado","Domingo"))</f>
        <v/>
      </c>
      <c r="C1033" s="17" t="n"/>
      <c r="D1033" s="21">
        <f>IF($C1033="","",IFERROR(INDEX(Insumos!$B$2:$B$151,MATCH($C1033,Insumos!$A$2:$A$151,0)),"Código no cargado"))</f>
        <v/>
      </c>
      <c r="E1033" s="21">
        <f>IF($C1033="","",IFERROR(INDEX(Insumos!$C$2:$C$151,MATCH($C1033,Insumos!$A$2:$A$151,0)),""))</f>
        <v/>
      </c>
      <c r="F1033" s="21">
        <f>IF($C1033="","",IFERROR(INDEX(Insumos!$D$2:$D$151,MATCH($C1033,Insumos!$A$2:$A$151,0)),""))</f>
        <v/>
      </c>
      <c r="G1033" s="18" t="n"/>
      <c r="H1033" s="19">
        <f>IF(OR($A1033="",$C1033=""),"",IFERROR(INDEX(Insumos!$M$2:$S$151,MATCH($C1033,Insumos!$A$2:$A$151,0),WEEKDAY($A1033,2)),""))</f>
        <v/>
      </c>
      <c r="I1033" s="19">
        <f>IF(OR($G1033="",$H1033=""),"",MAX(0,$H1033-$G1033))</f>
        <v/>
      </c>
      <c r="J1033" s="21">
        <f>IF($I1033="","",IF($I1033=0,"OK",IF($G1033&lt;=0,"Sin stock: pedir ya","Pedir o producir")))</f>
        <v/>
      </c>
      <c r="K1033" s="17" t="n"/>
      <c r="L1033" s="17" t="n"/>
      <c r="M1033" s="21">
        <f>IF(OR($A1033="",$A1033&lt;&gt;'Lista para pedir'!$C$3,N($I1033)&lt;=0),"",COUNTIFS($A$2:$A1033,$A1033,$I$2:$I1033,"&gt;0"))</f>
        <v/>
      </c>
    </row>
    <row r="1034">
      <c r="A1034" s="20" t="n"/>
      <c r="B1034" s="21">
        <f>IF($A1034="","",CHOOSE(WEEKDAY($A1034,2),"Lunes","Martes","Miércoles","Jueves","Viernes","Sábado","Domingo"))</f>
        <v/>
      </c>
      <c r="C1034" s="17" t="n"/>
      <c r="D1034" s="21">
        <f>IF($C1034="","",IFERROR(INDEX(Insumos!$B$2:$B$151,MATCH($C1034,Insumos!$A$2:$A$151,0)),"Código no cargado"))</f>
        <v/>
      </c>
      <c r="E1034" s="21">
        <f>IF($C1034="","",IFERROR(INDEX(Insumos!$C$2:$C$151,MATCH($C1034,Insumos!$A$2:$A$151,0)),""))</f>
        <v/>
      </c>
      <c r="F1034" s="21">
        <f>IF($C1034="","",IFERROR(INDEX(Insumos!$D$2:$D$151,MATCH($C1034,Insumos!$A$2:$A$151,0)),""))</f>
        <v/>
      </c>
      <c r="G1034" s="18" t="n"/>
      <c r="H1034" s="19">
        <f>IF(OR($A1034="",$C1034=""),"",IFERROR(INDEX(Insumos!$M$2:$S$151,MATCH($C1034,Insumos!$A$2:$A$151,0),WEEKDAY($A1034,2)),""))</f>
        <v/>
      </c>
      <c r="I1034" s="19">
        <f>IF(OR($G1034="",$H1034=""),"",MAX(0,$H1034-$G1034))</f>
        <v/>
      </c>
      <c r="J1034" s="21">
        <f>IF($I1034="","",IF($I1034=0,"OK",IF($G1034&lt;=0,"Sin stock: pedir ya","Pedir o producir")))</f>
        <v/>
      </c>
      <c r="K1034" s="17" t="n"/>
      <c r="L1034" s="17" t="n"/>
      <c r="M1034" s="21">
        <f>IF(OR($A1034="",$A1034&lt;&gt;'Lista para pedir'!$C$3,N($I1034)&lt;=0),"",COUNTIFS($A$2:$A1034,$A1034,$I$2:$I1034,"&gt;0"))</f>
        <v/>
      </c>
    </row>
    <row r="1035">
      <c r="A1035" s="20" t="n"/>
      <c r="B1035" s="21">
        <f>IF($A1035="","",CHOOSE(WEEKDAY($A1035,2),"Lunes","Martes","Miércoles","Jueves","Viernes","Sábado","Domingo"))</f>
        <v/>
      </c>
      <c r="C1035" s="17" t="n"/>
      <c r="D1035" s="21">
        <f>IF($C1035="","",IFERROR(INDEX(Insumos!$B$2:$B$151,MATCH($C1035,Insumos!$A$2:$A$151,0)),"Código no cargado"))</f>
        <v/>
      </c>
      <c r="E1035" s="21">
        <f>IF($C1035="","",IFERROR(INDEX(Insumos!$C$2:$C$151,MATCH($C1035,Insumos!$A$2:$A$151,0)),""))</f>
        <v/>
      </c>
      <c r="F1035" s="21">
        <f>IF($C1035="","",IFERROR(INDEX(Insumos!$D$2:$D$151,MATCH($C1035,Insumos!$A$2:$A$151,0)),""))</f>
        <v/>
      </c>
      <c r="G1035" s="18" t="n"/>
      <c r="H1035" s="19">
        <f>IF(OR($A1035="",$C1035=""),"",IFERROR(INDEX(Insumos!$M$2:$S$151,MATCH($C1035,Insumos!$A$2:$A$151,0),WEEKDAY($A1035,2)),""))</f>
        <v/>
      </c>
      <c r="I1035" s="19">
        <f>IF(OR($G1035="",$H1035=""),"",MAX(0,$H1035-$G1035))</f>
        <v/>
      </c>
      <c r="J1035" s="21">
        <f>IF($I1035="","",IF($I1035=0,"OK",IF($G1035&lt;=0,"Sin stock: pedir ya","Pedir o producir")))</f>
        <v/>
      </c>
      <c r="K1035" s="17" t="n"/>
      <c r="L1035" s="17" t="n"/>
      <c r="M1035" s="21">
        <f>IF(OR($A1035="",$A1035&lt;&gt;'Lista para pedir'!$C$3,N($I1035)&lt;=0),"",COUNTIFS($A$2:$A1035,$A1035,$I$2:$I1035,"&gt;0"))</f>
        <v/>
      </c>
    </row>
    <row r="1036">
      <c r="A1036" s="20" t="n"/>
      <c r="B1036" s="21">
        <f>IF($A1036="","",CHOOSE(WEEKDAY($A1036,2),"Lunes","Martes","Miércoles","Jueves","Viernes","Sábado","Domingo"))</f>
        <v/>
      </c>
      <c r="C1036" s="17" t="n"/>
      <c r="D1036" s="21">
        <f>IF($C1036="","",IFERROR(INDEX(Insumos!$B$2:$B$151,MATCH($C1036,Insumos!$A$2:$A$151,0)),"Código no cargado"))</f>
        <v/>
      </c>
      <c r="E1036" s="21">
        <f>IF($C1036="","",IFERROR(INDEX(Insumos!$C$2:$C$151,MATCH($C1036,Insumos!$A$2:$A$151,0)),""))</f>
        <v/>
      </c>
      <c r="F1036" s="21">
        <f>IF($C1036="","",IFERROR(INDEX(Insumos!$D$2:$D$151,MATCH($C1036,Insumos!$A$2:$A$151,0)),""))</f>
        <v/>
      </c>
      <c r="G1036" s="18" t="n"/>
      <c r="H1036" s="19">
        <f>IF(OR($A1036="",$C1036=""),"",IFERROR(INDEX(Insumos!$M$2:$S$151,MATCH($C1036,Insumos!$A$2:$A$151,0),WEEKDAY($A1036,2)),""))</f>
        <v/>
      </c>
      <c r="I1036" s="19">
        <f>IF(OR($G1036="",$H1036=""),"",MAX(0,$H1036-$G1036))</f>
        <v/>
      </c>
      <c r="J1036" s="21">
        <f>IF($I1036="","",IF($I1036=0,"OK",IF($G1036&lt;=0,"Sin stock: pedir ya","Pedir o producir")))</f>
        <v/>
      </c>
      <c r="K1036" s="17" t="n"/>
      <c r="L1036" s="17" t="n"/>
      <c r="M1036" s="21">
        <f>IF(OR($A1036="",$A1036&lt;&gt;'Lista para pedir'!$C$3,N($I1036)&lt;=0),"",COUNTIFS($A$2:$A1036,$A1036,$I$2:$I1036,"&gt;0"))</f>
        <v/>
      </c>
    </row>
    <row r="1037">
      <c r="A1037" s="20" t="n"/>
      <c r="B1037" s="21">
        <f>IF($A1037="","",CHOOSE(WEEKDAY($A1037,2),"Lunes","Martes","Miércoles","Jueves","Viernes","Sábado","Domingo"))</f>
        <v/>
      </c>
      <c r="C1037" s="17" t="n"/>
      <c r="D1037" s="21">
        <f>IF($C1037="","",IFERROR(INDEX(Insumos!$B$2:$B$151,MATCH($C1037,Insumos!$A$2:$A$151,0)),"Código no cargado"))</f>
        <v/>
      </c>
      <c r="E1037" s="21">
        <f>IF($C1037="","",IFERROR(INDEX(Insumos!$C$2:$C$151,MATCH($C1037,Insumos!$A$2:$A$151,0)),""))</f>
        <v/>
      </c>
      <c r="F1037" s="21">
        <f>IF($C1037="","",IFERROR(INDEX(Insumos!$D$2:$D$151,MATCH($C1037,Insumos!$A$2:$A$151,0)),""))</f>
        <v/>
      </c>
      <c r="G1037" s="18" t="n"/>
      <c r="H1037" s="19">
        <f>IF(OR($A1037="",$C1037=""),"",IFERROR(INDEX(Insumos!$M$2:$S$151,MATCH($C1037,Insumos!$A$2:$A$151,0),WEEKDAY($A1037,2)),""))</f>
        <v/>
      </c>
      <c r="I1037" s="19">
        <f>IF(OR($G1037="",$H1037=""),"",MAX(0,$H1037-$G1037))</f>
        <v/>
      </c>
      <c r="J1037" s="21">
        <f>IF($I1037="","",IF($I1037=0,"OK",IF($G1037&lt;=0,"Sin stock: pedir ya","Pedir o producir")))</f>
        <v/>
      </c>
      <c r="K1037" s="17" t="n"/>
      <c r="L1037" s="17" t="n"/>
      <c r="M1037" s="21">
        <f>IF(OR($A1037="",$A1037&lt;&gt;'Lista para pedir'!$C$3,N($I1037)&lt;=0),"",COUNTIFS($A$2:$A1037,$A1037,$I$2:$I1037,"&gt;0"))</f>
        <v/>
      </c>
    </row>
    <row r="1038">
      <c r="A1038" s="20" t="n"/>
      <c r="B1038" s="21">
        <f>IF($A1038="","",CHOOSE(WEEKDAY($A1038,2),"Lunes","Martes","Miércoles","Jueves","Viernes","Sábado","Domingo"))</f>
        <v/>
      </c>
      <c r="C1038" s="17" t="n"/>
      <c r="D1038" s="21">
        <f>IF($C1038="","",IFERROR(INDEX(Insumos!$B$2:$B$151,MATCH($C1038,Insumos!$A$2:$A$151,0)),"Código no cargado"))</f>
        <v/>
      </c>
      <c r="E1038" s="21">
        <f>IF($C1038="","",IFERROR(INDEX(Insumos!$C$2:$C$151,MATCH($C1038,Insumos!$A$2:$A$151,0)),""))</f>
        <v/>
      </c>
      <c r="F1038" s="21">
        <f>IF($C1038="","",IFERROR(INDEX(Insumos!$D$2:$D$151,MATCH($C1038,Insumos!$A$2:$A$151,0)),""))</f>
        <v/>
      </c>
      <c r="G1038" s="18" t="n"/>
      <c r="H1038" s="19">
        <f>IF(OR($A1038="",$C1038=""),"",IFERROR(INDEX(Insumos!$M$2:$S$151,MATCH($C1038,Insumos!$A$2:$A$151,0),WEEKDAY($A1038,2)),""))</f>
        <v/>
      </c>
      <c r="I1038" s="19">
        <f>IF(OR($G1038="",$H1038=""),"",MAX(0,$H1038-$G1038))</f>
        <v/>
      </c>
      <c r="J1038" s="21">
        <f>IF($I1038="","",IF($I1038=0,"OK",IF($G1038&lt;=0,"Sin stock: pedir ya","Pedir o producir")))</f>
        <v/>
      </c>
      <c r="K1038" s="17" t="n"/>
      <c r="L1038" s="17" t="n"/>
      <c r="M1038" s="21">
        <f>IF(OR($A1038="",$A1038&lt;&gt;'Lista para pedir'!$C$3,N($I1038)&lt;=0),"",COUNTIFS($A$2:$A1038,$A1038,$I$2:$I1038,"&gt;0"))</f>
        <v/>
      </c>
    </row>
    <row r="1039">
      <c r="A1039" s="20" t="n"/>
      <c r="B1039" s="21">
        <f>IF($A1039="","",CHOOSE(WEEKDAY($A1039,2),"Lunes","Martes","Miércoles","Jueves","Viernes","Sábado","Domingo"))</f>
        <v/>
      </c>
      <c r="C1039" s="17" t="n"/>
      <c r="D1039" s="21">
        <f>IF($C1039="","",IFERROR(INDEX(Insumos!$B$2:$B$151,MATCH($C1039,Insumos!$A$2:$A$151,0)),"Código no cargado"))</f>
        <v/>
      </c>
      <c r="E1039" s="21">
        <f>IF($C1039="","",IFERROR(INDEX(Insumos!$C$2:$C$151,MATCH($C1039,Insumos!$A$2:$A$151,0)),""))</f>
        <v/>
      </c>
      <c r="F1039" s="21">
        <f>IF($C1039="","",IFERROR(INDEX(Insumos!$D$2:$D$151,MATCH($C1039,Insumos!$A$2:$A$151,0)),""))</f>
        <v/>
      </c>
      <c r="G1039" s="18" t="n"/>
      <c r="H1039" s="19">
        <f>IF(OR($A1039="",$C1039=""),"",IFERROR(INDEX(Insumos!$M$2:$S$151,MATCH($C1039,Insumos!$A$2:$A$151,0),WEEKDAY($A1039,2)),""))</f>
        <v/>
      </c>
      <c r="I1039" s="19">
        <f>IF(OR($G1039="",$H1039=""),"",MAX(0,$H1039-$G1039))</f>
        <v/>
      </c>
      <c r="J1039" s="21">
        <f>IF($I1039="","",IF($I1039=0,"OK",IF($G1039&lt;=0,"Sin stock: pedir ya","Pedir o producir")))</f>
        <v/>
      </c>
      <c r="K1039" s="17" t="n"/>
      <c r="L1039" s="17" t="n"/>
      <c r="M1039" s="21">
        <f>IF(OR($A1039="",$A1039&lt;&gt;'Lista para pedir'!$C$3,N($I1039)&lt;=0),"",COUNTIFS($A$2:$A1039,$A1039,$I$2:$I1039,"&gt;0"))</f>
        <v/>
      </c>
    </row>
    <row r="1040">
      <c r="A1040" s="20" t="n"/>
      <c r="B1040" s="21">
        <f>IF($A1040="","",CHOOSE(WEEKDAY($A1040,2),"Lunes","Martes","Miércoles","Jueves","Viernes","Sábado","Domingo"))</f>
        <v/>
      </c>
      <c r="C1040" s="17" t="n"/>
      <c r="D1040" s="21">
        <f>IF($C1040="","",IFERROR(INDEX(Insumos!$B$2:$B$151,MATCH($C1040,Insumos!$A$2:$A$151,0)),"Código no cargado"))</f>
        <v/>
      </c>
      <c r="E1040" s="21">
        <f>IF($C1040="","",IFERROR(INDEX(Insumos!$C$2:$C$151,MATCH($C1040,Insumos!$A$2:$A$151,0)),""))</f>
        <v/>
      </c>
      <c r="F1040" s="21">
        <f>IF($C1040="","",IFERROR(INDEX(Insumos!$D$2:$D$151,MATCH($C1040,Insumos!$A$2:$A$151,0)),""))</f>
        <v/>
      </c>
      <c r="G1040" s="18" t="n"/>
      <c r="H1040" s="19">
        <f>IF(OR($A1040="",$C1040=""),"",IFERROR(INDEX(Insumos!$M$2:$S$151,MATCH($C1040,Insumos!$A$2:$A$151,0),WEEKDAY($A1040,2)),""))</f>
        <v/>
      </c>
      <c r="I1040" s="19">
        <f>IF(OR($G1040="",$H1040=""),"",MAX(0,$H1040-$G1040))</f>
        <v/>
      </c>
      <c r="J1040" s="21">
        <f>IF($I1040="","",IF($I1040=0,"OK",IF($G1040&lt;=0,"Sin stock: pedir ya","Pedir o producir")))</f>
        <v/>
      </c>
      <c r="K1040" s="17" t="n"/>
      <c r="L1040" s="17" t="n"/>
      <c r="M1040" s="21">
        <f>IF(OR($A1040="",$A1040&lt;&gt;'Lista para pedir'!$C$3,N($I1040)&lt;=0),"",COUNTIFS($A$2:$A1040,$A1040,$I$2:$I1040,"&gt;0"))</f>
        <v/>
      </c>
    </row>
    <row r="1041">
      <c r="A1041" s="20" t="n"/>
      <c r="B1041" s="21">
        <f>IF($A1041="","",CHOOSE(WEEKDAY($A1041,2),"Lunes","Martes","Miércoles","Jueves","Viernes","Sábado","Domingo"))</f>
        <v/>
      </c>
      <c r="C1041" s="17" t="n"/>
      <c r="D1041" s="21">
        <f>IF($C1041="","",IFERROR(INDEX(Insumos!$B$2:$B$151,MATCH($C1041,Insumos!$A$2:$A$151,0)),"Código no cargado"))</f>
        <v/>
      </c>
      <c r="E1041" s="21">
        <f>IF($C1041="","",IFERROR(INDEX(Insumos!$C$2:$C$151,MATCH($C1041,Insumos!$A$2:$A$151,0)),""))</f>
        <v/>
      </c>
      <c r="F1041" s="21">
        <f>IF($C1041="","",IFERROR(INDEX(Insumos!$D$2:$D$151,MATCH($C1041,Insumos!$A$2:$A$151,0)),""))</f>
        <v/>
      </c>
      <c r="G1041" s="18" t="n"/>
      <c r="H1041" s="19">
        <f>IF(OR($A1041="",$C1041=""),"",IFERROR(INDEX(Insumos!$M$2:$S$151,MATCH($C1041,Insumos!$A$2:$A$151,0),WEEKDAY($A1041,2)),""))</f>
        <v/>
      </c>
      <c r="I1041" s="19">
        <f>IF(OR($G1041="",$H1041=""),"",MAX(0,$H1041-$G1041))</f>
        <v/>
      </c>
      <c r="J1041" s="21">
        <f>IF($I1041="","",IF($I1041=0,"OK",IF($G1041&lt;=0,"Sin stock: pedir ya","Pedir o producir")))</f>
        <v/>
      </c>
      <c r="K1041" s="17" t="n"/>
      <c r="L1041" s="17" t="n"/>
      <c r="M1041" s="21">
        <f>IF(OR($A1041="",$A1041&lt;&gt;'Lista para pedir'!$C$3,N($I1041)&lt;=0),"",COUNTIFS($A$2:$A1041,$A1041,$I$2:$I1041,"&gt;0"))</f>
        <v/>
      </c>
    </row>
    <row r="1042">
      <c r="A1042" s="20" t="n"/>
      <c r="B1042" s="21">
        <f>IF($A1042="","",CHOOSE(WEEKDAY($A1042,2),"Lunes","Martes","Miércoles","Jueves","Viernes","Sábado","Domingo"))</f>
        <v/>
      </c>
      <c r="C1042" s="17" t="n"/>
      <c r="D1042" s="21">
        <f>IF($C1042="","",IFERROR(INDEX(Insumos!$B$2:$B$151,MATCH($C1042,Insumos!$A$2:$A$151,0)),"Código no cargado"))</f>
        <v/>
      </c>
      <c r="E1042" s="21">
        <f>IF($C1042="","",IFERROR(INDEX(Insumos!$C$2:$C$151,MATCH($C1042,Insumos!$A$2:$A$151,0)),""))</f>
        <v/>
      </c>
      <c r="F1042" s="21">
        <f>IF($C1042="","",IFERROR(INDEX(Insumos!$D$2:$D$151,MATCH($C1042,Insumos!$A$2:$A$151,0)),""))</f>
        <v/>
      </c>
      <c r="G1042" s="18" t="n"/>
      <c r="H1042" s="19">
        <f>IF(OR($A1042="",$C1042=""),"",IFERROR(INDEX(Insumos!$M$2:$S$151,MATCH($C1042,Insumos!$A$2:$A$151,0),WEEKDAY($A1042,2)),""))</f>
        <v/>
      </c>
      <c r="I1042" s="19">
        <f>IF(OR($G1042="",$H1042=""),"",MAX(0,$H1042-$G1042))</f>
        <v/>
      </c>
      <c r="J1042" s="21">
        <f>IF($I1042="","",IF($I1042=0,"OK",IF($G1042&lt;=0,"Sin stock: pedir ya","Pedir o producir")))</f>
        <v/>
      </c>
      <c r="K1042" s="17" t="n"/>
      <c r="L1042" s="17" t="n"/>
      <c r="M1042" s="21">
        <f>IF(OR($A1042="",$A1042&lt;&gt;'Lista para pedir'!$C$3,N($I1042)&lt;=0),"",COUNTIFS($A$2:$A1042,$A1042,$I$2:$I1042,"&gt;0"))</f>
        <v/>
      </c>
    </row>
    <row r="1043">
      <c r="A1043" s="20" t="n"/>
      <c r="B1043" s="21">
        <f>IF($A1043="","",CHOOSE(WEEKDAY($A1043,2),"Lunes","Martes","Miércoles","Jueves","Viernes","Sábado","Domingo"))</f>
        <v/>
      </c>
      <c r="C1043" s="17" t="n"/>
      <c r="D1043" s="21">
        <f>IF($C1043="","",IFERROR(INDEX(Insumos!$B$2:$B$151,MATCH($C1043,Insumos!$A$2:$A$151,0)),"Código no cargado"))</f>
        <v/>
      </c>
      <c r="E1043" s="21">
        <f>IF($C1043="","",IFERROR(INDEX(Insumos!$C$2:$C$151,MATCH($C1043,Insumos!$A$2:$A$151,0)),""))</f>
        <v/>
      </c>
      <c r="F1043" s="21">
        <f>IF($C1043="","",IFERROR(INDEX(Insumos!$D$2:$D$151,MATCH($C1043,Insumos!$A$2:$A$151,0)),""))</f>
        <v/>
      </c>
      <c r="G1043" s="18" t="n"/>
      <c r="H1043" s="19">
        <f>IF(OR($A1043="",$C1043=""),"",IFERROR(INDEX(Insumos!$M$2:$S$151,MATCH($C1043,Insumos!$A$2:$A$151,0),WEEKDAY($A1043,2)),""))</f>
        <v/>
      </c>
      <c r="I1043" s="19">
        <f>IF(OR($G1043="",$H1043=""),"",MAX(0,$H1043-$G1043))</f>
        <v/>
      </c>
      <c r="J1043" s="21">
        <f>IF($I1043="","",IF($I1043=0,"OK",IF($G1043&lt;=0,"Sin stock: pedir ya","Pedir o producir")))</f>
        <v/>
      </c>
      <c r="K1043" s="17" t="n"/>
      <c r="L1043" s="17" t="n"/>
      <c r="M1043" s="21">
        <f>IF(OR($A1043="",$A1043&lt;&gt;'Lista para pedir'!$C$3,N($I1043)&lt;=0),"",COUNTIFS($A$2:$A1043,$A1043,$I$2:$I1043,"&gt;0"))</f>
        <v/>
      </c>
    </row>
    <row r="1044">
      <c r="A1044" s="20" t="n"/>
      <c r="B1044" s="21">
        <f>IF($A1044="","",CHOOSE(WEEKDAY($A1044,2),"Lunes","Martes","Miércoles","Jueves","Viernes","Sábado","Domingo"))</f>
        <v/>
      </c>
      <c r="C1044" s="17" t="n"/>
      <c r="D1044" s="21">
        <f>IF($C1044="","",IFERROR(INDEX(Insumos!$B$2:$B$151,MATCH($C1044,Insumos!$A$2:$A$151,0)),"Código no cargado"))</f>
        <v/>
      </c>
      <c r="E1044" s="21">
        <f>IF($C1044="","",IFERROR(INDEX(Insumos!$C$2:$C$151,MATCH($C1044,Insumos!$A$2:$A$151,0)),""))</f>
        <v/>
      </c>
      <c r="F1044" s="21">
        <f>IF($C1044="","",IFERROR(INDEX(Insumos!$D$2:$D$151,MATCH($C1044,Insumos!$A$2:$A$151,0)),""))</f>
        <v/>
      </c>
      <c r="G1044" s="18" t="n"/>
      <c r="H1044" s="19">
        <f>IF(OR($A1044="",$C1044=""),"",IFERROR(INDEX(Insumos!$M$2:$S$151,MATCH($C1044,Insumos!$A$2:$A$151,0),WEEKDAY($A1044,2)),""))</f>
        <v/>
      </c>
      <c r="I1044" s="19">
        <f>IF(OR($G1044="",$H1044=""),"",MAX(0,$H1044-$G1044))</f>
        <v/>
      </c>
      <c r="J1044" s="21">
        <f>IF($I1044="","",IF($I1044=0,"OK",IF($G1044&lt;=0,"Sin stock: pedir ya","Pedir o producir")))</f>
        <v/>
      </c>
      <c r="K1044" s="17" t="n"/>
      <c r="L1044" s="17" t="n"/>
      <c r="M1044" s="21">
        <f>IF(OR($A1044="",$A1044&lt;&gt;'Lista para pedir'!$C$3,N($I1044)&lt;=0),"",COUNTIFS($A$2:$A1044,$A1044,$I$2:$I1044,"&gt;0"))</f>
        <v/>
      </c>
    </row>
    <row r="1045">
      <c r="A1045" s="20" t="n"/>
      <c r="B1045" s="21">
        <f>IF($A1045="","",CHOOSE(WEEKDAY($A1045,2),"Lunes","Martes","Miércoles","Jueves","Viernes","Sábado","Domingo"))</f>
        <v/>
      </c>
      <c r="C1045" s="17" t="n"/>
      <c r="D1045" s="21">
        <f>IF($C1045="","",IFERROR(INDEX(Insumos!$B$2:$B$151,MATCH($C1045,Insumos!$A$2:$A$151,0)),"Código no cargado"))</f>
        <v/>
      </c>
      <c r="E1045" s="21">
        <f>IF($C1045="","",IFERROR(INDEX(Insumos!$C$2:$C$151,MATCH($C1045,Insumos!$A$2:$A$151,0)),""))</f>
        <v/>
      </c>
      <c r="F1045" s="21">
        <f>IF($C1045="","",IFERROR(INDEX(Insumos!$D$2:$D$151,MATCH($C1045,Insumos!$A$2:$A$151,0)),""))</f>
        <v/>
      </c>
      <c r="G1045" s="18" t="n"/>
      <c r="H1045" s="19">
        <f>IF(OR($A1045="",$C1045=""),"",IFERROR(INDEX(Insumos!$M$2:$S$151,MATCH($C1045,Insumos!$A$2:$A$151,0),WEEKDAY($A1045,2)),""))</f>
        <v/>
      </c>
      <c r="I1045" s="19">
        <f>IF(OR($G1045="",$H1045=""),"",MAX(0,$H1045-$G1045))</f>
        <v/>
      </c>
      <c r="J1045" s="21">
        <f>IF($I1045="","",IF($I1045=0,"OK",IF($G1045&lt;=0,"Sin stock: pedir ya","Pedir o producir")))</f>
        <v/>
      </c>
      <c r="K1045" s="17" t="n"/>
      <c r="L1045" s="17" t="n"/>
      <c r="M1045" s="21">
        <f>IF(OR($A1045="",$A1045&lt;&gt;'Lista para pedir'!$C$3,N($I1045)&lt;=0),"",COUNTIFS($A$2:$A1045,$A1045,$I$2:$I1045,"&gt;0"))</f>
        <v/>
      </c>
    </row>
    <row r="1046">
      <c r="A1046" s="20" t="n"/>
      <c r="B1046" s="21">
        <f>IF($A1046="","",CHOOSE(WEEKDAY($A1046,2),"Lunes","Martes","Miércoles","Jueves","Viernes","Sábado","Domingo"))</f>
        <v/>
      </c>
      <c r="C1046" s="17" t="n"/>
      <c r="D1046" s="21">
        <f>IF($C1046="","",IFERROR(INDEX(Insumos!$B$2:$B$151,MATCH($C1046,Insumos!$A$2:$A$151,0)),"Código no cargado"))</f>
        <v/>
      </c>
      <c r="E1046" s="21">
        <f>IF($C1046="","",IFERROR(INDEX(Insumos!$C$2:$C$151,MATCH($C1046,Insumos!$A$2:$A$151,0)),""))</f>
        <v/>
      </c>
      <c r="F1046" s="21">
        <f>IF($C1046="","",IFERROR(INDEX(Insumos!$D$2:$D$151,MATCH($C1046,Insumos!$A$2:$A$151,0)),""))</f>
        <v/>
      </c>
      <c r="G1046" s="18" t="n"/>
      <c r="H1046" s="19">
        <f>IF(OR($A1046="",$C1046=""),"",IFERROR(INDEX(Insumos!$M$2:$S$151,MATCH($C1046,Insumos!$A$2:$A$151,0),WEEKDAY($A1046,2)),""))</f>
        <v/>
      </c>
      <c r="I1046" s="19">
        <f>IF(OR($G1046="",$H1046=""),"",MAX(0,$H1046-$G1046))</f>
        <v/>
      </c>
      <c r="J1046" s="21">
        <f>IF($I1046="","",IF($I1046=0,"OK",IF($G1046&lt;=0,"Sin stock: pedir ya","Pedir o producir")))</f>
        <v/>
      </c>
      <c r="K1046" s="17" t="n"/>
      <c r="L1046" s="17" t="n"/>
      <c r="M1046" s="21">
        <f>IF(OR($A1046="",$A1046&lt;&gt;'Lista para pedir'!$C$3,N($I1046)&lt;=0),"",COUNTIFS($A$2:$A1046,$A1046,$I$2:$I1046,"&gt;0"))</f>
        <v/>
      </c>
    </row>
    <row r="1047">
      <c r="A1047" s="20" t="n"/>
      <c r="B1047" s="21">
        <f>IF($A1047="","",CHOOSE(WEEKDAY($A1047,2),"Lunes","Martes","Miércoles","Jueves","Viernes","Sábado","Domingo"))</f>
        <v/>
      </c>
      <c r="C1047" s="17" t="n"/>
      <c r="D1047" s="21">
        <f>IF($C1047="","",IFERROR(INDEX(Insumos!$B$2:$B$151,MATCH($C1047,Insumos!$A$2:$A$151,0)),"Código no cargado"))</f>
        <v/>
      </c>
      <c r="E1047" s="21">
        <f>IF($C1047="","",IFERROR(INDEX(Insumos!$C$2:$C$151,MATCH($C1047,Insumos!$A$2:$A$151,0)),""))</f>
        <v/>
      </c>
      <c r="F1047" s="21">
        <f>IF($C1047="","",IFERROR(INDEX(Insumos!$D$2:$D$151,MATCH($C1047,Insumos!$A$2:$A$151,0)),""))</f>
        <v/>
      </c>
      <c r="G1047" s="18" t="n"/>
      <c r="H1047" s="19">
        <f>IF(OR($A1047="",$C1047=""),"",IFERROR(INDEX(Insumos!$M$2:$S$151,MATCH($C1047,Insumos!$A$2:$A$151,0),WEEKDAY($A1047,2)),""))</f>
        <v/>
      </c>
      <c r="I1047" s="19">
        <f>IF(OR($G1047="",$H1047=""),"",MAX(0,$H1047-$G1047))</f>
        <v/>
      </c>
      <c r="J1047" s="21">
        <f>IF($I1047="","",IF($I1047=0,"OK",IF($G1047&lt;=0,"Sin stock: pedir ya","Pedir o producir")))</f>
        <v/>
      </c>
      <c r="K1047" s="17" t="n"/>
      <c r="L1047" s="17" t="n"/>
      <c r="M1047" s="21">
        <f>IF(OR($A1047="",$A1047&lt;&gt;'Lista para pedir'!$C$3,N($I1047)&lt;=0),"",COUNTIFS($A$2:$A1047,$A1047,$I$2:$I1047,"&gt;0"))</f>
        <v/>
      </c>
    </row>
    <row r="1048">
      <c r="A1048" s="20" t="n"/>
      <c r="B1048" s="21">
        <f>IF($A1048="","",CHOOSE(WEEKDAY($A1048,2),"Lunes","Martes","Miércoles","Jueves","Viernes","Sábado","Domingo"))</f>
        <v/>
      </c>
      <c r="C1048" s="17" t="n"/>
      <c r="D1048" s="21">
        <f>IF($C1048="","",IFERROR(INDEX(Insumos!$B$2:$B$151,MATCH($C1048,Insumos!$A$2:$A$151,0)),"Código no cargado"))</f>
        <v/>
      </c>
      <c r="E1048" s="21">
        <f>IF($C1048="","",IFERROR(INDEX(Insumos!$C$2:$C$151,MATCH($C1048,Insumos!$A$2:$A$151,0)),""))</f>
        <v/>
      </c>
      <c r="F1048" s="21">
        <f>IF($C1048="","",IFERROR(INDEX(Insumos!$D$2:$D$151,MATCH($C1048,Insumos!$A$2:$A$151,0)),""))</f>
        <v/>
      </c>
      <c r="G1048" s="18" t="n"/>
      <c r="H1048" s="19">
        <f>IF(OR($A1048="",$C1048=""),"",IFERROR(INDEX(Insumos!$M$2:$S$151,MATCH($C1048,Insumos!$A$2:$A$151,0),WEEKDAY($A1048,2)),""))</f>
        <v/>
      </c>
      <c r="I1048" s="19">
        <f>IF(OR($G1048="",$H1048=""),"",MAX(0,$H1048-$G1048))</f>
        <v/>
      </c>
      <c r="J1048" s="21">
        <f>IF($I1048="","",IF($I1048=0,"OK",IF($G1048&lt;=0,"Sin stock: pedir ya","Pedir o producir")))</f>
        <v/>
      </c>
      <c r="K1048" s="17" t="n"/>
      <c r="L1048" s="17" t="n"/>
      <c r="M1048" s="21">
        <f>IF(OR($A1048="",$A1048&lt;&gt;'Lista para pedir'!$C$3,N($I1048)&lt;=0),"",COUNTIFS($A$2:$A1048,$A1048,$I$2:$I1048,"&gt;0"))</f>
        <v/>
      </c>
    </row>
    <row r="1049">
      <c r="A1049" s="20" t="n"/>
      <c r="B1049" s="21">
        <f>IF($A1049="","",CHOOSE(WEEKDAY($A1049,2),"Lunes","Martes","Miércoles","Jueves","Viernes","Sábado","Domingo"))</f>
        <v/>
      </c>
      <c r="C1049" s="17" t="n"/>
      <c r="D1049" s="21">
        <f>IF($C1049="","",IFERROR(INDEX(Insumos!$B$2:$B$151,MATCH($C1049,Insumos!$A$2:$A$151,0)),"Código no cargado"))</f>
        <v/>
      </c>
      <c r="E1049" s="21">
        <f>IF($C1049="","",IFERROR(INDEX(Insumos!$C$2:$C$151,MATCH($C1049,Insumos!$A$2:$A$151,0)),""))</f>
        <v/>
      </c>
      <c r="F1049" s="21">
        <f>IF($C1049="","",IFERROR(INDEX(Insumos!$D$2:$D$151,MATCH($C1049,Insumos!$A$2:$A$151,0)),""))</f>
        <v/>
      </c>
      <c r="G1049" s="18" t="n"/>
      <c r="H1049" s="19">
        <f>IF(OR($A1049="",$C1049=""),"",IFERROR(INDEX(Insumos!$M$2:$S$151,MATCH($C1049,Insumos!$A$2:$A$151,0),WEEKDAY($A1049,2)),""))</f>
        <v/>
      </c>
      <c r="I1049" s="19">
        <f>IF(OR($G1049="",$H1049=""),"",MAX(0,$H1049-$G1049))</f>
        <v/>
      </c>
      <c r="J1049" s="21">
        <f>IF($I1049="","",IF($I1049=0,"OK",IF($G1049&lt;=0,"Sin stock: pedir ya","Pedir o producir")))</f>
        <v/>
      </c>
      <c r="K1049" s="17" t="n"/>
      <c r="L1049" s="17" t="n"/>
      <c r="M1049" s="21">
        <f>IF(OR($A1049="",$A1049&lt;&gt;'Lista para pedir'!$C$3,N($I1049)&lt;=0),"",COUNTIFS($A$2:$A1049,$A1049,$I$2:$I1049,"&gt;0"))</f>
        <v/>
      </c>
    </row>
    <row r="1050">
      <c r="A1050" s="20" t="n"/>
      <c r="B1050" s="21">
        <f>IF($A1050="","",CHOOSE(WEEKDAY($A1050,2),"Lunes","Martes","Miércoles","Jueves","Viernes","Sábado","Domingo"))</f>
        <v/>
      </c>
      <c r="C1050" s="17" t="n"/>
      <c r="D1050" s="21">
        <f>IF($C1050="","",IFERROR(INDEX(Insumos!$B$2:$B$151,MATCH($C1050,Insumos!$A$2:$A$151,0)),"Código no cargado"))</f>
        <v/>
      </c>
      <c r="E1050" s="21">
        <f>IF($C1050="","",IFERROR(INDEX(Insumos!$C$2:$C$151,MATCH($C1050,Insumos!$A$2:$A$151,0)),""))</f>
        <v/>
      </c>
      <c r="F1050" s="21">
        <f>IF($C1050="","",IFERROR(INDEX(Insumos!$D$2:$D$151,MATCH($C1050,Insumos!$A$2:$A$151,0)),""))</f>
        <v/>
      </c>
      <c r="G1050" s="18" t="n"/>
      <c r="H1050" s="19">
        <f>IF(OR($A1050="",$C1050=""),"",IFERROR(INDEX(Insumos!$M$2:$S$151,MATCH($C1050,Insumos!$A$2:$A$151,0),WEEKDAY($A1050,2)),""))</f>
        <v/>
      </c>
      <c r="I1050" s="19">
        <f>IF(OR($G1050="",$H1050=""),"",MAX(0,$H1050-$G1050))</f>
        <v/>
      </c>
      <c r="J1050" s="21">
        <f>IF($I1050="","",IF($I1050=0,"OK",IF($G1050&lt;=0,"Sin stock: pedir ya","Pedir o producir")))</f>
        <v/>
      </c>
      <c r="K1050" s="17" t="n"/>
      <c r="L1050" s="17" t="n"/>
      <c r="M1050" s="21">
        <f>IF(OR($A1050="",$A1050&lt;&gt;'Lista para pedir'!$C$3,N($I1050)&lt;=0),"",COUNTIFS($A$2:$A1050,$A1050,$I$2:$I1050,"&gt;0"))</f>
        <v/>
      </c>
    </row>
    <row r="1051">
      <c r="A1051" s="20" t="n"/>
      <c r="B1051" s="21">
        <f>IF($A1051="","",CHOOSE(WEEKDAY($A1051,2),"Lunes","Martes","Miércoles","Jueves","Viernes","Sábado","Domingo"))</f>
        <v/>
      </c>
      <c r="C1051" s="17" t="n"/>
      <c r="D1051" s="21">
        <f>IF($C1051="","",IFERROR(INDEX(Insumos!$B$2:$B$151,MATCH($C1051,Insumos!$A$2:$A$151,0)),"Código no cargado"))</f>
        <v/>
      </c>
      <c r="E1051" s="21">
        <f>IF($C1051="","",IFERROR(INDEX(Insumos!$C$2:$C$151,MATCH($C1051,Insumos!$A$2:$A$151,0)),""))</f>
        <v/>
      </c>
      <c r="F1051" s="21">
        <f>IF($C1051="","",IFERROR(INDEX(Insumos!$D$2:$D$151,MATCH($C1051,Insumos!$A$2:$A$151,0)),""))</f>
        <v/>
      </c>
      <c r="G1051" s="18" t="n"/>
      <c r="H1051" s="19">
        <f>IF(OR($A1051="",$C1051=""),"",IFERROR(INDEX(Insumos!$M$2:$S$151,MATCH($C1051,Insumos!$A$2:$A$151,0),WEEKDAY($A1051,2)),""))</f>
        <v/>
      </c>
      <c r="I1051" s="19">
        <f>IF(OR($G1051="",$H1051=""),"",MAX(0,$H1051-$G1051))</f>
        <v/>
      </c>
      <c r="J1051" s="21">
        <f>IF($I1051="","",IF($I1051=0,"OK",IF($G1051&lt;=0,"Sin stock: pedir ya","Pedir o producir")))</f>
        <v/>
      </c>
      <c r="K1051" s="17" t="n"/>
      <c r="L1051" s="17" t="n"/>
      <c r="M1051" s="21">
        <f>IF(OR($A1051="",$A1051&lt;&gt;'Lista para pedir'!$C$3,N($I1051)&lt;=0),"",COUNTIFS($A$2:$A1051,$A1051,$I$2:$I1051,"&gt;0"))</f>
        <v/>
      </c>
    </row>
    <row r="1052">
      <c r="A1052" s="20" t="n"/>
      <c r="B1052" s="21">
        <f>IF($A1052="","",CHOOSE(WEEKDAY($A1052,2),"Lunes","Martes","Miércoles","Jueves","Viernes","Sábado","Domingo"))</f>
        <v/>
      </c>
      <c r="C1052" s="17" t="n"/>
      <c r="D1052" s="21">
        <f>IF($C1052="","",IFERROR(INDEX(Insumos!$B$2:$B$151,MATCH($C1052,Insumos!$A$2:$A$151,0)),"Código no cargado"))</f>
        <v/>
      </c>
      <c r="E1052" s="21">
        <f>IF($C1052="","",IFERROR(INDEX(Insumos!$C$2:$C$151,MATCH($C1052,Insumos!$A$2:$A$151,0)),""))</f>
        <v/>
      </c>
      <c r="F1052" s="21">
        <f>IF($C1052="","",IFERROR(INDEX(Insumos!$D$2:$D$151,MATCH($C1052,Insumos!$A$2:$A$151,0)),""))</f>
        <v/>
      </c>
      <c r="G1052" s="18" t="n"/>
      <c r="H1052" s="19">
        <f>IF(OR($A1052="",$C1052=""),"",IFERROR(INDEX(Insumos!$M$2:$S$151,MATCH($C1052,Insumos!$A$2:$A$151,0),WEEKDAY($A1052,2)),""))</f>
        <v/>
      </c>
      <c r="I1052" s="19">
        <f>IF(OR($G1052="",$H1052=""),"",MAX(0,$H1052-$G1052))</f>
        <v/>
      </c>
      <c r="J1052" s="21">
        <f>IF($I1052="","",IF($I1052=0,"OK",IF($G1052&lt;=0,"Sin stock: pedir ya","Pedir o producir")))</f>
        <v/>
      </c>
      <c r="K1052" s="17" t="n"/>
      <c r="L1052" s="17" t="n"/>
      <c r="M1052" s="21">
        <f>IF(OR($A1052="",$A1052&lt;&gt;'Lista para pedir'!$C$3,N($I1052)&lt;=0),"",COUNTIFS($A$2:$A1052,$A1052,$I$2:$I1052,"&gt;0"))</f>
        <v/>
      </c>
    </row>
    <row r="1053">
      <c r="A1053" s="20" t="n"/>
      <c r="B1053" s="21">
        <f>IF($A1053="","",CHOOSE(WEEKDAY($A1053,2),"Lunes","Martes","Miércoles","Jueves","Viernes","Sábado","Domingo"))</f>
        <v/>
      </c>
      <c r="C1053" s="17" t="n"/>
      <c r="D1053" s="21">
        <f>IF($C1053="","",IFERROR(INDEX(Insumos!$B$2:$B$151,MATCH($C1053,Insumos!$A$2:$A$151,0)),"Código no cargado"))</f>
        <v/>
      </c>
      <c r="E1053" s="21">
        <f>IF($C1053="","",IFERROR(INDEX(Insumos!$C$2:$C$151,MATCH($C1053,Insumos!$A$2:$A$151,0)),""))</f>
        <v/>
      </c>
      <c r="F1053" s="21">
        <f>IF($C1053="","",IFERROR(INDEX(Insumos!$D$2:$D$151,MATCH($C1053,Insumos!$A$2:$A$151,0)),""))</f>
        <v/>
      </c>
      <c r="G1053" s="18" t="n"/>
      <c r="H1053" s="19">
        <f>IF(OR($A1053="",$C1053=""),"",IFERROR(INDEX(Insumos!$M$2:$S$151,MATCH($C1053,Insumos!$A$2:$A$151,0),WEEKDAY($A1053,2)),""))</f>
        <v/>
      </c>
      <c r="I1053" s="19">
        <f>IF(OR($G1053="",$H1053=""),"",MAX(0,$H1053-$G1053))</f>
        <v/>
      </c>
      <c r="J1053" s="21">
        <f>IF($I1053="","",IF($I1053=0,"OK",IF($G1053&lt;=0,"Sin stock: pedir ya","Pedir o producir")))</f>
        <v/>
      </c>
      <c r="K1053" s="17" t="n"/>
      <c r="L1053" s="17" t="n"/>
      <c r="M1053" s="21">
        <f>IF(OR($A1053="",$A1053&lt;&gt;'Lista para pedir'!$C$3,N($I1053)&lt;=0),"",COUNTIFS($A$2:$A1053,$A1053,$I$2:$I1053,"&gt;0"))</f>
        <v/>
      </c>
    </row>
    <row r="1054">
      <c r="A1054" s="20" t="n"/>
      <c r="B1054" s="21">
        <f>IF($A1054="","",CHOOSE(WEEKDAY($A1054,2),"Lunes","Martes","Miércoles","Jueves","Viernes","Sábado","Domingo"))</f>
        <v/>
      </c>
      <c r="C1054" s="17" t="n"/>
      <c r="D1054" s="21">
        <f>IF($C1054="","",IFERROR(INDEX(Insumos!$B$2:$B$151,MATCH($C1054,Insumos!$A$2:$A$151,0)),"Código no cargado"))</f>
        <v/>
      </c>
      <c r="E1054" s="21">
        <f>IF($C1054="","",IFERROR(INDEX(Insumos!$C$2:$C$151,MATCH($C1054,Insumos!$A$2:$A$151,0)),""))</f>
        <v/>
      </c>
      <c r="F1054" s="21">
        <f>IF($C1054="","",IFERROR(INDEX(Insumos!$D$2:$D$151,MATCH($C1054,Insumos!$A$2:$A$151,0)),""))</f>
        <v/>
      </c>
      <c r="G1054" s="18" t="n"/>
      <c r="H1054" s="19">
        <f>IF(OR($A1054="",$C1054=""),"",IFERROR(INDEX(Insumos!$M$2:$S$151,MATCH($C1054,Insumos!$A$2:$A$151,0),WEEKDAY($A1054,2)),""))</f>
        <v/>
      </c>
      <c r="I1054" s="19">
        <f>IF(OR($G1054="",$H1054=""),"",MAX(0,$H1054-$G1054))</f>
        <v/>
      </c>
      <c r="J1054" s="21">
        <f>IF($I1054="","",IF($I1054=0,"OK",IF($G1054&lt;=0,"Sin stock: pedir ya","Pedir o producir")))</f>
        <v/>
      </c>
      <c r="K1054" s="17" t="n"/>
      <c r="L1054" s="17" t="n"/>
      <c r="M1054" s="21">
        <f>IF(OR($A1054="",$A1054&lt;&gt;'Lista para pedir'!$C$3,N($I1054)&lt;=0),"",COUNTIFS($A$2:$A1054,$A1054,$I$2:$I1054,"&gt;0"))</f>
        <v/>
      </c>
    </row>
    <row r="1055">
      <c r="A1055" s="20" t="n"/>
      <c r="B1055" s="21">
        <f>IF($A1055="","",CHOOSE(WEEKDAY($A1055,2),"Lunes","Martes","Miércoles","Jueves","Viernes","Sábado","Domingo"))</f>
        <v/>
      </c>
      <c r="C1055" s="17" t="n"/>
      <c r="D1055" s="21">
        <f>IF($C1055="","",IFERROR(INDEX(Insumos!$B$2:$B$151,MATCH($C1055,Insumos!$A$2:$A$151,0)),"Código no cargado"))</f>
        <v/>
      </c>
      <c r="E1055" s="21">
        <f>IF($C1055="","",IFERROR(INDEX(Insumos!$C$2:$C$151,MATCH($C1055,Insumos!$A$2:$A$151,0)),""))</f>
        <v/>
      </c>
      <c r="F1055" s="21">
        <f>IF($C1055="","",IFERROR(INDEX(Insumos!$D$2:$D$151,MATCH($C1055,Insumos!$A$2:$A$151,0)),""))</f>
        <v/>
      </c>
      <c r="G1055" s="18" t="n"/>
      <c r="H1055" s="19">
        <f>IF(OR($A1055="",$C1055=""),"",IFERROR(INDEX(Insumos!$M$2:$S$151,MATCH($C1055,Insumos!$A$2:$A$151,0),WEEKDAY($A1055,2)),""))</f>
        <v/>
      </c>
      <c r="I1055" s="19">
        <f>IF(OR($G1055="",$H1055=""),"",MAX(0,$H1055-$G1055))</f>
        <v/>
      </c>
      <c r="J1055" s="21">
        <f>IF($I1055="","",IF($I1055=0,"OK",IF($G1055&lt;=0,"Sin stock: pedir ya","Pedir o producir")))</f>
        <v/>
      </c>
      <c r="K1055" s="17" t="n"/>
      <c r="L1055" s="17" t="n"/>
      <c r="M1055" s="21">
        <f>IF(OR($A1055="",$A1055&lt;&gt;'Lista para pedir'!$C$3,N($I1055)&lt;=0),"",COUNTIFS($A$2:$A1055,$A1055,$I$2:$I1055,"&gt;0"))</f>
        <v/>
      </c>
    </row>
    <row r="1056">
      <c r="A1056" s="20" t="n"/>
      <c r="B1056" s="21">
        <f>IF($A1056="","",CHOOSE(WEEKDAY($A1056,2),"Lunes","Martes","Miércoles","Jueves","Viernes","Sábado","Domingo"))</f>
        <v/>
      </c>
      <c r="C1056" s="17" t="n"/>
      <c r="D1056" s="21">
        <f>IF($C1056="","",IFERROR(INDEX(Insumos!$B$2:$B$151,MATCH($C1056,Insumos!$A$2:$A$151,0)),"Código no cargado"))</f>
        <v/>
      </c>
      <c r="E1056" s="21">
        <f>IF($C1056="","",IFERROR(INDEX(Insumos!$C$2:$C$151,MATCH($C1056,Insumos!$A$2:$A$151,0)),""))</f>
        <v/>
      </c>
      <c r="F1056" s="21">
        <f>IF($C1056="","",IFERROR(INDEX(Insumos!$D$2:$D$151,MATCH($C1056,Insumos!$A$2:$A$151,0)),""))</f>
        <v/>
      </c>
      <c r="G1056" s="18" t="n"/>
      <c r="H1056" s="19">
        <f>IF(OR($A1056="",$C1056=""),"",IFERROR(INDEX(Insumos!$M$2:$S$151,MATCH($C1056,Insumos!$A$2:$A$151,0),WEEKDAY($A1056,2)),""))</f>
        <v/>
      </c>
      <c r="I1056" s="19">
        <f>IF(OR($G1056="",$H1056=""),"",MAX(0,$H1056-$G1056))</f>
        <v/>
      </c>
      <c r="J1056" s="21">
        <f>IF($I1056="","",IF($I1056=0,"OK",IF($G1056&lt;=0,"Sin stock: pedir ya","Pedir o producir")))</f>
        <v/>
      </c>
      <c r="K1056" s="17" t="n"/>
      <c r="L1056" s="17" t="n"/>
      <c r="M1056" s="21">
        <f>IF(OR($A1056="",$A1056&lt;&gt;'Lista para pedir'!$C$3,N($I1056)&lt;=0),"",COUNTIFS($A$2:$A1056,$A1056,$I$2:$I1056,"&gt;0"))</f>
        <v/>
      </c>
    </row>
    <row r="1057">
      <c r="A1057" s="20" t="n"/>
      <c r="B1057" s="21">
        <f>IF($A1057="","",CHOOSE(WEEKDAY($A1057,2),"Lunes","Martes","Miércoles","Jueves","Viernes","Sábado","Domingo"))</f>
        <v/>
      </c>
      <c r="C1057" s="17" t="n"/>
      <c r="D1057" s="21">
        <f>IF($C1057="","",IFERROR(INDEX(Insumos!$B$2:$B$151,MATCH($C1057,Insumos!$A$2:$A$151,0)),"Código no cargado"))</f>
        <v/>
      </c>
      <c r="E1057" s="21">
        <f>IF($C1057="","",IFERROR(INDEX(Insumos!$C$2:$C$151,MATCH($C1057,Insumos!$A$2:$A$151,0)),""))</f>
        <v/>
      </c>
      <c r="F1057" s="21">
        <f>IF($C1057="","",IFERROR(INDEX(Insumos!$D$2:$D$151,MATCH($C1057,Insumos!$A$2:$A$151,0)),""))</f>
        <v/>
      </c>
      <c r="G1057" s="18" t="n"/>
      <c r="H1057" s="19">
        <f>IF(OR($A1057="",$C1057=""),"",IFERROR(INDEX(Insumos!$M$2:$S$151,MATCH($C1057,Insumos!$A$2:$A$151,0),WEEKDAY($A1057,2)),""))</f>
        <v/>
      </c>
      <c r="I1057" s="19">
        <f>IF(OR($G1057="",$H1057=""),"",MAX(0,$H1057-$G1057))</f>
        <v/>
      </c>
      <c r="J1057" s="21">
        <f>IF($I1057="","",IF($I1057=0,"OK",IF($G1057&lt;=0,"Sin stock: pedir ya","Pedir o producir")))</f>
        <v/>
      </c>
      <c r="K1057" s="17" t="n"/>
      <c r="L1057" s="17" t="n"/>
      <c r="M1057" s="21">
        <f>IF(OR($A1057="",$A1057&lt;&gt;'Lista para pedir'!$C$3,N($I1057)&lt;=0),"",COUNTIFS($A$2:$A1057,$A1057,$I$2:$I1057,"&gt;0"))</f>
        <v/>
      </c>
    </row>
    <row r="1058">
      <c r="A1058" s="20" t="n"/>
      <c r="B1058" s="21">
        <f>IF($A1058="","",CHOOSE(WEEKDAY($A1058,2),"Lunes","Martes","Miércoles","Jueves","Viernes","Sábado","Domingo"))</f>
        <v/>
      </c>
      <c r="C1058" s="17" t="n"/>
      <c r="D1058" s="21">
        <f>IF($C1058="","",IFERROR(INDEX(Insumos!$B$2:$B$151,MATCH($C1058,Insumos!$A$2:$A$151,0)),"Código no cargado"))</f>
        <v/>
      </c>
      <c r="E1058" s="21">
        <f>IF($C1058="","",IFERROR(INDEX(Insumos!$C$2:$C$151,MATCH($C1058,Insumos!$A$2:$A$151,0)),""))</f>
        <v/>
      </c>
      <c r="F1058" s="21">
        <f>IF($C1058="","",IFERROR(INDEX(Insumos!$D$2:$D$151,MATCH($C1058,Insumos!$A$2:$A$151,0)),""))</f>
        <v/>
      </c>
      <c r="G1058" s="18" t="n"/>
      <c r="H1058" s="19">
        <f>IF(OR($A1058="",$C1058=""),"",IFERROR(INDEX(Insumos!$M$2:$S$151,MATCH($C1058,Insumos!$A$2:$A$151,0),WEEKDAY($A1058,2)),""))</f>
        <v/>
      </c>
      <c r="I1058" s="19">
        <f>IF(OR($G1058="",$H1058=""),"",MAX(0,$H1058-$G1058))</f>
        <v/>
      </c>
      <c r="J1058" s="21">
        <f>IF($I1058="","",IF($I1058=0,"OK",IF($G1058&lt;=0,"Sin stock: pedir ya","Pedir o producir")))</f>
        <v/>
      </c>
      <c r="K1058" s="17" t="n"/>
      <c r="L1058" s="17" t="n"/>
      <c r="M1058" s="21">
        <f>IF(OR($A1058="",$A1058&lt;&gt;'Lista para pedir'!$C$3,N($I1058)&lt;=0),"",COUNTIFS($A$2:$A1058,$A1058,$I$2:$I1058,"&gt;0"))</f>
        <v/>
      </c>
    </row>
    <row r="1059">
      <c r="A1059" s="20" t="n"/>
      <c r="B1059" s="21">
        <f>IF($A1059="","",CHOOSE(WEEKDAY($A1059,2),"Lunes","Martes","Miércoles","Jueves","Viernes","Sábado","Domingo"))</f>
        <v/>
      </c>
      <c r="C1059" s="17" t="n"/>
      <c r="D1059" s="21">
        <f>IF($C1059="","",IFERROR(INDEX(Insumos!$B$2:$B$151,MATCH($C1059,Insumos!$A$2:$A$151,0)),"Código no cargado"))</f>
        <v/>
      </c>
      <c r="E1059" s="21">
        <f>IF($C1059="","",IFERROR(INDEX(Insumos!$C$2:$C$151,MATCH($C1059,Insumos!$A$2:$A$151,0)),""))</f>
        <v/>
      </c>
      <c r="F1059" s="21">
        <f>IF($C1059="","",IFERROR(INDEX(Insumos!$D$2:$D$151,MATCH($C1059,Insumos!$A$2:$A$151,0)),""))</f>
        <v/>
      </c>
      <c r="G1059" s="18" t="n"/>
      <c r="H1059" s="19">
        <f>IF(OR($A1059="",$C1059=""),"",IFERROR(INDEX(Insumos!$M$2:$S$151,MATCH($C1059,Insumos!$A$2:$A$151,0),WEEKDAY($A1059,2)),""))</f>
        <v/>
      </c>
      <c r="I1059" s="19">
        <f>IF(OR($G1059="",$H1059=""),"",MAX(0,$H1059-$G1059))</f>
        <v/>
      </c>
      <c r="J1059" s="21">
        <f>IF($I1059="","",IF($I1059=0,"OK",IF($G1059&lt;=0,"Sin stock: pedir ya","Pedir o producir")))</f>
        <v/>
      </c>
      <c r="K1059" s="17" t="n"/>
      <c r="L1059" s="17" t="n"/>
      <c r="M1059" s="21">
        <f>IF(OR($A1059="",$A1059&lt;&gt;'Lista para pedir'!$C$3,N($I1059)&lt;=0),"",COUNTIFS($A$2:$A1059,$A1059,$I$2:$I1059,"&gt;0"))</f>
        <v/>
      </c>
    </row>
    <row r="1060">
      <c r="A1060" s="20" t="n"/>
      <c r="B1060" s="21">
        <f>IF($A1060="","",CHOOSE(WEEKDAY($A1060,2),"Lunes","Martes","Miércoles","Jueves","Viernes","Sábado","Domingo"))</f>
        <v/>
      </c>
      <c r="C1060" s="17" t="n"/>
      <c r="D1060" s="21">
        <f>IF($C1060="","",IFERROR(INDEX(Insumos!$B$2:$B$151,MATCH($C1060,Insumos!$A$2:$A$151,0)),"Código no cargado"))</f>
        <v/>
      </c>
      <c r="E1060" s="21">
        <f>IF($C1060="","",IFERROR(INDEX(Insumos!$C$2:$C$151,MATCH($C1060,Insumos!$A$2:$A$151,0)),""))</f>
        <v/>
      </c>
      <c r="F1060" s="21">
        <f>IF($C1060="","",IFERROR(INDEX(Insumos!$D$2:$D$151,MATCH($C1060,Insumos!$A$2:$A$151,0)),""))</f>
        <v/>
      </c>
      <c r="G1060" s="18" t="n"/>
      <c r="H1060" s="19">
        <f>IF(OR($A1060="",$C1060=""),"",IFERROR(INDEX(Insumos!$M$2:$S$151,MATCH($C1060,Insumos!$A$2:$A$151,0),WEEKDAY($A1060,2)),""))</f>
        <v/>
      </c>
      <c r="I1060" s="19">
        <f>IF(OR($G1060="",$H1060=""),"",MAX(0,$H1060-$G1060))</f>
        <v/>
      </c>
      <c r="J1060" s="21">
        <f>IF($I1060="","",IF($I1060=0,"OK",IF($G1060&lt;=0,"Sin stock: pedir ya","Pedir o producir")))</f>
        <v/>
      </c>
      <c r="K1060" s="17" t="n"/>
      <c r="L1060" s="17" t="n"/>
      <c r="M1060" s="21">
        <f>IF(OR($A1060="",$A1060&lt;&gt;'Lista para pedir'!$C$3,N($I1060)&lt;=0),"",COUNTIFS($A$2:$A1060,$A1060,$I$2:$I1060,"&gt;0"))</f>
        <v/>
      </c>
    </row>
    <row r="1061">
      <c r="A1061" s="20" t="n"/>
      <c r="B1061" s="21">
        <f>IF($A1061="","",CHOOSE(WEEKDAY($A1061,2),"Lunes","Martes","Miércoles","Jueves","Viernes","Sábado","Domingo"))</f>
        <v/>
      </c>
      <c r="C1061" s="17" t="n"/>
      <c r="D1061" s="21">
        <f>IF($C1061="","",IFERROR(INDEX(Insumos!$B$2:$B$151,MATCH($C1061,Insumos!$A$2:$A$151,0)),"Código no cargado"))</f>
        <v/>
      </c>
      <c r="E1061" s="21">
        <f>IF($C1061="","",IFERROR(INDEX(Insumos!$C$2:$C$151,MATCH($C1061,Insumos!$A$2:$A$151,0)),""))</f>
        <v/>
      </c>
      <c r="F1061" s="21">
        <f>IF($C1061="","",IFERROR(INDEX(Insumos!$D$2:$D$151,MATCH($C1061,Insumos!$A$2:$A$151,0)),""))</f>
        <v/>
      </c>
      <c r="G1061" s="18" t="n"/>
      <c r="H1061" s="19">
        <f>IF(OR($A1061="",$C1061=""),"",IFERROR(INDEX(Insumos!$M$2:$S$151,MATCH($C1061,Insumos!$A$2:$A$151,0),WEEKDAY($A1061,2)),""))</f>
        <v/>
      </c>
      <c r="I1061" s="19">
        <f>IF(OR($G1061="",$H1061=""),"",MAX(0,$H1061-$G1061))</f>
        <v/>
      </c>
      <c r="J1061" s="21">
        <f>IF($I1061="","",IF($I1061=0,"OK",IF($G1061&lt;=0,"Sin stock: pedir ya","Pedir o producir")))</f>
        <v/>
      </c>
      <c r="K1061" s="17" t="n"/>
      <c r="L1061" s="17" t="n"/>
      <c r="M1061" s="21">
        <f>IF(OR($A1061="",$A1061&lt;&gt;'Lista para pedir'!$C$3,N($I1061)&lt;=0),"",COUNTIFS($A$2:$A1061,$A1061,$I$2:$I1061,"&gt;0"))</f>
        <v/>
      </c>
    </row>
    <row r="1062">
      <c r="A1062" s="20" t="n"/>
      <c r="B1062" s="21">
        <f>IF($A1062="","",CHOOSE(WEEKDAY($A1062,2),"Lunes","Martes","Miércoles","Jueves","Viernes","Sábado","Domingo"))</f>
        <v/>
      </c>
      <c r="C1062" s="17" t="n"/>
      <c r="D1062" s="21">
        <f>IF($C1062="","",IFERROR(INDEX(Insumos!$B$2:$B$151,MATCH($C1062,Insumos!$A$2:$A$151,0)),"Código no cargado"))</f>
        <v/>
      </c>
      <c r="E1062" s="21">
        <f>IF($C1062="","",IFERROR(INDEX(Insumos!$C$2:$C$151,MATCH($C1062,Insumos!$A$2:$A$151,0)),""))</f>
        <v/>
      </c>
      <c r="F1062" s="21">
        <f>IF($C1062="","",IFERROR(INDEX(Insumos!$D$2:$D$151,MATCH($C1062,Insumos!$A$2:$A$151,0)),""))</f>
        <v/>
      </c>
      <c r="G1062" s="18" t="n"/>
      <c r="H1062" s="19">
        <f>IF(OR($A1062="",$C1062=""),"",IFERROR(INDEX(Insumos!$M$2:$S$151,MATCH($C1062,Insumos!$A$2:$A$151,0),WEEKDAY($A1062,2)),""))</f>
        <v/>
      </c>
      <c r="I1062" s="19">
        <f>IF(OR($G1062="",$H1062=""),"",MAX(0,$H1062-$G1062))</f>
        <v/>
      </c>
      <c r="J1062" s="21">
        <f>IF($I1062="","",IF($I1062=0,"OK",IF($G1062&lt;=0,"Sin stock: pedir ya","Pedir o producir")))</f>
        <v/>
      </c>
      <c r="K1062" s="17" t="n"/>
      <c r="L1062" s="17" t="n"/>
      <c r="M1062" s="21">
        <f>IF(OR($A1062="",$A1062&lt;&gt;'Lista para pedir'!$C$3,N($I1062)&lt;=0),"",COUNTIFS($A$2:$A1062,$A1062,$I$2:$I1062,"&gt;0"))</f>
        <v/>
      </c>
    </row>
    <row r="1063">
      <c r="A1063" s="20" t="n"/>
      <c r="B1063" s="21">
        <f>IF($A1063="","",CHOOSE(WEEKDAY($A1063,2),"Lunes","Martes","Miércoles","Jueves","Viernes","Sábado","Domingo"))</f>
        <v/>
      </c>
      <c r="C1063" s="17" t="n"/>
      <c r="D1063" s="21">
        <f>IF($C1063="","",IFERROR(INDEX(Insumos!$B$2:$B$151,MATCH($C1063,Insumos!$A$2:$A$151,0)),"Código no cargado"))</f>
        <v/>
      </c>
      <c r="E1063" s="21">
        <f>IF($C1063="","",IFERROR(INDEX(Insumos!$C$2:$C$151,MATCH($C1063,Insumos!$A$2:$A$151,0)),""))</f>
        <v/>
      </c>
      <c r="F1063" s="21">
        <f>IF($C1063="","",IFERROR(INDEX(Insumos!$D$2:$D$151,MATCH($C1063,Insumos!$A$2:$A$151,0)),""))</f>
        <v/>
      </c>
      <c r="G1063" s="18" t="n"/>
      <c r="H1063" s="19">
        <f>IF(OR($A1063="",$C1063=""),"",IFERROR(INDEX(Insumos!$M$2:$S$151,MATCH($C1063,Insumos!$A$2:$A$151,0),WEEKDAY($A1063,2)),""))</f>
        <v/>
      </c>
      <c r="I1063" s="19">
        <f>IF(OR($G1063="",$H1063=""),"",MAX(0,$H1063-$G1063))</f>
        <v/>
      </c>
      <c r="J1063" s="21">
        <f>IF($I1063="","",IF($I1063=0,"OK",IF($G1063&lt;=0,"Sin stock: pedir ya","Pedir o producir")))</f>
        <v/>
      </c>
      <c r="K1063" s="17" t="n"/>
      <c r="L1063" s="17" t="n"/>
      <c r="M1063" s="21">
        <f>IF(OR($A1063="",$A1063&lt;&gt;'Lista para pedir'!$C$3,N($I1063)&lt;=0),"",COUNTIFS($A$2:$A1063,$A1063,$I$2:$I1063,"&gt;0"))</f>
        <v/>
      </c>
    </row>
    <row r="1064">
      <c r="A1064" s="20" t="n"/>
      <c r="B1064" s="21">
        <f>IF($A1064="","",CHOOSE(WEEKDAY($A1064,2),"Lunes","Martes","Miércoles","Jueves","Viernes","Sábado","Domingo"))</f>
        <v/>
      </c>
      <c r="C1064" s="17" t="n"/>
      <c r="D1064" s="21">
        <f>IF($C1064="","",IFERROR(INDEX(Insumos!$B$2:$B$151,MATCH($C1064,Insumos!$A$2:$A$151,0)),"Código no cargado"))</f>
        <v/>
      </c>
      <c r="E1064" s="21">
        <f>IF($C1064="","",IFERROR(INDEX(Insumos!$C$2:$C$151,MATCH($C1064,Insumos!$A$2:$A$151,0)),""))</f>
        <v/>
      </c>
      <c r="F1064" s="21">
        <f>IF($C1064="","",IFERROR(INDEX(Insumos!$D$2:$D$151,MATCH($C1064,Insumos!$A$2:$A$151,0)),""))</f>
        <v/>
      </c>
      <c r="G1064" s="18" t="n"/>
      <c r="H1064" s="19">
        <f>IF(OR($A1064="",$C1064=""),"",IFERROR(INDEX(Insumos!$M$2:$S$151,MATCH($C1064,Insumos!$A$2:$A$151,0),WEEKDAY($A1064,2)),""))</f>
        <v/>
      </c>
      <c r="I1064" s="19">
        <f>IF(OR($G1064="",$H1064=""),"",MAX(0,$H1064-$G1064))</f>
        <v/>
      </c>
      <c r="J1064" s="21">
        <f>IF($I1064="","",IF($I1064=0,"OK",IF($G1064&lt;=0,"Sin stock: pedir ya","Pedir o producir")))</f>
        <v/>
      </c>
      <c r="K1064" s="17" t="n"/>
      <c r="L1064" s="17" t="n"/>
      <c r="M1064" s="21">
        <f>IF(OR($A1064="",$A1064&lt;&gt;'Lista para pedir'!$C$3,N($I1064)&lt;=0),"",COUNTIFS($A$2:$A1064,$A1064,$I$2:$I1064,"&gt;0"))</f>
        <v/>
      </c>
    </row>
    <row r="1065">
      <c r="A1065" s="20" t="n"/>
      <c r="B1065" s="21">
        <f>IF($A1065="","",CHOOSE(WEEKDAY($A1065,2),"Lunes","Martes","Miércoles","Jueves","Viernes","Sábado","Domingo"))</f>
        <v/>
      </c>
      <c r="C1065" s="17" t="n"/>
      <c r="D1065" s="21">
        <f>IF($C1065="","",IFERROR(INDEX(Insumos!$B$2:$B$151,MATCH($C1065,Insumos!$A$2:$A$151,0)),"Código no cargado"))</f>
        <v/>
      </c>
      <c r="E1065" s="21">
        <f>IF($C1065="","",IFERROR(INDEX(Insumos!$C$2:$C$151,MATCH($C1065,Insumos!$A$2:$A$151,0)),""))</f>
        <v/>
      </c>
      <c r="F1065" s="21">
        <f>IF($C1065="","",IFERROR(INDEX(Insumos!$D$2:$D$151,MATCH($C1065,Insumos!$A$2:$A$151,0)),""))</f>
        <v/>
      </c>
      <c r="G1065" s="18" t="n"/>
      <c r="H1065" s="19">
        <f>IF(OR($A1065="",$C1065=""),"",IFERROR(INDEX(Insumos!$M$2:$S$151,MATCH($C1065,Insumos!$A$2:$A$151,0),WEEKDAY($A1065,2)),""))</f>
        <v/>
      </c>
      <c r="I1065" s="19">
        <f>IF(OR($G1065="",$H1065=""),"",MAX(0,$H1065-$G1065))</f>
        <v/>
      </c>
      <c r="J1065" s="21">
        <f>IF($I1065="","",IF($I1065=0,"OK",IF($G1065&lt;=0,"Sin stock: pedir ya","Pedir o producir")))</f>
        <v/>
      </c>
      <c r="K1065" s="17" t="n"/>
      <c r="L1065" s="17" t="n"/>
      <c r="M1065" s="21">
        <f>IF(OR($A1065="",$A1065&lt;&gt;'Lista para pedir'!$C$3,N($I1065)&lt;=0),"",COUNTIFS($A$2:$A1065,$A1065,$I$2:$I1065,"&gt;0"))</f>
        <v/>
      </c>
    </row>
    <row r="1066">
      <c r="A1066" s="20" t="n"/>
      <c r="B1066" s="21">
        <f>IF($A1066="","",CHOOSE(WEEKDAY($A1066,2),"Lunes","Martes","Miércoles","Jueves","Viernes","Sábado","Domingo"))</f>
        <v/>
      </c>
      <c r="C1066" s="17" t="n"/>
      <c r="D1066" s="21">
        <f>IF($C1066="","",IFERROR(INDEX(Insumos!$B$2:$B$151,MATCH($C1066,Insumos!$A$2:$A$151,0)),"Código no cargado"))</f>
        <v/>
      </c>
      <c r="E1066" s="21">
        <f>IF($C1066="","",IFERROR(INDEX(Insumos!$C$2:$C$151,MATCH($C1066,Insumos!$A$2:$A$151,0)),""))</f>
        <v/>
      </c>
      <c r="F1066" s="21">
        <f>IF($C1066="","",IFERROR(INDEX(Insumos!$D$2:$D$151,MATCH($C1066,Insumos!$A$2:$A$151,0)),""))</f>
        <v/>
      </c>
      <c r="G1066" s="18" t="n"/>
      <c r="H1066" s="19">
        <f>IF(OR($A1066="",$C1066=""),"",IFERROR(INDEX(Insumos!$M$2:$S$151,MATCH($C1066,Insumos!$A$2:$A$151,0),WEEKDAY($A1066,2)),""))</f>
        <v/>
      </c>
      <c r="I1066" s="19">
        <f>IF(OR($G1066="",$H1066=""),"",MAX(0,$H1066-$G1066))</f>
        <v/>
      </c>
      <c r="J1066" s="21">
        <f>IF($I1066="","",IF($I1066=0,"OK",IF($G1066&lt;=0,"Sin stock: pedir ya","Pedir o producir")))</f>
        <v/>
      </c>
      <c r="K1066" s="17" t="n"/>
      <c r="L1066" s="17" t="n"/>
      <c r="M1066" s="21">
        <f>IF(OR($A1066="",$A1066&lt;&gt;'Lista para pedir'!$C$3,N($I1066)&lt;=0),"",COUNTIFS($A$2:$A1066,$A1066,$I$2:$I1066,"&gt;0"))</f>
        <v/>
      </c>
    </row>
    <row r="1067">
      <c r="A1067" s="20" t="n"/>
      <c r="B1067" s="21">
        <f>IF($A1067="","",CHOOSE(WEEKDAY($A1067,2),"Lunes","Martes","Miércoles","Jueves","Viernes","Sábado","Domingo"))</f>
        <v/>
      </c>
      <c r="C1067" s="17" t="n"/>
      <c r="D1067" s="21">
        <f>IF($C1067="","",IFERROR(INDEX(Insumos!$B$2:$B$151,MATCH($C1067,Insumos!$A$2:$A$151,0)),"Código no cargado"))</f>
        <v/>
      </c>
      <c r="E1067" s="21">
        <f>IF($C1067="","",IFERROR(INDEX(Insumos!$C$2:$C$151,MATCH($C1067,Insumos!$A$2:$A$151,0)),""))</f>
        <v/>
      </c>
      <c r="F1067" s="21">
        <f>IF($C1067="","",IFERROR(INDEX(Insumos!$D$2:$D$151,MATCH($C1067,Insumos!$A$2:$A$151,0)),""))</f>
        <v/>
      </c>
      <c r="G1067" s="18" t="n"/>
      <c r="H1067" s="19">
        <f>IF(OR($A1067="",$C1067=""),"",IFERROR(INDEX(Insumos!$M$2:$S$151,MATCH($C1067,Insumos!$A$2:$A$151,0),WEEKDAY($A1067,2)),""))</f>
        <v/>
      </c>
      <c r="I1067" s="19">
        <f>IF(OR($G1067="",$H1067=""),"",MAX(0,$H1067-$G1067))</f>
        <v/>
      </c>
      <c r="J1067" s="21">
        <f>IF($I1067="","",IF($I1067=0,"OK",IF($G1067&lt;=0,"Sin stock: pedir ya","Pedir o producir")))</f>
        <v/>
      </c>
      <c r="K1067" s="17" t="n"/>
      <c r="L1067" s="17" t="n"/>
      <c r="M1067" s="21">
        <f>IF(OR($A1067="",$A1067&lt;&gt;'Lista para pedir'!$C$3,N($I1067)&lt;=0),"",COUNTIFS($A$2:$A1067,$A1067,$I$2:$I1067,"&gt;0"))</f>
        <v/>
      </c>
    </row>
    <row r="1068">
      <c r="A1068" s="20" t="n"/>
      <c r="B1068" s="21">
        <f>IF($A1068="","",CHOOSE(WEEKDAY($A1068,2),"Lunes","Martes","Miércoles","Jueves","Viernes","Sábado","Domingo"))</f>
        <v/>
      </c>
      <c r="C1068" s="17" t="n"/>
      <c r="D1068" s="21">
        <f>IF($C1068="","",IFERROR(INDEX(Insumos!$B$2:$B$151,MATCH($C1068,Insumos!$A$2:$A$151,0)),"Código no cargado"))</f>
        <v/>
      </c>
      <c r="E1068" s="21">
        <f>IF($C1068="","",IFERROR(INDEX(Insumos!$C$2:$C$151,MATCH($C1068,Insumos!$A$2:$A$151,0)),""))</f>
        <v/>
      </c>
      <c r="F1068" s="21">
        <f>IF($C1068="","",IFERROR(INDEX(Insumos!$D$2:$D$151,MATCH($C1068,Insumos!$A$2:$A$151,0)),""))</f>
        <v/>
      </c>
      <c r="G1068" s="18" t="n"/>
      <c r="H1068" s="19">
        <f>IF(OR($A1068="",$C1068=""),"",IFERROR(INDEX(Insumos!$M$2:$S$151,MATCH($C1068,Insumos!$A$2:$A$151,0),WEEKDAY($A1068,2)),""))</f>
        <v/>
      </c>
      <c r="I1068" s="19">
        <f>IF(OR($G1068="",$H1068=""),"",MAX(0,$H1068-$G1068))</f>
        <v/>
      </c>
      <c r="J1068" s="21">
        <f>IF($I1068="","",IF($I1068=0,"OK",IF($G1068&lt;=0,"Sin stock: pedir ya","Pedir o producir")))</f>
        <v/>
      </c>
      <c r="K1068" s="17" t="n"/>
      <c r="L1068" s="17" t="n"/>
      <c r="M1068" s="21">
        <f>IF(OR($A1068="",$A1068&lt;&gt;'Lista para pedir'!$C$3,N($I1068)&lt;=0),"",COUNTIFS($A$2:$A1068,$A1068,$I$2:$I1068,"&gt;0"))</f>
        <v/>
      </c>
    </row>
    <row r="1069">
      <c r="A1069" s="20" t="n"/>
      <c r="B1069" s="21">
        <f>IF($A1069="","",CHOOSE(WEEKDAY($A1069,2),"Lunes","Martes","Miércoles","Jueves","Viernes","Sábado","Domingo"))</f>
        <v/>
      </c>
      <c r="C1069" s="17" t="n"/>
      <c r="D1069" s="21">
        <f>IF($C1069="","",IFERROR(INDEX(Insumos!$B$2:$B$151,MATCH($C1069,Insumos!$A$2:$A$151,0)),"Código no cargado"))</f>
        <v/>
      </c>
      <c r="E1069" s="21">
        <f>IF($C1069="","",IFERROR(INDEX(Insumos!$C$2:$C$151,MATCH($C1069,Insumos!$A$2:$A$151,0)),""))</f>
        <v/>
      </c>
      <c r="F1069" s="21">
        <f>IF($C1069="","",IFERROR(INDEX(Insumos!$D$2:$D$151,MATCH($C1069,Insumos!$A$2:$A$151,0)),""))</f>
        <v/>
      </c>
      <c r="G1069" s="18" t="n"/>
      <c r="H1069" s="19">
        <f>IF(OR($A1069="",$C1069=""),"",IFERROR(INDEX(Insumos!$M$2:$S$151,MATCH($C1069,Insumos!$A$2:$A$151,0),WEEKDAY($A1069,2)),""))</f>
        <v/>
      </c>
      <c r="I1069" s="19">
        <f>IF(OR($G1069="",$H1069=""),"",MAX(0,$H1069-$G1069))</f>
        <v/>
      </c>
      <c r="J1069" s="21">
        <f>IF($I1069="","",IF($I1069=0,"OK",IF($G1069&lt;=0,"Sin stock: pedir ya","Pedir o producir")))</f>
        <v/>
      </c>
      <c r="K1069" s="17" t="n"/>
      <c r="L1069" s="17" t="n"/>
      <c r="M1069" s="21">
        <f>IF(OR($A1069="",$A1069&lt;&gt;'Lista para pedir'!$C$3,N($I1069)&lt;=0),"",COUNTIFS($A$2:$A1069,$A1069,$I$2:$I1069,"&gt;0"))</f>
        <v/>
      </c>
    </row>
    <row r="1070">
      <c r="A1070" s="20" t="n"/>
      <c r="B1070" s="21">
        <f>IF($A1070="","",CHOOSE(WEEKDAY($A1070,2),"Lunes","Martes","Miércoles","Jueves","Viernes","Sábado","Domingo"))</f>
        <v/>
      </c>
      <c r="C1070" s="17" t="n"/>
      <c r="D1070" s="21">
        <f>IF($C1070="","",IFERROR(INDEX(Insumos!$B$2:$B$151,MATCH($C1070,Insumos!$A$2:$A$151,0)),"Código no cargado"))</f>
        <v/>
      </c>
      <c r="E1070" s="21">
        <f>IF($C1070="","",IFERROR(INDEX(Insumos!$C$2:$C$151,MATCH($C1070,Insumos!$A$2:$A$151,0)),""))</f>
        <v/>
      </c>
      <c r="F1070" s="21">
        <f>IF($C1070="","",IFERROR(INDEX(Insumos!$D$2:$D$151,MATCH($C1070,Insumos!$A$2:$A$151,0)),""))</f>
        <v/>
      </c>
      <c r="G1070" s="18" t="n"/>
      <c r="H1070" s="19">
        <f>IF(OR($A1070="",$C1070=""),"",IFERROR(INDEX(Insumos!$M$2:$S$151,MATCH($C1070,Insumos!$A$2:$A$151,0),WEEKDAY($A1070,2)),""))</f>
        <v/>
      </c>
      <c r="I1070" s="19">
        <f>IF(OR($G1070="",$H1070=""),"",MAX(0,$H1070-$G1070))</f>
        <v/>
      </c>
      <c r="J1070" s="21">
        <f>IF($I1070="","",IF($I1070=0,"OK",IF($G1070&lt;=0,"Sin stock: pedir ya","Pedir o producir")))</f>
        <v/>
      </c>
      <c r="K1070" s="17" t="n"/>
      <c r="L1070" s="17" t="n"/>
      <c r="M1070" s="21">
        <f>IF(OR($A1070="",$A1070&lt;&gt;'Lista para pedir'!$C$3,N($I1070)&lt;=0),"",COUNTIFS($A$2:$A1070,$A1070,$I$2:$I1070,"&gt;0"))</f>
        <v/>
      </c>
    </row>
    <row r="1071">
      <c r="A1071" s="20" t="n"/>
      <c r="B1071" s="21">
        <f>IF($A1071="","",CHOOSE(WEEKDAY($A1071,2),"Lunes","Martes","Miércoles","Jueves","Viernes","Sábado","Domingo"))</f>
        <v/>
      </c>
      <c r="C1071" s="17" t="n"/>
      <c r="D1071" s="21">
        <f>IF($C1071="","",IFERROR(INDEX(Insumos!$B$2:$B$151,MATCH($C1071,Insumos!$A$2:$A$151,0)),"Código no cargado"))</f>
        <v/>
      </c>
      <c r="E1071" s="21">
        <f>IF($C1071="","",IFERROR(INDEX(Insumos!$C$2:$C$151,MATCH($C1071,Insumos!$A$2:$A$151,0)),""))</f>
        <v/>
      </c>
      <c r="F1071" s="21">
        <f>IF($C1071="","",IFERROR(INDEX(Insumos!$D$2:$D$151,MATCH($C1071,Insumos!$A$2:$A$151,0)),""))</f>
        <v/>
      </c>
      <c r="G1071" s="18" t="n"/>
      <c r="H1071" s="19">
        <f>IF(OR($A1071="",$C1071=""),"",IFERROR(INDEX(Insumos!$M$2:$S$151,MATCH($C1071,Insumos!$A$2:$A$151,0),WEEKDAY($A1071,2)),""))</f>
        <v/>
      </c>
      <c r="I1071" s="19">
        <f>IF(OR($G1071="",$H1071=""),"",MAX(0,$H1071-$G1071))</f>
        <v/>
      </c>
      <c r="J1071" s="21">
        <f>IF($I1071="","",IF($I1071=0,"OK",IF($G1071&lt;=0,"Sin stock: pedir ya","Pedir o producir")))</f>
        <v/>
      </c>
      <c r="K1071" s="17" t="n"/>
      <c r="L1071" s="17" t="n"/>
      <c r="M1071" s="21">
        <f>IF(OR($A1071="",$A1071&lt;&gt;'Lista para pedir'!$C$3,N($I1071)&lt;=0),"",COUNTIFS($A$2:$A1071,$A1071,$I$2:$I1071,"&gt;0"))</f>
        <v/>
      </c>
    </row>
    <row r="1072">
      <c r="A1072" s="20" t="n"/>
      <c r="B1072" s="21">
        <f>IF($A1072="","",CHOOSE(WEEKDAY($A1072,2),"Lunes","Martes","Miércoles","Jueves","Viernes","Sábado","Domingo"))</f>
        <v/>
      </c>
      <c r="C1072" s="17" t="n"/>
      <c r="D1072" s="21">
        <f>IF($C1072="","",IFERROR(INDEX(Insumos!$B$2:$B$151,MATCH($C1072,Insumos!$A$2:$A$151,0)),"Código no cargado"))</f>
        <v/>
      </c>
      <c r="E1072" s="21">
        <f>IF($C1072="","",IFERROR(INDEX(Insumos!$C$2:$C$151,MATCH($C1072,Insumos!$A$2:$A$151,0)),""))</f>
        <v/>
      </c>
      <c r="F1072" s="21">
        <f>IF($C1072="","",IFERROR(INDEX(Insumos!$D$2:$D$151,MATCH($C1072,Insumos!$A$2:$A$151,0)),""))</f>
        <v/>
      </c>
      <c r="G1072" s="18" t="n"/>
      <c r="H1072" s="19">
        <f>IF(OR($A1072="",$C1072=""),"",IFERROR(INDEX(Insumos!$M$2:$S$151,MATCH($C1072,Insumos!$A$2:$A$151,0),WEEKDAY($A1072,2)),""))</f>
        <v/>
      </c>
      <c r="I1072" s="19">
        <f>IF(OR($G1072="",$H1072=""),"",MAX(0,$H1072-$G1072))</f>
        <v/>
      </c>
      <c r="J1072" s="21">
        <f>IF($I1072="","",IF($I1072=0,"OK",IF($G1072&lt;=0,"Sin stock: pedir ya","Pedir o producir")))</f>
        <v/>
      </c>
      <c r="K1072" s="17" t="n"/>
      <c r="L1072" s="17" t="n"/>
      <c r="M1072" s="21">
        <f>IF(OR($A1072="",$A1072&lt;&gt;'Lista para pedir'!$C$3,N($I1072)&lt;=0),"",COUNTIFS($A$2:$A1072,$A1072,$I$2:$I1072,"&gt;0"))</f>
        <v/>
      </c>
    </row>
    <row r="1073">
      <c r="A1073" s="20" t="n"/>
      <c r="B1073" s="21">
        <f>IF($A1073="","",CHOOSE(WEEKDAY($A1073,2),"Lunes","Martes","Miércoles","Jueves","Viernes","Sábado","Domingo"))</f>
        <v/>
      </c>
      <c r="C1073" s="17" t="n"/>
      <c r="D1073" s="21">
        <f>IF($C1073="","",IFERROR(INDEX(Insumos!$B$2:$B$151,MATCH($C1073,Insumos!$A$2:$A$151,0)),"Código no cargado"))</f>
        <v/>
      </c>
      <c r="E1073" s="21">
        <f>IF($C1073="","",IFERROR(INDEX(Insumos!$C$2:$C$151,MATCH($C1073,Insumos!$A$2:$A$151,0)),""))</f>
        <v/>
      </c>
      <c r="F1073" s="21">
        <f>IF($C1073="","",IFERROR(INDEX(Insumos!$D$2:$D$151,MATCH($C1073,Insumos!$A$2:$A$151,0)),""))</f>
        <v/>
      </c>
      <c r="G1073" s="18" t="n"/>
      <c r="H1073" s="19">
        <f>IF(OR($A1073="",$C1073=""),"",IFERROR(INDEX(Insumos!$M$2:$S$151,MATCH($C1073,Insumos!$A$2:$A$151,0),WEEKDAY($A1073,2)),""))</f>
        <v/>
      </c>
      <c r="I1073" s="19">
        <f>IF(OR($G1073="",$H1073=""),"",MAX(0,$H1073-$G1073))</f>
        <v/>
      </c>
      <c r="J1073" s="21">
        <f>IF($I1073="","",IF($I1073=0,"OK",IF($G1073&lt;=0,"Sin stock: pedir ya","Pedir o producir")))</f>
        <v/>
      </c>
      <c r="K1073" s="17" t="n"/>
      <c r="L1073" s="17" t="n"/>
      <c r="M1073" s="21">
        <f>IF(OR($A1073="",$A1073&lt;&gt;'Lista para pedir'!$C$3,N($I1073)&lt;=0),"",COUNTIFS($A$2:$A1073,$A1073,$I$2:$I1073,"&gt;0"))</f>
        <v/>
      </c>
    </row>
    <row r="1074">
      <c r="A1074" s="20" t="n"/>
      <c r="B1074" s="21">
        <f>IF($A1074="","",CHOOSE(WEEKDAY($A1074,2),"Lunes","Martes","Miércoles","Jueves","Viernes","Sábado","Domingo"))</f>
        <v/>
      </c>
      <c r="C1074" s="17" t="n"/>
      <c r="D1074" s="21">
        <f>IF($C1074="","",IFERROR(INDEX(Insumos!$B$2:$B$151,MATCH($C1074,Insumos!$A$2:$A$151,0)),"Código no cargado"))</f>
        <v/>
      </c>
      <c r="E1074" s="21">
        <f>IF($C1074="","",IFERROR(INDEX(Insumos!$C$2:$C$151,MATCH($C1074,Insumos!$A$2:$A$151,0)),""))</f>
        <v/>
      </c>
      <c r="F1074" s="21">
        <f>IF($C1074="","",IFERROR(INDEX(Insumos!$D$2:$D$151,MATCH($C1074,Insumos!$A$2:$A$151,0)),""))</f>
        <v/>
      </c>
      <c r="G1074" s="18" t="n"/>
      <c r="H1074" s="19">
        <f>IF(OR($A1074="",$C1074=""),"",IFERROR(INDEX(Insumos!$M$2:$S$151,MATCH($C1074,Insumos!$A$2:$A$151,0),WEEKDAY($A1074,2)),""))</f>
        <v/>
      </c>
      <c r="I1074" s="19">
        <f>IF(OR($G1074="",$H1074=""),"",MAX(0,$H1074-$G1074))</f>
        <v/>
      </c>
      <c r="J1074" s="21">
        <f>IF($I1074="","",IF($I1074=0,"OK",IF($G1074&lt;=0,"Sin stock: pedir ya","Pedir o producir")))</f>
        <v/>
      </c>
      <c r="K1074" s="17" t="n"/>
      <c r="L1074" s="17" t="n"/>
      <c r="M1074" s="21">
        <f>IF(OR($A1074="",$A1074&lt;&gt;'Lista para pedir'!$C$3,N($I1074)&lt;=0),"",COUNTIFS($A$2:$A1074,$A1074,$I$2:$I1074,"&gt;0"))</f>
        <v/>
      </c>
    </row>
    <row r="1075">
      <c r="A1075" s="20" t="n"/>
      <c r="B1075" s="21">
        <f>IF($A1075="","",CHOOSE(WEEKDAY($A1075,2),"Lunes","Martes","Miércoles","Jueves","Viernes","Sábado","Domingo"))</f>
        <v/>
      </c>
      <c r="C1075" s="17" t="n"/>
      <c r="D1075" s="21">
        <f>IF($C1075="","",IFERROR(INDEX(Insumos!$B$2:$B$151,MATCH($C1075,Insumos!$A$2:$A$151,0)),"Código no cargado"))</f>
        <v/>
      </c>
      <c r="E1075" s="21">
        <f>IF($C1075="","",IFERROR(INDEX(Insumos!$C$2:$C$151,MATCH($C1075,Insumos!$A$2:$A$151,0)),""))</f>
        <v/>
      </c>
      <c r="F1075" s="21">
        <f>IF($C1075="","",IFERROR(INDEX(Insumos!$D$2:$D$151,MATCH($C1075,Insumos!$A$2:$A$151,0)),""))</f>
        <v/>
      </c>
      <c r="G1075" s="18" t="n"/>
      <c r="H1075" s="19">
        <f>IF(OR($A1075="",$C1075=""),"",IFERROR(INDEX(Insumos!$M$2:$S$151,MATCH($C1075,Insumos!$A$2:$A$151,0),WEEKDAY($A1075,2)),""))</f>
        <v/>
      </c>
      <c r="I1075" s="19">
        <f>IF(OR($G1075="",$H1075=""),"",MAX(0,$H1075-$G1075))</f>
        <v/>
      </c>
      <c r="J1075" s="21">
        <f>IF($I1075="","",IF($I1075=0,"OK",IF($G1075&lt;=0,"Sin stock: pedir ya","Pedir o producir")))</f>
        <v/>
      </c>
      <c r="K1075" s="17" t="n"/>
      <c r="L1075" s="17" t="n"/>
      <c r="M1075" s="21">
        <f>IF(OR($A1075="",$A1075&lt;&gt;'Lista para pedir'!$C$3,N($I1075)&lt;=0),"",COUNTIFS($A$2:$A1075,$A1075,$I$2:$I1075,"&gt;0"))</f>
        <v/>
      </c>
    </row>
    <row r="1076">
      <c r="A1076" s="20" t="n"/>
      <c r="B1076" s="21">
        <f>IF($A1076="","",CHOOSE(WEEKDAY($A1076,2),"Lunes","Martes","Miércoles","Jueves","Viernes","Sábado","Domingo"))</f>
        <v/>
      </c>
      <c r="C1076" s="17" t="n"/>
      <c r="D1076" s="21">
        <f>IF($C1076="","",IFERROR(INDEX(Insumos!$B$2:$B$151,MATCH($C1076,Insumos!$A$2:$A$151,0)),"Código no cargado"))</f>
        <v/>
      </c>
      <c r="E1076" s="21">
        <f>IF($C1076="","",IFERROR(INDEX(Insumos!$C$2:$C$151,MATCH($C1076,Insumos!$A$2:$A$151,0)),""))</f>
        <v/>
      </c>
      <c r="F1076" s="21">
        <f>IF($C1076="","",IFERROR(INDEX(Insumos!$D$2:$D$151,MATCH($C1076,Insumos!$A$2:$A$151,0)),""))</f>
        <v/>
      </c>
      <c r="G1076" s="18" t="n"/>
      <c r="H1076" s="19">
        <f>IF(OR($A1076="",$C1076=""),"",IFERROR(INDEX(Insumos!$M$2:$S$151,MATCH($C1076,Insumos!$A$2:$A$151,0),WEEKDAY($A1076,2)),""))</f>
        <v/>
      </c>
      <c r="I1076" s="19">
        <f>IF(OR($G1076="",$H1076=""),"",MAX(0,$H1076-$G1076))</f>
        <v/>
      </c>
      <c r="J1076" s="21">
        <f>IF($I1076="","",IF($I1076=0,"OK",IF($G1076&lt;=0,"Sin stock: pedir ya","Pedir o producir")))</f>
        <v/>
      </c>
      <c r="K1076" s="17" t="n"/>
      <c r="L1076" s="17" t="n"/>
      <c r="M1076" s="21">
        <f>IF(OR($A1076="",$A1076&lt;&gt;'Lista para pedir'!$C$3,N($I1076)&lt;=0),"",COUNTIFS($A$2:$A1076,$A1076,$I$2:$I1076,"&gt;0"))</f>
        <v/>
      </c>
    </row>
    <row r="1077">
      <c r="A1077" s="20" t="n"/>
      <c r="B1077" s="21">
        <f>IF($A1077="","",CHOOSE(WEEKDAY($A1077,2),"Lunes","Martes","Miércoles","Jueves","Viernes","Sábado","Domingo"))</f>
        <v/>
      </c>
      <c r="C1077" s="17" t="n"/>
      <c r="D1077" s="21">
        <f>IF($C1077="","",IFERROR(INDEX(Insumos!$B$2:$B$151,MATCH($C1077,Insumos!$A$2:$A$151,0)),"Código no cargado"))</f>
        <v/>
      </c>
      <c r="E1077" s="21">
        <f>IF($C1077="","",IFERROR(INDEX(Insumos!$C$2:$C$151,MATCH($C1077,Insumos!$A$2:$A$151,0)),""))</f>
        <v/>
      </c>
      <c r="F1077" s="21">
        <f>IF($C1077="","",IFERROR(INDEX(Insumos!$D$2:$D$151,MATCH($C1077,Insumos!$A$2:$A$151,0)),""))</f>
        <v/>
      </c>
      <c r="G1077" s="18" t="n"/>
      <c r="H1077" s="19">
        <f>IF(OR($A1077="",$C1077=""),"",IFERROR(INDEX(Insumos!$M$2:$S$151,MATCH($C1077,Insumos!$A$2:$A$151,0),WEEKDAY($A1077,2)),""))</f>
        <v/>
      </c>
      <c r="I1077" s="19">
        <f>IF(OR($G1077="",$H1077=""),"",MAX(0,$H1077-$G1077))</f>
        <v/>
      </c>
      <c r="J1077" s="21">
        <f>IF($I1077="","",IF($I1077=0,"OK",IF($G1077&lt;=0,"Sin stock: pedir ya","Pedir o producir")))</f>
        <v/>
      </c>
      <c r="K1077" s="17" t="n"/>
      <c r="L1077" s="17" t="n"/>
      <c r="M1077" s="21">
        <f>IF(OR($A1077="",$A1077&lt;&gt;'Lista para pedir'!$C$3,N($I1077)&lt;=0),"",COUNTIFS($A$2:$A1077,$A1077,$I$2:$I1077,"&gt;0"))</f>
        <v/>
      </c>
    </row>
    <row r="1078">
      <c r="A1078" s="20" t="n"/>
      <c r="B1078" s="21">
        <f>IF($A1078="","",CHOOSE(WEEKDAY($A1078,2),"Lunes","Martes","Miércoles","Jueves","Viernes","Sábado","Domingo"))</f>
        <v/>
      </c>
      <c r="C1078" s="17" t="n"/>
      <c r="D1078" s="21">
        <f>IF($C1078="","",IFERROR(INDEX(Insumos!$B$2:$B$151,MATCH($C1078,Insumos!$A$2:$A$151,0)),"Código no cargado"))</f>
        <v/>
      </c>
      <c r="E1078" s="21">
        <f>IF($C1078="","",IFERROR(INDEX(Insumos!$C$2:$C$151,MATCH($C1078,Insumos!$A$2:$A$151,0)),""))</f>
        <v/>
      </c>
      <c r="F1078" s="21">
        <f>IF($C1078="","",IFERROR(INDEX(Insumos!$D$2:$D$151,MATCH($C1078,Insumos!$A$2:$A$151,0)),""))</f>
        <v/>
      </c>
      <c r="G1078" s="18" t="n"/>
      <c r="H1078" s="19">
        <f>IF(OR($A1078="",$C1078=""),"",IFERROR(INDEX(Insumos!$M$2:$S$151,MATCH($C1078,Insumos!$A$2:$A$151,0),WEEKDAY($A1078,2)),""))</f>
        <v/>
      </c>
      <c r="I1078" s="19">
        <f>IF(OR($G1078="",$H1078=""),"",MAX(0,$H1078-$G1078))</f>
        <v/>
      </c>
      <c r="J1078" s="21">
        <f>IF($I1078="","",IF($I1078=0,"OK",IF($G1078&lt;=0,"Sin stock: pedir ya","Pedir o producir")))</f>
        <v/>
      </c>
      <c r="K1078" s="17" t="n"/>
      <c r="L1078" s="17" t="n"/>
      <c r="M1078" s="21">
        <f>IF(OR($A1078="",$A1078&lt;&gt;'Lista para pedir'!$C$3,N($I1078)&lt;=0),"",COUNTIFS($A$2:$A1078,$A1078,$I$2:$I1078,"&gt;0"))</f>
        <v/>
      </c>
    </row>
    <row r="1079">
      <c r="A1079" s="20" t="n"/>
      <c r="B1079" s="21">
        <f>IF($A1079="","",CHOOSE(WEEKDAY($A1079,2),"Lunes","Martes","Miércoles","Jueves","Viernes","Sábado","Domingo"))</f>
        <v/>
      </c>
      <c r="C1079" s="17" t="n"/>
      <c r="D1079" s="21">
        <f>IF($C1079="","",IFERROR(INDEX(Insumos!$B$2:$B$151,MATCH($C1079,Insumos!$A$2:$A$151,0)),"Código no cargado"))</f>
        <v/>
      </c>
      <c r="E1079" s="21">
        <f>IF($C1079="","",IFERROR(INDEX(Insumos!$C$2:$C$151,MATCH($C1079,Insumos!$A$2:$A$151,0)),""))</f>
        <v/>
      </c>
      <c r="F1079" s="21">
        <f>IF($C1079="","",IFERROR(INDEX(Insumos!$D$2:$D$151,MATCH($C1079,Insumos!$A$2:$A$151,0)),""))</f>
        <v/>
      </c>
      <c r="G1079" s="18" t="n"/>
      <c r="H1079" s="19">
        <f>IF(OR($A1079="",$C1079=""),"",IFERROR(INDEX(Insumos!$M$2:$S$151,MATCH($C1079,Insumos!$A$2:$A$151,0),WEEKDAY($A1079,2)),""))</f>
        <v/>
      </c>
      <c r="I1079" s="19">
        <f>IF(OR($G1079="",$H1079=""),"",MAX(0,$H1079-$G1079))</f>
        <v/>
      </c>
      <c r="J1079" s="21">
        <f>IF($I1079="","",IF($I1079=0,"OK",IF($G1079&lt;=0,"Sin stock: pedir ya","Pedir o producir")))</f>
        <v/>
      </c>
      <c r="K1079" s="17" t="n"/>
      <c r="L1079" s="17" t="n"/>
      <c r="M1079" s="21">
        <f>IF(OR($A1079="",$A1079&lt;&gt;'Lista para pedir'!$C$3,N($I1079)&lt;=0),"",COUNTIFS($A$2:$A1079,$A1079,$I$2:$I1079,"&gt;0"))</f>
        <v/>
      </c>
    </row>
    <row r="1080">
      <c r="A1080" s="20" t="n"/>
      <c r="B1080" s="21">
        <f>IF($A1080="","",CHOOSE(WEEKDAY($A1080,2),"Lunes","Martes","Miércoles","Jueves","Viernes","Sábado","Domingo"))</f>
        <v/>
      </c>
      <c r="C1080" s="17" t="n"/>
      <c r="D1080" s="21">
        <f>IF($C1080="","",IFERROR(INDEX(Insumos!$B$2:$B$151,MATCH($C1080,Insumos!$A$2:$A$151,0)),"Código no cargado"))</f>
        <v/>
      </c>
      <c r="E1080" s="21">
        <f>IF($C1080="","",IFERROR(INDEX(Insumos!$C$2:$C$151,MATCH($C1080,Insumos!$A$2:$A$151,0)),""))</f>
        <v/>
      </c>
      <c r="F1080" s="21">
        <f>IF($C1080="","",IFERROR(INDEX(Insumos!$D$2:$D$151,MATCH($C1080,Insumos!$A$2:$A$151,0)),""))</f>
        <v/>
      </c>
      <c r="G1080" s="18" t="n"/>
      <c r="H1080" s="19">
        <f>IF(OR($A1080="",$C1080=""),"",IFERROR(INDEX(Insumos!$M$2:$S$151,MATCH($C1080,Insumos!$A$2:$A$151,0),WEEKDAY($A1080,2)),""))</f>
        <v/>
      </c>
      <c r="I1080" s="19">
        <f>IF(OR($G1080="",$H1080=""),"",MAX(0,$H1080-$G1080))</f>
        <v/>
      </c>
      <c r="J1080" s="21">
        <f>IF($I1080="","",IF($I1080=0,"OK",IF($G1080&lt;=0,"Sin stock: pedir ya","Pedir o producir")))</f>
        <v/>
      </c>
      <c r="K1080" s="17" t="n"/>
      <c r="L1080" s="17" t="n"/>
      <c r="M1080" s="21">
        <f>IF(OR($A1080="",$A1080&lt;&gt;'Lista para pedir'!$C$3,N($I1080)&lt;=0),"",COUNTIFS($A$2:$A1080,$A1080,$I$2:$I1080,"&gt;0"))</f>
        <v/>
      </c>
    </row>
    <row r="1081">
      <c r="A1081" s="20" t="n"/>
      <c r="B1081" s="21">
        <f>IF($A1081="","",CHOOSE(WEEKDAY($A1081,2),"Lunes","Martes","Miércoles","Jueves","Viernes","Sábado","Domingo"))</f>
        <v/>
      </c>
      <c r="C1081" s="17" t="n"/>
      <c r="D1081" s="21">
        <f>IF($C1081="","",IFERROR(INDEX(Insumos!$B$2:$B$151,MATCH($C1081,Insumos!$A$2:$A$151,0)),"Código no cargado"))</f>
        <v/>
      </c>
      <c r="E1081" s="21">
        <f>IF($C1081="","",IFERROR(INDEX(Insumos!$C$2:$C$151,MATCH($C1081,Insumos!$A$2:$A$151,0)),""))</f>
        <v/>
      </c>
      <c r="F1081" s="21">
        <f>IF($C1081="","",IFERROR(INDEX(Insumos!$D$2:$D$151,MATCH($C1081,Insumos!$A$2:$A$151,0)),""))</f>
        <v/>
      </c>
      <c r="G1081" s="18" t="n"/>
      <c r="H1081" s="19">
        <f>IF(OR($A1081="",$C1081=""),"",IFERROR(INDEX(Insumos!$M$2:$S$151,MATCH($C1081,Insumos!$A$2:$A$151,0),WEEKDAY($A1081,2)),""))</f>
        <v/>
      </c>
      <c r="I1081" s="19">
        <f>IF(OR($G1081="",$H1081=""),"",MAX(0,$H1081-$G1081))</f>
        <v/>
      </c>
      <c r="J1081" s="21">
        <f>IF($I1081="","",IF($I1081=0,"OK",IF($G1081&lt;=0,"Sin stock: pedir ya","Pedir o producir")))</f>
        <v/>
      </c>
      <c r="K1081" s="17" t="n"/>
      <c r="L1081" s="17" t="n"/>
      <c r="M1081" s="21">
        <f>IF(OR($A1081="",$A1081&lt;&gt;'Lista para pedir'!$C$3,N($I1081)&lt;=0),"",COUNTIFS($A$2:$A1081,$A1081,$I$2:$I1081,"&gt;0"))</f>
        <v/>
      </c>
    </row>
    <row r="1082">
      <c r="A1082" s="20" t="n"/>
      <c r="B1082" s="21">
        <f>IF($A1082="","",CHOOSE(WEEKDAY($A1082,2),"Lunes","Martes","Miércoles","Jueves","Viernes","Sábado","Domingo"))</f>
        <v/>
      </c>
      <c r="C1082" s="17" t="n"/>
      <c r="D1082" s="21">
        <f>IF($C1082="","",IFERROR(INDEX(Insumos!$B$2:$B$151,MATCH($C1082,Insumos!$A$2:$A$151,0)),"Código no cargado"))</f>
        <v/>
      </c>
      <c r="E1082" s="21">
        <f>IF($C1082="","",IFERROR(INDEX(Insumos!$C$2:$C$151,MATCH($C1082,Insumos!$A$2:$A$151,0)),""))</f>
        <v/>
      </c>
      <c r="F1082" s="21">
        <f>IF($C1082="","",IFERROR(INDEX(Insumos!$D$2:$D$151,MATCH($C1082,Insumos!$A$2:$A$151,0)),""))</f>
        <v/>
      </c>
      <c r="G1082" s="18" t="n"/>
      <c r="H1082" s="19">
        <f>IF(OR($A1082="",$C1082=""),"",IFERROR(INDEX(Insumos!$M$2:$S$151,MATCH($C1082,Insumos!$A$2:$A$151,0),WEEKDAY($A1082,2)),""))</f>
        <v/>
      </c>
      <c r="I1082" s="19">
        <f>IF(OR($G1082="",$H1082=""),"",MAX(0,$H1082-$G1082))</f>
        <v/>
      </c>
      <c r="J1082" s="21">
        <f>IF($I1082="","",IF($I1082=0,"OK",IF($G1082&lt;=0,"Sin stock: pedir ya","Pedir o producir")))</f>
        <v/>
      </c>
      <c r="K1082" s="17" t="n"/>
      <c r="L1082" s="17" t="n"/>
      <c r="M1082" s="21">
        <f>IF(OR($A1082="",$A1082&lt;&gt;'Lista para pedir'!$C$3,N($I1082)&lt;=0),"",COUNTIFS($A$2:$A1082,$A1082,$I$2:$I1082,"&gt;0"))</f>
        <v/>
      </c>
    </row>
    <row r="1083">
      <c r="A1083" s="20" t="n"/>
      <c r="B1083" s="21">
        <f>IF($A1083="","",CHOOSE(WEEKDAY($A1083,2),"Lunes","Martes","Miércoles","Jueves","Viernes","Sábado","Domingo"))</f>
        <v/>
      </c>
      <c r="C1083" s="17" t="n"/>
      <c r="D1083" s="21">
        <f>IF($C1083="","",IFERROR(INDEX(Insumos!$B$2:$B$151,MATCH($C1083,Insumos!$A$2:$A$151,0)),"Código no cargado"))</f>
        <v/>
      </c>
      <c r="E1083" s="21">
        <f>IF($C1083="","",IFERROR(INDEX(Insumos!$C$2:$C$151,MATCH($C1083,Insumos!$A$2:$A$151,0)),""))</f>
        <v/>
      </c>
      <c r="F1083" s="21">
        <f>IF($C1083="","",IFERROR(INDEX(Insumos!$D$2:$D$151,MATCH($C1083,Insumos!$A$2:$A$151,0)),""))</f>
        <v/>
      </c>
      <c r="G1083" s="18" t="n"/>
      <c r="H1083" s="19">
        <f>IF(OR($A1083="",$C1083=""),"",IFERROR(INDEX(Insumos!$M$2:$S$151,MATCH($C1083,Insumos!$A$2:$A$151,0),WEEKDAY($A1083,2)),""))</f>
        <v/>
      </c>
      <c r="I1083" s="19">
        <f>IF(OR($G1083="",$H1083=""),"",MAX(0,$H1083-$G1083))</f>
        <v/>
      </c>
      <c r="J1083" s="21">
        <f>IF($I1083="","",IF($I1083=0,"OK",IF($G1083&lt;=0,"Sin stock: pedir ya","Pedir o producir")))</f>
        <v/>
      </c>
      <c r="K1083" s="17" t="n"/>
      <c r="L1083" s="17" t="n"/>
      <c r="M1083" s="21">
        <f>IF(OR($A1083="",$A1083&lt;&gt;'Lista para pedir'!$C$3,N($I1083)&lt;=0),"",COUNTIFS($A$2:$A1083,$A1083,$I$2:$I1083,"&gt;0"))</f>
        <v/>
      </c>
    </row>
    <row r="1084">
      <c r="A1084" s="20" t="n"/>
      <c r="B1084" s="21">
        <f>IF($A1084="","",CHOOSE(WEEKDAY($A1084,2),"Lunes","Martes","Miércoles","Jueves","Viernes","Sábado","Domingo"))</f>
        <v/>
      </c>
      <c r="C1084" s="17" t="n"/>
      <c r="D1084" s="21">
        <f>IF($C1084="","",IFERROR(INDEX(Insumos!$B$2:$B$151,MATCH($C1084,Insumos!$A$2:$A$151,0)),"Código no cargado"))</f>
        <v/>
      </c>
      <c r="E1084" s="21">
        <f>IF($C1084="","",IFERROR(INDEX(Insumos!$C$2:$C$151,MATCH($C1084,Insumos!$A$2:$A$151,0)),""))</f>
        <v/>
      </c>
      <c r="F1084" s="21">
        <f>IF($C1084="","",IFERROR(INDEX(Insumos!$D$2:$D$151,MATCH($C1084,Insumos!$A$2:$A$151,0)),""))</f>
        <v/>
      </c>
      <c r="G1084" s="18" t="n"/>
      <c r="H1084" s="19">
        <f>IF(OR($A1084="",$C1084=""),"",IFERROR(INDEX(Insumos!$M$2:$S$151,MATCH($C1084,Insumos!$A$2:$A$151,0),WEEKDAY($A1084,2)),""))</f>
        <v/>
      </c>
      <c r="I1084" s="19">
        <f>IF(OR($G1084="",$H1084=""),"",MAX(0,$H1084-$G1084))</f>
        <v/>
      </c>
      <c r="J1084" s="21">
        <f>IF($I1084="","",IF($I1084=0,"OK",IF($G1084&lt;=0,"Sin stock: pedir ya","Pedir o producir")))</f>
        <v/>
      </c>
      <c r="K1084" s="17" t="n"/>
      <c r="L1084" s="17" t="n"/>
      <c r="M1084" s="21">
        <f>IF(OR($A1084="",$A1084&lt;&gt;'Lista para pedir'!$C$3,N($I1084)&lt;=0),"",COUNTIFS($A$2:$A1084,$A1084,$I$2:$I1084,"&gt;0"))</f>
        <v/>
      </c>
    </row>
    <row r="1085">
      <c r="A1085" s="20" t="n"/>
      <c r="B1085" s="21">
        <f>IF($A1085="","",CHOOSE(WEEKDAY($A1085,2),"Lunes","Martes","Miércoles","Jueves","Viernes","Sábado","Domingo"))</f>
        <v/>
      </c>
      <c r="C1085" s="17" t="n"/>
      <c r="D1085" s="21">
        <f>IF($C1085="","",IFERROR(INDEX(Insumos!$B$2:$B$151,MATCH($C1085,Insumos!$A$2:$A$151,0)),"Código no cargado"))</f>
        <v/>
      </c>
      <c r="E1085" s="21">
        <f>IF($C1085="","",IFERROR(INDEX(Insumos!$C$2:$C$151,MATCH($C1085,Insumos!$A$2:$A$151,0)),""))</f>
        <v/>
      </c>
      <c r="F1085" s="21">
        <f>IF($C1085="","",IFERROR(INDEX(Insumos!$D$2:$D$151,MATCH($C1085,Insumos!$A$2:$A$151,0)),""))</f>
        <v/>
      </c>
      <c r="G1085" s="18" t="n"/>
      <c r="H1085" s="19">
        <f>IF(OR($A1085="",$C1085=""),"",IFERROR(INDEX(Insumos!$M$2:$S$151,MATCH($C1085,Insumos!$A$2:$A$151,0),WEEKDAY($A1085,2)),""))</f>
        <v/>
      </c>
      <c r="I1085" s="19">
        <f>IF(OR($G1085="",$H1085=""),"",MAX(0,$H1085-$G1085))</f>
        <v/>
      </c>
      <c r="J1085" s="21">
        <f>IF($I1085="","",IF($I1085=0,"OK",IF($G1085&lt;=0,"Sin stock: pedir ya","Pedir o producir")))</f>
        <v/>
      </c>
      <c r="K1085" s="17" t="n"/>
      <c r="L1085" s="17" t="n"/>
      <c r="M1085" s="21">
        <f>IF(OR($A1085="",$A1085&lt;&gt;'Lista para pedir'!$C$3,N($I1085)&lt;=0),"",COUNTIFS($A$2:$A1085,$A1085,$I$2:$I1085,"&gt;0"))</f>
        <v/>
      </c>
    </row>
    <row r="1086">
      <c r="A1086" s="20" t="n"/>
      <c r="B1086" s="21">
        <f>IF($A1086="","",CHOOSE(WEEKDAY($A1086,2),"Lunes","Martes","Miércoles","Jueves","Viernes","Sábado","Domingo"))</f>
        <v/>
      </c>
      <c r="C1086" s="17" t="n"/>
      <c r="D1086" s="21">
        <f>IF($C1086="","",IFERROR(INDEX(Insumos!$B$2:$B$151,MATCH($C1086,Insumos!$A$2:$A$151,0)),"Código no cargado"))</f>
        <v/>
      </c>
      <c r="E1086" s="21">
        <f>IF($C1086="","",IFERROR(INDEX(Insumos!$C$2:$C$151,MATCH($C1086,Insumos!$A$2:$A$151,0)),""))</f>
        <v/>
      </c>
      <c r="F1086" s="21">
        <f>IF($C1086="","",IFERROR(INDEX(Insumos!$D$2:$D$151,MATCH($C1086,Insumos!$A$2:$A$151,0)),""))</f>
        <v/>
      </c>
      <c r="G1086" s="18" t="n"/>
      <c r="H1086" s="19">
        <f>IF(OR($A1086="",$C1086=""),"",IFERROR(INDEX(Insumos!$M$2:$S$151,MATCH($C1086,Insumos!$A$2:$A$151,0),WEEKDAY($A1086,2)),""))</f>
        <v/>
      </c>
      <c r="I1086" s="19">
        <f>IF(OR($G1086="",$H1086=""),"",MAX(0,$H1086-$G1086))</f>
        <v/>
      </c>
      <c r="J1086" s="21">
        <f>IF($I1086="","",IF($I1086=0,"OK",IF($G1086&lt;=0,"Sin stock: pedir ya","Pedir o producir")))</f>
        <v/>
      </c>
      <c r="K1086" s="17" t="n"/>
      <c r="L1086" s="17" t="n"/>
      <c r="M1086" s="21">
        <f>IF(OR($A1086="",$A1086&lt;&gt;'Lista para pedir'!$C$3,N($I1086)&lt;=0),"",COUNTIFS($A$2:$A1086,$A1086,$I$2:$I1086,"&gt;0"))</f>
        <v/>
      </c>
    </row>
    <row r="1087">
      <c r="A1087" s="20" t="n"/>
      <c r="B1087" s="21">
        <f>IF($A1087="","",CHOOSE(WEEKDAY($A1087,2),"Lunes","Martes","Miércoles","Jueves","Viernes","Sábado","Domingo"))</f>
        <v/>
      </c>
      <c r="C1087" s="17" t="n"/>
      <c r="D1087" s="21">
        <f>IF($C1087="","",IFERROR(INDEX(Insumos!$B$2:$B$151,MATCH($C1087,Insumos!$A$2:$A$151,0)),"Código no cargado"))</f>
        <v/>
      </c>
      <c r="E1087" s="21">
        <f>IF($C1087="","",IFERROR(INDEX(Insumos!$C$2:$C$151,MATCH($C1087,Insumos!$A$2:$A$151,0)),""))</f>
        <v/>
      </c>
      <c r="F1087" s="21">
        <f>IF($C1087="","",IFERROR(INDEX(Insumos!$D$2:$D$151,MATCH($C1087,Insumos!$A$2:$A$151,0)),""))</f>
        <v/>
      </c>
      <c r="G1087" s="18" t="n"/>
      <c r="H1087" s="19">
        <f>IF(OR($A1087="",$C1087=""),"",IFERROR(INDEX(Insumos!$M$2:$S$151,MATCH($C1087,Insumos!$A$2:$A$151,0),WEEKDAY($A1087,2)),""))</f>
        <v/>
      </c>
      <c r="I1087" s="19">
        <f>IF(OR($G1087="",$H1087=""),"",MAX(0,$H1087-$G1087))</f>
        <v/>
      </c>
      <c r="J1087" s="21">
        <f>IF($I1087="","",IF($I1087=0,"OK",IF($G1087&lt;=0,"Sin stock: pedir ya","Pedir o producir")))</f>
        <v/>
      </c>
      <c r="K1087" s="17" t="n"/>
      <c r="L1087" s="17" t="n"/>
      <c r="M1087" s="21">
        <f>IF(OR($A1087="",$A1087&lt;&gt;'Lista para pedir'!$C$3,N($I1087)&lt;=0),"",COUNTIFS($A$2:$A1087,$A1087,$I$2:$I1087,"&gt;0"))</f>
        <v/>
      </c>
    </row>
    <row r="1088">
      <c r="A1088" s="20" t="n"/>
      <c r="B1088" s="21">
        <f>IF($A1088="","",CHOOSE(WEEKDAY($A1088,2),"Lunes","Martes","Miércoles","Jueves","Viernes","Sábado","Domingo"))</f>
        <v/>
      </c>
      <c r="C1088" s="17" t="n"/>
      <c r="D1088" s="21">
        <f>IF($C1088="","",IFERROR(INDEX(Insumos!$B$2:$B$151,MATCH($C1088,Insumos!$A$2:$A$151,0)),"Código no cargado"))</f>
        <v/>
      </c>
      <c r="E1088" s="21">
        <f>IF($C1088="","",IFERROR(INDEX(Insumos!$C$2:$C$151,MATCH($C1088,Insumos!$A$2:$A$151,0)),""))</f>
        <v/>
      </c>
      <c r="F1088" s="21">
        <f>IF($C1088="","",IFERROR(INDEX(Insumos!$D$2:$D$151,MATCH($C1088,Insumos!$A$2:$A$151,0)),""))</f>
        <v/>
      </c>
      <c r="G1088" s="18" t="n"/>
      <c r="H1088" s="19">
        <f>IF(OR($A1088="",$C1088=""),"",IFERROR(INDEX(Insumos!$M$2:$S$151,MATCH($C1088,Insumos!$A$2:$A$151,0),WEEKDAY($A1088,2)),""))</f>
        <v/>
      </c>
      <c r="I1088" s="19">
        <f>IF(OR($G1088="",$H1088=""),"",MAX(0,$H1088-$G1088))</f>
        <v/>
      </c>
      <c r="J1088" s="21">
        <f>IF($I1088="","",IF($I1088=0,"OK",IF($G1088&lt;=0,"Sin stock: pedir ya","Pedir o producir")))</f>
        <v/>
      </c>
      <c r="K1088" s="17" t="n"/>
      <c r="L1088" s="17" t="n"/>
      <c r="M1088" s="21">
        <f>IF(OR($A1088="",$A1088&lt;&gt;'Lista para pedir'!$C$3,N($I1088)&lt;=0),"",COUNTIFS($A$2:$A1088,$A1088,$I$2:$I1088,"&gt;0"))</f>
        <v/>
      </c>
    </row>
    <row r="1089">
      <c r="A1089" s="20" t="n"/>
      <c r="B1089" s="21">
        <f>IF($A1089="","",CHOOSE(WEEKDAY($A1089,2),"Lunes","Martes","Miércoles","Jueves","Viernes","Sábado","Domingo"))</f>
        <v/>
      </c>
      <c r="C1089" s="17" t="n"/>
      <c r="D1089" s="21">
        <f>IF($C1089="","",IFERROR(INDEX(Insumos!$B$2:$B$151,MATCH($C1089,Insumos!$A$2:$A$151,0)),"Código no cargado"))</f>
        <v/>
      </c>
      <c r="E1089" s="21">
        <f>IF($C1089="","",IFERROR(INDEX(Insumos!$C$2:$C$151,MATCH($C1089,Insumos!$A$2:$A$151,0)),""))</f>
        <v/>
      </c>
      <c r="F1089" s="21">
        <f>IF($C1089="","",IFERROR(INDEX(Insumos!$D$2:$D$151,MATCH($C1089,Insumos!$A$2:$A$151,0)),""))</f>
        <v/>
      </c>
      <c r="G1089" s="18" t="n"/>
      <c r="H1089" s="19">
        <f>IF(OR($A1089="",$C1089=""),"",IFERROR(INDEX(Insumos!$M$2:$S$151,MATCH($C1089,Insumos!$A$2:$A$151,0),WEEKDAY($A1089,2)),""))</f>
        <v/>
      </c>
      <c r="I1089" s="19">
        <f>IF(OR($G1089="",$H1089=""),"",MAX(0,$H1089-$G1089))</f>
        <v/>
      </c>
      <c r="J1089" s="21">
        <f>IF($I1089="","",IF($I1089=0,"OK",IF($G1089&lt;=0,"Sin stock: pedir ya","Pedir o producir")))</f>
        <v/>
      </c>
      <c r="K1089" s="17" t="n"/>
      <c r="L1089" s="17" t="n"/>
      <c r="M1089" s="21">
        <f>IF(OR($A1089="",$A1089&lt;&gt;'Lista para pedir'!$C$3,N($I1089)&lt;=0),"",COUNTIFS($A$2:$A1089,$A1089,$I$2:$I1089,"&gt;0"))</f>
        <v/>
      </c>
    </row>
    <row r="1090">
      <c r="A1090" s="20" t="n"/>
      <c r="B1090" s="21">
        <f>IF($A1090="","",CHOOSE(WEEKDAY($A1090,2),"Lunes","Martes","Miércoles","Jueves","Viernes","Sábado","Domingo"))</f>
        <v/>
      </c>
      <c r="C1090" s="17" t="n"/>
      <c r="D1090" s="21">
        <f>IF($C1090="","",IFERROR(INDEX(Insumos!$B$2:$B$151,MATCH($C1090,Insumos!$A$2:$A$151,0)),"Código no cargado"))</f>
        <v/>
      </c>
      <c r="E1090" s="21">
        <f>IF($C1090="","",IFERROR(INDEX(Insumos!$C$2:$C$151,MATCH($C1090,Insumos!$A$2:$A$151,0)),""))</f>
        <v/>
      </c>
      <c r="F1090" s="21">
        <f>IF($C1090="","",IFERROR(INDEX(Insumos!$D$2:$D$151,MATCH($C1090,Insumos!$A$2:$A$151,0)),""))</f>
        <v/>
      </c>
      <c r="G1090" s="18" t="n"/>
      <c r="H1090" s="19">
        <f>IF(OR($A1090="",$C1090=""),"",IFERROR(INDEX(Insumos!$M$2:$S$151,MATCH($C1090,Insumos!$A$2:$A$151,0),WEEKDAY($A1090,2)),""))</f>
        <v/>
      </c>
      <c r="I1090" s="19">
        <f>IF(OR($G1090="",$H1090=""),"",MAX(0,$H1090-$G1090))</f>
        <v/>
      </c>
      <c r="J1090" s="21">
        <f>IF($I1090="","",IF($I1090=0,"OK",IF($G1090&lt;=0,"Sin stock: pedir ya","Pedir o producir")))</f>
        <v/>
      </c>
      <c r="K1090" s="17" t="n"/>
      <c r="L1090" s="17" t="n"/>
      <c r="M1090" s="21">
        <f>IF(OR($A1090="",$A1090&lt;&gt;'Lista para pedir'!$C$3,N($I1090)&lt;=0),"",COUNTIFS($A$2:$A1090,$A1090,$I$2:$I1090,"&gt;0"))</f>
        <v/>
      </c>
    </row>
    <row r="1091">
      <c r="A1091" s="20" t="n"/>
      <c r="B1091" s="21">
        <f>IF($A1091="","",CHOOSE(WEEKDAY($A1091,2),"Lunes","Martes","Miércoles","Jueves","Viernes","Sábado","Domingo"))</f>
        <v/>
      </c>
      <c r="C1091" s="17" t="n"/>
      <c r="D1091" s="21">
        <f>IF($C1091="","",IFERROR(INDEX(Insumos!$B$2:$B$151,MATCH($C1091,Insumos!$A$2:$A$151,0)),"Código no cargado"))</f>
        <v/>
      </c>
      <c r="E1091" s="21">
        <f>IF($C1091="","",IFERROR(INDEX(Insumos!$C$2:$C$151,MATCH($C1091,Insumos!$A$2:$A$151,0)),""))</f>
        <v/>
      </c>
      <c r="F1091" s="21">
        <f>IF($C1091="","",IFERROR(INDEX(Insumos!$D$2:$D$151,MATCH($C1091,Insumos!$A$2:$A$151,0)),""))</f>
        <v/>
      </c>
      <c r="G1091" s="18" t="n"/>
      <c r="H1091" s="19">
        <f>IF(OR($A1091="",$C1091=""),"",IFERROR(INDEX(Insumos!$M$2:$S$151,MATCH($C1091,Insumos!$A$2:$A$151,0),WEEKDAY($A1091,2)),""))</f>
        <v/>
      </c>
      <c r="I1091" s="19">
        <f>IF(OR($G1091="",$H1091=""),"",MAX(0,$H1091-$G1091))</f>
        <v/>
      </c>
      <c r="J1091" s="21">
        <f>IF($I1091="","",IF($I1091=0,"OK",IF($G1091&lt;=0,"Sin stock: pedir ya","Pedir o producir")))</f>
        <v/>
      </c>
      <c r="K1091" s="17" t="n"/>
      <c r="L1091" s="17" t="n"/>
      <c r="M1091" s="21">
        <f>IF(OR($A1091="",$A1091&lt;&gt;'Lista para pedir'!$C$3,N($I1091)&lt;=0),"",COUNTIFS($A$2:$A1091,$A1091,$I$2:$I1091,"&gt;0"))</f>
        <v/>
      </c>
    </row>
    <row r="1092">
      <c r="A1092" s="20" t="n"/>
      <c r="B1092" s="21">
        <f>IF($A1092="","",CHOOSE(WEEKDAY($A1092,2),"Lunes","Martes","Miércoles","Jueves","Viernes","Sábado","Domingo"))</f>
        <v/>
      </c>
      <c r="C1092" s="17" t="n"/>
      <c r="D1092" s="21">
        <f>IF($C1092="","",IFERROR(INDEX(Insumos!$B$2:$B$151,MATCH($C1092,Insumos!$A$2:$A$151,0)),"Código no cargado"))</f>
        <v/>
      </c>
      <c r="E1092" s="21">
        <f>IF($C1092="","",IFERROR(INDEX(Insumos!$C$2:$C$151,MATCH($C1092,Insumos!$A$2:$A$151,0)),""))</f>
        <v/>
      </c>
      <c r="F1092" s="21">
        <f>IF($C1092="","",IFERROR(INDEX(Insumos!$D$2:$D$151,MATCH($C1092,Insumos!$A$2:$A$151,0)),""))</f>
        <v/>
      </c>
      <c r="G1092" s="18" t="n"/>
      <c r="H1092" s="19">
        <f>IF(OR($A1092="",$C1092=""),"",IFERROR(INDEX(Insumos!$M$2:$S$151,MATCH($C1092,Insumos!$A$2:$A$151,0),WEEKDAY($A1092,2)),""))</f>
        <v/>
      </c>
      <c r="I1092" s="19">
        <f>IF(OR($G1092="",$H1092=""),"",MAX(0,$H1092-$G1092))</f>
        <v/>
      </c>
      <c r="J1092" s="21">
        <f>IF($I1092="","",IF($I1092=0,"OK",IF($G1092&lt;=0,"Sin stock: pedir ya","Pedir o producir")))</f>
        <v/>
      </c>
      <c r="K1092" s="17" t="n"/>
      <c r="L1092" s="17" t="n"/>
      <c r="M1092" s="21">
        <f>IF(OR($A1092="",$A1092&lt;&gt;'Lista para pedir'!$C$3,N($I1092)&lt;=0),"",COUNTIFS($A$2:$A1092,$A1092,$I$2:$I1092,"&gt;0"))</f>
        <v/>
      </c>
    </row>
    <row r="1093">
      <c r="A1093" s="20" t="n"/>
      <c r="B1093" s="21">
        <f>IF($A1093="","",CHOOSE(WEEKDAY($A1093,2),"Lunes","Martes","Miércoles","Jueves","Viernes","Sábado","Domingo"))</f>
        <v/>
      </c>
      <c r="C1093" s="17" t="n"/>
      <c r="D1093" s="21">
        <f>IF($C1093="","",IFERROR(INDEX(Insumos!$B$2:$B$151,MATCH($C1093,Insumos!$A$2:$A$151,0)),"Código no cargado"))</f>
        <v/>
      </c>
      <c r="E1093" s="21">
        <f>IF($C1093="","",IFERROR(INDEX(Insumos!$C$2:$C$151,MATCH($C1093,Insumos!$A$2:$A$151,0)),""))</f>
        <v/>
      </c>
      <c r="F1093" s="21">
        <f>IF($C1093="","",IFERROR(INDEX(Insumos!$D$2:$D$151,MATCH($C1093,Insumos!$A$2:$A$151,0)),""))</f>
        <v/>
      </c>
      <c r="G1093" s="18" t="n"/>
      <c r="H1093" s="19">
        <f>IF(OR($A1093="",$C1093=""),"",IFERROR(INDEX(Insumos!$M$2:$S$151,MATCH($C1093,Insumos!$A$2:$A$151,0),WEEKDAY($A1093,2)),""))</f>
        <v/>
      </c>
      <c r="I1093" s="19">
        <f>IF(OR($G1093="",$H1093=""),"",MAX(0,$H1093-$G1093))</f>
        <v/>
      </c>
      <c r="J1093" s="21">
        <f>IF($I1093="","",IF($I1093=0,"OK",IF($G1093&lt;=0,"Sin stock: pedir ya","Pedir o producir")))</f>
        <v/>
      </c>
      <c r="K1093" s="17" t="n"/>
      <c r="L1093" s="17" t="n"/>
      <c r="M1093" s="21">
        <f>IF(OR($A1093="",$A1093&lt;&gt;'Lista para pedir'!$C$3,N($I1093)&lt;=0),"",COUNTIFS($A$2:$A1093,$A1093,$I$2:$I1093,"&gt;0"))</f>
        <v/>
      </c>
    </row>
    <row r="1094">
      <c r="A1094" s="20" t="n"/>
      <c r="B1094" s="21">
        <f>IF($A1094="","",CHOOSE(WEEKDAY($A1094,2),"Lunes","Martes","Miércoles","Jueves","Viernes","Sábado","Domingo"))</f>
        <v/>
      </c>
      <c r="C1094" s="17" t="n"/>
      <c r="D1094" s="21">
        <f>IF($C1094="","",IFERROR(INDEX(Insumos!$B$2:$B$151,MATCH($C1094,Insumos!$A$2:$A$151,0)),"Código no cargado"))</f>
        <v/>
      </c>
      <c r="E1094" s="21">
        <f>IF($C1094="","",IFERROR(INDEX(Insumos!$C$2:$C$151,MATCH($C1094,Insumos!$A$2:$A$151,0)),""))</f>
        <v/>
      </c>
      <c r="F1094" s="21">
        <f>IF($C1094="","",IFERROR(INDEX(Insumos!$D$2:$D$151,MATCH($C1094,Insumos!$A$2:$A$151,0)),""))</f>
        <v/>
      </c>
      <c r="G1094" s="18" t="n"/>
      <c r="H1094" s="19">
        <f>IF(OR($A1094="",$C1094=""),"",IFERROR(INDEX(Insumos!$M$2:$S$151,MATCH($C1094,Insumos!$A$2:$A$151,0),WEEKDAY($A1094,2)),""))</f>
        <v/>
      </c>
      <c r="I1094" s="19">
        <f>IF(OR($G1094="",$H1094=""),"",MAX(0,$H1094-$G1094))</f>
        <v/>
      </c>
      <c r="J1094" s="21">
        <f>IF($I1094="","",IF($I1094=0,"OK",IF($G1094&lt;=0,"Sin stock: pedir ya","Pedir o producir")))</f>
        <v/>
      </c>
      <c r="K1094" s="17" t="n"/>
      <c r="L1094" s="17" t="n"/>
      <c r="M1094" s="21">
        <f>IF(OR($A1094="",$A1094&lt;&gt;'Lista para pedir'!$C$3,N($I1094)&lt;=0),"",COUNTIFS($A$2:$A1094,$A1094,$I$2:$I1094,"&gt;0"))</f>
        <v/>
      </c>
    </row>
    <row r="1095">
      <c r="A1095" s="20" t="n"/>
      <c r="B1095" s="21">
        <f>IF($A1095="","",CHOOSE(WEEKDAY($A1095,2),"Lunes","Martes","Miércoles","Jueves","Viernes","Sábado","Domingo"))</f>
        <v/>
      </c>
      <c r="C1095" s="17" t="n"/>
      <c r="D1095" s="21">
        <f>IF($C1095="","",IFERROR(INDEX(Insumos!$B$2:$B$151,MATCH($C1095,Insumos!$A$2:$A$151,0)),"Código no cargado"))</f>
        <v/>
      </c>
      <c r="E1095" s="21">
        <f>IF($C1095="","",IFERROR(INDEX(Insumos!$C$2:$C$151,MATCH($C1095,Insumos!$A$2:$A$151,0)),""))</f>
        <v/>
      </c>
      <c r="F1095" s="21">
        <f>IF($C1095="","",IFERROR(INDEX(Insumos!$D$2:$D$151,MATCH($C1095,Insumos!$A$2:$A$151,0)),""))</f>
        <v/>
      </c>
      <c r="G1095" s="18" t="n"/>
      <c r="H1095" s="19">
        <f>IF(OR($A1095="",$C1095=""),"",IFERROR(INDEX(Insumos!$M$2:$S$151,MATCH($C1095,Insumos!$A$2:$A$151,0),WEEKDAY($A1095,2)),""))</f>
        <v/>
      </c>
      <c r="I1095" s="19">
        <f>IF(OR($G1095="",$H1095=""),"",MAX(0,$H1095-$G1095))</f>
        <v/>
      </c>
      <c r="J1095" s="21">
        <f>IF($I1095="","",IF($I1095=0,"OK",IF($G1095&lt;=0,"Sin stock: pedir ya","Pedir o producir")))</f>
        <v/>
      </c>
      <c r="K1095" s="17" t="n"/>
      <c r="L1095" s="17" t="n"/>
      <c r="M1095" s="21">
        <f>IF(OR($A1095="",$A1095&lt;&gt;'Lista para pedir'!$C$3,N($I1095)&lt;=0),"",COUNTIFS($A$2:$A1095,$A1095,$I$2:$I1095,"&gt;0"))</f>
        <v/>
      </c>
    </row>
    <row r="1096">
      <c r="A1096" s="20" t="n"/>
      <c r="B1096" s="21">
        <f>IF($A1096="","",CHOOSE(WEEKDAY($A1096,2),"Lunes","Martes","Miércoles","Jueves","Viernes","Sábado","Domingo"))</f>
        <v/>
      </c>
      <c r="C1096" s="17" t="n"/>
      <c r="D1096" s="21">
        <f>IF($C1096="","",IFERROR(INDEX(Insumos!$B$2:$B$151,MATCH($C1096,Insumos!$A$2:$A$151,0)),"Código no cargado"))</f>
        <v/>
      </c>
      <c r="E1096" s="21">
        <f>IF($C1096="","",IFERROR(INDEX(Insumos!$C$2:$C$151,MATCH($C1096,Insumos!$A$2:$A$151,0)),""))</f>
        <v/>
      </c>
      <c r="F1096" s="21">
        <f>IF($C1096="","",IFERROR(INDEX(Insumos!$D$2:$D$151,MATCH($C1096,Insumos!$A$2:$A$151,0)),""))</f>
        <v/>
      </c>
      <c r="G1096" s="18" t="n"/>
      <c r="H1096" s="19">
        <f>IF(OR($A1096="",$C1096=""),"",IFERROR(INDEX(Insumos!$M$2:$S$151,MATCH($C1096,Insumos!$A$2:$A$151,0),WEEKDAY($A1096,2)),""))</f>
        <v/>
      </c>
      <c r="I1096" s="19">
        <f>IF(OR($G1096="",$H1096=""),"",MAX(0,$H1096-$G1096))</f>
        <v/>
      </c>
      <c r="J1096" s="21">
        <f>IF($I1096="","",IF($I1096=0,"OK",IF($G1096&lt;=0,"Sin stock: pedir ya","Pedir o producir")))</f>
        <v/>
      </c>
      <c r="K1096" s="17" t="n"/>
      <c r="L1096" s="17" t="n"/>
      <c r="M1096" s="21">
        <f>IF(OR($A1096="",$A1096&lt;&gt;'Lista para pedir'!$C$3,N($I1096)&lt;=0),"",COUNTIFS($A$2:$A1096,$A1096,$I$2:$I1096,"&gt;0"))</f>
        <v/>
      </c>
    </row>
    <row r="1097">
      <c r="A1097" s="20" t="n"/>
      <c r="B1097" s="21">
        <f>IF($A1097="","",CHOOSE(WEEKDAY($A1097,2),"Lunes","Martes","Miércoles","Jueves","Viernes","Sábado","Domingo"))</f>
        <v/>
      </c>
      <c r="C1097" s="17" t="n"/>
      <c r="D1097" s="21">
        <f>IF($C1097="","",IFERROR(INDEX(Insumos!$B$2:$B$151,MATCH($C1097,Insumos!$A$2:$A$151,0)),"Código no cargado"))</f>
        <v/>
      </c>
      <c r="E1097" s="21">
        <f>IF($C1097="","",IFERROR(INDEX(Insumos!$C$2:$C$151,MATCH($C1097,Insumos!$A$2:$A$151,0)),""))</f>
        <v/>
      </c>
      <c r="F1097" s="21">
        <f>IF($C1097="","",IFERROR(INDEX(Insumos!$D$2:$D$151,MATCH($C1097,Insumos!$A$2:$A$151,0)),""))</f>
        <v/>
      </c>
      <c r="G1097" s="18" t="n"/>
      <c r="H1097" s="19">
        <f>IF(OR($A1097="",$C1097=""),"",IFERROR(INDEX(Insumos!$M$2:$S$151,MATCH($C1097,Insumos!$A$2:$A$151,0),WEEKDAY($A1097,2)),""))</f>
        <v/>
      </c>
      <c r="I1097" s="19">
        <f>IF(OR($G1097="",$H1097=""),"",MAX(0,$H1097-$G1097))</f>
        <v/>
      </c>
      <c r="J1097" s="21">
        <f>IF($I1097="","",IF($I1097=0,"OK",IF($G1097&lt;=0,"Sin stock: pedir ya","Pedir o producir")))</f>
        <v/>
      </c>
      <c r="K1097" s="17" t="n"/>
      <c r="L1097" s="17" t="n"/>
      <c r="M1097" s="21">
        <f>IF(OR($A1097="",$A1097&lt;&gt;'Lista para pedir'!$C$3,N($I1097)&lt;=0),"",COUNTIFS($A$2:$A1097,$A1097,$I$2:$I1097,"&gt;0"))</f>
        <v/>
      </c>
    </row>
    <row r="1098">
      <c r="A1098" s="20" t="n"/>
      <c r="B1098" s="21">
        <f>IF($A1098="","",CHOOSE(WEEKDAY($A1098,2),"Lunes","Martes","Miércoles","Jueves","Viernes","Sábado","Domingo"))</f>
        <v/>
      </c>
      <c r="C1098" s="17" t="n"/>
      <c r="D1098" s="21">
        <f>IF($C1098="","",IFERROR(INDEX(Insumos!$B$2:$B$151,MATCH($C1098,Insumos!$A$2:$A$151,0)),"Código no cargado"))</f>
        <v/>
      </c>
      <c r="E1098" s="21">
        <f>IF($C1098="","",IFERROR(INDEX(Insumos!$C$2:$C$151,MATCH($C1098,Insumos!$A$2:$A$151,0)),""))</f>
        <v/>
      </c>
      <c r="F1098" s="21">
        <f>IF($C1098="","",IFERROR(INDEX(Insumos!$D$2:$D$151,MATCH($C1098,Insumos!$A$2:$A$151,0)),""))</f>
        <v/>
      </c>
      <c r="G1098" s="18" t="n"/>
      <c r="H1098" s="19">
        <f>IF(OR($A1098="",$C1098=""),"",IFERROR(INDEX(Insumos!$M$2:$S$151,MATCH($C1098,Insumos!$A$2:$A$151,0),WEEKDAY($A1098,2)),""))</f>
        <v/>
      </c>
      <c r="I1098" s="19">
        <f>IF(OR($G1098="",$H1098=""),"",MAX(0,$H1098-$G1098))</f>
        <v/>
      </c>
      <c r="J1098" s="21">
        <f>IF($I1098="","",IF($I1098=0,"OK",IF($G1098&lt;=0,"Sin stock: pedir ya","Pedir o producir")))</f>
        <v/>
      </c>
      <c r="K1098" s="17" t="n"/>
      <c r="L1098" s="17" t="n"/>
      <c r="M1098" s="21">
        <f>IF(OR($A1098="",$A1098&lt;&gt;'Lista para pedir'!$C$3,N($I1098)&lt;=0),"",COUNTIFS($A$2:$A1098,$A1098,$I$2:$I1098,"&gt;0"))</f>
        <v/>
      </c>
    </row>
    <row r="1099">
      <c r="A1099" s="20" t="n"/>
      <c r="B1099" s="21">
        <f>IF($A1099="","",CHOOSE(WEEKDAY($A1099,2),"Lunes","Martes","Miércoles","Jueves","Viernes","Sábado","Domingo"))</f>
        <v/>
      </c>
      <c r="C1099" s="17" t="n"/>
      <c r="D1099" s="21">
        <f>IF($C1099="","",IFERROR(INDEX(Insumos!$B$2:$B$151,MATCH($C1099,Insumos!$A$2:$A$151,0)),"Código no cargado"))</f>
        <v/>
      </c>
      <c r="E1099" s="21">
        <f>IF($C1099="","",IFERROR(INDEX(Insumos!$C$2:$C$151,MATCH($C1099,Insumos!$A$2:$A$151,0)),""))</f>
        <v/>
      </c>
      <c r="F1099" s="21">
        <f>IF($C1099="","",IFERROR(INDEX(Insumos!$D$2:$D$151,MATCH($C1099,Insumos!$A$2:$A$151,0)),""))</f>
        <v/>
      </c>
      <c r="G1099" s="18" t="n"/>
      <c r="H1099" s="19">
        <f>IF(OR($A1099="",$C1099=""),"",IFERROR(INDEX(Insumos!$M$2:$S$151,MATCH($C1099,Insumos!$A$2:$A$151,0),WEEKDAY($A1099,2)),""))</f>
        <v/>
      </c>
      <c r="I1099" s="19">
        <f>IF(OR($G1099="",$H1099=""),"",MAX(0,$H1099-$G1099))</f>
        <v/>
      </c>
      <c r="J1099" s="21">
        <f>IF($I1099="","",IF($I1099=0,"OK",IF($G1099&lt;=0,"Sin stock: pedir ya","Pedir o producir")))</f>
        <v/>
      </c>
      <c r="K1099" s="17" t="n"/>
      <c r="L1099" s="17" t="n"/>
      <c r="M1099" s="21">
        <f>IF(OR($A1099="",$A1099&lt;&gt;'Lista para pedir'!$C$3,N($I1099)&lt;=0),"",COUNTIFS($A$2:$A1099,$A1099,$I$2:$I1099,"&gt;0"))</f>
        <v/>
      </c>
    </row>
    <row r="1100">
      <c r="A1100" s="20" t="n"/>
      <c r="B1100" s="21">
        <f>IF($A1100="","",CHOOSE(WEEKDAY($A1100,2),"Lunes","Martes","Miércoles","Jueves","Viernes","Sábado","Domingo"))</f>
        <v/>
      </c>
      <c r="C1100" s="17" t="n"/>
      <c r="D1100" s="21">
        <f>IF($C1100="","",IFERROR(INDEX(Insumos!$B$2:$B$151,MATCH($C1100,Insumos!$A$2:$A$151,0)),"Código no cargado"))</f>
        <v/>
      </c>
      <c r="E1100" s="21">
        <f>IF($C1100="","",IFERROR(INDEX(Insumos!$C$2:$C$151,MATCH($C1100,Insumos!$A$2:$A$151,0)),""))</f>
        <v/>
      </c>
      <c r="F1100" s="21">
        <f>IF($C1100="","",IFERROR(INDEX(Insumos!$D$2:$D$151,MATCH($C1100,Insumos!$A$2:$A$151,0)),""))</f>
        <v/>
      </c>
      <c r="G1100" s="18" t="n"/>
      <c r="H1100" s="19">
        <f>IF(OR($A1100="",$C1100=""),"",IFERROR(INDEX(Insumos!$M$2:$S$151,MATCH($C1100,Insumos!$A$2:$A$151,0),WEEKDAY($A1100,2)),""))</f>
        <v/>
      </c>
      <c r="I1100" s="19">
        <f>IF(OR($G1100="",$H1100=""),"",MAX(0,$H1100-$G1100))</f>
        <v/>
      </c>
      <c r="J1100" s="21">
        <f>IF($I1100="","",IF($I1100=0,"OK",IF($G1100&lt;=0,"Sin stock: pedir ya","Pedir o producir")))</f>
        <v/>
      </c>
      <c r="K1100" s="17" t="n"/>
      <c r="L1100" s="17" t="n"/>
      <c r="M1100" s="21">
        <f>IF(OR($A1100="",$A1100&lt;&gt;'Lista para pedir'!$C$3,N($I1100)&lt;=0),"",COUNTIFS($A$2:$A1100,$A1100,$I$2:$I1100,"&gt;0"))</f>
        <v/>
      </c>
    </row>
    <row r="1101">
      <c r="A1101" s="20" t="n"/>
      <c r="B1101" s="21">
        <f>IF($A1101="","",CHOOSE(WEEKDAY($A1101,2),"Lunes","Martes","Miércoles","Jueves","Viernes","Sábado","Domingo"))</f>
        <v/>
      </c>
      <c r="C1101" s="17" t="n"/>
      <c r="D1101" s="21">
        <f>IF($C1101="","",IFERROR(INDEX(Insumos!$B$2:$B$151,MATCH($C1101,Insumos!$A$2:$A$151,0)),"Código no cargado"))</f>
        <v/>
      </c>
      <c r="E1101" s="21">
        <f>IF($C1101="","",IFERROR(INDEX(Insumos!$C$2:$C$151,MATCH($C1101,Insumos!$A$2:$A$151,0)),""))</f>
        <v/>
      </c>
      <c r="F1101" s="21">
        <f>IF($C1101="","",IFERROR(INDEX(Insumos!$D$2:$D$151,MATCH($C1101,Insumos!$A$2:$A$151,0)),""))</f>
        <v/>
      </c>
      <c r="G1101" s="18" t="n"/>
      <c r="H1101" s="19">
        <f>IF(OR($A1101="",$C1101=""),"",IFERROR(INDEX(Insumos!$M$2:$S$151,MATCH($C1101,Insumos!$A$2:$A$151,0),WEEKDAY($A1101,2)),""))</f>
        <v/>
      </c>
      <c r="I1101" s="19">
        <f>IF(OR($G1101="",$H1101=""),"",MAX(0,$H1101-$G1101))</f>
        <v/>
      </c>
      <c r="J1101" s="21">
        <f>IF($I1101="","",IF($I1101=0,"OK",IF($G1101&lt;=0,"Sin stock: pedir ya","Pedir o producir")))</f>
        <v/>
      </c>
      <c r="K1101" s="17" t="n"/>
      <c r="L1101" s="17" t="n"/>
      <c r="M1101" s="21">
        <f>IF(OR($A1101="",$A1101&lt;&gt;'Lista para pedir'!$C$3,N($I1101)&lt;=0),"",COUNTIFS($A$2:$A1101,$A1101,$I$2:$I1101,"&gt;0"))</f>
        <v/>
      </c>
    </row>
    <row r="1102">
      <c r="A1102" s="20" t="n"/>
      <c r="B1102" s="21">
        <f>IF($A1102="","",CHOOSE(WEEKDAY($A1102,2),"Lunes","Martes","Miércoles","Jueves","Viernes","Sábado","Domingo"))</f>
        <v/>
      </c>
      <c r="C1102" s="17" t="n"/>
      <c r="D1102" s="21">
        <f>IF($C1102="","",IFERROR(INDEX(Insumos!$B$2:$B$151,MATCH($C1102,Insumos!$A$2:$A$151,0)),"Código no cargado"))</f>
        <v/>
      </c>
      <c r="E1102" s="21">
        <f>IF($C1102="","",IFERROR(INDEX(Insumos!$C$2:$C$151,MATCH($C1102,Insumos!$A$2:$A$151,0)),""))</f>
        <v/>
      </c>
      <c r="F1102" s="21">
        <f>IF($C1102="","",IFERROR(INDEX(Insumos!$D$2:$D$151,MATCH($C1102,Insumos!$A$2:$A$151,0)),""))</f>
        <v/>
      </c>
      <c r="G1102" s="18" t="n"/>
      <c r="H1102" s="19">
        <f>IF(OR($A1102="",$C1102=""),"",IFERROR(INDEX(Insumos!$M$2:$S$151,MATCH($C1102,Insumos!$A$2:$A$151,0),WEEKDAY($A1102,2)),""))</f>
        <v/>
      </c>
      <c r="I1102" s="19">
        <f>IF(OR($G1102="",$H1102=""),"",MAX(0,$H1102-$G1102))</f>
        <v/>
      </c>
      <c r="J1102" s="21">
        <f>IF($I1102="","",IF($I1102=0,"OK",IF($G1102&lt;=0,"Sin stock: pedir ya","Pedir o producir")))</f>
        <v/>
      </c>
      <c r="K1102" s="17" t="n"/>
      <c r="L1102" s="17" t="n"/>
      <c r="M1102" s="21">
        <f>IF(OR($A1102="",$A1102&lt;&gt;'Lista para pedir'!$C$3,N($I1102)&lt;=0),"",COUNTIFS($A$2:$A1102,$A1102,$I$2:$I1102,"&gt;0"))</f>
        <v/>
      </c>
    </row>
    <row r="1103">
      <c r="A1103" s="20" t="n"/>
      <c r="B1103" s="21">
        <f>IF($A1103="","",CHOOSE(WEEKDAY($A1103,2),"Lunes","Martes","Miércoles","Jueves","Viernes","Sábado","Domingo"))</f>
        <v/>
      </c>
      <c r="C1103" s="17" t="n"/>
      <c r="D1103" s="21">
        <f>IF($C1103="","",IFERROR(INDEX(Insumos!$B$2:$B$151,MATCH($C1103,Insumos!$A$2:$A$151,0)),"Código no cargado"))</f>
        <v/>
      </c>
      <c r="E1103" s="21">
        <f>IF($C1103="","",IFERROR(INDEX(Insumos!$C$2:$C$151,MATCH($C1103,Insumos!$A$2:$A$151,0)),""))</f>
        <v/>
      </c>
      <c r="F1103" s="21">
        <f>IF($C1103="","",IFERROR(INDEX(Insumos!$D$2:$D$151,MATCH($C1103,Insumos!$A$2:$A$151,0)),""))</f>
        <v/>
      </c>
      <c r="G1103" s="18" t="n"/>
      <c r="H1103" s="19">
        <f>IF(OR($A1103="",$C1103=""),"",IFERROR(INDEX(Insumos!$M$2:$S$151,MATCH($C1103,Insumos!$A$2:$A$151,0),WEEKDAY($A1103,2)),""))</f>
        <v/>
      </c>
      <c r="I1103" s="19">
        <f>IF(OR($G1103="",$H1103=""),"",MAX(0,$H1103-$G1103))</f>
        <v/>
      </c>
      <c r="J1103" s="21">
        <f>IF($I1103="","",IF($I1103=0,"OK",IF($G1103&lt;=0,"Sin stock: pedir ya","Pedir o producir")))</f>
        <v/>
      </c>
      <c r="K1103" s="17" t="n"/>
      <c r="L1103" s="17" t="n"/>
      <c r="M1103" s="21">
        <f>IF(OR($A1103="",$A1103&lt;&gt;'Lista para pedir'!$C$3,N($I1103)&lt;=0),"",COUNTIFS($A$2:$A1103,$A1103,$I$2:$I1103,"&gt;0"))</f>
        <v/>
      </c>
    </row>
    <row r="1104">
      <c r="A1104" s="20" t="n"/>
      <c r="B1104" s="21">
        <f>IF($A1104="","",CHOOSE(WEEKDAY($A1104,2),"Lunes","Martes","Miércoles","Jueves","Viernes","Sábado","Domingo"))</f>
        <v/>
      </c>
      <c r="C1104" s="17" t="n"/>
      <c r="D1104" s="21">
        <f>IF($C1104="","",IFERROR(INDEX(Insumos!$B$2:$B$151,MATCH($C1104,Insumos!$A$2:$A$151,0)),"Código no cargado"))</f>
        <v/>
      </c>
      <c r="E1104" s="21">
        <f>IF($C1104="","",IFERROR(INDEX(Insumos!$C$2:$C$151,MATCH($C1104,Insumos!$A$2:$A$151,0)),""))</f>
        <v/>
      </c>
      <c r="F1104" s="21">
        <f>IF($C1104="","",IFERROR(INDEX(Insumos!$D$2:$D$151,MATCH($C1104,Insumos!$A$2:$A$151,0)),""))</f>
        <v/>
      </c>
      <c r="G1104" s="18" t="n"/>
      <c r="H1104" s="19">
        <f>IF(OR($A1104="",$C1104=""),"",IFERROR(INDEX(Insumos!$M$2:$S$151,MATCH($C1104,Insumos!$A$2:$A$151,0),WEEKDAY($A1104,2)),""))</f>
        <v/>
      </c>
      <c r="I1104" s="19">
        <f>IF(OR($G1104="",$H1104=""),"",MAX(0,$H1104-$G1104))</f>
        <v/>
      </c>
      <c r="J1104" s="21">
        <f>IF($I1104="","",IF($I1104=0,"OK",IF($G1104&lt;=0,"Sin stock: pedir ya","Pedir o producir")))</f>
        <v/>
      </c>
      <c r="K1104" s="17" t="n"/>
      <c r="L1104" s="17" t="n"/>
      <c r="M1104" s="21">
        <f>IF(OR($A1104="",$A1104&lt;&gt;'Lista para pedir'!$C$3,N($I1104)&lt;=0),"",COUNTIFS($A$2:$A1104,$A1104,$I$2:$I1104,"&gt;0"))</f>
        <v/>
      </c>
    </row>
    <row r="1105">
      <c r="A1105" s="20" t="n"/>
      <c r="B1105" s="21">
        <f>IF($A1105="","",CHOOSE(WEEKDAY($A1105,2),"Lunes","Martes","Miércoles","Jueves","Viernes","Sábado","Domingo"))</f>
        <v/>
      </c>
      <c r="C1105" s="17" t="n"/>
      <c r="D1105" s="21">
        <f>IF($C1105="","",IFERROR(INDEX(Insumos!$B$2:$B$151,MATCH($C1105,Insumos!$A$2:$A$151,0)),"Código no cargado"))</f>
        <v/>
      </c>
      <c r="E1105" s="21">
        <f>IF($C1105="","",IFERROR(INDEX(Insumos!$C$2:$C$151,MATCH($C1105,Insumos!$A$2:$A$151,0)),""))</f>
        <v/>
      </c>
      <c r="F1105" s="21">
        <f>IF($C1105="","",IFERROR(INDEX(Insumos!$D$2:$D$151,MATCH($C1105,Insumos!$A$2:$A$151,0)),""))</f>
        <v/>
      </c>
      <c r="G1105" s="18" t="n"/>
      <c r="H1105" s="19">
        <f>IF(OR($A1105="",$C1105=""),"",IFERROR(INDEX(Insumos!$M$2:$S$151,MATCH($C1105,Insumos!$A$2:$A$151,0),WEEKDAY($A1105,2)),""))</f>
        <v/>
      </c>
      <c r="I1105" s="19">
        <f>IF(OR($G1105="",$H1105=""),"",MAX(0,$H1105-$G1105))</f>
        <v/>
      </c>
      <c r="J1105" s="21">
        <f>IF($I1105="","",IF($I1105=0,"OK",IF($G1105&lt;=0,"Sin stock: pedir ya","Pedir o producir")))</f>
        <v/>
      </c>
      <c r="K1105" s="17" t="n"/>
      <c r="L1105" s="17" t="n"/>
      <c r="M1105" s="21">
        <f>IF(OR($A1105="",$A1105&lt;&gt;'Lista para pedir'!$C$3,N($I1105)&lt;=0),"",COUNTIFS($A$2:$A1105,$A1105,$I$2:$I1105,"&gt;0"))</f>
        <v/>
      </c>
    </row>
    <row r="1106">
      <c r="A1106" s="20" t="n"/>
      <c r="B1106" s="21">
        <f>IF($A1106="","",CHOOSE(WEEKDAY($A1106,2),"Lunes","Martes","Miércoles","Jueves","Viernes","Sábado","Domingo"))</f>
        <v/>
      </c>
      <c r="C1106" s="17" t="n"/>
      <c r="D1106" s="21">
        <f>IF($C1106="","",IFERROR(INDEX(Insumos!$B$2:$B$151,MATCH($C1106,Insumos!$A$2:$A$151,0)),"Código no cargado"))</f>
        <v/>
      </c>
      <c r="E1106" s="21">
        <f>IF($C1106="","",IFERROR(INDEX(Insumos!$C$2:$C$151,MATCH($C1106,Insumos!$A$2:$A$151,0)),""))</f>
        <v/>
      </c>
      <c r="F1106" s="21">
        <f>IF($C1106="","",IFERROR(INDEX(Insumos!$D$2:$D$151,MATCH($C1106,Insumos!$A$2:$A$151,0)),""))</f>
        <v/>
      </c>
      <c r="G1106" s="18" t="n"/>
      <c r="H1106" s="19">
        <f>IF(OR($A1106="",$C1106=""),"",IFERROR(INDEX(Insumos!$M$2:$S$151,MATCH($C1106,Insumos!$A$2:$A$151,0),WEEKDAY($A1106,2)),""))</f>
        <v/>
      </c>
      <c r="I1106" s="19">
        <f>IF(OR($G1106="",$H1106=""),"",MAX(0,$H1106-$G1106))</f>
        <v/>
      </c>
      <c r="J1106" s="21">
        <f>IF($I1106="","",IF($I1106=0,"OK",IF($G1106&lt;=0,"Sin stock: pedir ya","Pedir o producir")))</f>
        <v/>
      </c>
      <c r="K1106" s="17" t="n"/>
      <c r="L1106" s="17" t="n"/>
      <c r="M1106" s="21">
        <f>IF(OR($A1106="",$A1106&lt;&gt;'Lista para pedir'!$C$3,N($I1106)&lt;=0),"",COUNTIFS($A$2:$A1106,$A1106,$I$2:$I1106,"&gt;0"))</f>
        <v/>
      </c>
    </row>
    <row r="1107">
      <c r="A1107" s="20" t="n"/>
      <c r="B1107" s="21">
        <f>IF($A1107="","",CHOOSE(WEEKDAY($A1107,2),"Lunes","Martes","Miércoles","Jueves","Viernes","Sábado","Domingo"))</f>
        <v/>
      </c>
      <c r="C1107" s="17" t="n"/>
      <c r="D1107" s="21">
        <f>IF($C1107="","",IFERROR(INDEX(Insumos!$B$2:$B$151,MATCH($C1107,Insumos!$A$2:$A$151,0)),"Código no cargado"))</f>
        <v/>
      </c>
      <c r="E1107" s="21">
        <f>IF($C1107="","",IFERROR(INDEX(Insumos!$C$2:$C$151,MATCH($C1107,Insumos!$A$2:$A$151,0)),""))</f>
        <v/>
      </c>
      <c r="F1107" s="21">
        <f>IF($C1107="","",IFERROR(INDEX(Insumos!$D$2:$D$151,MATCH($C1107,Insumos!$A$2:$A$151,0)),""))</f>
        <v/>
      </c>
      <c r="G1107" s="18" t="n"/>
      <c r="H1107" s="19">
        <f>IF(OR($A1107="",$C1107=""),"",IFERROR(INDEX(Insumos!$M$2:$S$151,MATCH($C1107,Insumos!$A$2:$A$151,0),WEEKDAY($A1107,2)),""))</f>
        <v/>
      </c>
      <c r="I1107" s="19">
        <f>IF(OR($G1107="",$H1107=""),"",MAX(0,$H1107-$G1107))</f>
        <v/>
      </c>
      <c r="J1107" s="21">
        <f>IF($I1107="","",IF($I1107=0,"OK",IF($G1107&lt;=0,"Sin stock: pedir ya","Pedir o producir")))</f>
        <v/>
      </c>
      <c r="K1107" s="17" t="n"/>
      <c r="L1107" s="17" t="n"/>
      <c r="M1107" s="21">
        <f>IF(OR($A1107="",$A1107&lt;&gt;'Lista para pedir'!$C$3,N($I1107)&lt;=0),"",COUNTIFS($A$2:$A1107,$A1107,$I$2:$I1107,"&gt;0"))</f>
        <v/>
      </c>
    </row>
    <row r="1108">
      <c r="A1108" s="20" t="n"/>
      <c r="B1108" s="21">
        <f>IF($A1108="","",CHOOSE(WEEKDAY($A1108,2),"Lunes","Martes","Miércoles","Jueves","Viernes","Sábado","Domingo"))</f>
        <v/>
      </c>
      <c r="C1108" s="17" t="n"/>
      <c r="D1108" s="21">
        <f>IF($C1108="","",IFERROR(INDEX(Insumos!$B$2:$B$151,MATCH($C1108,Insumos!$A$2:$A$151,0)),"Código no cargado"))</f>
        <v/>
      </c>
      <c r="E1108" s="21">
        <f>IF($C1108="","",IFERROR(INDEX(Insumos!$C$2:$C$151,MATCH($C1108,Insumos!$A$2:$A$151,0)),""))</f>
        <v/>
      </c>
      <c r="F1108" s="21">
        <f>IF($C1108="","",IFERROR(INDEX(Insumos!$D$2:$D$151,MATCH($C1108,Insumos!$A$2:$A$151,0)),""))</f>
        <v/>
      </c>
      <c r="G1108" s="18" t="n"/>
      <c r="H1108" s="19">
        <f>IF(OR($A1108="",$C1108=""),"",IFERROR(INDEX(Insumos!$M$2:$S$151,MATCH($C1108,Insumos!$A$2:$A$151,0),WEEKDAY($A1108,2)),""))</f>
        <v/>
      </c>
      <c r="I1108" s="19">
        <f>IF(OR($G1108="",$H1108=""),"",MAX(0,$H1108-$G1108))</f>
        <v/>
      </c>
      <c r="J1108" s="21">
        <f>IF($I1108="","",IF($I1108=0,"OK",IF($G1108&lt;=0,"Sin stock: pedir ya","Pedir o producir")))</f>
        <v/>
      </c>
      <c r="K1108" s="17" t="n"/>
      <c r="L1108" s="17" t="n"/>
      <c r="M1108" s="21">
        <f>IF(OR($A1108="",$A1108&lt;&gt;'Lista para pedir'!$C$3,N($I1108)&lt;=0),"",COUNTIFS($A$2:$A1108,$A1108,$I$2:$I1108,"&gt;0"))</f>
        <v/>
      </c>
    </row>
    <row r="1109">
      <c r="A1109" s="20" t="n"/>
      <c r="B1109" s="21">
        <f>IF($A1109="","",CHOOSE(WEEKDAY($A1109,2),"Lunes","Martes","Miércoles","Jueves","Viernes","Sábado","Domingo"))</f>
        <v/>
      </c>
      <c r="C1109" s="17" t="n"/>
      <c r="D1109" s="21">
        <f>IF($C1109="","",IFERROR(INDEX(Insumos!$B$2:$B$151,MATCH($C1109,Insumos!$A$2:$A$151,0)),"Código no cargado"))</f>
        <v/>
      </c>
      <c r="E1109" s="21">
        <f>IF($C1109="","",IFERROR(INDEX(Insumos!$C$2:$C$151,MATCH($C1109,Insumos!$A$2:$A$151,0)),""))</f>
        <v/>
      </c>
      <c r="F1109" s="21">
        <f>IF($C1109="","",IFERROR(INDEX(Insumos!$D$2:$D$151,MATCH($C1109,Insumos!$A$2:$A$151,0)),""))</f>
        <v/>
      </c>
      <c r="G1109" s="18" t="n"/>
      <c r="H1109" s="19">
        <f>IF(OR($A1109="",$C1109=""),"",IFERROR(INDEX(Insumos!$M$2:$S$151,MATCH($C1109,Insumos!$A$2:$A$151,0),WEEKDAY($A1109,2)),""))</f>
        <v/>
      </c>
      <c r="I1109" s="19">
        <f>IF(OR($G1109="",$H1109=""),"",MAX(0,$H1109-$G1109))</f>
        <v/>
      </c>
      <c r="J1109" s="21">
        <f>IF($I1109="","",IF($I1109=0,"OK",IF($G1109&lt;=0,"Sin stock: pedir ya","Pedir o producir")))</f>
        <v/>
      </c>
      <c r="K1109" s="17" t="n"/>
      <c r="L1109" s="17" t="n"/>
      <c r="M1109" s="21">
        <f>IF(OR($A1109="",$A1109&lt;&gt;'Lista para pedir'!$C$3,N($I1109)&lt;=0),"",COUNTIFS($A$2:$A1109,$A1109,$I$2:$I1109,"&gt;0"))</f>
        <v/>
      </c>
    </row>
    <row r="1110">
      <c r="A1110" s="20" t="n"/>
      <c r="B1110" s="21">
        <f>IF($A1110="","",CHOOSE(WEEKDAY($A1110,2),"Lunes","Martes","Miércoles","Jueves","Viernes","Sábado","Domingo"))</f>
        <v/>
      </c>
      <c r="C1110" s="17" t="n"/>
      <c r="D1110" s="21">
        <f>IF($C1110="","",IFERROR(INDEX(Insumos!$B$2:$B$151,MATCH($C1110,Insumos!$A$2:$A$151,0)),"Código no cargado"))</f>
        <v/>
      </c>
      <c r="E1110" s="21">
        <f>IF($C1110="","",IFERROR(INDEX(Insumos!$C$2:$C$151,MATCH($C1110,Insumos!$A$2:$A$151,0)),""))</f>
        <v/>
      </c>
      <c r="F1110" s="21">
        <f>IF($C1110="","",IFERROR(INDEX(Insumos!$D$2:$D$151,MATCH($C1110,Insumos!$A$2:$A$151,0)),""))</f>
        <v/>
      </c>
      <c r="G1110" s="18" t="n"/>
      <c r="H1110" s="19">
        <f>IF(OR($A1110="",$C1110=""),"",IFERROR(INDEX(Insumos!$M$2:$S$151,MATCH($C1110,Insumos!$A$2:$A$151,0),WEEKDAY($A1110,2)),""))</f>
        <v/>
      </c>
      <c r="I1110" s="19">
        <f>IF(OR($G1110="",$H1110=""),"",MAX(0,$H1110-$G1110))</f>
        <v/>
      </c>
      <c r="J1110" s="21">
        <f>IF($I1110="","",IF($I1110=0,"OK",IF($G1110&lt;=0,"Sin stock: pedir ya","Pedir o producir")))</f>
        <v/>
      </c>
      <c r="K1110" s="17" t="n"/>
      <c r="L1110" s="17" t="n"/>
      <c r="M1110" s="21">
        <f>IF(OR($A1110="",$A1110&lt;&gt;'Lista para pedir'!$C$3,N($I1110)&lt;=0),"",COUNTIFS($A$2:$A1110,$A1110,$I$2:$I1110,"&gt;0"))</f>
        <v/>
      </c>
    </row>
    <row r="1111">
      <c r="A1111" s="20" t="n"/>
      <c r="B1111" s="21">
        <f>IF($A1111="","",CHOOSE(WEEKDAY($A1111,2),"Lunes","Martes","Miércoles","Jueves","Viernes","Sábado","Domingo"))</f>
        <v/>
      </c>
      <c r="C1111" s="17" t="n"/>
      <c r="D1111" s="21">
        <f>IF($C1111="","",IFERROR(INDEX(Insumos!$B$2:$B$151,MATCH($C1111,Insumos!$A$2:$A$151,0)),"Código no cargado"))</f>
        <v/>
      </c>
      <c r="E1111" s="21">
        <f>IF($C1111="","",IFERROR(INDEX(Insumos!$C$2:$C$151,MATCH($C1111,Insumos!$A$2:$A$151,0)),""))</f>
        <v/>
      </c>
      <c r="F1111" s="21">
        <f>IF($C1111="","",IFERROR(INDEX(Insumos!$D$2:$D$151,MATCH($C1111,Insumos!$A$2:$A$151,0)),""))</f>
        <v/>
      </c>
      <c r="G1111" s="18" t="n"/>
      <c r="H1111" s="19">
        <f>IF(OR($A1111="",$C1111=""),"",IFERROR(INDEX(Insumos!$M$2:$S$151,MATCH($C1111,Insumos!$A$2:$A$151,0),WEEKDAY($A1111,2)),""))</f>
        <v/>
      </c>
      <c r="I1111" s="19">
        <f>IF(OR($G1111="",$H1111=""),"",MAX(0,$H1111-$G1111))</f>
        <v/>
      </c>
      <c r="J1111" s="21">
        <f>IF($I1111="","",IF($I1111=0,"OK",IF($G1111&lt;=0,"Sin stock: pedir ya","Pedir o producir")))</f>
        <v/>
      </c>
      <c r="K1111" s="17" t="n"/>
      <c r="L1111" s="17" t="n"/>
      <c r="M1111" s="21">
        <f>IF(OR($A1111="",$A1111&lt;&gt;'Lista para pedir'!$C$3,N($I1111)&lt;=0),"",COUNTIFS($A$2:$A1111,$A1111,$I$2:$I1111,"&gt;0"))</f>
        <v/>
      </c>
    </row>
    <row r="1112">
      <c r="A1112" s="20" t="n"/>
      <c r="B1112" s="21">
        <f>IF($A1112="","",CHOOSE(WEEKDAY($A1112,2),"Lunes","Martes","Miércoles","Jueves","Viernes","Sábado","Domingo"))</f>
        <v/>
      </c>
      <c r="C1112" s="17" t="n"/>
      <c r="D1112" s="21">
        <f>IF($C1112="","",IFERROR(INDEX(Insumos!$B$2:$B$151,MATCH($C1112,Insumos!$A$2:$A$151,0)),"Código no cargado"))</f>
        <v/>
      </c>
      <c r="E1112" s="21">
        <f>IF($C1112="","",IFERROR(INDEX(Insumos!$C$2:$C$151,MATCH($C1112,Insumos!$A$2:$A$151,0)),""))</f>
        <v/>
      </c>
      <c r="F1112" s="21">
        <f>IF($C1112="","",IFERROR(INDEX(Insumos!$D$2:$D$151,MATCH($C1112,Insumos!$A$2:$A$151,0)),""))</f>
        <v/>
      </c>
      <c r="G1112" s="18" t="n"/>
      <c r="H1112" s="19">
        <f>IF(OR($A1112="",$C1112=""),"",IFERROR(INDEX(Insumos!$M$2:$S$151,MATCH($C1112,Insumos!$A$2:$A$151,0),WEEKDAY($A1112,2)),""))</f>
        <v/>
      </c>
      <c r="I1112" s="19">
        <f>IF(OR($G1112="",$H1112=""),"",MAX(0,$H1112-$G1112))</f>
        <v/>
      </c>
      <c r="J1112" s="21">
        <f>IF($I1112="","",IF($I1112=0,"OK",IF($G1112&lt;=0,"Sin stock: pedir ya","Pedir o producir")))</f>
        <v/>
      </c>
      <c r="K1112" s="17" t="n"/>
      <c r="L1112" s="17" t="n"/>
      <c r="M1112" s="21">
        <f>IF(OR($A1112="",$A1112&lt;&gt;'Lista para pedir'!$C$3,N($I1112)&lt;=0),"",COUNTIFS($A$2:$A1112,$A1112,$I$2:$I1112,"&gt;0"))</f>
        <v/>
      </c>
    </row>
    <row r="1113">
      <c r="A1113" s="20" t="n"/>
      <c r="B1113" s="21">
        <f>IF($A1113="","",CHOOSE(WEEKDAY($A1113,2),"Lunes","Martes","Miércoles","Jueves","Viernes","Sábado","Domingo"))</f>
        <v/>
      </c>
      <c r="C1113" s="17" t="n"/>
      <c r="D1113" s="21">
        <f>IF($C1113="","",IFERROR(INDEX(Insumos!$B$2:$B$151,MATCH($C1113,Insumos!$A$2:$A$151,0)),"Código no cargado"))</f>
        <v/>
      </c>
      <c r="E1113" s="21">
        <f>IF($C1113="","",IFERROR(INDEX(Insumos!$C$2:$C$151,MATCH($C1113,Insumos!$A$2:$A$151,0)),""))</f>
        <v/>
      </c>
      <c r="F1113" s="21">
        <f>IF($C1113="","",IFERROR(INDEX(Insumos!$D$2:$D$151,MATCH($C1113,Insumos!$A$2:$A$151,0)),""))</f>
        <v/>
      </c>
      <c r="G1113" s="18" t="n"/>
      <c r="H1113" s="19">
        <f>IF(OR($A1113="",$C1113=""),"",IFERROR(INDEX(Insumos!$M$2:$S$151,MATCH($C1113,Insumos!$A$2:$A$151,0),WEEKDAY($A1113,2)),""))</f>
        <v/>
      </c>
      <c r="I1113" s="19">
        <f>IF(OR($G1113="",$H1113=""),"",MAX(0,$H1113-$G1113))</f>
        <v/>
      </c>
      <c r="J1113" s="21">
        <f>IF($I1113="","",IF($I1113=0,"OK",IF($G1113&lt;=0,"Sin stock: pedir ya","Pedir o producir")))</f>
        <v/>
      </c>
      <c r="K1113" s="17" t="n"/>
      <c r="L1113" s="17" t="n"/>
      <c r="M1113" s="21">
        <f>IF(OR($A1113="",$A1113&lt;&gt;'Lista para pedir'!$C$3,N($I1113)&lt;=0),"",COUNTIFS($A$2:$A1113,$A1113,$I$2:$I1113,"&gt;0"))</f>
        <v/>
      </c>
    </row>
    <row r="1114">
      <c r="A1114" s="20" t="n"/>
      <c r="B1114" s="21">
        <f>IF($A1114="","",CHOOSE(WEEKDAY($A1114,2),"Lunes","Martes","Miércoles","Jueves","Viernes","Sábado","Domingo"))</f>
        <v/>
      </c>
      <c r="C1114" s="17" t="n"/>
      <c r="D1114" s="21">
        <f>IF($C1114="","",IFERROR(INDEX(Insumos!$B$2:$B$151,MATCH($C1114,Insumos!$A$2:$A$151,0)),"Código no cargado"))</f>
        <v/>
      </c>
      <c r="E1114" s="21">
        <f>IF($C1114="","",IFERROR(INDEX(Insumos!$C$2:$C$151,MATCH($C1114,Insumos!$A$2:$A$151,0)),""))</f>
        <v/>
      </c>
      <c r="F1114" s="21">
        <f>IF($C1114="","",IFERROR(INDEX(Insumos!$D$2:$D$151,MATCH($C1114,Insumos!$A$2:$A$151,0)),""))</f>
        <v/>
      </c>
      <c r="G1114" s="18" t="n"/>
      <c r="H1114" s="19">
        <f>IF(OR($A1114="",$C1114=""),"",IFERROR(INDEX(Insumos!$M$2:$S$151,MATCH($C1114,Insumos!$A$2:$A$151,0),WEEKDAY($A1114,2)),""))</f>
        <v/>
      </c>
      <c r="I1114" s="19">
        <f>IF(OR($G1114="",$H1114=""),"",MAX(0,$H1114-$G1114))</f>
        <v/>
      </c>
      <c r="J1114" s="21">
        <f>IF($I1114="","",IF($I1114=0,"OK",IF($G1114&lt;=0,"Sin stock: pedir ya","Pedir o producir")))</f>
        <v/>
      </c>
      <c r="K1114" s="17" t="n"/>
      <c r="L1114" s="17" t="n"/>
      <c r="M1114" s="21">
        <f>IF(OR($A1114="",$A1114&lt;&gt;'Lista para pedir'!$C$3,N($I1114)&lt;=0),"",COUNTIFS($A$2:$A1114,$A1114,$I$2:$I1114,"&gt;0"))</f>
        <v/>
      </c>
    </row>
    <row r="1115">
      <c r="A1115" s="20" t="n"/>
      <c r="B1115" s="21">
        <f>IF($A1115="","",CHOOSE(WEEKDAY($A1115,2),"Lunes","Martes","Miércoles","Jueves","Viernes","Sábado","Domingo"))</f>
        <v/>
      </c>
      <c r="C1115" s="17" t="n"/>
      <c r="D1115" s="21">
        <f>IF($C1115="","",IFERROR(INDEX(Insumos!$B$2:$B$151,MATCH($C1115,Insumos!$A$2:$A$151,0)),"Código no cargado"))</f>
        <v/>
      </c>
      <c r="E1115" s="21">
        <f>IF($C1115="","",IFERROR(INDEX(Insumos!$C$2:$C$151,MATCH($C1115,Insumos!$A$2:$A$151,0)),""))</f>
        <v/>
      </c>
      <c r="F1115" s="21">
        <f>IF($C1115="","",IFERROR(INDEX(Insumos!$D$2:$D$151,MATCH($C1115,Insumos!$A$2:$A$151,0)),""))</f>
        <v/>
      </c>
      <c r="G1115" s="18" t="n"/>
      <c r="H1115" s="19">
        <f>IF(OR($A1115="",$C1115=""),"",IFERROR(INDEX(Insumos!$M$2:$S$151,MATCH($C1115,Insumos!$A$2:$A$151,0),WEEKDAY($A1115,2)),""))</f>
        <v/>
      </c>
      <c r="I1115" s="19">
        <f>IF(OR($G1115="",$H1115=""),"",MAX(0,$H1115-$G1115))</f>
        <v/>
      </c>
      <c r="J1115" s="21">
        <f>IF($I1115="","",IF($I1115=0,"OK",IF($G1115&lt;=0,"Sin stock: pedir ya","Pedir o producir")))</f>
        <v/>
      </c>
      <c r="K1115" s="17" t="n"/>
      <c r="L1115" s="17" t="n"/>
      <c r="M1115" s="21">
        <f>IF(OR($A1115="",$A1115&lt;&gt;'Lista para pedir'!$C$3,N($I1115)&lt;=0),"",COUNTIFS($A$2:$A1115,$A1115,$I$2:$I1115,"&gt;0"))</f>
        <v/>
      </c>
    </row>
    <row r="1116">
      <c r="A1116" s="20" t="n"/>
      <c r="B1116" s="21">
        <f>IF($A1116="","",CHOOSE(WEEKDAY($A1116,2),"Lunes","Martes","Miércoles","Jueves","Viernes","Sábado","Domingo"))</f>
        <v/>
      </c>
      <c r="C1116" s="17" t="n"/>
      <c r="D1116" s="21">
        <f>IF($C1116="","",IFERROR(INDEX(Insumos!$B$2:$B$151,MATCH($C1116,Insumos!$A$2:$A$151,0)),"Código no cargado"))</f>
        <v/>
      </c>
      <c r="E1116" s="21">
        <f>IF($C1116="","",IFERROR(INDEX(Insumos!$C$2:$C$151,MATCH($C1116,Insumos!$A$2:$A$151,0)),""))</f>
        <v/>
      </c>
      <c r="F1116" s="21">
        <f>IF($C1116="","",IFERROR(INDEX(Insumos!$D$2:$D$151,MATCH($C1116,Insumos!$A$2:$A$151,0)),""))</f>
        <v/>
      </c>
      <c r="G1116" s="18" t="n"/>
      <c r="H1116" s="19">
        <f>IF(OR($A1116="",$C1116=""),"",IFERROR(INDEX(Insumos!$M$2:$S$151,MATCH($C1116,Insumos!$A$2:$A$151,0),WEEKDAY($A1116,2)),""))</f>
        <v/>
      </c>
      <c r="I1116" s="19">
        <f>IF(OR($G1116="",$H1116=""),"",MAX(0,$H1116-$G1116))</f>
        <v/>
      </c>
      <c r="J1116" s="21">
        <f>IF($I1116="","",IF($I1116=0,"OK",IF($G1116&lt;=0,"Sin stock: pedir ya","Pedir o producir")))</f>
        <v/>
      </c>
      <c r="K1116" s="17" t="n"/>
      <c r="L1116" s="17" t="n"/>
      <c r="M1116" s="21">
        <f>IF(OR($A1116="",$A1116&lt;&gt;'Lista para pedir'!$C$3,N($I1116)&lt;=0),"",COUNTIFS($A$2:$A1116,$A1116,$I$2:$I1116,"&gt;0"))</f>
        <v/>
      </c>
    </row>
    <row r="1117">
      <c r="A1117" s="20" t="n"/>
      <c r="B1117" s="21">
        <f>IF($A1117="","",CHOOSE(WEEKDAY($A1117,2),"Lunes","Martes","Miércoles","Jueves","Viernes","Sábado","Domingo"))</f>
        <v/>
      </c>
      <c r="C1117" s="17" t="n"/>
      <c r="D1117" s="21">
        <f>IF($C1117="","",IFERROR(INDEX(Insumos!$B$2:$B$151,MATCH($C1117,Insumos!$A$2:$A$151,0)),"Código no cargado"))</f>
        <v/>
      </c>
      <c r="E1117" s="21">
        <f>IF($C1117="","",IFERROR(INDEX(Insumos!$C$2:$C$151,MATCH($C1117,Insumos!$A$2:$A$151,0)),""))</f>
        <v/>
      </c>
      <c r="F1117" s="21">
        <f>IF($C1117="","",IFERROR(INDEX(Insumos!$D$2:$D$151,MATCH($C1117,Insumos!$A$2:$A$151,0)),""))</f>
        <v/>
      </c>
      <c r="G1117" s="18" t="n"/>
      <c r="H1117" s="19">
        <f>IF(OR($A1117="",$C1117=""),"",IFERROR(INDEX(Insumos!$M$2:$S$151,MATCH($C1117,Insumos!$A$2:$A$151,0),WEEKDAY($A1117,2)),""))</f>
        <v/>
      </c>
      <c r="I1117" s="19">
        <f>IF(OR($G1117="",$H1117=""),"",MAX(0,$H1117-$G1117))</f>
        <v/>
      </c>
      <c r="J1117" s="21">
        <f>IF($I1117="","",IF($I1117=0,"OK",IF($G1117&lt;=0,"Sin stock: pedir ya","Pedir o producir")))</f>
        <v/>
      </c>
      <c r="K1117" s="17" t="n"/>
      <c r="L1117" s="17" t="n"/>
      <c r="M1117" s="21">
        <f>IF(OR($A1117="",$A1117&lt;&gt;'Lista para pedir'!$C$3,N($I1117)&lt;=0),"",COUNTIFS($A$2:$A1117,$A1117,$I$2:$I1117,"&gt;0"))</f>
        <v/>
      </c>
    </row>
    <row r="1118">
      <c r="A1118" s="20" t="n"/>
      <c r="B1118" s="21">
        <f>IF($A1118="","",CHOOSE(WEEKDAY($A1118,2),"Lunes","Martes","Miércoles","Jueves","Viernes","Sábado","Domingo"))</f>
        <v/>
      </c>
      <c r="C1118" s="17" t="n"/>
      <c r="D1118" s="21">
        <f>IF($C1118="","",IFERROR(INDEX(Insumos!$B$2:$B$151,MATCH($C1118,Insumos!$A$2:$A$151,0)),"Código no cargado"))</f>
        <v/>
      </c>
      <c r="E1118" s="21">
        <f>IF($C1118="","",IFERROR(INDEX(Insumos!$C$2:$C$151,MATCH($C1118,Insumos!$A$2:$A$151,0)),""))</f>
        <v/>
      </c>
      <c r="F1118" s="21">
        <f>IF($C1118="","",IFERROR(INDEX(Insumos!$D$2:$D$151,MATCH($C1118,Insumos!$A$2:$A$151,0)),""))</f>
        <v/>
      </c>
      <c r="G1118" s="18" t="n"/>
      <c r="H1118" s="19">
        <f>IF(OR($A1118="",$C1118=""),"",IFERROR(INDEX(Insumos!$M$2:$S$151,MATCH($C1118,Insumos!$A$2:$A$151,0),WEEKDAY($A1118,2)),""))</f>
        <v/>
      </c>
      <c r="I1118" s="19">
        <f>IF(OR($G1118="",$H1118=""),"",MAX(0,$H1118-$G1118))</f>
        <v/>
      </c>
      <c r="J1118" s="21">
        <f>IF($I1118="","",IF($I1118=0,"OK",IF($G1118&lt;=0,"Sin stock: pedir ya","Pedir o producir")))</f>
        <v/>
      </c>
      <c r="K1118" s="17" t="n"/>
      <c r="L1118" s="17" t="n"/>
      <c r="M1118" s="21">
        <f>IF(OR($A1118="",$A1118&lt;&gt;'Lista para pedir'!$C$3,N($I1118)&lt;=0),"",COUNTIFS($A$2:$A1118,$A1118,$I$2:$I1118,"&gt;0"))</f>
        <v/>
      </c>
    </row>
    <row r="1119">
      <c r="A1119" s="20" t="n"/>
      <c r="B1119" s="21">
        <f>IF($A1119="","",CHOOSE(WEEKDAY($A1119,2),"Lunes","Martes","Miércoles","Jueves","Viernes","Sábado","Domingo"))</f>
        <v/>
      </c>
      <c r="C1119" s="17" t="n"/>
      <c r="D1119" s="21">
        <f>IF($C1119="","",IFERROR(INDEX(Insumos!$B$2:$B$151,MATCH($C1119,Insumos!$A$2:$A$151,0)),"Código no cargado"))</f>
        <v/>
      </c>
      <c r="E1119" s="21">
        <f>IF($C1119="","",IFERROR(INDEX(Insumos!$C$2:$C$151,MATCH($C1119,Insumos!$A$2:$A$151,0)),""))</f>
        <v/>
      </c>
      <c r="F1119" s="21">
        <f>IF($C1119="","",IFERROR(INDEX(Insumos!$D$2:$D$151,MATCH($C1119,Insumos!$A$2:$A$151,0)),""))</f>
        <v/>
      </c>
      <c r="G1119" s="18" t="n"/>
      <c r="H1119" s="19">
        <f>IF(OR($A1119="",$C1119=""),"",IFERROR(INDEX(Insumos!$M$2:$S$151,MATCH($C1119,Insumos!$A$2:$A$151,0),WEEKDAY($A1119,2)),""))</f>
        <v/>
      </c>
      <c r="I1119" s="19">
        <f>IF(OR($G1119="",$H1119=""),"",MAX(0,$H1119-$G1119))</f>
        <v/>
      </c>
      <c r="J1119" s="21">
        <f>IF($I1119="","",IF($I1119=0,"OK",IF($G1119&lt;=0,"Sin stock: pedir ya","Pedir o producir")))</f>
        <v/>
      </c>
      <c r="K1119" s="17" t="n"/>
      <c r="L1119" s="17" t="n"/>
      <c r="M1119" s="21">
        <f>IF(OR($A1119="",$A1119&lt;&gt;'Lista para pedir'!$C$3,N($I1119)&lt;=0),"",COUNTIFS($A$2:$A1119,$A1119,$I$2:$I1119,"&gt;0"))</f>
        <v/>
      </c>
    </row>
    <row r="1120">
      <c r="A1120" s="20" t="n"/>
      <c r="B1120" s="21">
        <f>IF($A1120="","",CHOOSE(WEEKDAY($A1120,2),"Lunes","Martes","Miércoles","Jueves","Viernes","Sábado","Domingo"))</f>
        <v/>
      </c>
      <c r="C1120" s="17" t="n"/>
      <c r="D1120" s="21">
        <f>IF($C1120="","",IFERROR(INDEX(Insumos!$B$2:$B$151,MATCH($C1120,Insumos!$A$2:$A$151,0)),"Código no cargado"))</f>
        <v/>
      </c>
      <c r="E1120" s="21">
        <f>IF($C1120="","",IFERROR(INDEX(Insumos!$C$2:$C$151,MATCH($C1120,Insumos!$A$2:$A$151,0)),""))</f>
        <v/>
      </c>
      <c r="F1120" s="21">
        <f>IF($C1120="","",IFERROR(INDEX(Insumos!$D$2:$D$151,MATCH($C1120,Insumos!$A$2:$A$151,0)),""))</f>
        <v/>
      </c>
      <c r="G1120" s="18" t="n"/>
      <c r="H1120" s="19">
        <f>IF(OR($A1120="",$C1120=""),"",IFERROR(INDEX(Insumos!$M$2:$S$151,MATCH($C1120,Insumos!$A$2:$A$151,0),WEEKDAY($A1120,2)),""))</f>
        <v/>
      </c>
      <c r="I1120" s="19">
        <f>IF(OR($G1120="",$H1120=""),"",MAX(0,$H1120-$G1120))</f>
        <v/>
      </c>
      <c r="J1120" s="21">
        <f>IF($I1120="","",IF($I1120=0,"OK",IF($G1120&lt;=0,"Sin stock: pedir ya","Pedir o producir")))</f>
        <v/>
      </c>
      <c r="K1120" s="17" t="n"/>
      <c r="L1120" s="17" t="n"/>
      <c r="M1120" s="21">
        <f>IF(OR($A1120="",$A1120&lt;&gt;'Lista para pedir'!$C$3,N($I1120)&lt;=0),"",COUNTIFS($A$2:$A1120,$A1120,$I$2:$I1120,"&gt;0"))</f>
        <v/>
      </c>
    </row>
    <row r="1121">
      <c r="A1121" s="20" t="n"/>
      <c r="B1121" s="21">
        <f>IF($A1121="","",CHOOSE(WEEKDAY($A1121,2),"Lunes","Martes","Miércoles","Jueves","Viernes","Sábado","Domingo"))</f>
        <v/>
      </c>
      <c r="C1121" s="17" t="n"/>
      <c r="D1121" s="21">
        <f>IF($C1121="","",IFERROR(INDEX(Insumos!$B$2:$B$151,MATCH($C1121,Insumos!$A$2:$A$151,0)),"Código no cargado"))</f>
        <v/>
      </c>
      <c r="E1121" s="21">
        <f>IF($C1121="","",IFERROR(INDEX(Insumos!$C$2:$C$151,MATCH($C1121,Insumos!$A$2:$A$151,0)),""))</f>
        <v/>
      </c>
      <c r="F1121" s="21">
        <f>IF($C1121="","",IFERROR(INDEX(Insumos!$D$2:$D$151,MATCH($C1121,Insumos!$A$2:$A$151,0)),""))</f>
        <v/>
      </c>
      <c r="G1121" s="18" t="n"/>
      <c r="H1121" s="19">
        <f>IF(OR($A1121="",$C1121=""),"",IFERROR(INDEX(Insumos!$M$2:$S$151,MATCH($C1121,Insumos!$A$2:$A$151,0),WEEKDAY($A1121,2)),""))</f>
        <v/>
      </c>
      <c r="I1121" s="19">
        <f>IF(OR($G1121="",$H1121=""),"",MAX(0,$H1121-$G1121))</f>
        <v/>
      </c>
      <c r="J1121" s="21">
        <f>IF($I1121="","",IF($I1121=0,"OK",IF($G1121&lt;=0,"Sin stock: pedir ya","Pedir o producir")))</f>
        <v/>
      </c>
      <c r="K1121" s="17" t="n"/>
      <c r="L1121" s="17" t="n"/>
      <c r="M1121" s="21">
        <f>IF(OR($A1121="",$A1121&lt;&gt;'Lista para pedir'!$C$3,N($I1121)&lt;=0),"",COUNTIFS($A$2:$A1121,$A1121,$I$2:$I1121,"&gt;0"))</f>
        <v/>
      </c>
    </row>
    <row r="1122">
      <c r="A1122" s="20" t="n"/>
      <c r="B1122" s="21">
        <f>IF($A1122="","",CHOOSE(WEEKDAY($A1122,2),"Lunes","Martes","Miércoles","Jueves","Viernes","Sábado","Domingo"))</f>
        <v/>
      </c>
      <c r="C1122" s="17" t="n"/>
      <c r="D1122" s="21">
        <f>IF($C1122="","",IFERROR(INDEX(Insumos!$B$2:$B$151,MATCH($C1122,Insumos!$A$2:$A$151,0)),"Código no cargado"))</f>
        <v/>
      </c>
      <c r="E1122" s="21">
        <f>IF($C1122="","",IFERROR(INDEX(Insumos!$C$2:$C$151,MATCH($C1122,Insumos!$A$2:$A$151,0)),""))</f>
        <v/>
      </c>
      <c r="F1122" s="21">
        <f>IF($C1122="","",IFERROR(INDEX(Insumos!$D$2:$D$151,MATCH($C1122,Insumos!$A$2:$A$151,0)),""))</f>
        <v/>
      </c>
      <c r="G1122" s="18" t="n"/>
      <c r="H1122" s="19">
        <f>IF(OR($A1122="",$C1122=""),"",IFERROR(INDEX(Insumos!$M$2:$S$151,MATCH($C1122,Insumos!$A$2:$A$151,0),WEEKDAY($A1122,2)),""))</f>
        <v/>
      </c>
      <c r="I1122" s="19">
        <f>IF(OR($G1122="",$H1122=""),"",MAX(0,$H1122-$G1122))</f>
        <v/>
      </c>
      <c r="J1122" s="21">
        <f>IF($I1122="","",IF($I1122=0,"OK",IF($G1122&lt;=0,"Sin stock: pedir ya","Pedir o producir")))</f>
        <v/>
      </c>
      <c r="K1122" s="17" t="n"/>
      <c r="L1122" s="17" t="n"/>
      <c r="M1122" s="21">
        <f>IF(OR($A1122="",$A1122&lt;&gt;'Lista para pedir'!$C$3,N($I1122)&lt;=0),"",COUNTIFS($A$2:$A1122,$A1122,$I$2:$I1122,"&gt;0"))</f>
        <v/>
      </c>
    </row>
    <row r="1123">
      <c r="A1123" s="20" t="n"/>
      <c r="B1123" s="21">
        <f>IF($A1123="","",CHOOSE(WEEKDAY($A1123,2),"Lunes","Martes","Miércoles","Jueves","Viernes","Sábado","Domingo"))</f>
        <v/>
      </c>
      <c r="C1123" s="17" t="n"/>
      <c r="D1123" s="21">
        <f>IF($C1123="","",IFERROR(INDEX(Insumos!$B$2:$B$151,MATCH($C1123,Insumos!$A$2:$A$151,0)),"Código no cargado"))</f>
        <v/>
      </c>
      <c r="E1123" s="21">
        <f>IF($C1123="","",IFERROR(INDEX(Insumos!$C$2:$C$151,MATCH($C1123,Insumos!$A$2:$A$151,0)),""))</f>
        <v/>
      </c>
      <c r="F1123" s="21">
        <f>IF($C1123="","",IFERROR(INDEX(Insumos!$D$2:$D$151,MATCH($C1123,Insumos!$A$2:$A$151,0)),""))</f>
        <v/>
      </c>
      <c r="G1123" s="18" t="n"/>
      <c r="H1123" s="19">
        <f>IF(OR($A1123="",$C1123=""),"",IFERROR(INDEX(Insumos!$M$2:$S$151,MATCH($C1123,Insumos!$A$2:$A$151,0),WEEKDAY($A1123,2)),""))</f>
        <v/>
      </c>
      <c r="I1123" s="19">
        <f>IF(OR($G1123="",$H1123=""),"",MAX(0,$H1123-$G1123))</f>
        <v/>
      </c>
      <c r="J1123" s="21">
        <f>IF($I1123="","",IF($I1123=0,"OK",IF($G1123&lt;=0,"Sin stock: pedir ya","Pedir o producir")))</f>
        <v/>
      </c>
      <c r="K1123" s="17" t="n"/>
      <c r="L1123" s="17" t="n"/>
      <c r="M1123" s="21">
        <f>IF(OR($A1123="",$A1123&lt;&gt;'Lista para pedir'!$C$3,N($I1123)&lt;=0),"",COUNTIFS($A$2:$A1123,$A1123,$I$2:$I1123,"&gt;0"))</f>
        <v/>
      </c>
    </row>
    <row r="1124">
      <c r="A1124" s="20" t="n"/>
      <c r="B1124" s="21">
        <f>IF($A1124="","",CHOOSE(WEEKDAY($A1124,2),"Lunes","Martes","Miércoles","Jueves","Viernes","Sábado","Domingo"))</f>
        <v/>
      </c>
      <c r="C1124" s="17" t="n"/>
      <c r="D1124" s="21">
        <f>IF($C1124="","",IFERROR(INDEX(Insumos!$B$2:$B$151,MATCH($C1124,Insumos!$A$2:$A$151,0)),"Código no cargado"))</f>
        <v/>
      </c>
      <c r="E1124" s="21">
        <f>IF($C1124="","",IFERROR(INDEX(Insumos!$C$2:$C$151,MATCH($C1124,Insumos!$A$2:$A$151,0)),""))</f>
        <v/>
      </c>
      <c r="F1124" s="21">
        <f>IF($C1124="","",IFERROR(INDEX(Insumos!$D$2:$D$151,MATCH($C1124,Insumos!$A$2:$A$151,0)),""))</f>
        <v/>
      </c>
      <c r="G1124" s="18" t="n"/>
      <c r="H1124" s="19">
        <f>IF(OR($A1124="",$C1124=""),"",IFERROR(INDEX(Insumos!$M$2:$S$151,MATCH($C1124,Insumos!$A$2:$A$151,0),WEEKDAY($A1124,2)),""))</f>
        <v/>
      </c>
      <c r="I1124" s="19">
        <f>IF(OR($G1124="",$H1124=""),"",MAX(0,$H1124-$G1124))</f>
        <v/>
      </c>
      <c r="J1124" s="21">
        <f>IF($I1124="","",IF($I1124=0,"OK",IF($G1124&lt;=0,"Sin stock: pedir ya","Pedir o producir")))</f>
        <v/>
      </c>
      <c r="K1124" s="17" t="n"/>
      <c r="L1124" s="17" t="n"/>
      <c r="M1124" s="21">
        <f>IF(OR($A1124="",$A1124&lt;&gt;'Lista para pedir'!$C$3,N($I1124)&lt;=0),"",COUNTIFS($A$2:$A1124,$A1124,$I$2:$I1124,"&gt;0"))</f>
        <v/>
      </c>
    </row>
    <row r="1125">
      <c r="A1125" s="20" t="n"/>
      <c r="B1125" s="21">
        <f>IF($A1125="","",CHOOSE(WEEKDAY($A1125,2),"Lunes","Martes","Miércoles","Jueves","Viernes","Sábado","Domingo"))</f>
        <v/>
      </c>
      <c r="C1125" s="17" t="n"/>
      <c r="D1125" s="21">
        <f>IF($C1125="","",IFERROR(INDEX(Insumos!$B$2:$B$151,MATCH($C1125,Insumos!$A$2:$A$151,0)),"Código no cargado"))</f>
        <v/>
      </c>
      <c r="E1125" s="21">
        <f>IF($C1125="","",IFERROR(INDEX(Insumos!$C$2:$C$151,MATCH($C1125,Insumos!$A$2:$A$151,0)),""))</f>
        <v/>
      </c>
      <c r="F1125" s="21">
        <f>IF($C1125="","",IFERROR(INDEX(Insumos!$D$2:$D$151,MATCH($C1125,Insumos!$A$2:$A$151,0)),""))</f>
        <v/>
      </c>
      <c r="G1125" s="18" t="n"/>
      <c r="H1125" s="19">
        <f>IF(OR($A1125="",$C1125=""),"",IFERROR(INDEX(Insumos!$M$2:$S$151,MATCH($C1125,Insumos!$A$2:$A$151,0),WEEKDAY($A1125,2)),""))</f>
        <v/>
      </c>
      <c r="I1125" s="19">
        <f>IF(OR($G1125="",$H1125=""),"",MAX(0,$H1125-$G1125))</f>
        <v/>
      </c>
      <c r="J1125" s="21">
        <f>IF($I1125="","",IF($I1125=0,"OK",IF($G1125&lt;=0,"Sin stock: pedir ya","Pedir o producir")))</f>
        <v/>
      </c>
      <c r="K1125" s="17" t="n"/>
      <c r="L1125" s="17" t="n"/>
      <c r="M1125" s="21">
        <f>IF(OR($A1125="",$A1125&lt;&gt;'Lista para pedir'!$C$3,N($I1125)&lt;=0),"",COUNTIFS($A$2:$A1125,$A1125,$I$2:$I1125,"&gt;0"))</f>
        <v/>
      </c>
    </row>
    <row r="1126">
      <c r="A1126" s="20" t="n"/>
      <c r="B1126" s="21">
        <f>IF($A1126="","",CHOOSE(WEEKDAY($A1126,2),"Lunes","Martes","Miércoles","Jueves","Viernes","Sábado","Domingo"))</f>
        <v/>
      </c>
      <c r="C1126" s="17" t="n"/>
      <c r="D1126" s="21">
        <f>IF($C1126="","",IFERROR(INDEX(Insumos!$B$2:$B$151,MATCH($C1126,Insumos!$A$2:$A$151,0)),"Código no cargado"))</f>
        <v/>
      </c>
      <c r="E1126" s="21">
        <f>IF($C1126="","",IFERROR(INDEX(Insumos!$C$2:$C$151,MATCH($C1126,Insumos!$A$2:$A$151,0)),""))</f>
        <v/>
      </c>
      <c r="F1126" s="21">
        <f>IF($C1126="","",IFERROR(INDEX(Insumos!$D$2:$D$151,MATCH($C1126,Insumos!$A$2:$A$151,0)),""))</f>
        <v/>
      </c>
      <c r="G1126" s="18" t="n"/>
      <c r="H1126" s="19">
        <f>IF(OR($A1126="",$C1126=""),"",IFERROR(INDEX(Insumos!$M$2:$S$151,MATCH($C1126,Insumos!$A$2:$A$151,0),WEEKDAY($A1126,2)),""))</f>
        <v/>
      </c>
      <c r="I1126" s="19">
        <f>IF(OR($G1126="",$H1126=""),"",MAX(0,$H1126-$G1126))</f>
        <v/>
      </c>
      <c r="J1126" s="21">
        <f>IF($I1126="","",IF($I1126=0,"OK",IF($G1126&lt;=0,"Sin stock: pedir ya","Pedir o producir")))</f>
        <v/>
      </c>
      <c r="K1126" s="17" t="n"/>
      <c r="L1126" s="17" t="n"/>
      <c r="M1126" s="21">
        <f>IF(OR($A1126="",$A1126&lt;&gt;'Lista para pedir'!$C$3,N($I1126)&lt;=0),"",COUNTIFS($A$2:$A1126,$A1126,$I$2:$I1126,"&gt;0"))</f>
        <v/>
      </c>
    </row>
    <row r="1127">
      <c r="A1127" s="20" t="n"/>
      <c r="B1127" s="21">
        <f>IF($A1127="","",CHOOSE(WEEKDAY($A1127,2),"Lunes","Martes","Miércoles","Jueves","Viernes","Sábado","Domingo"))</f>
        <v/>
      </c>
      <c r="C1127" s="17" t="n"/>
      <c r="D1127" s="21">
        <f>IF($C1127="","",IFERROR(INDEX(Insumos!$B$2:$B$151,MATCH($C1127,Insumos!$A$2:$A$151,0)),"Código no cargado"))</f>
        <v/>
      </c>
      <c r="E1127" s="21">
        <f>IF($C1127="","",IFERROR(INDEX(Insumos!$C$2:$C$151,MATCH($C1127,Insumos!$A$2:$A$151,0)),""))</f>
        <v/>
      </c>
      <c r="F1127" s="21">
        <f>IF($C1127="","",IFERROR(INDEX(Insumos!$D$2:$D$151,MATCH($C1127,Insumos!$A$2:$A$151,0)),""))</f>
        <v/>
      </c>
      <c r="G1127" s="18" t="n"/>
      <c r="H1127" s="19">
        <f>IF(OR($A1127="",$C1127=""),"",IFERROR(INDEX(Insumos!$M$2:$S$151,MATCH($C1127,Insumos!$A$2:$A$151,0),WEEKDAY($A1127,2)),""))</f>
        <v/>
      </c>
      <c r="I1127" s="19">
        <f>IF(OR($G1127="",$H1127=""),"",MAX(0,$H1127-$G1127))</f>
        <v/>
      </c>
      <c r="J1127" s="21">
        <f>IF($I1127="","",IF($I1127=0,"OK",IF($G1127&lt;=0,"Sin stock: pedir ya","Pedir o producir")))</f>
        <v/>
      </c>
      <c r="K1127" s="17" t="n"/>
      <c r="L1127" s="17" t="n"/>
      <c r="M1127" s="21">
        <f>IF(OR($A1127="",$A1127&lt;&gt;'Lista para pedir'!$C$3,N($I1127)&lt;=0),"",COUNTIFS($A$2:$A1127,$A1127,$I$2:$I1127,"&gt;0"))</f>
        <v/>
      </c>
    </row>
    <row r="1128">
      <c r="A1128" s="20" t="n"/>
      <c r="B1128" s="21">
        <f>IF($A1128="","",CHOOSE(WEEKDAY($A1128,2),"Lunes","Martes","Miércoles","Jueves","Viernes","Sábado","Domingo"))</f>
        <v/>
      </c>
      <c r="C1128" s="17" t="n"/>
      <c r="D1128" s="21">
        <f>IF($C1128="","",IFERROR(INDEX(Insumos!$B$2:$B$151,MATCH($C1128,Insumos!$A$2:$A$151,0)),"Código no cargado"))</f>
        <v/>
      </c>
      <c r="E1128" s="21">
        <f>IF($C1128="","",IFERROR(INDEX(Insumos!$C$2:$C$151,MATCH($C1128,Insumos!$A$2:$A$151,0)),""))</f>
        <v/>
      </c>
      <c r="F1128" s="21">
        <f>IF($C1128="","",IFERROR(INDEX(Insumos!$D$2:$D$151,MATCH($C1128,Insumos!$A$2:$A$151,0)),""))</f>
        <v/>
      </c>
      <c r="G1128" s="18" t="n"/>
      <c r="H1128" s="19">
        <f>IF(OR($A1128="",$C1128=""),"",IFERROR(INDEX(Insumos!$M$2:$S$151,MATCH($C1128,Insumos!$A$2:$A$151,0),WEEKDAY($A1128,2)),""))</f>
        <v/>
      </c>
      <c r="I1128" s="19">
        <f>IF(OR($G1128="",$H1128=""),"",MAX(0,$H1128-$G1128))</f>
        <v/>
      </c>
      <c r="J1128" s="21">
        <f>IF($I1128="","",IF($I1128=0,"OK",IF($G1128&lt;=0,"Sin stock: pedir ya","Pedir o producir")))</f>
        <v/>
      </c>
      <c r="K1128" s="17" t="n"/>
      <c r="L1128" s="17" t="n"/>
      <c r="M1128" s="21">
        <f>IF(OR($A1128="",$A1128&lt;&gt;'Lista para pedir'!$C$3,N($I1128)&lt;=0),"",COUNTIFS($A$2:$A1128,$A1128,$I$2:$I1128,"&gt;0"))</f>
        <v/>
      </c>
    </row>
    <row r="1129">
      <c r="A1129" s="20" t="n"/>
      <c r="B1129" s="21">
        <f>IF($A1129="","",CHOOSE(WEEKDAY($A1129,2),"Lunes","Martes","Miércoles","Jueves","Viernes","Sábado","Domingo"))</f>
        <v/>
      </c>
      <c r="C1129" s="17" t="n"/>
      <c r="D1129" s="21">
        <f>IF($C1129="","",IFERROR(INDEX(Insumos!$B$2:$B$151,MATCH($C1129,Insumos!$A$2:$A$151,0)),"Código no cargado"))</f>
        <v/>
      </c>
      <c r="E1129" s="21">
        <f>IF($C1129="","",IFERROR(INDEX(Insumos!$C$2:$C$151,MATCH($C1129,Insumos!$A$2:$A$151,0)),""))</f>
        <v/>
      </c>
      <c r="F1129" s="21">
        <f>IF($C1129="","",IFERROR(INDEX(Insumos!$D$2:$D$151,MATCH($C1129,Insumos!$A$2:$A$151,0)),""))</f>
        <v/>
      </c>
      <c r="G1129" s="18" t="n"/>
      <c r="H1129" s="19">
        <f>IF(OR($A1129="",$C1129=""),"",IFERROR(INDEX(Insumos!$M$2:$S$151,MATCH($C1129,Insumos!$A$2:$A$151,0),WEEKDAY($A1129,2)),""))</f>
        <v/>
      </c>
      <c r="I1129" s="19">
        <f>IF(OR($G1129="",$H1129=""),"",MAX(0,$H1129-$G1129))</f>
        <v/>
      </c>
      <c r="J1129" s="21">
        <f>IF($I1129="","",IF($I1129=0,"OK",IF($G1129&lt;=0,"Sin stock: pedir ya","Pedir o producir")))</f>
        <v/>
      </c>
      <c r="K1129" s="17" t="n"/>
      <c r="L1129" s="17" t="n"/>
      <c r="M1129" s="21">
        <f>IF(OR($A1129="",$A1129&lt;&gt;'Lista para pedir'!$C$3,N($I1129)&lt;=0),"",COUNTIFS($A$2:$A1129,$A1129,$I$2:$I1129,"&gt;0"))</f>
        <v/>
      </c>
    </row>
    <row r="1130">
      <c r="A1130" s="20" t="n"/>
      <c r="B1130" s="21">
        <f>IF($A1130="","",CHOOSE(WEEKDAY($A1130,2),"Lunes","Martes","Miércoles","Jueves","Viernes","Sábado","Domingo"))</f>
        <v/>
      </c>
      <c r="C1130" s="17" t="n"/>
      <c r="D1130" s="21">
        <f>IF($C1130="","",IFERROR(INDEX(Insumos!$B$2:$B$151,MATCH($C1130,Insumos!$A$2:$A$151,0)),"Código no cargado"))</f>
        <v/>
      </c>
      <c r="E1130" s="21">
        <f>IF($C1130="","",IFERROR(INDEX(Insumos!$C$2:$C$151,MATCH($C1130,Insumos!$A$2:$A$151,0)),""))</f>
        <v/>
      </c>
      <c r="F1130" s="21">
        <f>IF($C1130="","",IFERROR(INDEX(Insumos!$D$2:$D$151,MATCH($C1130,Insumos!$A$2:$A$151,0)),""))</f>
        <v/>
      </c>
      <c r="G1130" s="18" t="n"/>
      <c r="H1130" s="19">
        <f>IF(OR($A1130="",$C1130=""),"",IFERROR(INDEX(Insumos!$M$2:$S$151,MATCH($C1130,Insumos!$A$2:$A$151,0),WEEKDAY($A1130,2)),""))</f>
        <v/>
      </c>
      <c r="I1130" s="19">
        <f>IF(OR($G1130="",$H1130=""),"",MAX(0,$H1130-$G1130))</f>
        <v/>
      </c>
      <c r="J1130" s="21">
        <f>IF($I1130="","",IF($I1130=0,"OK",IF($G1130&lt;=0,"Sin stock: pedir ya","Pedir o producir")))</f>
        <v/>
      </c>
      <c r="K1130" s="17" t="n"/>
      <c r="L1130" s="17" t="n"/>
      <c r="M1130" s="21">
        <f>IF(OR($A1130="",$A1130&lt;&gt;'Lista para pedir'!$C$3,N($I1130)&lt;=0),"",COUNTIFS($A$2:$A1130,$A1130,$I$2:$I1130,"&gt;0"))</f>
        <v/>
      </c>
    </row>
    <row r="1131">
      <c r="A1131" s="20" t="n"/>
      <c r="B1131" s="21">
        <f>IF($A1131="","",CHOOSE(WEEKDAY($A1131,2),"Lunes","Martes","Miércoles","Jueves","Viernes","Sábado","Domingo"))</f>
        <v/>
      </c>
      <c r="C1131" s="17" t="n"/>
      <c r="D1131" s="21">
        <f>IF($C1131="","",IFERROR(INDEX(Insumos!$B$2:$B$151,MATCH($C1131,Insumos!$A$2:$A$151,0)),"Código no cargado"))</f>
        <v/>
      </c>
      <c r="E1131" s="21">
        <f>IF($C1131="","",IFERROR(INDEX(Insumos!$C$2:$C$151,MATCH($C1131,Insumos!$A$2:$A$151,0)),""))</f>
        <v/>
      </c>
      <c r="F1131" s="21">
        <f>IF($C1131="","",IFERROR(INDEX(Insumos!$D$2:$D$151,MATCH($C1131,Insumos!$A$2:$A$151,0)),""))</f>
        <v/>
      </c>
      <c r="G1131" s="18" t="n"/>
      <c r="H1131" s="19">
        <f>IF(OR($A1131="",$C1131=""),"",IFERROR(INDEX(Insumos!$M$2:$S$151,MATCH($C1131,Insumos!$A$2:$A$151,0),WEEKDAY($A1131,2)),""))</f>
        <v/>
      </c>
      <c r="I1131" s="19">
        <f>IF(OR($G1131="",$H1131=""),"",MAX(0,$H1131-$G1131))</f>
        <v/>
      </c>
      <c r="J1131" s="21">
        <f>IF($I1131="","",IF($I1131=0,"OK",IF($G1131&lt;=0,"Sin stock: pedir ya","Pedir o producir")))</f>
        <v/>
      </c>
      <c r="K1131" s="17" t="n"/>
      <c r="L1131" s="17" t="n"/>
      <c r="M1131" s="21">
        <f>IF(OR($A1131="",$A1131&lt;&gt;'Lista para pedir'!$C$3,N($I1131)&lt;=0),"",COUNTIFS($A$2:$A1131,$A1131,$I$2:$I1131,"&gt;0"))</f>
        <v/>
      </c>
    </row>
    <row r="1132">
      <c r="A1132" s="20" t="n"/>
      <c r="B1132" s="21">
        <f>IF($A1132="","",CHOOSE(WEEKDAY($A1132,2),"Lunes","Martes","Miércoles","Jueves","Viernes","Sábado","Domingo"))</f>
        <v/>
      </c>
      <c r="C1132" s="17" t="n"/>
      <c r="D1132" s="21">
        <f>IF($C1132="","",IFERROR(INDEX(Insumos!$B$2:$B$151,MATCH($C1132,Insumos!$A$2:$A$151,0)),"Código no cargado"))</f>
        <v/>
      </c>
      <c r="E1132" s="21">
        <f>IF($C1132="","",IFERROR(INDEX(Insumos!$C$2:$C$151,MATCH($C1132,Insumos!$A$2:$A$151,0)),""))</f>
        <v/>
      </c>
      <c r="F1132" s="21">
        <f>IF($C1132="","",IFERROR(INDEX(Insumos!$D$2:$D$151,MATCH($C1132,Insumos!$A$2:$A$151,0)),""))</f>
        <v/>
      </c>
      <c r="G1132" s="18" t="n"/>
      <c r="H1132" s="19">
        <f>IF(OR($A1132="",$C1132=""),"",IFERROR(INDEX(Insumos!$M$2:$S$151,MATCH($C1132,Insumos!$A$2:$A$151,0),WEEKDAY($A1132,2)),""))</f>
        <v/>
      </c>
      <c r="I1132" s="19">
        <f>IF(OR($G1132="",$H1132=""),"",MAX(0,$H1132-$G1132))</f>
        <v/>
      </c>
      <c r="J1132" s="21">
        <f>IF($I1132="","",IF($I1132=0,"OK",IF($G1132&lt;=0,"Sin stock: pedir ya","Pedir o producir")))</f>
        <v/>
      </c>
      <c r="K1132" s="17" t="n"/>
      <c r="L1132" s="17" t="n"/>
      <c r="M1132" s="21">
        <f>IF(OR($A1132="",$A1132&lt;&gt;'Lista para pedir'!$C$3,N($I1132)&lt;=0),"",COUNTIFS($A$2:$A1132,$A1132,$I$2:$I1132,"&gt;0"))</f>
        <v/>
      </c>
    </row>
    <row r="1133">
      <c r="A1133" s="20" t="n"/>
      <c r="B1133" s="21">
        <f>IF($A1133="","",CHOOSE(WEEKDAY($A1133,2),"Lunes","Martes","Miércoles","Jueves","Viernes","Sábado","Domingo"))</f>
        <v/>
      </c>
      <c r="C1133" s="17" t="n"/>
      <c r="D1133" s="21">
        <f>IF($C1133="","",IFERROR(INDEX(Insumos!$B$2:$B$151,MATCH($C1133,Insumos!$A$2:$A$151,0)),"Código no cargado"))</f>
        <v/>
      </c>
      <c r="E1133" s="21">
        <f>IF($C1133="","",IFERROR(INDEX(Insumos!$C$2:$C$151,MATCH($C1133,Insumos!$A$2:$A$151,0)),""))</f>
        <v/>
      </c>
      <c r="F1133" s="21">
        <f>IF($C1133="","",IFERROR(INDEX(Insumos!$D$2:$D$151,MATCH($C1133,Insumos!$A$2:$A$151,0)),""))</f>
        <v/>
      </c>
      <c r="G1133" s="18" t="n"/>
      <c r="H1133" s="19">
        <f>IF(OR($A1133="",$C1133=""),"",IFERROR(INDEX(Insumos!$M$2:$S$151,MATCH($C1133,Insumos!$A$2:$A$151,0),WEEKDAY($A1133,2)),""))</f>
        <v/>
      </c>
      <c r="I1133" s="19">
        <f>IF(OR($G1133="",$H1133=""),"",MAX(0,$H1133-$G1133))</f>
        <v/>
      </c>
      <c r="J1133" s="21">
        <f>IF($I1133="","",IF($I1133=0,"OK",IF($G1133&lt;=0,"Sin stock: pedir ya","Pedir o producir")))</f>
        <v/>
      </c>
      <c r="K1133" s="17" t="n"/>
      <c r="L1133" s="17" t="n"/>
      <c r="M1133" s="21">
        <f>IF(OR($A1133="",$A1133&lt;&gt;'Lista para pedir'!$C$3,N($I1133)&lt;=0),"",COUNTIFS($A$2:$A1133,$A1133,$I$2:$I1133,"&gt;0"))</f>
        <v/>
      </c>
    </row>
    <row r="1134">
      <c r="A1134" s="20" t="n"/>
      <c r="B1134" s="21">
        <f>IF($A1134="","",CHOOSE(WEEKDAY($A1134,2),"Lunes","Martes","Miércoles","Jueves","Viernes","Sábado","Domingo"))</f>
        <v/>
      </c>
      <c r="C1134" s="17" t="n"/>
      <c r="D1134" s="21">
        <f>IF($C1134="","",IFERROR(INDEX(Insumos!$B$2:$B$151,MATCH($C1134,Insumos!$A$2:$A$151,0)),"Código no cargado"))</f>
        <v/>
      </c>
      <c r="E1134" s="21">
        <f>IF($C1134="","",IFERROR(INDEX(Insumos!$C$2:$C$151,MATCH($C1134,Insumos!$A$2:$A$151,0)),""))</f>
        <v/>
      </c>
      <c r="F1134" s="21">
        <f>IF($C1134="","",IFERROR(INDEX(Insumos!$D$2:$D$151,MATCH($C1134,Insumos!$A$2:$A$151,0)),""))</f>
        <v/>
      </c>
      <c r="G1134" s="18" t="n"/>
      <c r="H1134" s="19">
        <f>IF(OR($A1134="",$C1134=""),"",IFERROR(INDEX(Insumos!$M$2:$S$151,MATCH($C1134,Insumos!$A$2:$A$151,0),WEEKDAY($A1134,2)),""))</f>
        <v/>
      </c>
      <c r="I1134" s="19">
        <f>IF(OR($G1134="",$H1134=""),"",MAX(0,$H1134-$G1134))</f>
        <v/>
      </c>
      <c r="J1134" s="21">
        <f>IF($I1134="","",IF($I1134=0,"OK",IF($G1134&lt;=0,"Sin stock: pedir ya","Pedir o producir")))</f>
        <v/>
      </c>
      <c r="K1134" s="17" t="n"/>
      <c r="L1134" s="17" t="n"/>
      <c r="M1134" s="21">
        <f>IF(OR($A1134="",$A1134&lt;&gt;'Lista para pedir'!$C$3,N($I1134)&lt;=0),"",COUNTIFS($A$2:$A1134,$A1134,$I$2:$I1134,"&gt;0"))</f>
        <v/>
      </c>
    </row>
    <row r="1135">
      <c r="A1135" s="20" t="n"/>
      <c r="B1135" s="21">
        <f>IF($A1135="","",CHOOSE(WEEKDAY($A1135,2),"Lunes","Martes","Miércoles","Jueves","Viernes","Sábado","Domingo"))</f>
        <v/>
      </c>
      <c r="C1135" s="17" t="n"/>
      <c r="D1135" s="21">
        <f>IF($C1135="","",IFERROR(INDEX(Insumos!$B$2:$B$151,MATCH($C1135,Insumos!$A$2:$A$151,0)),"Código no cargado"))</f>
        <v/>
      </c>
      <c r="E1135" s="21">
        <f>IF($C1135="","",IFERROR(INDEX(Insumos!$C$2:$C$151,MATCH($C1135,Insumos!$A$2:$A$151,0)),""))</f>
        <v/>
      </c>
      <c r="F1135" s="21">
        <f>IF($C1135="","",IFERROR(INDEX(Insumos!$D$2:$D$151,MATCH($C1135,Insumos!$A$2:$A$151,0)),""))</f>
        <v/>
      </c>
      <c r="G1135" s="18" t="n"/>
      <c r="H1135" s="19">
        <f>IF(OR($A1135="",$C1135=""),"",IFERROR(INDEX(Insumos!$M$2:$S$151,MATCH($C1135,Insumos!$A$2:$A$151,0),WEEKDAY($A1135,2)),""))</f>
        <v/>
      </c>
      <c r="I1135" s="19">
        <f>IF(OR($G1135="",$H1135=""),"",MAX(0,$H1135-$G1135))</f>
        <v/>
      </c>
      <c r="J1135" s="21">
        <f>IF($I1135="","",IF($I1135=0,"OK",IF($G1135&lt;=0,"Sin stock: pedir ya","Pedir o producir")))</f>
        <v/>
      </c>
      <c r="K1135" s="17" t="n"/>
      <c r="L1135" s="17" t="n"/>
      <c r="M1135" s="21">
        <f>IF(OR($A1135="",$A1135&lt;&gt;'Lista para pedir'!$C$3,N($I1135)&lt;=0),"",COUNTIFS($A$2:$A1135,$A1135,$I$2:$I1135,"&gt;0"))</f>
        <v/>
      </c>
    </row>
    <row r="1136">
      <c r="A1136" s="20" t="n"/>
      <c r="B1136" s="21">
        <f>IF($A1136="","",CHOOSE(WEEKDAY($A1136,2),"Lunes","Martes","Miércoles","Jueves","Viernes","Sábado","Domingo"))</f>
        <v/>
      </c>
      <c r="C1136" s="17" t="n"/>
      <c r="D1136" s="21">
        <f>IF($C1136="","",IFERROR(INDEX(Insumos!$B$2:$B$151,MATCH($C1136,Insumos!$A$2:$A$151,0)),"Código no cargado"))</f>
        <v/>
      </c>
      <c r="E1136" s="21">
        <f>IF($C1136="","",IFERROR(INDEX(Insumos!$C$2:$C$151,MATCH($C1136,Insumos!$A$2:$A$151,0)),""))</f>
        <v/>
      </c>
      <c r="F1136" s="21">
        <f>IF($C1136="","",IFERROR(INDEX(Insumos!$D$2:$D$151,MATCH($C1136,Insumos!$A$2:$A$151,0)),""))</f>
        <v/>
      </c>
      <c r="G1136" s="18" t="n"/>
      <c r="H1136" s="19">
        <f>IF(OR($A1136="",$C1136=""),"",IFERROR(INDEX(Insumos!$M$2:$S$151,MATCH($C1136,Insumos!$A$2:$A$151,0),WEEKDAY($A1136,2)),""))</f>
        <v/>
      </c>
      <c r="I1136" s="19">
        <f>IF(OR($G1136="",$H1136=""),"",MAX(0,$H1136-$G1136))</f>
        <v/>
      </c>
      <c r="J1136" s="21">
        <f>IF($I1136="","",IF($I1136=0,"OK",IF($G1136&lt;=0,"Sin stock: pedir ya","Pedir o producir")))</f>
        <v/>
      </c>
      <c r="K1136" s="17" t="n"/>
      <c r="L1136" s="17" t="n"/>
      <c r="M1136" s="21">
        <f>IF(OR($A1136="",$A1136&lt;&gt;'Lista para pedir'!$C$3,N($I1136)&lt;=0),"",COUNTIFS($A$2:$A1136,$A1136,$I$2:$I1136,"&gt;0"))</f>
        <v/>
      </c>
    </row>
    <row r="1137">
      <c r="A1137" s="20" t="n"/>
      <c r="B1137" s="21">
        <f>IF($A1137="","",CHOOSE(WEEKDAY($A1137,2),"Lunes","Martes","Miércoles","Jueves","Viernes","Sábado","Domingo"))</f>
        <v/>
      </c>
      <c r="C1137" s="17" t="n"/>
      <c r="D1137" s="21">
        <f>IF($C1137="","",IFERROR(INDEX(Insumos!$B$2:$B$151,MATCH($C1137,Insumos!$A$2:$A$151,0)),"Código no cargado"))</f>
        <v/>
      </c>
      <c r="E1137" s="21">
        <f>IF($C1137="","",IFERROR(INDEX(Insumos!$C$2:$C$151,MATCH($C1137,Insumos!$A$2:$A$151,0)),""))</f>
        <v/>
      </c>
      <c r="F1137" s="21">
        <f>IF($C1137="","",IFERROR(INDEX(Insumos!$D$2:$D$151,MATCH($C1137,Insumos!$A$2:$A$151,0)),""))</f>
        <v/>
      </c>
      <c r="G1137" s="18" t="n"/>
      <c r="H1137" s="19">
        <f>IF(OR($A1137="",$C1137=""),"",IFERROR(INDEX(Insumos!$M$2:$S$151,MATCH($C1137,Insumos!$A$2:$A$151,0),WEEKDAY($A1137,2)),""))</f>
        <v/>
      </c>
      <c r="I1137" s="19">
        <f>IF(OR($G1137="",$H1137=""),"",MAX(0,$H1137-$G1137))</f>
        <v/>
      </c>
      <c r="J1137" s="21">
        <f>IF($I1137="","",IF($I1137=0,"OK",IF($G1137&lt;=0,"Sin stock: pedir ya","Pedir o producir")))</f>
        <v/>
      </c>
      <c r="K1137" s="17" t="n"/>
      <c r="L1137" s="17" t="n"/>
      <c r="M1137" s="21">
        <f>IF(OR($A1137="",$A1137&lt;&gt;'Lista para pedir'!$C$3,N($I1137)&lt;=0),"",COUNTIFS($A$2:$A1137,$A1137,$I$2:$I1137,"&gt;0"))</f>
        <v/>
      </c>
    </row>
    <row r="1138">
      <c r="A1138" s="20" t="n"/>
      <c r="B1138" s="21">
        <f>IF($A1138="","",CHOOSE(WEEKDAY($A1138,2),"Lunes","Martes","Miércoles","Jueves","Viernes","Sábado","Domingo"))</f>
        <v/>
      </c>
      <c r="C1138" s="17" t="n"/>
      <c r="D1138" s="21">
        <f>IF($C1138="","",IFERROR(INDEX(Insumos!$B$2:$B$151,MATCH($C1138,Insumos!$A$2:$A$151,0)),"Código no cargado"))</f>
        <v/>
      </c>
      <c r="E1138" s="21">
        <f>IF($C1138="","",IFERROR(INDEX(Insumos!$C$2:$C$151,MATCH($C1138,Insumos!$A$2:$A$151,0)),""))</f>
        <v/>
      </c>
      <c r="F1138" s="21">
        <f>IF($C1138="","",IFERROR(INDEX(Insumos!$D$2:$D$151,MATCH($C1138,Insumos!$A$2:$A$151,0)),""))</f>
        <v/>
      </c>
      <c r="G1138" s="18" t="n"/>
      <c r="H1138" s="19">
        <f>IF(OR($A1138="",$C1138=""),"",IFERROR(INDEX(Insumos!$M$2:$S$151,MATCH($C1138,Insumos!$A$2:$A$151,0),WEEKDAY($A1138,2)),""))</f>
        <v/>
      </c>
      <c r="I1138" s="19">
        <f>IF(OR($G1138="",$H1138=""),"",MAX(0,$H1138-$G1138))</f>
        <v/>
      </c>
      <c r="J1138" s="21">
        <f>IF($I1138="","",IF($I1138=0,"OK",IF($G1138&lt;=0,"Sin stock: pedir ya","Pedir o producir")))</f>
        <v/>
      </c>
      <c r="K1138" s="17" t="n"/>
      <c r="L1138" s="17" t="n"/>
      <c r="M1138" s="21">
        <f>IF(OR($A1138="",$A1138&lt;&gt;'Lista para pedir'!$C$3,N($I1138)&lt;=0),"",COUNTIFS($A$2:$A1138,$A1138,$I$2:$I1138,"&gt;0"))</f>
        <v/>
      </c>
    </row>
    <row r="1139">
      <c r="A1139" s="20" t="n"/>
      <c r="B1139" s="21">
        <f>IF($A1139="","",CHOOSE(WEEKDAY($A1139,2),"Lunes","Martes","Miércoles","Jueves","Viernes","Sábado","Domingo"))</f>
        <v/>
      </c>
      <c r="C1139" s="17" t="n"/>
      <c r="D1139" s="21">
        <f>IF($C1139="","",IFERROR(INDEX(Insumos!$B$2:$B$151,MATCH($C1139,Insumos!$A$2:$A$151,0)),"Código no cargado"))</f>
        <v/>
      </c>
      <c r="E1139" s="21">
        <f>IF($C1139="","",IFERROR(INDEX(Insumos!$C$2:$C$151,MATCH($C1139,Insumos!$A$2:$A$151,0)),""))</f>
        <v/>
      </c>
      <c r="F1139" s="21">
        <f>IF($C1139="","",IFERROR(INDEX(Insumos!$D$2:$D$151,MATCH($C1139,Insumos!$A$2:$A$151,0)),""))</f>
        <v/>
      </c>
      <c r="G1139" s="18" t="n"/>
      <c r="H1139" s="19">
        <f>IF(OR($A1139="",$C1139=""),"",IFERROR(INDEX(Insumos!$M$2:$S$151,MATCH($C1139,Insumos!$A$2:$A$151,0),WEEKDAY($A1139,2)),""))</f>
        <v/>
      </c>
      <c r="I1139" s="19">
        <f>IF(OR($G1139="",$H1139=""),"",MAX(0,$H1139-$G1139))</f>
        <v/>
      </c>
      <c r="J1139" s="21">
        <f>IF($I1139="","",IF($I1139=0,"OK",IF($G1139&lt;=0,"Sin stock: pedir ya","Pedir o producir")))</f>
        <v/>
      </c>
      <c r="K1139" s="17" t="n"/>
      <c r="L1139" s="17" t="n"/>
      <c r="M1139" s="21">
        <f>IF(OR($A1139="",$A1139&lt;&gt;'Lista para pedir'!$C$3,N($I1139)&lt;=0),"",COUNTIFS($A$2:$A1139,$A1139,$I$2:$I1139,"&gt;0"))</f>
        <v/>
      </c>
    </row>
    <row r="1140">
      <c r="A1140" s="20" t="n"/>
      <c r="B1140" s="21">
        <f>IF($A1140="","",CHOOSE(WEEKDAY($A1140,2),"Lunes","Martes","Miércoles","Jueves","Viernes","Sábado","Domingo"))</f>
        <v/>
      </c>
      <c r="C1140" s="17" t="n"/>
      <c r="D1140" s="21">
        <f>IF($C1140="","",IFERROR(INDEX(Insumos!$B$2:$B$151,MATCH($C1140,Insumos!$A$2:$A$151,0)),"Código no cargado"))</f>
        <v/>
      </c>
      <c r="E1140" s="21">
        <f>IF($C1140="","",IFERROR(INDEX(Insumos!$C$2:$C$151,MATCH($C1140,Insumos!$A$2:$A$151,0)),""))</f>
        <v/>
      </c>
      <c r="F1140" s="21">
        <f>IF($C1140="","",IFERROR(INDEX(Insumos!$D$2:$D$151,MATCH($C1140,Insumos!$A$2:$A$151,0)),""))</f>
        <v/>
      </c>
      <c r="G1140" s="18" t="n"/>
      <c r="H1140" s="19">
        <f>IF(OR($A1140="",$C1140=""),"",IFERROR(INDEX(Insumos!$M$2:$S$151,MATCH($C1140,Insumos!$A$2:$A$151,0),WEEKDAY($A1140,2)),""))</f>
        <v/>
      </c>
      <c r="I1140" s="19">
        <f>IF(OR($G1140="",$H1140=""),"",MAX(0,$H1140-$G1140))</f>
        <v/>
      </c>
      <c r="J1140" s="21">
        <f>IF($I1140="","",IF($I1140=0,"OK",IF($G1140&lt;=0,"Sin stock: pedir ya","Pedir o producir")))</f>
        <v/>
      </c>
      <c r="K1140" s="17" t="n"/>
      <c r="L1140" s="17" t="n"/>
      <c r="M1140" s="21">
        <f>IF(OR($A1140="",$A1140&lt;&gt;'Lista para pedir'!$C$3,N($I1140)&lt;=0),"",COUNTIFS($A$2:$A1140,$A1140,$I$2:$I1140,"&gt;0"))</f>
        <v/>
      </c>
    </row>
    <row r="1141">
      <c r="A1141" s="20" t="n"/>
      <c r="B1141" s="21">
        <f>IF($A1141="","",CHOOSE(WEEKDAY($A1141,2),"Lunes","Martes","Miércoles","Jueves","Viernes","Sábado","Domingo"))</f>
        <v/>
      </c>
      <c r="C1141" s="17" t="n"/>
      <c r="D1141" s="21">
        <f>IF($C1141="","",IFERROR(INDEX(Insumos!$B$2:$B$151,MATCH($C1141,Insumos!$A$2:$A$151,0)),"Código no cargado"))</f>
        <v/>
      </c>
      <c r="E1141" s="21">
        <f>IF($C1141="","",IFERROR(INDEX(Insumos!$C$2:$C$151,MATCH($C1141,Insumos!$A$2:$A$151,0)),""))</f>
        <v/>
      </c>
      <c r="F1141" s="21">
        <f>IF($C1141="","",IFERROR(INDEX(Insumos!$D$2:$D$151,MATCH($C1141,Insumos!$A$2:$A$151,0)),""))</f>
        <v/>
      </c>
      <c r="G1141" s="18" t="n"/>
      <c r="H1141" s="19">
        <f>IF(OR($A1141="",$C1141=""),"",IFERROR(INDEX(Insumos!$M$2:$S$151,MATCH($C1141,Insumos!$A$2:$A$151,0),WEEKDAY($A1141,2)),""))</f>
        <v/>
      </c>
      <c r="I1141" s="19">
        <f>IF(OR($G1141="",$H1141=""),"",MAX(0,$H1141-$G1141))</f>
        <v/>
      </c>
      <c r="J1141" s="21">
        <f>IF($I1141="","",IF($I1141=0,"OK",IF($G1141&lt;=0,"Sin stock: pedir ya","Pedir o producir")))</f>
        <v/>
      </c>
      <c r="K1141" s="17" t="n"/>
      <c r="L1141" s="17" t="n"/>
      <c r="M1141" s="21">
        <f>IF(OR($A1141="",$A1141&lt;&gt;'Lista para pedir'!$C$3,N($I1141)&lt;=0),"",COUNTIFS($A$2:$A1141,$A1141,$I$2:$I1141,"&gt;0"))</f>
        <v/>
      </c>
    </row>
    <row r="1142">
      <c r="A1142" s="20" t="n"/>
      <c r="B1142" s="21">
        <f>IF($A1142="","",CHOOSE(WEEKDAY($A1142,2),"Lunes","Martes","Miércoles","Jueves","Viernes","Sábado","Domingo"))</f>
        <v/>
      </c>
      <c r="C1142" s="17" t="n"/>
      <c r="D1142" s="21">
        <f>IF($C1142="","",IFERROR(INDEX(Insumos!$B$2:$B$151,MATCH($C1142,Insumos!$A$2:$A$151,0)),"Código no cargado"))</f>
        <v/>
      </c>
      <c r="E1142" s="21">
        <f>IF($C1142="","",IFERROR(INDEX(Insumos!$C$2:$C$151,MATCH($C1142,Insumos!$A$2:$A$151,0)),""))</f>
        <v/>
      </c>
      <c r="F1142" s="21">
        <f>IF($C1142="","",IFERROR(INDEX(Insumos!$D$2:$D$151,MATCH($C1142,Insumos!$A$2:$A$151,0)),""))</f>
        <v/>
      </c>
      <c r="G1142" s="18" t="n"/>
      <c r="H1142" s="19">
        <f>IF(OR($A1142="",$C1142=""),"",IFERROR(INDEX(Insumos!$M$2:$S$151,MATCH($C1142,Insumos!$A$2:$A$151,0),WEEKDAY($A1142,2)),""))</f>
        <v/>
      </c>
      <c r="I1142" s="19">
        <f>IF(OR($G1142="",$H1142=""),"",MAX(0,$H1142-$G1142))</f>
        <v/>
      </c>
      <c r="J1142" s="21">
        <f>IF($I1142="","",IF($I1142=0,"OK",IF($G1142&lt;=0,"Sin stock: pedir ya","Pedir o producir")))</f>
        <v/>
      </c>
      <c r="K1142" s="17" t="n"/>
      <c r="L1142" s="17" t="n"/>
      <c r="M1142" s="21">
        <f>IF(OR($A1142="",$A1142&lt;&gt;'Lista para pedir'!$C$3,N($I1142)&lt;=0),"",COUNTIFS($A$2:$A1142,$A1142,$I$2:$I1142,"&gt;0"))</f>
        <v/>
      </c>
    </row>
    <row r="1143">
      <c r="A1143" s="20" t="n"/>
      <c r="B1143" s="21">
        <f>IF($A1143="","",CHOOSE(WEEKDAY($A1143,2),"Lunes","Martes","Miércoles","Jueves","Viernes","Sábado","Domingo"))</f>
        <v/>
      </c>
      <c r="C1143" s="17" t="n"/>
      <c r="D1143" s="21">
        <f>IF($C1143="","",IFERROR(INDEX(Insumos!$B$2:$B$151,MATCH($C1143,Insumos!$A$2:$A$151,0)),"Código no cargado"))</f>
        <v/>
      </c>
      <c r="E1143" s="21">
        <f>IF($C1143="","",IFERROR(INDEX(Insumos!$C$2:$C$151,MATCH($C1143,Insumos!$A$2:$A$151,0)),""))</f>
        <v/>
      </c>
      <c r="F1143" s="21">
        <f>IF($C1143="","",IFERROR(INDEX(Insumos!$D$2:$D$151,MATCH($C1143,Insumos!$A$2:$A$151,0)),""))</f>
        <v/>
      </c>
      <c r="G1143" s="18" t="n"/>
      <c r="H1143" s="19">
        <f>IF(OR($A1143="",$C1143=""),"",IFERROR(INDEX(Insumos!$M$2:$S$151,MATCH($C1143,Insumos!$A$2:$A$151,0),WEEKDAY($A1143,2)),""))</f>
        <v/>
      </c>
      <c r="I1143" s="19">
        <f>IF(OR($G1143="",$H1143=""),"",MAX(0,$H1143-$G1143))</f>
        <v/>
      </c>
      <c r="J1143" s="21">
        <f>IF($I1143="","",IF($I1143=0,"OK",IF($G1143&lt;=0,"Sin stock: pedir ya","Pedir o producir")))</f>
        <v/>
      </c>
      <c r="K1143" s="17" t="n"/>
      <c r="L1143" s="17" t="n"/>
      <c r="M1143" s="21">
        <f>IF(OR($A1143="",$A1143&lt;&gt;'Lista para pedir'!$C$3,N($I1143)&lt;=0),"",COUNTIFS($A$2:$A1143,$A1143,$I$2:$I1143,"&gt;0"))</f>
        <v/>
      </c>
    </row>
    <row r="1144">
      <c r="A1144" s="20" t="n"/>
      <c r="B1144" s="21">
        <f>IF($A1144="","",CHOOSE(WEEKDAY($A1144,2),"Lunes","Martes","Miércoles","Jueves","Viernes","Sábado","Domingo"))</f>
        <v/>
      </c>
      <c r="C1144" s="17" t="n"/>
      <c r="D1144" s="21">
        <f>IF($C1144="","",IFERROR(INDEX(Insumos!$B$2:$B$151,MATCH($C1144,Insumos!$A$2:$A$151,0)),"Código no cargado"))</f>
        <v/>
      </c>
      <c r="E1144" s="21">
        <f>IF($C1144="","",IFERROR(INDEX(Insumos!$C$2:$C$151,MATCH($C1144,Insumos!$A$2:$A$151,0)),""))</f>
        <v/>
      </c>
      <c r="F1144" s="21">
        <f>IF($C1144="","",IFERROR(INDEX(Insumos!$D$2:$D$151,MATCH($C1144,Insumos!$A$2:$A$151,0)),""))</f>
        <v/>
      </c>
      <c r="G1144" s="18" t="n"/>
      <c r="H1144" s="19">
        <f>IF(OR($A1144="",$C1144=""),"",IFERROR(INDEX(Insumos!$M$2:$S$151,MATCH($C1144,Insumos!$A$2:$A$151,0),WEEKDAY($A1144,2)),""))</f>
        <v/>
      </c>
      <c r="I1144" s="19">
        <f>IF(OR($G1144="",$H1144=""),"",MAX(0,$H1144-$G1144))</f>
        <v/>
      </c>
      <c r="J1144" s="21">
        <f>IF($I1144="","",IF($I1144=0,"OK",IF($G1144&lt;=0,"Sin stock: pedir ya","Pedir o producir")))</f>
        <v/>
      </c>
      <c r="K1144" s="17" t="n"/>
      <c r="L1144" s="17" t="n"/>
      <c r="M1144" s="21">
        <f>IF(OR($A1144="",$A1144&lt;&gt;'Lista para pedir'!$C$3,N($I1144)&lt;=0),"",COUNTIFS($A$2:$A1144,$A1144,$I$2:$I1144,"&gt;0"))</f>
        <v/>
      </c>
    </row>
    <row r="1145">
      <c r="A1145" s="20" t="n"/>
      <c r="B1145" s="21">
        <f>IF($A1145="","",CHOOSE(WEEKDAY($A1145,2),"Lunes","Martes","Miércoles","Jueves","Viernes","Sábado","Domingo"))</f>
        <v/>
      </c>
      <c r="C1145" s="17" t="n"/>
      <c r="D1145" s="21">
        <f>IF($C1145="","",IFERROR(INDEX(Insumos!$B$2:$B$151,MATCH($C1145,Insumos!$A$2:$A$151,0)),"Código no cargado"))</f>
        <v/>
      </c>
      <c r="E1145" s="21">
        <f>IF($C1145="","",IFERROR(INDEX(Insumos!$C$2:$C$151,MATCH($C1145,Insumos!$A$2:$A$151,0)),""))</f>
        <v/>
      </c>
      <c r="F1145" s="21">
        <f>IF($C1145="","",IFERROR(INDEX(Insumos!$D$2:$D$151,MATCH($C1145,Insumos!$A$2:$A$151,0)),""))</f>
        <v/>
      </c>
      <c r="G1145" s="18" t="n"/>
      <c r="H1145" s="19">
        <f>IF(OR($A1145="",$C1145=""),"",IFERROR(INDEX(Insumos!$M$2:$S$151,MATCH($C1145,Insumos!$A$2:$A$151,0),WEEKDAY($A1145,2)),""))</f>
        <v/>
      </c>
      <c r="I1145" s="19">
        <f>IF(OR($G1145="",$H1145=""),"",MAX(0,$H1145-$G1145))</f>
        <v/>
      </c>
      <c r="J1145" s="21">
        <f>IF($I1145="","",IF($I1145=0,"OK",IF($G1145&lt;=0,"Sin stock: pedir ya","Pedir o producir")))</f>
        <v/>
      </c>
      <c r="K1145" s="17" t="n"/>
      <c r="L1145" s="17" t="n"/>
      <c r="M1145" s="21">
        <f>IF(OR($A1145="",$A1145&lt;&gt;'Lista para pedir'!$C$3,N($I1145)&lt;=0),"",COUNTIFS($A$2:$A1145,$A1145,$I$2:$I1145,"&gt;0"))</f>
        <v/>
      </c>
    </row>
    <row r="1146">
      <c r="A1146" s="20" t="n"/>
      <c r="B1146" s="21">
        <f>IF($A1146="","",CHOOSE(WEEKDAY($A1146,2),"Lunes","Martes","Miércoles","Jueves","Viernes","Sábado","Domingo"))</f>
        <v/>
      </c>
      <c r="C1146" s="17" t="n"/>
      <c r="D1146" s="21">
        <f>IF($C1146="","",IFERROR(INDEX(Insumos!$B$2:$B$151,MATCH($C1146,Insumos!$A$2:$A$151,0)),"Código no cargado"))</f>
        <v/>
      </c>
      <c r="E1146" s="21">
        <f>IF($C1146="","",IFERROR(INDEX(Insumos!$C$2:$C$151,MATCH($C1146,Insumos!$A$2:$A$151,0)),""))</f>
        <v/>
      </c>
      <c r="F1146" s="21">
        <f>IF($C1146="","",IFERROR(INDEX(Insumos!$D$2:$D$151,MATCH($C1146,Insumos!$A$2:$A$151,0)),""))</f>
        <v/>
      </c>
      <c r="G1146" s="18" t="n"/>
      <c r="H1146" s="19">
        <f>IF(OR($A1146="",$C1146=""),"",IFERROR(INDEX(Insumos!$M$2:$S$151,MATCH($C1146,Insumos!$A$2:$A$151,0),WEEKDAY($A1146,2)),""))</f>
        <v/>
      </c>
      <c r="I1146" s="19">
        <f>IF(OR($G1146="",$H1146=""),"",MAX(0,$H1146-$G1146))</f>
        <v/>
      </c>
      <c r="J1146" s="21">
        <f>IF($I1146="","",IF($I1146=0,"OK",IF($G1146&lt;=0,"Sin stock: pedir ya","Pedir o producir")))</f>
        <v/>
      </c>
      <c r="K1146" s="17" t="n"/>
      <c r="L1146" s="17" t="n"/>
      <c r="M1146" s="21">
        <f>IF(OR($A1146="",$A1146&lt;&gt;'Lista para pedir'!$C$3,N($I1146)&lt;=0),"",COUNTIFS($A$2:$A1146,$A1146,$I$2:$I1146,"&gt;0"))</f>
        <v/>
      </c>
    </row>
    <row r="1147">
      <c r="A1147" s="20" t="n"/>
      <c r="B1147" s="21">
        <f>IF($A1147="","",CHOOSE(WEEKDAY($A1147,2),"Lunes","Martes","Miércoles","Jueves","Viernes","Sábado","Domingo"))</f>
        <v/>
      </c>
      <c r="C1147" s="17" t="n"/>
      <c r="D1147" s="21">
        <f>IF($C1147="","",IFERROR(INDEX(Insumos!$B$2:$B$151,MATCH($C1147,Insumos!$A$2:$A$151,0)),"Código no cargado"))</f>
        <v/>
      </c>
      <c r="E1147" s="21">
        <f>IF($C1147="","",IFERROR(INDEX(Insumos!$C$2:$C$151,MATCH($C1147,Insumos!$A$2:$A$151,0)),""))</f>
        <v/>
      </c>
      <c r="F1147" s="21">
        <f>IF($C1147="","",IFERROR(INDEX(Insumos!$D$2:$D$151,MATCH($C1147,Insumos!$A$2:$A$151,0)),""))</f>
        <v/>
      </c>
      <c r="G1147" s="18" t="n"/>
      <c r="H1147" s="19">
        <f>IF(OR($A1147="",$C1147=""),"",IFERROR(INDEX(Insumos!$M$2:$S$151,MATCH($C1147,Insumos!$A$2:$A$151,0),WEEKDAY($A1147,2)),""))</f>
        <v/>
      </c>
      <c r="I1147" s="19">
        <f>IF(OR($G1147="",$H1147=""),"",MAX(0,$H1147-$G1147))</f>
        <v/>
      </c>
      <c r="J1147" s="21">
        <f>IF($I1147="","",IF($I1147=0,"OK",IF($G1147&lt;=0,"Sin stock: pedir ya","Pedir o producir")))</f>
        <v/>
      </c>
      <c r="K1147" s="17" t="n"/>
      <c r="L1147" s="17" t="n"/>
      <c r="M1147" s="21">
        <f>IF(OR($A1147="",$A1147&lt;&gt;'Lista para pedir'!$C$3,N($I1147)&lt;=0),"",COUNTIFS($A$2:$A1147,$A1147,$I$2:$I1147,"&gt;0"))</f>
        <v/>
      </c>
    </row>
    <row r="1148">
      <c r="A1148" s="20" t="n"/>
      <c r="B1148" s="21">
        <f>IF($A1148="","",CHOOSE(WEEKDAY($A1148,2),"Lunes","Martes","Miércoles","Jueves","Viernes","Sábado","Domingo"))</f>
        <v/>
      </c>
      <c r="C1148" s="17" t="n"/>
      <c r="D1148" s="21">
        <f>IF($C1148="","",IFERROR(INDEX(Insumos!$B$2:$B$151,MATCH($C1148,Insumos!$A$2:$A$151,0)),"Código no cargado"))</f>
        <v/>
      </c>
      <c r="E1148" s="21">
        <f>IF($C1148="","",IFERROR(INDEX(Insumos!$C$2:$C$151,MATCH($C1148,Insumos!$A$2:$A$151,0)),""))</f>
        <v/>
      </c>
      <c r="F1148" s="21">
        <f>IF($C1148="","",IFERROR(INDEX(Insumos!$D$2:$D$151,MATCH($C1148,Insumos!$A$2:$A$151,0)),""))</f>
        <v/>
      </c>
      <c r="G1148" s="18" t="n"/>
      <c r="H1148" s="19">
        <f>IF(OR($A1148="",$C1148=""),"",IFERROR(INDEX(Insumos!$M$2:$S$151,MATCH($C1148,Insumos!$A$2:$A$151,0),WEEKDAY($A1148,2)),""))</f>
        <v/>
      </c>
      <c r="I1148" s="19">
        <f>IF(OR($G1148="",$H1148=""),"",MAX(0,$H1148-$G1148))</f>
        <v/>
      </c>
      <c r="J1148" s="21">
        <f>IF($I1148="","",IF($I1148=0,"OK",IF($G1148&lt;=0,"Sin stock: pedir ya","Pedir o producir")))</f>
        <v/>
      </c>
      <c r="K1148" s="17" t="n"/>
      <c r="L1148" s="17" t="n"/>
      <c r="M1148" s="21">
        <f>IF(OR($A1148="",$A1148&lt;&gt;'Lista para pedir'!$C$3,N($I1148)&lt;=0),"",COUNTIFS($A$2:$A1148,$A1148,$I$2:$I1148,"&gt;0"))</f>
        <v/>
      </c>
    </row>
    <row r="1149">
      <c r="A1149" s="20" t="n"/>
      <c r="B1149" s="21">
        <f>IF($A1149="","",CHOOSE(WEEKDAY($A1149,2),"Lunes","Martes","Miércoles","Jueves","Viernes","Sábado","Domingo"))</f>
        <v/>
      </c>
      <c r="C1149" s="17" t="n"/>
      <c r="D1149" s="21">
        <f>IF($C1149="","",IFERROR(INDEX(Insumos!$B$2:$B$151,MATCH($C1149,Insumos!$A$2:$A$151,0)),"Código no cargado"))</f>
        <v/>
      </c>
      <c r="E1149" s="21">
        <f>IF($C1149="","",IFERROR(INDEX(Insumos!$C$2:$C$151,MATCH($C1149,Insumos!$A$2:$A$151,0)),""))</f>
        <v/>
      </c>
      <c r="F1149" s="21">
        <f>IF($C1149="","",IFERROR(INDEX(Insumos!$D$2:$D$151,MATCH($C1149,Insumos!$A$2:$A$151,0)),""))</f>
        <v/>
      </c>
      <c r="G1149" s="18" t="n"/>
      <c r="H1149" s="19">
        <f>IF(OR($A1149="",$C1149=""),"",IFERROR(INDEX(Insumos!$M$2:$S$151,MATCH($C1149,Insumos!$A$2:$A$151,0),WEEKDAY($A1149,2)),""))</f>
        <v/>
      </c>
      <c r="I1149" s="19">
        <f>IF(OR($G1149="",$H1149=""),"",MAX(0,$H1149-$G1149))</f>
        <v/>
      </c>
      <c r="J1149" s="21">
        <f>IF($I1149="","",IF($I1149=0,"OK",IF($G1149&lt;=0,"Sin stock: pedir ya","Pedir o producir")))</f>
        <v/>
      </c>
      <c r="K1149" s="17" t="n"/>
      <c r="L1149" s="17" t="n"/>
      <c r="M1149" s="21">
        <f>IF(OR($A1149="",$A1149&lt;&gt;'Lista para pedir'!$C$3,N($I1149)&lt;=0),"",COUNTIFS($A$2:$A1149,$A1149,$I$2:$I1149,"&gt;0"))</f>
        <v/>
      </c>
    </row>
    <row r="1150">
      <c r="A1150" s="20" t="n"/>
      <c r="B1150" s="21">
        <f>IF($A1150="","",CHOOSE(WEEKDAY($A1150,2),"Lunes","Martes","Miércoles","Jueves","Viernes","Sábado","Domingo"))</f>
        <v/>
      </c>
      <c r="C1150" s="17" t="n"/>
      <c r="D1150" s="21">
        <f>IF($C1150="","",IFERROR(INDEX(Insumos!$B$2:$B$151,MATCH($C1150,Insumos!$A$2:$A$151,0)),"Código no cargado"))</f>
        <v/>
      </c>
      <c r="E1150" s="21">
        <f>IF($C1150="","",IFERROR(INDEX(Insumos!$C$2:$C$151,MATCH($C1150,Insumos!$A$2:$A$151,0)),""))</f>
        <v/>
      </c>
      <c r="F1150" s="21">
        <f>IF($C1150="","",IFERROR(INDEX(Insumos!$D$2:$D$151,MATCH($C1150,Insumos!$A$2:$A$151,0)),""))</f>
        <v/>
      </c>
      <c r="G1150" s="18" t="n"/>
      <c r="H1150" s="19">
        <f>IF(OR($A1150="",$C1150=""),"",IFERROR(INDEX(Insumos!$M$2:$S$151,MATCH($C1150,Insumos!$A$2:$A$151,0),WEEKDAY($A1150,2)),""))</f>
        <v/>
      </c>
      <c r="I1150" s="19">
        <f>IF(OR($G1150="",$H1150=""),"",MAX(0,$H1150-$G1150))</f>
        <v/>
      </c>
      <c r="J1150" s="21">
        <f>IF($I1150="","",IF($I1150=0,"OK",IF($G1150&lt;=0,"Sin stock: pedir ya","Pedir o producir")))</f>
        <v/>
      </c>
      <c r="K1150" s="17" t="n"/>
      <c r="L1150" s="17" t="n"/>
      <c r="M1150" s="21">
        <f>IF(OR($A1150="",$A1150&lt;&gt;'Lista para pedir'!$C$3,N($I1150)&lt;=0),"",COUNTIFS($A$2:$A1150,$A1150,$I$2:$I1150,"&gt;0"))</f>
        <v/>
      </c>
    </row>
    <row r="1151">
      <c r="A1151" s="20" t="n"/>
      <c r="B1151" s="21">
        <f>IF($A1151="","",CHOOSE(WEEKDAY($A1151,2),"Lunes","Martes","Miércoles","Jueves","Viernes","Sábado","Domingo"))</f>
        <v/>
      </c>
      <c r="C1151" s="17" t="n"/>
      <c r="D1151" s="21">
        <f>IF($C1151="","",IFERROR(INDEX(Insumos!$B$2:$B$151,MATCH($C1151,Insumos!$A$2:$A$151,0)),"Código no cargado"))</f>
        <v/>
      </c>
      <c r="E1151" s="21">
        <f>IF($C1151="","",IFERROR(INDEX(Insumos!$C$2:$C$151,MATCH($C1151,Insumos!$A$2:$A$151,0)),""))</f>
        <v/>
      </c>
      <c r="F1151" s="21">
        <f>IF($C1151="","",IFERROR(INDEX(Insumos!$D$2:$D$151,MATCH($C1151,Insumos!$A$2:$A$151,0)),""))</f>
        <v/>
      </c>
      <c r="G1151" s="18" t="n"/>
      <c r="H1151" s="19">
        <f>IF(OR($A1151="",$C1151=""),"",IFERROR(INDEX(Insumos!$M$2:$S$151,MATCH($C1151,Insumos!$A$2:$A$151,0),WEEKDAY($A1151,2)),""))</f>
        <v/>
      </c>
      <c r="I1151" s="19">
        <f>IF(OR($G1151="",$H1151=""),"",MAX(0,$H1151-$G1151))</f>
        <v/>
      </c>
      <c r="J1151" s="21">
        <f>IF($I1151="","",IF($I1151=0,"OK",IF($G1151&lt;=0,"Sin stock: pedir ya","Pedir o producir")))</f>
        <v/>
      </c>
      <c r="K1151" s="17" t="n"/>
      <c r="L1151" s="17" t="n"/>
      <c r="M1151" s="21">
        <f>IF(OR($A1151="",$A1151&lt;&gt;'Lista para pedir'!$C$3,N($I1151)&lt;=0),"",COUNTIFS($A$2:$A1151,$A1151,$I$2:$I1151,"&gt;0"))</f>
        <v/>
      </c>
    </row>
    <row r="1152">
      <c r="A1152" s="20" t="n"/>
      <c r="B1152" s="21">
        <f>IF($A1152="","",CHOOSE(WEEKDAY($A1152,2),"Lunes","Martes","Miércoles","Jueves","Viernes","Sábado","Domingo"))</f>
        <v/>
      </c>
      <c r="C1152" s="17" t="n"/>
      <c r="D1152" s="21">
        <f>IF($C1152="","",IFERROR(INDEX(Insumos!$B$2:$B$151,MATCH($C1152,Insumos!$A$2:$A$151,0)),"Código no cargado"))</f>
        <v/>
      </c>
      <c r="E1152" s="21">
        <f>IF($C1152="","",IFERROR(INDEX(Insumos!$C$2:$C$151,MATCH($C1152,Insumos!$A$2:$A$151,0)),""))</f>
        <v/>
      </c>
      <c r="F1152" s="21">
        <f>IF($C1152="","",IFERROR(INDEX(Insumos!$D$2:$D$151,MATCH($C1152,Insumos!$A$2:$A$151,0)),""))</f>
        <v/>
      </c>
      <c r="G1152" s="18" t="n"/>
      <c r="H1152" s="19">
        <f>IF(OR($A1152="",$C1152=""),"",IFERROR(INDEX(Insumos!$M$2:$S$151,MATCH($C1152,Insumos!$A$2:$A$151,0),WEEKDAY($A1152,2)),""))</f>
        <v/>
      </c>
      <c r="I1152" s="19">
        <f>IF(OR($G1152="",$H1152=""),"",MAX(0,$H1152-$G1152))</f>
        <v/>
      </c>
      <c r="J1152" s="21">
        <f>IF($I1152="","",IF($I1152=0,"OK",IF($G1152&lt;=0,"Sin stock: pedir ya","Pedir o producir")))</f>
        <v/>
      </c>
      <c r="K1152" s="17" t="n"/>
      <c r="L1152" s="17" t="n"/>
      <c r="M1152" s="21">
        <f>IF(OR($A1152="",$A1152&lt;&gt;'Lista para pedir'!$C$3,N($I1152)&lt;=0),"",COUNTIFS($A$2:$A1152,$A1152,$I$2:$I1152,"&gt;0"))</f>
        <v/>
      </c>
    </row>
    <row r="1153">
      <c r="A1153" s="20" t="n"/>
      <c r="B1153" s="21">
        <f>IF($A1153="","",CHOOSE(WEEKDAY($A1153,2),"Lunes","Martes","Miércoles","Jueves","Viernes","Sábado","Domingo"))</f>
        <v/>
      </c>
      <c r="C1153" s="17" t="n"/>
      <c r="D1153" s="21">
        <f>IF($C1153="","",IFERROR(INDEX(Insumos!$B$2:$B$151,MATCH($C1153,Insumos!$A$2:$A$151,0)),"Código no cargado"))</f>
        <v/>
      </c>
      <c r="E1153" s="21">
        <f>IF($C1153="","",IFERROR(INDEX(Insumos!$C$2:$C$151,MATCH($C1153,Insumos!$A$2:$A$151,0)),""))</f>
        <v/>
      </c>
      <c r="F1153" s="21">
        <f>IF($C1153="","",IFERROR(INDEX(Insumos!$D$2:$D$151,MATCH($C1153,Insumos!$A$2:$A$151,0)),""))</f>
        <v/>
      </c>
      <c r="G1153" s="18" t="n"/>
      <c r="H1153" s="19">
        <f>IF(OR($A1153="",$C1153=""),"",IFERROR(INDEX(Insumos!$M$2:$S$151,MATCH($C1153,Insumos!$A$2:$A$151,0),WEEKDAY($A1153,2)),""))</f>
        <v/>
      </c>
      <c r="I1153" s="19">
        <f>IF(OR($G1153="",$H1153=""),"",MAX(0,$H1153-$G1153))</f>
        <v/>
      </c>
      <c r="J1153" s="21">
        <f>IF($I1153="","",IF($I1153=0,"OK",IF($G1153&lt;=0,"Sin stock: pedir ya","Pedir o producir")))</f>
        <v/>
      </c>
      <c r="K1153" s="17" t="n"/>
      <c r="L1153" s="17" t="n"/>
      <c r="M1153" s="21">
        <f>IF(OR($A1153="",$A1153&lt;&gt;'Lista para pedir'!$C$3,N($I1153)&lt;=0),"",COUNTIFS($A$2:$A1153,$A1153,$I$2:$I1153,"&gt;0"))</f>
        <v/>
      </c>
    </row>
    <row r="1154">
      <c r="A1154" s="20" t="n"/>
      <c r="B1154" s="21">
        <f>IF($A1154="","",CHOOSE(WEEKDAY($A1154,2),"Lunes","Martes","Miércoles","Jueves","Viernes","Sábado","Domingo"))</f>
        <v/>
      </c>
      <c r="C1154" s="17" t="n"/>
      <c r="D1154" s="21">
        <f>IF($C1154="","",IFERROR(INDEX(Insumos!$B$2:$B$151,MATCH($C1154,Insumos!$A$2:$A$151,0)),"Código no cargado"))</f>
        <v/>
      </c>
      <c r="E1154" s="21">
        <f>IF($C1154="","",IFERROR(INDEX(Insumos!$C$2:$C$151,MATCH($C1154,Insumos!$A$2:$A$151,0)),""))</f>
        <v/>
      </c>
      <c r="F1154" s="21">
        <f>IF($C1154="","",IFERROR(INDEX(Insumos!$D$2:$D$151,MATCH($C1154,Insumos!$A$2:$A$151,0)),""))</f>
        <v/>
      </c>
      <c r="G1154" s="18" t="n"/>
      <c r="H1154" s="19">
        <f>IF(OR($A1154="",$C1154=""),"",IFERROR(INDEX(Insumos!$M$2:$S$151,MATCH($C1154,Insumos!$A$2:$A$151,0),WEEKDAY($A1154,2)),""))</f>
        <v/>
      </c>
      <c r="I1154" s="19">
        <f>IF(OR($G1154="",$H1154=""),"",MAX(0,$H1154-$G1154))</f>
        <v/>
      </c>
      <c r="J1154" s="21">
        <f>IF($I1154="","",IF($I1154=0,"OK",IF($G1154&lt;=0,"Sin stock: pedir ya","Pedir o producir")))</f>
        <v/>
      </c>
      <c r="K1154" s="17" t="n"/>
      <c r="L1154" s="17" t="n"/>
      <c r="M1154" s="21">
        <f>IF(OR($A1154="",$A1154&lt;&gt;'Lista para pedir'!$C$3,N($I1154)&lt;=0),"",COUNTIFS($A$2:$A1154,$A1154,$I$2:$I1154,"&gt;0"))</f>
        <v/>
      </c>
    </row>
    <row r="1155">
      <c r="A1155" s="20" t="n"/>
      <c r="B1155" s="21">
        <f>IF($A1155="","",CHOOSE(WEEKDAY($A1155,2),"Lunes","Martes","Miércoles","Jueves","Viernes","Sábado","Domingo"))</f>
        <v/>
      </c>
      <c r="C1155" s="17" t="n"/>
      <c r="D1155" s="21">
        <f>IF($C1155="","",IFERROR(INDEX(Insumos!$B$2:$B$151,MATCH($C1155,Insumos!$A$2:$A$151,0)),"Código no cargado"))</f>
        <v/>
      </c>
      <c r="E1155" s="21">
        <f>IF($C1155="","",IFERROR(INDEX(Insumos!$C$2:$C$151,MATCH($C1155,Insumos!$A$2:$A$151,0)),""))</f>
        <v/>
      </c>
      <c r="F1155" s="21">
        <f>IF($C1155="","",IFERROR(INDEX(Insumos!$D$2:$D$151,MATCH($C1155,Insumos!$A$2:$A$151,0)),""))</f>
        <v/>
      </c>
      <c r="G1155" s="18" t="n"/>
      <c r="H1155" s="19">
        <f>IF(OR($A1155="",$C1155=""),"",IFERROR(INDEX(Insumos!$M$2:$S$151,MATCH($C1155,Insumos!$A$2:$A$151,0),WEEKDAY($A1155,2)),""))</f>
        <v/>
      </c>
      <c r="I1155" s="19">
        <f>IF(OR($G1155="",$H1155=""),"",MAX(0,$H1155-$G1155))</f>
        <v/>
      </c>
      <c r="J1155" s="21">
        <f>IF($I1155="","",IF($I1155=0,"OK",IF($G1155&lt;=0,"Sin stock: pedir ya","Pedir o producir")))</f>
        <v/>
      </c>
      <c r="K1155" s="17" t="n"/>
      <c r="L1155" s="17" t="n"/>
      <c r="M1155" s="21">
        <f>IF(OR($A1155="",$A1155&lt;&gt;'Lista para pedir'!$C$3,N($I1155)&lt;=0),"",COUNTIFS($A$2:$A1155,$A1155,$I$2:$I1155,"&gt;0"))</f>
        <v/>
      </c>
    </row>
    <row r="1156">
      <c r="A1156" s="20" t="n"/>
      <c r="B1156" s="21">
        <f>IF($A1156="","",CHOOSE(WEEKDAY($A1156,2),"Lunes","Martes","Miércoles","Jueves","Viernes","Sábado","Domingo"))</f>
        <v/>
      </c>
      <c r="C1156" s="17" t="n"/>
      <c r="D1156" s="21">
        <f>IF($C1156="","",IFERROR(INDEX(Insumos!$B$2:$B$151,MATCH($C1156,Insumos!$A$2:$A$151,0)),"Código no cargado"))</f>
        <v/>
      </c>
      <c r="E1156" s="21">
        <f>IF($C1156="","",IFERROR(INDEX(Insumos!$C$2:$C$151,MATCH($C1156,Insumos!$A$2:$A$151,0)),""))</f>
        <v/>
      </c>
      <c r="F1156" s="21">
        <f>IF($C1156="","",IFERROR(INDEX(Insumos!$D$2:$D$151,MATCH($C1156,Insumos!$A$2:$A$151,0)),""))</f>
        <v/>
      </c>
      <c r="G1156" s="18" t="n"/>
      <c r="H1156" s="19">
        <f>IF(OR($A1156="",$C1156=""),"",IFERROR(INDEX(Insumos!$M$2:$S$151,MATCH($C1156,Insumos!$A$2:$A$151,0),WEEKDAY($A1156,2)),""))</f>
        <v/>
      </c>
      <c r="I1156" s="19">
        <f>IF(OR($G1156="",$H1156=""),"",MAX(0,$H1156-$G1156))</f>
        <v/>
      </c>
      <c r="J1156" s="21">
        <f>IF($I1156="","",IF($I1156=0,"OK",IF($G1156&lt;=0,"Sin stock: pedir ya","Pedir o producir")))</f>
        <v/>
      </c>
      <c r="K1156" s="17" t="n"/>
      <c r="L1156" s="17" t="n"/>
      <c r="M1156" s="21">
        <f>IF(OR($A1156="",$A1156&lt;&gt;'Lista para pedir'!$C$3,N($I1156)&lt;=0),"",COUNTIFS($A$2:$A1156,$A1156,$I$2:$I1156,"&gt;0"))</f>
        <v/>
      </c>
    </row>
    <row r="1157">
      <c r="A1157" s="20" t="n"/>
      <c r="B1157" s="21">
        <f>IF($A1157="","",CHOOSE(WEEKDAY($A1157,2),"Lunes","Martes","Miércoles","Jueves","Viernes","Sábado","Domingo"))</f>
        <v/>
      </c>
      <c r="C1157" s="17" t="n"/>
      <c r="D1157" s="21">
        <f>IF($C1157="","",IFERROR(INDEX(Insumos!$B$2:$B$151,MATCH($C1157,Insumos!$A$2:$A$151,0)),"Código no cargado"))</f>
        <v/>
      </c>
      <c r="E1157" s="21">
        <f>IF($C1157="","",IFERROR(INDEX(Insumos!$C$2:$C$151,MATCH($C1157,Insumos!$A$2:$A$151,0)),""))</f>
        <v/>
      </c>
      <c r="F1157" s="21">
        <f>IF($C1157="","",IFERROR(INDEX(Insumos!$D$2:$D$151,MATCH($C1157,Insumos!$A$2:$A$151,0)),""))</f>
        <v/>
      </c>
      <c r="G1157" s="18" t="n"/>
      <c r="H1157" s="19">
        <f>IF(OR($A1157="",$C1157=""),"",IFERROR(INDEX(Insumos!$M$2:$S$151,MATCH($C1157,Insumos!$A$2:$A$151,0),WEEKDAY($A1157,2)),""))</f>
        <v/>
      </c>
      <c r="I1157" s="19">
        <f>IF(OR($G1157="",$H1157=""),"",MAX(0,$H1157-$G1157))</f>
        <v/>
      </c>
      <c r="J1157" s="21">
        <f>IF($I1157="","",IF($I1157=0,"OK",IF($G1157&lt;=0,"Sin stock: pedir ya","Pedir o producir")))</f>
        <v/>
      </c>
      <c r="K1157" s="17" t="n"/>
      <c r="L1157" s="17" t="n"/>
      <c r="M1157" s="21">
        <f>IF(OR($A1157="",$A1157&lt;&gt;'Lista para pedir'!$C$3,N($I1157)&lt;=0),"",COUNTIFS($A$2:$A1157,$A1157,$I$2:$I1157,"&gt;0"))</f>
        <v/>
      </c>
    </row>
    <row r="1158">
      <c r="A1158" s="20" t="n"/>
      <c r="B1158" s="21">
        <f>IF($A1158="","",CHOOSE(WEEKDAY($A1158,2),"Lunes","Martes","Miércoles","Jueves","Viernes","Sábado","Domingo"))</f>
        <v/>
      </c>
      <c r="C1158" s="17" t="n"/>
      <c r="D1158" s="21">
        <f>IF($C1158="","",IFERROR(INDEX(Insumos!$B$2:$B$151,MATCH($C1158,Insumos!$A$2:$A$151,0)),"Código no cargado"))</f>
        <v/>
      </c>
      <c r="E1158" s="21">
        <f>IF($C1158="","",IFERROR(INDEX(Insumos!$C$2:$C$151,MATCH($C1158,Insumos!$A$2:$A$151,0)),""))</f>
        <v/>
      </c>
      <c r="F1158" s="21">
        <f>IF($C1158="","",IFERROR(INDEX(Insumos!$D$2:$D$151,MATCH($C1158,Insumos!$A$2:$A$151,0)),""))</f>
        <v/>
      </c>
      <c r="G1158" s="18" t="n"/>
      <c r="H1158" s="19">
        <f>IF(OR($A1158="",$C1158=""),"",IFERROR(INDEX(Insumos!$M$2:$S$151,MATCH($C1158,Insumos!$A$2:$A$151,0),WEEKDAY($A1158,2)),""))</f>
        <v/>
      </c>
      <c r="I1158" s="19">
        <f>IF(OR($G1158="",$H1158=""),"",MAX(0,$H1158-$G1158))</f>
        <v/>
      </c>
      <c r="J1158" s="21">
        <f>IF($I1158="","",IF($I1158=0,"OK",IF($G1158&lt;=0,"Sin stock: pedir ya","Pedir o producir")))</f>
        <v/>
      </c>
      <c r="K1158" s="17" t="n"/>
      <c r="L1158" s="17" t="n"/>
      <c r="M1158" s="21">
        <f>IF(OR($A1158="",$A1158&lt;&gt;'Lista para pedir'!$C$3,N($I1158)&lt;=0),"",COUNTIFS($A$2:$A1158,$A1158,$I$2:$I1158,"&gt;0"))</f>
        <v/>
      </c>
    </row>
    <row r="1159">
      <c r="A1159" s="20" t="n"/>
      <c r="B1159" s="21">
        <f>IF($A1159="","",CHOOSE(WEEKDAY($A1159,2),"Lunes","Martes","Miércoles","Jueves","Viernes","Sábado","Domingo"))</f>
        <v/>
      </c>
      <c r="C1159" s="17" t="n"/>
      <c r="D1159" s="21">
        <f>IF($C1159="","",IFERROR(INDEX(Insumos!$B$2:$B$151,MATCH($C1159,Insumos!$A$2:$A$151,0)),"Código no cargado"))</f>
        <v/>
      </c>
      <c r="E1159" s="21">
        <f>IF($C1159="","",IFERROR(INDEX(Insumos!$C$2:$C$151,MATCH($C1159,Insumos!$A$2:$A$151,0)),""))</f>
        <v/>
      </c>
      <c r="F1159" s="21">
        <f>IF($C1159="","",IFERROR(INDEX(Insumos!$D$2:$D$151,MATCH($C1159,Insumos!$A$2:$A$151,0)),""))</f>
        <v/>
      </c>
      <c r="G1159" s="18" t="n"/>
      <c r="H1159" s="19">
        <f>IF(OR($A1159="",$C1159=""),"",IFERROR(INDEX(Insumos!$M$2:$S$151,MATCH($C1159,Insumos!$A$2:$A$151,0),WEEKDAY($A1159,2)),""))</f>
        <v/>
      </c>
      <c r="I1159" s="19">
        <f>IF(OR($G1159="",$H1159=""),"",MAX(0,$H1159-$G1159))</f>
        <v/>
      </c>
      <c r="J1159" s="21">
        <f>IF($I1159="","",IF($I1159=0,"OK",IF($G1159&lt;=0,"Sin stock: pedir ya","Pedir o producir")))</f>
        <v/>
      </c>
      <c r="K1159" s="17" t="n"/>
      <c r="L1159" s="17" t="n"/>
      <c r="M1159" s="21">
        <f>IF(OR($A1159="",$A1159&lt;&gt;'Lista para pedir'!$C$3,N($I1159)&lt;=0),"",COUNTIFS($A$2:$A1159,$A1159,$I$2:$I1159,"&gt;0"))</f>
        <v/>
      </c>
    </row>
    <row r="1160">
      <c r="A1160" s="20" t="n"/>
      <c r="B1160" s="21">
        <f>IF($A1160="","",CHOOSE(WEEKDAY($A1160,2),"Lunes","Martes","Miércoles","Jueves","Viernes","Sábado","Domingo"))</f>
        <v/>
      </c>
      <c r="C1160" s="17" t="n"/>
      <c r="D1160" s="21">
        <f>IF($C1160="","",IFERROR(INDEX(Insumos!$B$2:$B$151,MATCH($C1160,Insumos!$A$2:$A$151,0)),"Código no cargado"))</f>
        <v/>
      </c>
      <c r="E1160" s="21">
        <f>IF($C1160="","",IFERROR(INDEX(Insumos!$C$2:$C$151,MATCH($C1160,Insumos!$A$2:$A$151,0)),""))</f>
        <v/>
      </c>
      <c r="F1160" s="21">
        <f>IF($C1160="","",IFERROR(INDEX(Insumos!$D$2:$D$151,MATCH($C1160,Insumos!$A$2:$A$151,0)),""))</f>
        <v/>
      </c>
      <c r="G1160" s="18" t="n"/>
      <c r="H1160" s="19">
        <f>IF(OR($A1160="",$C1160=""),"",IFERROR(INDEX(Insumos!$M$2:$S$151,MATCH($C1160,Insumos!$A$2:$A$151,0),WEEKDAY($A1160,2)),""))</f>
        <v/>
      </c>
      <c r="I1160" s="19">
        <f>IF(OR($G1160="",$H1160=""),"",MAX(0,$H1160-$G1160))</f>
        <v/>
      </c>
      <c r="J1160" s="21">
        <f>IF($I1160="","",IF($I1160=0,"OK",IF($G1160&lt;=0,"Sin stock: pedir ya","Pedir o producir")))</f>
        <v/>
      </c>
      <c r="K1160" s="17" t="n"/>
      <c r="L1160" s="17" t="n"/>
      <c r="M1160" s="21">
        <f>IF(OR($A1160="",$A1160&lt;&gt;'Lista para pedir'!$C$3,N($I1160)&lt;=0),"",COUNTIFS($A$2:$A1160,$A1160,$I$2:$I1160,"&gt;0"))</f>
        <v/>
      </c>
    </row>
    <row r="1161">
      <c r="A1161" s="20" t="n"/>
      <c r="B1161" s="21">
        <f>IF($A1161="","",CHOOSE(WEEKDAY($A1161,2),"Lunes","Martes","Miércoles","Jueves","Viernes","Sábado","Domingo"))</f>
        <v/>
      </c>
      <c r="C1161" s="17" t="n"/>
      <c r="D1161" s="21">
        <f>IF($C1161="","",IFERROR(INDEX(Insumos!$B$2:$B$151,MATCH($C1161,Insumos!$A$2:$A$151,0)),"Código no cargado"))</f>
        <v/>
      </c>
      <c r="E1161" s="21">
        <f>IF($C1161="","",IFERROR(INDEX(Insumos!$C$2:$C$151,MATCH($C1161,Insumos!$A$2:$A$151,0)),""))</f>
        <v/>
      </c>
      <c r="F1161" s="21">
        <f>IF($C1161="","",IFERROR(INDEX(Insumos!$D$2:$D$151,MATCH($C1161,Insumos!$A$2:$A$151,0)),""))</f>
        <v/>
      </c>
      <c r="G1161" s="18" t="n"/>
      <c r="H1161" s="19">
        <f>IF(OR($A1161="",$C1161=""),"",IFERROR(INDEX(Insumos!$M$2:$S$151,MATCH($C1161,Insumos!$A$2:$A$151,0),WEEKDAY($A1161,2)),""))</f>
        <v/>
      </c>
      <c r="I1161" s="19">
        <f>IF(OR($G1161="",$H1161=""),"",MAX(0,$H1161-$G1161))</f>
        <v/>
      </c>
      <c r="J1161" s="21">
        <f>IF($I1161="","",IF($I1161=0,"OK",IF($G1161&lt;=0,"Sin stock: pedir ya","Pedir o producir")))</f>
        <v/>
      </c>
      <c r="K1161" s="17" t="n"/>
      <c r="L1161" s="17" t="n"/>
      <c r="M1161" s="21">
        <f>IF(OR($A1161="",$A1161&lt;&gt;'Lista para pedir'!$C$3,N($I1161)&lt;=0),"",COUNTIFS($A$2:$A1161,$A1161,$I$2:$I1161,"&gt;0"))</f>
        <v/>
      </c>
    </row>
    <row r="1162">
      <c r="A1162" s="20" t="n"/>
      <c r="B1162" s="21">
        <f>IF($A1162="","",CHOOSE(WEEKDAY($A1162,2),"Lunes","Martes","Miércoles","Jueves","Viernes","Sábado","Domingo"))</f>
        <v/>
      </c>
      <c r="C1162" s="17" t="n"/>
      <c r="D1162" s="21">
        <f>IF($C1162="","",IFERROR(INDEX(Insumos!$B$2:$B$151,MATCH($C1162,Insumos!$A$2:$A$151,0)),"Código no cargado"))</f>
        <v/>
      </c>
      <c r="E1162" s="21">
        <f>IF($C1162="","",IFERROR(INDEX(Insumos!$C$2:$C$151,MATCH($C1162,Insumos!$A$2:$A$151,0)),""))</f>
        <v/>
      </c>
      <c r="F1162" s="21">
        <f>IF($C1162="","",IFERROR(INDEX(Insumos!$D$2:$D$151,MATCH($C1162,Insumos!$A$2:$A$151,0)),""))</f>
        <v/>
      </c>
      <c r="G1162" s="18" t="n"/>
      <c r="H1162" s="19">
        <f>IF(OR($A1162="",$C1162=""),"",IFERROR(INDEX(Insumos!$M$2:$S$151,MATCH($C1162,Insumos!$A$2:$A$151,0),WEEKDAY($A1162,2)),""))</f>
        <v/>
      </c>
      <c r="I1162" s="19">
        <f>IF(OR($G1162="",$H1162=""),"",MAX(0,$H1162-$G1162))</f>
        <v/>
      </c>
      <c r="J1162" s="21">
        <f>IF($I1162="","",IF($I1162=0,"OK",IF($G1162&lt;=0,"Sin stock: pedir ya","Pedir o producir")))</f>
        <v/>
      </c>
      <c r="K1162" s="17" t="n"/>
      <c r="L1162" s="17" t="n"/>
      <c r="M1162" s="21">
        <f>IF(OR($A1162="",$A1162&lt;&gt;'Lista para pedir'!$C$3,N($I1162)&lt;=0),"",COUNTIFS($A$2:$A1162,$A1162,$I$2:$I1162,"&gt;0"))</f>
        <v/>
      </c>
    </row>
    <row r="1163">
      <c r="A1163" s="20" t="n"/>
      <c r="B1163" s="21">
        <f>IF($A1163="","",CHOOSE(WEEKDAY($A1163,2),"Lunes","Martes","Miércoles","Jueves","Viernes","Sábado","Domingo"))</f>
        <v/>
      </c>
      <c r="C1163" s="17" t="n"/>
      <c r="D1163" s="21">
        <f>IF($C1163="","",IFERROR(INDEX(Insumos!$B$2:$B$151,MATCH($C1163,Insumos!$A$2:$A$151,0)),"Código no cargado"))</f>
        <v/>
      </c>
      <c r="E1163" s="21">
        <f>IF($C1163="","",IFERROR(INDEX(Insumos!$C$2:$C$151,MATCH($C1163,Insumos!$A$2:$A$151,0)),""))</f>
        <v/>
      </c>
      <c r="F1163" s="21">
        <f>IF($C1163="","",IFERROR(INDEX(Insumos!$D$2:$D$151,MATCH($C1163,Insumos!$A$2:$A$151,0)),""))</f>
        <v/>
      </c>
      <c r="G1163" s="18" t="n"/>
      <c r="H1163" s="19">
        <f>IF(OR($A1163="",$C1163=""),"",IFERROR(INDEX(Insumos!$M$2:$S$151,MATCH($C1163,Insumos!$A$2:$A$151,0),WEEKDAY($A1163,2)),""))</f>
        <v/>
      </c>
      <c r="I1163" s="19">
        <f>IF(OR($G1163="",$H1163=""),"",MAX(0,$H1163-$G1163))</f>
        <v/>
      </c>
      <c r="J1163" s="21">
        <f>IF($I1163="","",IF($I1163=0,"OK",IF($G1163&lt;=0,"Sin stock: pedir ya","Pedir o producir")))</f>
        <v/>
      </c>
      <c r="K1163" s="17" t="n"/>
      <c r="L1163" s="17" t="n"/>
      <c r="M1163" s="21">
        <f>IF(OR($A1163="",$A1163&lt;&gt;'Lista para pedir'!$C$3,N($I1163)&lt;=0),"",COUNTIFS($A$2:$A1163,$A1163,$I$2:$I1163,"&gt;0"))</f>
        <v/>
      </c>
    </row>
    <row r="1164">
      <c r="A1164" s="20" t="n"/>
      <c r="B1164" s="21">
        <f>IF($A1164="","",CHOOSE(WEEKDAY($A1164,2),"Lunes","Martes","Miércoles","Jueves","Viernes","Sábado","Domingo"))</f>
        <v/>
      </c>
      <c r="C1164" s="17" t="n"/>
      <c r="D1164" s="21">
        <f>IF($C1164="","",IFERROR(INDEX(Insumos!$B$2:$B$151,MATCH($C1164,Insumos!$A$2:$A$151,0)),"Código no cargado"))</f>
        <v/>
      </c>
      <c r="E1164" s="21">
        <f>IF($C1164="","",IFERROR(INDEX(Insumos!$C$2:$C$151,MATCH($C1164,Insumos!$A$2:$A$151,0)),""))</f>
        <v/>
      </c>
      <c r="F1164" s="21">
        <f>IF($C1164="","",IFERROR(INDEX(Insumos!$D$2:$D$151,MATCH($C1164,Insumos!$A$2:$A$151,0)),""))</f>
        <v/>
      </c>
      <c r="G1164" s="18" t="n"/>
      <c r="H1164" s="19">
        <f>IF(OR($A1164="",$C1164=""),"",IFERROR(INDEX(Insumos!$M$2:$S$151,MATCH($C1164,Insumos!$A$2:$A$151,0),WEEKDAY($A1164,2)),""))</f>
        <v/>
      </c>
      <c r="I1164" s="19">
        <f>IF(OR($G1164="",$H1164=""),"",MAX(0,$H1164-$G1164))</f>
        <v/>
      </c>
      <c r="J1164" s="21">
        <f>IF($I1164="","",IF($I1164=0,"OK",IF($G1164&lt;=0,"Sin stock: pedir ya","Pedir o producir")))</f>
        <v/>
      </c>
      <c r="K1164" s="17" t="n"/>
      <c r="L1164" s="17" t="n"/>
      <c r="M1164" s="21">
        <f>IF(OR($A1164="",$A1164&lt;&gt;'Lista para pedir'!$C$3,N($I1164)&lt;=0),"",COUNTIFS($A$2:$A1164,$A1164,$I$2:$I1164,"&gt;0"))</f>
        <v/>
      </c>
    </row>
    <row r="1165">
      <c r="A1165" s="20" t="n"/>
      <c r="B1165" s="21">
        <f>IF($A1165="","",CHOOSE(WEEKDAY($A1165,2),"Lunes","Martes","Miércoles","Jueves","Viernes","Sábado","Domingo"))</f>
        <v/>
      </c>
      <c r="C1165" s="17" t="n"/>
      <c r="D1165" s="21">
        <f>IF($C1165="","",IFERROR(INDEX(Insumos!$B$2:$B$151,MATCH($C1165,Insumos!$A$2:$A$151,0)),"Código no cargado"))</f>
        <v/>
      </c>
      <c r="E1165" s="21">
        <f>IF($C1165="","",IFERROR(INDEX(Insumos!$C$2:$C$151,MATCH($C1165,Insumos!$A$2:$A$151,0)),""))</f>
        <v/>
      </c>
      <c r="F1165" s="21">
        <f>IF($C1165="","",IFERROR(INDEX(Insumos!$D$2:$D$151,MATCH($C1165,Insumos!$A$2:$A$151,0)),""))</f>
        <v/>
      </c>
      <c r="G1165" s="18" t="n"/>
      <c r="H1165" s="19">
        <f>IF(OR($A1165="",$C1165=""),"",IFERROR(INDEX(Insumos!$M$2:$S$151,MATCH($C1165,Insumos!$A$2:$A$151,0),WEEKDAY($A1165,2)),""))</f>
        <v/>
      </c>
      <c r="I1165" s="19">
        <f>IF(OR($G1165="",$H1165=""),"",MAX(0,$H1165-$G1165))</f>
        <v/>
      </c>
      <c r="J1165" s="21">
        <f>IF($I1165="","",IF($I1165=0,"OK",IF($G1165&lt;=0,"Sin stock: pedir ya","Pedir o producir")))</f>
        <v/>
      </c>
      <c r="K1165" s="17" t="n"/>
      <c r="L1165" s="17" t="n"/>
      <c r="M1165" s="21">
        <f>IF(OR($A1165="",$A1165&lt;&gt;'Lista para pedir'!$C$3,N($I1165)&lt;=0),"",COUNTIFS($A$2:$A1165,$A1165,$I$2:$I1165,"&gt;0"))</f>
        <v/>
      </c>
    </row>
    <row r="1166">
      <c r="A1166" s="20" t="n"/>
      <c r="B1166" s="21">
        <f>IF($A1166="","",CHOOSE(WEEKDAY($A1166,2),"Lunes","Martes","Miércoles","Jueves","Viernes","Sábado","Domingo"))</f>
        <v/>
      </c>
      <c r="C1166" s="17" t="n"/>
      <c r="D1166" s="21">
        <f>IF($C1166="","",IFERROR(INDEX(Insumos!$B$2:$B$151,MATCH($C1166,Insumos!$A$2:$A$151,0)),"Código no cargado"))</f>
        <v/>
      </c>
      <c r="E1166" s="21">
        <f>IF($C1166="","",IFERROR(INDEX(Insumos!$C$2:$C$151,MATCH($C1166,Insumos!$A$2:$A$151,0)),""))</f>
        <v/>
      </c>
      <c r="F1166" s="21">
        <f>IF($C1166="","",IFERROR(INDEX(Insumos!$D$2:$D$151,MATCH($C1166,Insumos!$A$2:$A$151,0)),""))</f>
        <v/>
      </c>
      <c r="G1166" s="18" t="n"/>
      <c r="H1166" s="19">
        <f>IF(OR($A1166="",$C1166=""),"",IFERROR(INDEX(Insumos!$M$2:$S$151,MATCH($C1166,Insumos!$A$2:$A$151,0),WEEKDAY($A1166,2)),""))</f>
        <v/>
      </c>
      <c r="I1166" s="19">
        <f>IF(OR($G1166="",$H1166=""),"",MAX(0,$H1166-$G1166))</f>
        <v/>
      </c>
      <c r="J1166" s="21">
        <f>IF($I1166="","",IF($I1166=0,"OK",IF($G1166&lt;=0,"Sin stock: pedir ya","Pedir o producir")))</f>
        <v/>
      </c>
      <c r="K1166" s="17" t="n"/>
      <c r="L1166" s="17" t="n"/>
      <c r="M1166" s="21">
        <f>IF(OR($A1166="",$A1166&lt;&gt;'Lista para pedir'!$C$3,N($I1166)&lt;=0),"",COUNTIFS($A$2:$A1166,$A1166,$I$2:$I1166,"&gt;0"))</f>
        <v/>
      </c>
    </row>
    <row r="1167">
      <c r="A1167" s="20" t="n"/>
      <c r="B1167" s="21">
        <f>IF($A1167="","",CHOOSE(WEEKDAY($A1167,2),"Lunes","Martes","Miércoles","Jueves","Viernes","Sábado","Domingo"))</f>
        <v/>
      </c>
      <c r="C1167" s="17" t="n"/>
      <c r="D1167" s="21">
        <f>IF($C1167="","",IFERROR(INDEX(Insumos!$B$2:$B$151,MATCH($C1167,Insumos!$A$2:$A$151,0)),"Código no cargado"))</f>
        <v/>
      </c>
      <c r="E1167" s="21">
        <f>IF($C1167="","",IFERROR(INDEX(Insumos!$C$2:$C$151,MATCH($C1167,Insumos!$A$2:$A$151,0)),""))</f>
        <v/>
      </c>
      <c r="F1167" s="21">
        <f>IF($C1167="","",IFERROR(INDEX(Insumos!$D$2:$D$151,MATCH($C1167,Insumos!$A$2:$A$151,0)),""))</f>
        <v/>
      </c>
      <c r="G1167" s="18" t="n"/>
      <c r="H1167" s="19">
        <f>IF(OR($A1167="",$C1167=""),"",IFERROR(INDEX(Insumos!$M$2:$S$151,MATCH($C1167,Insumos!$A$2:$A$151,0),WEEKDAY($A1167,2)),""))</f>
        <v/>
      </c>
      <c r="I1167" s="19">
        <f>IF(OR($G1167="",$H1167=""),"",MAX(0,$H1167-$G1167))</f>
        <v/>
      </c>
      <c r="J1167" s="21">
        <f>IF($I1167="","",IF($I1167=0,"OK",IF($G1167&lt;=0,"Sin stock: pedir ya","Pedir o producir")))</f>
        <v/>
      </c>
      <c r="K1167" s="17" t="n"/>
      <c r="L1167" s="17" t="n"/>
      <c r="M1167" s="21">
        <f>IF(OR($A1167="",$A1167&lt;&gt;'Lista para pedir'!$C$3,N($I1167)&lt;=0),"",COUNTIFS($A$2:$A1167,$A1167,$I$2:$I1167,"&gt;0"))</f>
        <v/>
      </c>
    </row>
    <row r="1168">
      <c r="A1168" s="20" t="n"/>
      <c r="B1168" s="21">
        <f>IF($A1168="","",CHOOSE(WEEKDAY($A1168,2),"Lunes","Martes","Miércoles","Jueves","Viernes","Sábado","Domingo"))</f>
        <v/>
      </c>
      <c r="C1168" s="17" t="n"/>
      <c r="D1168" s="21">
        <f>IF($C1168="","",IFERROR(INDEX(Insumos!$B$2:$B$151,MATCH($C1168,Insumos!$A$2:$A$151,0)),"Código no cargado"))</f>
        <v/>
      </c>
      <c r="E1168" s="21">
        <f>IF($C1168="","",IFERROR(INDEX(Insumos!$C$2:$C$151,MATCH($C1168,Insumos!$A$2:$A$151,0)),""))</f>
        <v/>
      </c>
      <c r="F1168" s="21">
        <f>IF($C1168="","",IFERROR(INDEX(Insumos!$D$2:$D$151,MATCH($C1168,Insumos!$A$2:$A$151,0)),""))</f>
        <v/>
      </c>
      <c r="G1168" s="18" t="n"/>
      <c r="H1168" s="19">
        <f>IF(OR($A1168="",$C1168=""),"",IFERROR(INDEX(Insumos!$M$2:$S$151,MATCH($C1168,Insumos!$A$2:$A$151,0),WEEKDAY($A1168,2)),""))</f>
        <v/>
      </c>
      <c r="I1168" s="19">
        <f>IF(OR($G1168="",$H1168=""),"",MAX(0,$H1168-$G1168))</f>
        <v/>
      </c>
      <c r="J1168" s="21">
        <f>IF($I1168="","",IF($I1168=0,"OK",IF($G1168&lt;=0,"Sin stock: pedir ya","Pedir o producir")))</f>
        <v/>
      </c>
      <c r="K1168" s="17" t="n"/>
      <c r="L1168" s="17" t="n"/>
      <c r="M1168" s="21">
        <f>IF(OR($A1168="",$A1168&lt;&gt;'Lista para pedir'!$C$3,N($I1168)&lt;=0),"",COUNTIFS($A$2:$A1168,$A1168,$I$2:$I1168,"&gt;0"))</f>
        <v/>
      </c>
    </row>
    <row r="1169">
      <c r="A1169" s="20" t="n"/>
      <c r="B1169" s="21">
        <f>IF($A1169="","",CHOOSE(WEEKDAY($A1169,2),"Lunes","Martes","Miércoles","Jueves","Viernes","Sábado","Domingo"))</f>
        <v/>
      </c>
      <c r="C1169" s="17" t="n"/>
      <c r="D1169" s="21">
        <f>IF($C1169="","",IFERROR(INDEX(Insumos!$B$2:$B$151,MATCH($C1169,Insumos!$A$2:$A$151,0)),"Código no cargado"))</f>
        <v/>
      </c>
      <c r="E1169" s="21">
        <f>IF($C1169="","",IFERROR(INDEX(Insumos!$C$2:$C$151,MATCH($C1169,Insumos!$A$2:$A$151,0)),""))</f>
        <v/>
      </c>
      <c r="F1169" s="21">
        <f>IF($C1169="","",IFERROR(INDEX(Insumos!$D$2:$D$151,MATCH($C1169,Insumos!$A$2:$A$151,0)),""))</f>
        <v/>
      </c>
      <c r="G1169" s="18" t="n"/>
      <c r="H1169" s="19">
        <f>IF(OR($A1169="",$C1169=""),"",IFERROR(INDEX(Insumos!$M$2:$S$151,MATCH($C1169,Insumos!$A$2:$A$151,0),WEEKDAY($A1169,2)),""))</f>
        <v/>
      </c>
      <c r="I1169" s="19">
        <f>IF(OR($G1169="",$H1169=""),"",MAX(0,$H1169-$G1169))</f>
        <v/>
      </c>
      <c r="J1169" s="21">
        <f>IF($I1169="","",IF($I1169=0,"OK",IF($G1169&lt;=0,"Sin stock: pedir ya","Pedir o producir")))</f>
        <v/>
      </c>
      <c r="K1169" s="17" t="n"/>
      <c r="L1169" s="17" t="n"/>
      <c r="M1169" s="21">
        <f>IF(OR($A1169="",$A1169&lt;&gt;'Lista para pedir'!$C$3,N($I1169)&lt;=0),"",COUNTIFS($A$2:$A1169,$A1169,$I$2:$I1169,"&gt;0"))</f>
        <v/>
      </c>
    </row>
    <row r="1170">
      <c r="A1170" s="20" t="n"/>
      <c r="B1170" s="21">
        <f>IF($A1170="","",CHOOSE(WEEKDAY($A1170,2),"Lunes","Martes","Miércoles","Jueves","Viernes","Sábado","Domingo"))</f>
        <v/>
      </c>
      <c r="C1170" s="17" t="n"/>
      <c r="D1170" s="21">
        <f>IF($C1170="","",IFERROR(INDEX(Insumos!$B$2:$B$151,MATCH($C1170,Insumos!$A$2:$A$151,0)),"Código no cargado"))</f>
        <v/>
      </c>
      <c r="E1170" s="21">
        <f>IF($C1170="","",IFERROR(INDEX(Insumos!$C$2:$C$151,MATCH($C1170,Insumos!$A$2:$A$151,0)),""))</f>
        <v/>
      </c>
      <c r="F1170" s="21">
        <f>IF($C1170="","",IFERROR(INDEX(Insumos!$D$2:$D$151,MATCH($C1170,Insumos!$A$2:$A$151,0)),""))</f>
        <v/>
      </c>
      <c r="G1170" s="18" t="n"/>
      <c r="H1170" s="19">
        <f>IF(OR($A1170="",$C1170=""),"",IFERROR(INDEX(Insumos!$M$2:$S$151,MATCH($C1170,Insumos!$A$2:$A$151,0),WEEKDAY($A1170,2)),""))</f>
        <v/>
      </c>
      <c r="I1170" s="19">
        <f>IF(OR($G1170="",$H1170=""),"",MAX(0,$H1170-$G1170))</f>
        <v/>
      </c>
      <c r="J1170" s="21">
        <f>IF($I1170="","",IF($I1170=0,"OK",IF($G1170&lt;=0,"Sin stock: pedir ya","Pedir o producir")))</f>
        <v/>
      </c>
      <c r="K1170" s="17" t="n"/>
      <c r="L1170" s="17" t="n"/>
      <c r="M1170" s="21">
        <f>IF(OR($A1170="",$A1170&lt;&gt;'Lista para pedir'!$C$3,N($I1170)&lt;=0),"",COUNTIFS($A$2:$A1170,$A1170,$I$2:$I1170,"&gt;0"))</f>
        <v/>
      </c>
    </row>
    <row r="1171">
      <c r="A1171" s="20" t="n"/>
      <c r="B1171" s="21">
        <f>IF($A1171="","",CHOOSE(WEEKDAY($A1171,2),"Lunes","Martes","Miércoles","Jueves","Viernes","Sábado","Domingo"))</f>
        <v/>
      </c>
      <c r="C1171" s="17" t="n"/>
      <c r="D1171" s="21">
        <f>IF($C1171="","",IFERROR(INDEX(Insumos!$B$2:$B$151,MATCH($C1171,Insumos!$A$2:$A$151,0)),"Código no cargado"))</f>
        <v/>
      </c>
      <c r="E1171" s="21">
        <f>IF($C1171="","",IFERROR(INDEX(Insumos!$C$2:$C$151,MATCH($C1171,Insumos!$A$2:$A$151,0)),""))</f>
        <v/>
      </c>
      <c r="F1171" s="21">
        <f>IF($C1171="","",IFERROR(INDEX(Insumos!$D$2:$D$151,MATCH($C1171,Insumos!$A$2:$A$151,0)),""))</f>
        <v/>
      </c>
      <c r="G1171" s="18" t="n"/>
      <c r="H1171" s="19">
        <f>IF(OR($A1171="",$C1171=""),"",IFERROR(INDEX(Insumos!$M$2:$S$151,MATCH($C1171,Insumos!$A$2:$A$151,0),WEEKDAY($A1171,2)),""))</f>
        <v/>
      </c>
      <c r="I1171" s="19">
        <f>IF(OR($G1171="",$H1171=""),"",MAX(0,$H1171-$G1171))</f>
        <v/>
      </c>
      <c r="J1171" s="21">
        <f>IF($I1171="","",IF($I1171=0,"OK",IF($G1171&lt;=0,"Sin stock: pedir ya","Pedir o producir")))</f>
        <v/>
      </c>
      <c r="K1171" s="17" t="n"/>
      <c r="L1171" s="17" t="n"/>
      <c r="M1171" s="21">
        <f>IF(OR($A1171="",$A1171&lt;&gt;'Lista para pedir'!$C$3,N($I1171)&lt;=0),"",COUNTIFS($A$2:$A1171,$A1171,$I$2:$I1171,"&gt;0"))</f>
        <v/>
      </c>
    </row>
    <row r="1172">
      <c r="A1172" s="20" t="n"/>
      <c r="B1172" s="21">
        <f>IF($A1172="","",CHOOSE(WEEKDAY($A1172,2),"Lunes","Martes","Miércoles","Jueves","Viernes","Sábado","Domingo"))</f>
        <v/>
      </c>
      <c r="C1172" s="17" t="n"/>
      <c r="D1172" s="21">
        <f>IF($C1172="","",IFERROR(INDEX(Insumos!$B$2:$B$151,MATCH($C1172,Insumos!$A$2:$A$151,0)),"Código no cargado"))</f>
        <v/>
      </c>
      <c r="E1172" s="21">
        <f>IF($C1172="","",IFERROR(INDEX(Insumos!$C$2:$C$151,MATCH($C1172,Insumos!$A$2:$A$151,0)),""))</f>
        <v/>
      </c>
      <c r="F1172" s="21">
        <f>IF($C1172="","",IFERROR(INDEX(Insumos!$D$2:$D$151,MATCH($C1172,Insumos!$A$2:$A$151,0)),""))</f>
        <v/>
      </c>
      <c r="G1172" s="18" t="n"/>
      <c r="H1172" s="19">
        <f>IF(OR($A1172="",$C1172=""),"",IFERROR(INDEX(Insumos!$M$2:$S$151,MATCH($C1172,Insumos!$A$2:$A$151,0),WEEKDAY($A1172,2)),""))</f>
        <v/>
      </c>
      <c r="I1172" s="19">
        <f>IF(OR($G1172="",$H1172=""),"",MAX(0,$H1172-$G1172))</f>
        <v/>
      </c>
      <c r="J1172" s="21">
        <f>IF($I1172="","",IF($I1172=0,"OK",IF($G1172&lt;=0,"Sin stock: pedir ya","Pedir o producir")))</f>
        <v/>
      </c>
      <c r="K1172" s="17" t="n"/>
      <c r="L1172" s="17" t="n"/>
      <c r="M1172" s="21">
        <f>IF(OR($A1172="",$A1172&lt;&gt;'Lista para pedir'!$C$3,N($I1172)&lt;=0),"",COUNTIFS($A$2:$A1172,$A1172,$I$2:$I1172,"&gt;0"))</f>
        <v/>
      </c>
    </row>
    <row r="1173">
      <c r="A1173" s="20" t="n"/>
      <c r="B1173" s="21">
        <f>IF($A1173="","",CHOOSE(WEEKDAY($A1173,2),"Lunes","Martes","Miércoles","Jueves","Viernes","Sábado","Domingo"))</f>
        <v/>
      </c>
      <c r="C1173" s="17" t="n"/>
      <c r="D1173" s="21">
        <f>IF($C1173="","",IFERROR(INDEX(Insumos!$B$2:$B$151,MATCH($C1173,Insumos!$A$2:$A$151,0)),"Código no cargado"))</f>
        <v/>
      </c>
      <c r="E1173" s="21">
        <f>IF($C1173="","",IFERROR(INDEX(Insumos!$C$2:$C$151,MATCH($C1173,Insumos!$A$2:$A$151,0)),""))</f>
        <v/>
      </c>
      <c r="F1173" s="21">
        <f>IF($C1173="","",IFERROR(INDEX(Insumos!$D$2:$D$151,MATCH($C1173,Insumos!$A$2:$A$151,0)),""))</f>
        <v/>
      </c>
      <c r="G1173" s="18" t="n"/>
      <c r="H1173" s="19">
        <f>IF(OR($A1173="",$C1173=""),"",IFERROR(INDEX(Insumos!$M$2:$S$151,MATCH($C1173,Insumos!$A$2:$A$151,0),WEEKDAY($A1173,2)),""))</f>
        <v/>
      </c>
      <c r="I1173" s="19">
        <f>IF(OR($G1173="",$H1173=""),"",MAX(0,$H1173-$G1173))</f>
        <v/>
      </c>
      <c r="J1173" s="21">
        <f>IF($I1173="","",IF($I1173=0,"OK",IF($G1173&lt;=0,"Sin stock: pedir ya","Pedir o producir")))</f>
        <v/>
      </c>
      <c r="K1173" s="17" t="n"/>
      <c r="L1173" s="17" t="n"/>
      <c r="M1173" s="21">
        <f>IF(OR($A1173="",$A1173&lt;&gt;'Lista para pedir'!$C$3,N($I1173)&lt;=0),"",COUNTIFS($A$2:$A1173,$A1173,$I$2:$I1173,"&gt;0"))</f>
        <v/>
      </c>
    </row>
    <row r="1174">
      <c r="A1174" s="20" t="n"/>
      <c r="B1174" s="21">
        <f>IF($A1174="","",CHOOSE(WEEKDAY($A1174,2),"Lunes","Martes","Miércoles","Jueves","Viernes","Sábado","Domingo"))</f>
        <v/>
      </c>
      <c r="C1174" s="17" t="n"/>
      <c r="D1174" s="21">
        <f>IF($C1174="","",IFERROR(INDEX(Insumos!$B$2:$B$151,MATCH($C1174,Insumos!$A$2:$A$151,0)),"Código no cargado"))</f>
        <v/>
      </c>
      <c r="E1174" s="21">
        <f>IF($C1174="","",IFERROR(INDEX(Insumos!$C$2:$C$151,MATCH($C1174,Insumos!$A$2:$A$151,0)),""))</f>
        <v/>
      </c>
      <c r="F1174" s="21">
        <f>IF($C1174="","",IFERROR(INDEX(Insumos!$D$2:$D$151,MATCH($C1174,Insumos!$A$2:$A$151,0)),""))</f>
        <v/>
      </c>
      <c r="G1174" s="18" t="n"/>
      <c r="H1174" s="19">
        <f>IF(OR($A1174="",$C1174=""),"",IFERROR(INDEX(Insumos!$M$2:$S$151,MATCH($C1174,Insumos!$A$2:$A$151,0),WEEKDAY($A1174,2)),""))</f>
        <v/>
      </c>
      <c r="I1174" s="19">
        <f>IF(OR($G1174="",$H1174=""),"",MAX(0,$H1174-$G1174))</f>
        <v/>
      </c>
      <c r="J1174" s="21">
        <f>IF($I1174="","",IF($I1174=0,"OK",IF($G1174&lt;=0,"Sin stock: pedir ya","Pedir o producir")))</f>
        <v/>
      </c>
      <c r="K1174" s="17" t="n"/>
      <c r="L1174" s="17" t="n"/>
      <c r="M1174" s="21">
        <f>IF(OR($A1174="",$A1174&lt;&gt;'Lista para pedir'!$C$3,N($I1174)&lt;=0),"",COUNTIFS($A$2:$A1174,$A1174,$I$2:$I1174,"&gt;0"))</f>
        <v/>
      </c>
    </row>
    <row r="1175">
      <c r="A1175" s="20" t="n"/>
      <c r="B1175" s="21">
        <f>IF($A1175="","",CHOOSE(WEEKDAY($A1175,2),"Lunes","Martes","Miércoles","Jueves","Viernes","Sábado","Domingo"))</f>
        <v/>
      </c>
      <c r="C1175" s="17" t="n"/>
      <c r="D1175" s="21">
        <f>IF($C1175="","",IFERROR(INDEX(Insumos!$B$2:$B$151,MATCH($C1175,Insumos!$A$2:$A$151,0)),"Código no cargado"))</f>
        <v/>
      </c>
      <c r="E1175" s="21">
        <f>IF($C1175="","",IFERROR(INDEX(Insumos!$C$2:$C$151,MATCH($C1175,Insumos!$A$2:$A$151,0)),""))</f>
        <v/>
      </c>
      <c r="F1175" s="21">
        <f>IF($C1175="","",IFERROR(INDEX(Insumos!$D$2:$D$151,MATCH($C1175,Insumos!$A$2:$A$151,0)),""))</f>
        <v/>
      </c>
      <c r="G1175" s="18" t="n"/>
      <c r="H1175" s="19">
        <f>IF(OR($A1175="",$C1175=""),"",IFERROR(INDEX(Insumos!$M$2:$S$151,MATCH($C1175,Insumos!$A$2:$A$151,0),WEEKDAY($A1175,2)),""))</f>
        <v/>
      </c>
      <c r="I1175" s="19">
        <f>IF(OR($G1175="",$H1175=""),"",MAX(0,$H1175-$G1175))</f>
        <v/>
      </c>
      <c r="J1175" s="21">
        <f>IF($I1175="","",IF($I1175=0,"OK",IF($G1175&lt;=0,"Sin stock: pedir ya","Pedir o producir")))</f>
        <v/>
      </c>
      <c r="K1175" s="17" t="n"/>
      <c r="L1175" s="17" t="n"/>
      <c r="M1175" s="21">
        <f>IF(OR($A1175="",$A1175&lt;&gt;'Lista para pedir'!$C$3,N($I1175)&lt;=0),"",COUNTIFS($A$2:$A1175,$A1175,$I$2:$I1175,"&gt;0"))</f>
        <v/>
      </c>
    </row>
    <row r="1176">
      <c r="A1176" s="20" t="n"/>
      <c r="B1176" s="21">
        <f>IF($A1176="","",CHOOSE(WEEKDAY($A1176,2),"Lunes","Martes","Miércoles","Jueves","Viernes","Sábado","Domingo"))</f>
        <v/>
      </c>
      <c r="C1176" s="17" t="n"/>
      <c r="D1176" s="21">
        <f>IF($C1176="","",IFERROR(INDEX(Insumos!$B$2:$B$151,MATCH($C1176,Insumos!$A$2:$A$151,0)),"Código no cargado"))</f>
        <v/>
      </c>
      <c r="E1176" s="21">
        <f>IF($C1176="","",IFERROR(INDEX(Insumos!$C$2:$C$151,MATCH($C1176,Insumos!$A$2:$A$151,0)),""))</f>
        <v/>
      </c>
      <c r="F1176" s="21">
        <f>IF($C1176="","",IFERROR(INDEX(Insumos!$D$2:$D$151,MATCH($C1176,Insumos!$A$2:$A$151,0)),""))</f>
        <v/>
      </c>
      <c r="G1176" s="18" t="n"/>
      <c r="H1176" s="19">
        <f>IF(OR($A1176="",$C1176=""),"",IFERROR(INDEX(Insumos!$M$2:$S$151,MATCH($C1176,Insumos!$A$2:$A$151,0),WEEKDAY($A1176,2)),""))</f>
        <v/>
      </c>
      <c r="I1176" s="19">
        <f>IF(OR($G1176="",$H1176=""),"",MAX(0,$H1176-$G1176))</f>
        <v/>
      </c>
      <c r="J1176" s="21">
        <f>IF($I1176="","",IF($I1176=0,"OK",IF($G1176&lt;=0,"Sin stock: pedir ya","Pedir o producir")))</f>
        <v/>
      </c>
      <c r="K1176" s="17" t="n"/>
      <c r="L1176" s="17" t="n"/>
      <c r="M1176" s="21">
        <f>IF(OR($A1176="",$A1176&lt;&gt;'Lista para pedir'!$C$3,N($I1176)&lt;=0),"",COUNTIFS($A$2:$A1176,$A1176,$I$2:$I1176,"&gt;0"))</f>
        <v/>
      </c>
    </row>
    <row r="1177">
      <c r="A1177" s="20" t="n"/>
      <c r="B1177" s="21">
        <f>IF($A1177="","",CHOOSE(WEEKDAY($A1177,2),"Lunes","Martes","Miércoles","Jueves","Viernes","Sábado","Domingo"))</f>
        <v/>
      </c>
      <c r="C1177" s="17" t="n"/>
      <c r="D1177" s="21">
        <f>IF($C1177="","",IFERROR(INDEX(Insumos!$B$2:$B$151,MATCH($C1177,Insumos!$A$2:$A$151,0)),"Código no cargado"))</f>
        <v/>
      </c>
      <c r="E1177" s="21">
        <f>IF($C1177="","",IFERROR(INDEX(Insumos!$C$2:$C$151,MATCH($C1177,Insumos!$A$2:$A$151,0)),""))</f>
        <v/>
      </c>
      <c r="F1177" s="21">
        <f>IF($C1177="","",IFERROR(INDEX(Insumos!$D$2:$D$151,MATCH($C1177,Insumos!$A$2:$A$151,0)),""))</f>
        <v/>
      </c>
      <c r="G1177" s="18" t="n"/>
      <c r="H1177" s="19">
        <f>IF(OR($A1177="",$C1177=""),"",IFERROR(INDEX(Insumos!$M$2:$S$151,MATCH($C1177,Insumos!$A$2:$A$151,0),WEEKDAY($A1177,2)),""))</f>
        <v/>
      </c>
      <c r="I1177" s="19">
        <f>IF(OR($G1177="",$H1177=""),"",MAX(0,$H1177-$G1177))</f>
        <v/>
      </c>
      <c r="J1177" s="21">
        <f>IF($I1177="","",IF($I1177=0,"OK",IF($G1177&lt;=0,"Sin stock: pedir ya","Pedir o producir")))</f>
        <v/>
      </c>
      <c r="K1177" s="17" t="n"/>
      <c r="L1177" s="17" t="n"/>
      <c r="M1177" s="21">
        <f>IF(OR($A1177="",$A1177&lt;&gt;'Lista para pedir'!$C$3,N($I1177)&lt;=0),"",COUNTIFS($A$2:$A1177,$A1177,$I$2:$I1177,"&gt;0"))</f>
        <v/>
      </c>
    </row>
    <row r="1178">
      <c r="A1178" s="20" t="n"/>
      <c r="B1178" s="21">
        <f>IF($A1178="","",CHOOSE(WEEKDAY($A1178,2),"Lunes","Martes","Miércoles","Jueves","Viernes","Sábado","Domingo"))</f>
        <v/>
      </c>
      <c r="C1178" s="17" t="n"/>
      <c r="D1178" s="21">
        <f>IF($C1178="","",IFERROR(INDEX(Insumos!$B$2:$B$151,MATCH($C1178,Insumos!$A$2:$A$151,0)),"Código no cargado"))</f>
        <v/>
      </c>
      <c r="E1178" s="21">
        <f>IF($C1178="","",IFERROR(INDEX(Insumos!$C$2:$C$151,MATCH($C1178,Insumos!$A$2:$A$151,0)),""))</f>
        <v/>
      </c>
      <c r="F1178" s="21">
        <f>IF($C1178="","",IFERROR(INDEX(Insumos!$D$2:$D$151,MATCH($C1178,Insumos!$A$2:$A$151,0)),""))</f>
        <v/>
      </c>
      <c r="G1178" s="18" t="n"/>
      <c r="H1178" s="19">
        <f>IF(OR($A1178="",$C1178=""),"",IFERROR(INDEX(Insumos!$M$2:$S$151,MATCH($C1178,Insumos!$A$2:$A$151,0),WEEKDAY($A1178,2)),""))</f>
        <v/>
      </c>
      <c r="I1178" s="19">
        <f>IF(OR($G1178="",$H1178=""),"",MAX(0,$H1178-$G1178))</f>
        <v/>
      </c>
      <c r="J1178" s="21">
        <f>IF($I1178="","",IF($I1178=0,"OK",IF($G1178&lt;=0,"Sin stock: pedir ya","Pedir o producir")))</f>
        <v/>
      </c>
      <c r="K1178" s="17" t="n"/>
      <c r="L1178" s="17" t="n"/>
      <c r="M1178" s="21">
        <f>IF(OR($A1178="",$A1178&lt;&gt;'Lista para pedir'!$C$3,N($I1178)&lt;=0),"",COUNTIFS($A$2:$A1178,$A1178,$I$2:$I1178,"&gt;0"))</f>
        <v/>
      </c>
    </row>
    <row r="1179">
      <c r="A1179" s="20" t="n"/>
      <c r="B1179" s="21">
        <f>IF($A1179="","",CHOOSE(WEEKDAY($A1179,2),"Lunes","Martes","Miércoles","Jueves","Viernes","Sábado","Domingo"))</f>
        <v/>
      </c>
      <c r="C1179" s="17" t="n"/>
      <c r="D1179" s="21">
        <f>IF($C1179="","",IFERROR(INDEX(Insumos!$B$2:$B$151,MATCH($C1179,Insumos!$A$2:$A$151,0)),"Código no cargado"))</f>
        <v/>
      </c>
      <c r="E1179" s="21">
        <f>IF($C1179="","",IFERROR(INDEX(Insumos!$C$2:$C$151,MATCH($C1179,Insumos!$A$2:$A$151,0)),""))</f>
        <v/>
      </c>
      <c r="F1179" s="21">
        <f>IF($C1179="","",IFERROR(INDEX(Insumos!$D$2:$D$151,MATCH($C1179,Insumos!$A$2:$A$151,0)),""))</f>
        <v/>
      </c>
      <c r="G1179" s="18" t="n"/>
      <c r="H1179" s="19">
        <f>IF(OR($A1179="",$C1179=""),"",IFERROR(INDEX(Insumos!$M$2:$S$151,MATCH($C1179,Insumos!$A$2:$A$151,0),WEEKDAY($A1179,2)),""))</f>
        <v/>
      </c>
      <c r="I1179" s="19">
        <f>IF(OR($G1179="",$H1179=""),"",MAX(0,$H1179-$G1179))</f>
        <v/>
      </c>
      <c r="J1179" s="21">
        <f>IF($I1179="","",IF($I1179=0,"OK",IF($G1179&lt;=0,"Sin stock: pedir ya","Pedir o producir")))</f>
        <v/>
      </c>
      <c r="K1179" s="17" t="n"/>
      <c r="L1179" s="17" t="n"/>
      <c r="M1179" s="21">
        <f>IF(OR($A1179="",$A1179&lt;&gt;'Lista para pedir'!$C$3,N($I1179)&lt;=0),"",COUNTIFS($A$2:$A1179,$A1179,$I$2:$I1179,"&gt;0"))</f>
        <v/>
      </c>
    </row>
    <row r="1180">
      <c r="A1180" s="20" t="n"/>
      <c r="B1180" s="21">
        <f>IF($A1180="","",CHOOSE(WEEKDAY($A1180,2),"Lunes","Martes","Miércoles","Jueves","Viernes","Sábado","Domingo"))</f>
        <v/>
      </c>
      <c r="C1180" s="17" t="n"/>
      <c r="D1180" s="21">
        <f>IF($C1180="","",IFERROR(INDEX(Insumos!$B$2:$B$151,MATCH($C1180,Insumos!$A$2:$A$151,0)),"Código no cargado"))</f>
        <v/>
      </c>
      <c r="E1180" s="21">
        <f>IF($C1180="","",IFERROR(INDEX(Insumos!$C$2:$C$151,MATCH($C1180,Insumos!$A$2:$A$151,0)),""))</f>
        <v/>
      </c>
      <c r="F1180" s="21">
        <f>IF($C1180="","",IFERROR(INDEX(Insumos!$D$2:$D$151,MATCH($C1180,Insumos!$A$2:$A$151,0)),""))</f>
        <v/>
      </c>
      <c r="G1180" s="18" t="n"/>
      <c r="H1180" s="19">
        <f>IF(OR($A1180="",$C1180=""),"",IFERROR(INDEX(Insumos!$M$2:$S$151,MATCH($C1180,Insumos!$A$2:$A$151,0),WEEKDAY($A1180,2)),""))</f>
        <v/>
      </c>
      <c r="I1180" s="19">
        <f>IF(OR($G1180="",$H1180=""),"",MAX(0,$H1180-$G1180))</f>
        <v/>
      </c>
      <c r="J1180" s="21">
        <f>IF($I1180="","",IF($I1180=0,"OK",IF($G1180&lt;=0,"Sin stock: pedir ya","Pedir o producir")))</f>
        <v/>
      </c>
      <c r="K1180" s="17" t="n"/>
      <c r="L1180" s="17" t="n"/>
      <c r="M1180" s="21">
        <f>IF(OR($A1180="",$A1180&lt;&gt;'Lista para pedir'!$C$3,N($I1180)&lt;=0),"",COUNTIFS($A$2:$A1180,$A1180,$I$2:$I1180,"&gt;0"))</f>
        <v/>
      </c>
    </row>
    <row r="1181">
      <c r="A1181" s="20" t="n"/>
      <c r="B1181" s="21">
        <f>IF($A1181="","",CHOOSE(WEEKDAY($A1181,2),"Lunes","Martes","Miércoles","Jueves","Viernes","Sábado","Domingo"))</f>
        <v/>
      </c>
      <c r="C1181" s="17" t="n"/>
      <c r="D1181" s="21">
        <f>IF($C1181="","",IFERROR(INDEX(Insumos!$B$2:$B$151,MATCH($C1181,Insumos!$A$2:$A$151,0)),"Código no cargado"))</f>
        <v/>
      </c>
      <c r="E1181" s="21">
        <f>IF($C1181="","",IFERROR(INDEX(Insumos!$C$2:$C$151,MATCH($C1181,Insumos!$A$2:$A$151,0)),""))</f>
        <v/>
      </c>
      <c r="F1181" s="21">
        <f>IF($C1181="","",IFERROR(INDEX(Insumos!$D$2:$D$151,MATCH($C1181,Insumos!$A$2:$A$151,0)),""))</f>
        <v/>
      </c>
      <c r="G1181" s="18" t="n"/>
      <c r="H1181" s="19">
        <f>IF(OR($A1181="",$C1181=""),"",IFERROR(INDEX(Insumos!$M$2:$S$151,MATCH($C1181,Insumos!$A$2:$A$151,0),WEEKDAY($A1181,2)),""))</f>
        <v/>
      </c>
      <c r="I1181" s="19">
        <f>IF(OR($G1181="",$H1181=""),"",MAX(0,$H1181-$G1181))</f>
        <v/>
      </c>
      <c r="J1181" s="21">
        <f>IF($I1181="","",IF($I1181=0,"OK",IF($G1181&lt;=0,"Sin stock: pedir ya","Pedir o producir")))</f>
        <v/>
      </c>
      <c r="K1181" s="17" t="n"/>
      <c r="L1181" s="17" t="n"/>
      <c r="M1181" s="21">
        <f>IF(OR($A1181="",$A1181&lt;&gt;'Lista para pedir'!$C$3,N($I1181)&lt;=0),"",COUNTIFS($A$2:$A1181,$A1181,$I$2:$I1181,"&gt;0"))</f>
        <v/>
      </c>
    </row>
    <row r="1182">
      <c r="A1182" s="20" t="n"/>
      <c r="B1182" s="21">
        <f>IF($A1182="","",CHOOSE(WEEKDAY($A1182,2),"Lunes","Martes","Miércoles","Jueves","Viernes","Sábado","Domingo"))</f>
        <v/>
      </c>
      <c r="C1182" s="17" t="n"/>
      <c r="D1182" s="21">
        <f>IF($C1182="","",IFERROR(INDEX(Insumos!$B$2:$B$151,MATCH($C1182,Insumos!$A$2:$A$151,0)),"Código no cargado"))</f>
        <v/>
      </c>
      <c r="E1182" s="21">
        <f>IF($C1182="","",IFERROR(INDEX(Insumos!$C$2:$C$151,MATCH($C1182,Insumos!$A$2:$A$151,0)),""))</f>
        <v/>
      </c>
      <c r="F1182" s="21">
        <f>IF($C1182="","",IFERROR(INDEX(Insumos!$D$2:$D$151,MATCH($C1182,Insumos!$A$2:$A$151,0)),""))</f>
        <v/>
      </c>
      <c r="G1182" s="18" t="n"/>
      <c r="H1182" s="19">
        <f>IF(OR($A1182="",$C1182=""),"",IFERROR(INDEX(Insumos!$M$2:$S$151,MATCH($C1182,Insumos!$A$2:$A$151,0),WEEKDAY($A1182,2)),""))</f>
        <v/>
      </c>
      <c r="I1182" s="19">
        <f>IF(OR($G1182="",$H1182=""),"",MAX(0,$H1182-$G1182))</f>
        <v/>
      </c>
      <c r="J1182" s="21">
        <f>IF($I1182="","",IF($I1182=0,"OK",IF($G1182&lt;=0,"Sin stock: pedir ya","Pedir o producir")))</f>
        <v/>
      </c>
      <c r="K1182" s="17" t="n"/>
      <c r="L1182" s="17" t="n"/>
      <c r="M1182" s="21">
        <f>IF(OR($A1182="",$A1182&lt;&gt;'Lista para pedir'!$C$3,N($I1182)&lt;=0),"",COUNTIFS($A$2:$A1182,$A1182,$I$2:$I1182,"&gt;0"))</f>
        <v/>
      </c>
    </row>
    <row r="1183">
      <c r="A1183" s="20" t="n"/>
      <c r="B1183" s="21">
        <f>IF($A1183="","",CHOOSE(WEEKDAY($A1183,2),"Lunes","Martes","Miércoles","Jueves","Viernes","Sábado","Domingo"))</f>
        <v/>
      </c>
      <c r="C1183" s="17" t="n"/>
      <c r="D1183" s="21">
        <f>IF($C1183="","",IFERROR(INDEX(Insumos!$B$2:$B$151,MATCH($C1183,Insumos!$A$2:$A$151,0)),"Código no cargado"))</f>
        <v/>
      </c>
      <c r="E1183" s="21">
        <f>IF($C1183="","",IFERROR(INDEX(Insumos!$C$2:$C$151,MATCH($C1183,Insumos!$A$2:$A$151,0)),""))</f>
        <v/>
      </c>
      <c r="F1183" s="21">
        <f>IF($C1183="","",IFERROR(INDEX(Insumos!$D$2:$D$151,MATCH($C1183,Insumos!$A$2:$A$151,0)),""))</f>
        <v/>
      </c>
      <c r="G1183" s="18" t="n"/>
      <c r="H1183" s="19">
        <f>IF(OR($A1183="",$C1183=""),"",IFERROR(INDEX(Insumos!$M$2:$S$151,MATCH($C1183,Insumos!$A$2:$A$151,0),WEEKDAY($A1183,2)),""))</f>
        <v/>
      </c>
      <c r="I1183" s="19">
        <f>IF(OR($G1183="",$H1183=""),"",MAX(0,$H1183-$G1183))</f>
        <v/>
      </c>
      <c r="J1183" s="21">
        <f>IF($I1183="","",IF($I1183=0,"OK",IF($G1183&lt;=0,"Sin stock: pedir ya","Pedir o producir")))</f>
        <v/>
      </c>
      <c r="K1183" s="17" t="n"/>
      <c r="L1183" s="17" t="n"/>
      <c r="M1183" s="21">
        <f>IF(OR($A1183="",$A1183&lt;&gt;'Lista para pedir'!$C$3,N($I1183)&lt;=0),"",COUNTIFS($A$2:$A1183,$A1183,$I$2:$I1183,"&gt;0"))</f>
        <v/>
      </c>
    </row>
    <row r="1184">
      <c r="A1184" s="20" t="n"/>
      <c r="B1184" s="21">
        <f>IF($A1184="","",CHOOSE(WEEKDAY($A1184,2),"Lunes","Martes","Miércoles","Jueves","Viernes","Sábado","Domingo"))</f>
        <v/>
      </c>
      <c r="C1184" s="17" t="n"/>
      <c r="D1184" s="21">
        <f>IF($C1184="","",IFERROR(INDEX(Insumos!$B$2:$B$151,MATCH($C1184,Insumos!$A$2:$A$151,0)),"Código no cargado"))</f>
        <v/>
      </c>
      <c r="E1184" s="21">
        <f>IF($C1184="","",IFERROR(INDEX(Insumos!$C$2:$C$151,MATCH($C1184,Insumos!$A$2:$A$151,0)),""))</f>
        <v/>
      </c>
      <c r="F1184" s="21">
        <f>IF($C1184="","",IFERROR(INDEX(Insumos!$D$2:$D$151,MATCH($C1184,Insumos!$A$2:$A$151,0)),""))</f>
        <v/>
      </c>
      <c r="G1184" s="18" t="n"/>
      <c r="H1184" s="19">
        <f>IF(OR($A1184="",$C1184=""),"",IFERROR(INDEX(Insumos!$M$2:$S$151,MATCH($C1184,Insumos!$A$2:$A$151,0),WEEKDAY($A1184,2)),""))</f>
        <v/>
      </c>
      <c r="I1184" s="19">
        <f>IF(OR($G1184="",$H1184=""),"",MAX(0,$H1184-$G1184))</f>
        <v/>
      </c>
      <c r="J1184" s="21">
        <f>IF($I1184="","",IF($I1184=0,"OK",IF($G1184&lt;=0,"Sin stock: pedir ya","Pedir o producir")))</f>
        <v/>
      </c>
      <c r="K1184" s="17" t="n"/>
      <c r="L1184" s="17" t="n"/>
      <c r="M1184" s="21">
        <f>IF(OR($A1184="",$A1184&lt;&gt;'Lista para pedir'!$C$3,N($I1184)&lt;=0),"",COUNTIFS($A$2:$A1184,$A1184,$I$2:$I1184,"&gt;0"))</f>
        <v/>
      </c>
    </row>
    <row r="1185">
      <c r="A1185" s="20" t="n"/>
      <c r="B1185" s="21">
        <f>IF($A1185="","",CHOOSE(WEEKDAY($A1185,2),"Lunes","Martes","Miércoles","Jueves","Viernes","Sábado","Domingo"))</f>
        <v/>
      </c>
      <c r="C1185" s="17" t="n"/>
      <c r="D1185" s="21">
        <f>IF($C1185="","",IFERROR(INDEX(Insumos!$B$2:$B$151,MATCH($C1185,Insumos!$A$2:$A$151,0)),"Código no cargado"))</f>
        <v/>
      </c>
      <c r="E1185" s="21">
        <f>IF($C1185="","",IFERROR(INDEX(Insumos!$C$2:$C$151,MATCH($C1185,Insumos!$A$2:$A$151,0)),""))</f>
        <v/>
      </c>
      <c r="F1185" s="21">
        <f>IF($C1185="","",IFERROR(INDEX(Insumos!$D$2:$D$151,MATCH($C1185,Insumos!$A$2:$A$151,0)),""))</f>
        <v/>
      </c>
      <c r="G1185" s="18" t="n"/>
      <c r="H1185" s="19">
        <f>IF(OR($A1185="",$C1185=""),"",IFERROR(INDEX(Insumos!$M$2:$S$151,MATCH($C1185,Insumos!$A$2:$A$151,0),WEEKDAY($A1185,2)),""))</f>
        <v/>
      </c>
      <c r="I1185" s="19">
        <f>IF(OR($G1185="",$H1185=""),"",MAX(0,$H1185-$G1185))</f>
        <v/>
      </c>
      <c r="J1185" s="21">
        <f>IF($I1185="","",IF($I1185=0,"OK",IF($G1185&lt;=0,"Sin stock: pedir ya","Pedir o producir")))</f>
        <v/>
      </c>
      <c r="K1185" s="17" t="n"/>
      <c r="L1185" s="17" t="n"/>
      <c r="M1185" s="21">
        <f>IF(OR($A1185="",$A1185&lt;&gt;'Lista para pedir'!$C$3,N($I1185)&lt;=0),"",COUNTIFS($A$2:$A1185,$A1185,$I$2:$I1185,"&gt;0"))</f>
        <v/>
      </c>
    </row>
    <row r="1186">
      <c r="A1186" s="20" t="n"/>
      <c r="B1186" s="21">
        <f>IF($A1186="","",CHOOSE(WEEKDAY($A1186,2),"Lunes","Martes","Miércoles","Jueves","Viernes","Sábado","Domingo"))</f>
        <v/>
      </c>
      <c r="C1186" s="17" t="n"/>
      <c r="D1186" s="21">
        <f>IF($C1186="","",IFERROR(INDEX(Insumos!$B$2:$B$151,MATCH($C1186,Insumos!$A$2:$A$151,0)),"Código no cargado"))</f>
        <v/>
      </c>
      <c r="E1186" s="21">
        <f>IF($C1186="","",IFERROR(INDEX(Insumos!$C$2:$C$151,MATCH($C1186,Insumos!$A$2:$A$151,0)),""))</f>
        <v/>
      </c>
      <c r="F1186" s="21">
        <f>IF($C1186="","",IFERROR(INDEX(Insumos!$D$2:$D$151,MATCH($C1186,Insumos!$A$2:$A$151,0)),""))</f>
        <v/>
      </c>
      <c r="G1186" s="18" t="n"/>
      <c r="H1186" s="19">
        <f>IF(OR($A1186="",$C1186=""),"",IFERROR(INDEX(Insumos!$M$2:$S$151,MATCH($C1186,Insumos!$A$2:$A$151,0),WEEKDAY($A1186,2)),""))</f>
        <v/>
      </c>
      <c r="I1186" s="19">
        <f>IF(OR($G1186="",$H1186=""),"",MAX(0,$H1186-$G1186))</f>
        <v/>
      </c>
      <c r="J1186" s="21">
        <f>IF($I1186="","",IF($I1186=0,"OK",IF($G1186&lt;=0,"Sin stock: pedir ya","Pedir o producir")))</f>
        <v/>
      </c>
      <c r="K1186" s="17" t="n"/>
      <c r="L1186" s="17" t="n"/>
      <c r="M1186" s="21">
        <f>IF(OR($A1186="",$A1186&lt;&gt;'Lista para pedir'!$C$3,N($I1186)&lt;=0),"",COUNTIFS($A$2:$A1186,$A1186,$I$2:$I1186,"&gt;0"))</f>
        <v/>
      </c>
    </row>
    <row r="1187">
      <c r="A1187" s="20" t="n"/>
      <c r="B1187" s="21">
        <f>IF($A1187="","",CHOOSE(WEEKDAY($A1187,2),"Lunes","Martes","Miércoles","Jueves","Viernes","Sábado","Domingo"))</f>
        <v/>
      </c>
      <c r="C1187" s="17" t="n"/>
      <c r="D1187" s="21">
        <f>IF($C1187="","",IFERROR(INDEX(Insumos!$B$2:$B$151,MATCH($C1187,Insumos!$A$2:$A$151,0)),"Código no cargado"))</f>
        <v/>
      </c>
      <c r="E1187" s="21">
        <f>IF($C1187="","",IFERROR(INDEX(Insumos!$C$2:$C$151,MATCH($C1187,Insumos!$A$2:$A$151,0)),""))</f>
        <v/>
      </c>
      <c r="F1187" s="21">
        <f>IF($C1187="","",IFERROR(INDEX(Insumos!$D$2:$D$151,MATCH($C1187,Insumos!$A$2:$A$151,0)),""))</f>
        <v/>
      </c>
      <c r="G1187" s="18" t="n"/>
      <c r="H1187" s="19">
        <f>IF(OR($A1187="",$C1187=""),"",IFERROR(INDEX(Insumos!$M$2:$S$151,MATCH($C1187,Insumos!$A$2:$A$151,0),WEEKDAY($A1187,2)),""))</f>
        <v/>
      </c>
      <c r="I1187" s="19">
        <f>IF(OR($G1187="",$H1187=""),"",MAX(0,$H1187-$G1187))</f>
        <v/>
      </c>
      <c r="J1187" s="21">
        <f>IF($I1187="","",IF($I1187=0,"OK",IF($G1187&lt;=0,"Sin stock: pedir ya","Pedir o producir")))</f>
        <v/>
      </c>
      <c r="K1187" s="17" t="n"/>
      <c r="L1187" s="17" t="n"/>
      <c r="M1187" s="21">
        <f>IF(OR($A1187="",$A1187&lt;&gt;'Lista para pedir'!$C$3,N($I1187)&lt;=0),"",COUNTIFS($A$2:$A1187,$A1187,$I$2:$I1187,"&gt;0"))</f>
        <v/>
      </c>
    </row>
    <row r="1188">
      <c r="A1188" s="20" t="n"/>
      <c r="B1188" s="21">
        <f>IF($A1188="","",CHOOSE(WEEKDAY($A1188,2),"Lunes","Martes","Miércoles","Jueves","Viernes","Sábado","Domingo"))</f>
        <v/>
      </c>
      <c r="C1188" s="17" t="n"/>
      <c r="D1188" s="21">
        <f>IF($C1188="","",IFERROR(INDEX(Insumos!$B$2:$B$151,MATCH($C1188,Insumos!$A$2:$A$151,0)),"Código no cargado"))</f>
        <v/>
      </c>
      <c r="E1188" s="21">
        <f>IF($C1188="","",IFERROR(INDEX(Insumos!$C$2:$C$151,MATCH($C1188,Insumos!$A$2:$A$151,0)),""))</f>
        <v/>
      </c>
      <c r="F1188" s="21">
        <f>IF($C1188="","",IFERROR(INDEX(Insumos!$D$2:$D$151,MATCH($C1188,Insumos!$A$2:$A$151,0)),""))</f>
        <v/>
      </c>
      <c r="G1188" s="18" t="n"/>
      <c r="H1188" s="19">
        <f>IF(OR($A1188="",$C1188=""),"",IFERROR(INDEX(Insumos!$M$2:$S$151,MATCH($C1188,Insumos!$A$2:$A$151,0),WEEKDAY($A1188,2)),""))</f>
        <v/>
      </c>
      <c r="I1188" s="19">
        <f>IF(OR($G1188="",$H1188=""),"",MAX(0,$H1188-$G1188))</f>
        <v/>
      </c>
      <c r="J1188" s="21">
        <f>IF($I1188="","",IF($I1188=0,"OK",IF($G1188&lt;=0,"Sin stock: pedir ya","Pedir o producir")))</f>
        <v/>
      </c>
      <c r="K1188" s="17" t="n"/>
      <c r="L1188" s="17" t="n"/>
      <c r="M1188" s="21">
        <f>IF(OR($A1188="",$A1188&lt;&gt;'Lista para pedir'!$C$3,N($I1188)&lt;=0),"",COUNTIFS($A$2:$A1188,$A1188,$I$2:$I1188,"&gt;0"))</f>
        <v/>
      </c>
    </row>
    <row r="1189">
      <c r="A1189" s="20" t="n"/>
      <c r="B1189" s="21">
        <f>IF($A1189="","",CHOOSE(WEEKDAY($A1189,2),"Lunes","Martes","Miércoles","Jueves","Viernes","Sábado","Domingo"))</f>
        <v/>
      </c>
      <c r="C1189" s="17" t="n"/>
      <c r="D1189" s="21">
        <f>IF($C1189="","",IFERROR(INDEX(Insumos!$B$2:$B$151,MATCH($C1189,Insumos!$A$2:$A$151,0)),"Código no cargado"))</f>
        <v/>
      </c>
      <c r="E1189" s="21">
        <f>IF($C1189="","",IFERROR(INDEX(Insumos!$C$2:$C$151,MATCH($C1189,Insumos!$A$2:$A$151,0)),""))</f>
        <v/>
      </c>
      <c r="F1189" s="21">
        <f>IF($C1189="","",IFERROR(INDEX(Insumos!$D$2:$D$151,MATCH($C1189,Insumos!$A$2:$A$151,0)),""))</f>
        <v/>
      </c>
      <c r="G1189" s="18" t="n"/>
      <c r="H1189" s="19">
        <f>IF(OR($A1189="",$C1189=""),"",IFERROR(INDEX(Insumos!$M$2:$S$151,MATCH($C1189,Insumos!$A$2:$A$151,0),WEEKDAY($A1189,2)),""))</f>
        <v/>
      </c>
      <c r="I1189" s="19">
        <f>IF(OR($G1189="",$H1189=""),"",MAX(0,$H1189-$G1189))</f>
        <v/>
      </c>
      <c r="J1189" s="21">
        <f>IF($I1189="","",IF($I1189=0,"OK",IF($G1189&lt;=0,"Sin stock: pedir ya","Pedir o producir")))</f>
        <v/>
      </c>
      <c r="K1189" s="17" t="n"/>
      <c r="L1189" s="17" t="n"/>
      <c r="M1189" s="21">
        <f>IF(OR($A1189="",$A1189&lt;&gt;'Lista para pedir'!$C$3,N($I1189)&lt;=0),"",COUNTIFS($A$2:$A1189,$A1189,$I$2:$I1189,"&gt;0"))</f>
        <v/>
      </c>
    </row>
    <row r="1190">
      <c r="A1190" s="20" t="n"/>
      <c r="B1190" s="21">
        <f>IF($A1190="","",CHOOSE(WEEKDAY($A1190,2),"Lunes","Martes","Miércoles","Jueves","Viernes","Sábado","Domingo"))</f>
        <v/>
      </c>
      <c r="C1190" s="17" t="n"/>
      <c r="D1190" s="21">
        <f>IF($C1190="","",IFERROR(INDEX(Insumos!$B$2:$B$151,MATCH($C1190,Insumos!$A$2:$A$151,0)),"Código no cargado"))</f>
        <v/>
      </c>
      <c r="E1190" s="21">
        <f>IF($C1190="","",IFERROR(INDEX(Insumos!$C$2:$C$151,MATCH($C1190,Insumos!$A$2:$A$151,0)),""))</f>
        <v/>
      </c>
      <c r="F1190" s="21">
        <f>IF($C1190="","",IFERROR(INDEX(Insumos!$D$2:$D$151,MATCH($C1190,Insumos!$A$2:$A$151,0)),""))</f>
        <v/>
      </c>
      <c r="G1190" s="18" t="n"/>
      <c r="H1190" s="19">
        <f>IF(OR($A1190="",$C1190=""),"",IFERROR(INDEX(Insumos!$M$2:$S$151,MATCH($C1190,Insumos!$A$2:$A$151,0),WEEKDAY($A1190,2)),""))</f>
        <v/>
      </c>
      <c r="I1190" s="19">
        <f>IF(OR($G1190="",$H1190=""),"",MAX(0,$H1190-$G1190))</f>
        <v/>
      </c>
      <c r="J1190" s="21">
        <f>IF($I1190="","",IF($I1190=0,"OK",IF($G1190&lt;=0,"Sin stock: pedir ya","Pedir o producir")))</f>
        <v/>
      </c>
      <c r="K1190" s="17" t="n"/>
      <c r="L1190" s="17" t="n"/>
      <c r="M1190" s="21">
        <f>IF(OR($A1190="",$A1190&lt;&gt;'Lista para pedir'!$C$3,N($I1190)&lt;=0),"",COUNTIFS($A$2:$A1190,$A1190,$I$2:$I1190,"&gt;0"))</f>
        <v/>
      </c>
    </row>
    <row r="1191">
      <c r="A1191" s="20" t="n"/>
      <c r="B1191" s="21">
        <f>IF($A1191="","",CHOOSE(WEEKDAY($A1191,2),"Lunes","Martes","Miércoles","Jueves","Viernes","Sábado","Domingo"))</f>
        <v/>
      </c>
      <c r="C1191" s="17" t="n"/>
      <c r="D1191" s="21">
        <f>IF($C1191="","",IFERROR(INDEX(Insumos!$B$2:$B$151,MATCH($C1191,Insumos!$A$2:$A$151,0)),"Código no cargado"))</f>
        <v/>
      </c>
      <c r="E1191" s="21">
        <f>IF($C1191="","",IFERROR(INDEX(Insumos!$C$2:$C$151,MATCH($C1191,Insumos!$A$2:$A$151,0)),""))</f>
        <v/>
      </c>
      <c r="F1191" s="21">
        <f>IF($C1191="","",IFERROR(INDEX(Insumos!$D$2:$D$151,MATCH($C1191,Insumos!$A$2:$A$151,0)),""))</f>
        <v/>
      </c>
      <c r="G1191" s="18" t="n"/>
      <c r="H1191" s="19">
        <f>IF(OR($A1191="",$C1191=""),"",IFERROR(INDEX(Insumos!$M$2:$S$151,MATCH($C1191,Insumos!$A$2:$A$151,0),WEEKDAY($A1191,2)),""))</f>
        <v/>
      </c>
      <c r="I1191" s="19">
        <f>IF(OR($G1191="",$H1191=""),"",MAX(0,$H1191-$G1191))</f>
        <v/>
      </c>
      <c r="J1191" s="21">
        <f>IF($I1191="","",IF($I1191=0,"OK",IF($G1191&lt;=0,"Sin stock: pedir ya","Pedir o producir")))</f>
        <v/>
      </c>
      <c r="K1191" s="17" t="n"/>
      <c r="L1191" s="17" t="n"/>
      <c r="M1191" s="21">
        <f>IF(OR($A1191="",$A1191&lt;&gt;'Lista para pedir'!$C$3,N($I1191)&lt;=0),"",COUNTIFS($A$2:$A1191,$A1191,$I$2:$I1191,"&gt;0"))</f>
        <v/>
      </c>
    </row>
    <row r="1192">
      <c r="A1192" s="20" t="n"/>
      <c r="B1192" s="21">
        <f>IF($A1192="","",CHOOSE(WEEKDAY($A1192,2),"Lunes","Martes","Miércoles","Jueves","Viernes","Sábado","Domingo"))</f>
        <v/>
      </c>
      <c r="C1192" s="17" t="n"/>
      <c r="D1192" s="21">
        <f>IF($C1192="","",IFERROR(INDEX(Insumos!$B$2:$B$151,MATCH($C1192,Insumos!$A$2:$A$151,0)),"Código no cargado"))</f>
        <v/>
      </c>
      <c r="E1192" s="21">
        <f>IF($C1192="","",IFERROR(INDEX(Insumos!$C$2:$C$151,MATCH($C1192,Insumos!$A$2:$A$151,0)),""))</f>
        <v/>
      </c>
      <c r="F1192" s="21">
        <f>IF($C1192="","",IFERROR(INDEX(Insumos!$D$2:$D$151,MATCH($C1192,Insumos!$A$2:$A$151,0)),""))</f>
        <v/>
      </c>
      <c r="G1192" s="18" t="n"/>
      <c r="H1192" s="19">
        <f>IF(OR($A1192="",$C1192=""),"",IFERROR(INDEX(Insumos!$M$2:$S$151,MATCH($C1192,Insumos!$A$2:$A$151,0),WEEKDAY($A1192,2)),""))</f>
        <v/>
      </c>
      <c r="I1192" s="19">
        <f>IF(OR($G1192="",$H1192=""),"",MAX(0,$H1192-$G1192))</f>
        <v/>
      </c>
      <c r="J1192" s="21">
        <f>IF($I1192="","",IF($I1192=0,"OK",IF($G1192&lt;=0,"Sin stock: pedir ya","Pedir o producir")))</f>
        <v/>
      </c>
      <c r="K1192" s="17" t="n"/>
      <c r="L1192" s="17" t="n"/>
      <c r="M1192" s="21">
        <f>IF(OR($A1192="",$A1192&lt;&gt;'Lista para pedir'!$C$3,N($I1192)&lt;=0),"",COUNTIFS($A$2:$A1192,$A1192,$I$2:$I1192,"&gt;0"))</f>
        <v/>
      </c>
    </row>
    <row r="1193">
      <c r="A1193" s="20" t="n"/>
      <c r="B1193" s="21">
        <f>IF($A1193="","",CHOOSE(WEEKDAY($A1193,2),"Lunes","Martes","Miércoles","Jueves","Viernes","Sábado","Domingo"))</f>
        <v/>
      </c>
      <c r="C1193" s="17" t="n"/>
      <c r="D1193" s="21">
        <f>IF($C1193="","",IFERROR(INDEX(Insumos!$B$2:$B$151,MATCH($C1193,Insumos!$A$2:$A$151,0)),"Código no cargado"))</f>
        <v/>
      </c>
      <c r="E1193" s="21">
        <f>IF($C1193="","",IFERROR(INDEX(Insumos!$C$2:$C$151,MATCH($C1193,Insumos!$A$2:$A$151,0)),""))</f>
        <v/>
      </c>
      <c r="F1193" s="21">
        <f>IF($C1193="","",IFERROR(INDEX(Insumos!$D$2:$D$151,MATCH($C1193,Insumos!$A$2:$A$151,0)),""))</f>
        <v/>
      </c>
      <c r="G1193" s="18" t="n"/>
      <c r="H1193" s="19">
        <f>IF(OR($A1193="",$C1193=""),"",IFERROR(INDEX(Insumos!$M$2:$S$151,MATCH($C1193,Insumos!$A$2:$A$151,0),WEEKDAY($A1193,2)),""))</f>
        <v/>
      </c>
      <c r="I1193" s="19">
        <f>IF(OR($G1193="",$H1193=""),"",MAX(0,$H1193-$G1193))</f>
        <v/>
      </c>
      <c r="J1193" s="21">
        <f>IF($I1193="","",IF($I1193=0,"OK",IF($G1193&lt;=0,"Sin stock: pedir ya","Pedir o producir")))</f>
        <v/>
      </c>
      <c r="K1193" s="17" t="n"/>
      <c r="L1193" s="17" t="n"/>
      <c r="M1193" s="21">
        <f>IF(OR($A1193="",$A1193&lt;&gt;'Lista para pedir'!$C$3,N($I1193)&lt;=0),"",COUNTIFS($A$2:$A1193,$A1193,$I$2:$I1193,"&gt;0"))</f>
        <v/>
      </c>
    </row>
    <row r="1194">
      <c r="A1194" s="20" t="n"/>
      <c r="B1194" s="21">
        <f>IF($A1194="","",CHOOSE(WEEKDAY($A1194,2),"Lunes","Martes","Miércoles","Jueves","Viernes","Sábado","Domingo"))</f>
        <v/>
      </c>
      <c r="C1194" s="17" t="n"/>
      <c r="D1194" s="21">
        <f>IF($C1194="","",IFERROR(INDEX(Insumos!$B$2:$B$151,MATCH($C1194,Insumos!$A$2:$A$151,0)),"Código no cargado"))</f>
        <v/>
      </c>
      <c r="E1194" s="21">
        <f>IF($C1194="","",IFERROR(INDEX(Insumos!$C$2:$C$151,MATCH($C1194,Insumos!$A$2:$A$151,0)),""))</f>
        <v/>
      </c>
      <c r="F1194" s="21">
        <f>IF($C1194="","",IFERROR(INDEX(Insumos!$D$2:$D$151,MATCH($C1194,Insumos!$A$2:$A$151,0)),""))</f>
        <v/>
      </c>
      <c r="G1194" s="18" t="n"/>
      <c r="H1194" s="19">
        <f>IF(OR($A1194="",$C1194=""),"",IFERROR(INDEX(Insumos!$M$2:$S$151,MATCH($C1194,Insumos!$A$2:$A$151,0),WEEKDAY($A1194,2)),""))</f>
        <v/>
      </c>
      <c r="I1194" s="19">
        <f>IF(OR($G1194="",$H1194=""),"",MAX(0,$H1194-$G1194))</f>
        <v/>
      </c>
      <c r="J1194" s="21">
        <f>IF($I1194="","",IF($I1194=0,"OK",IF($G1194&lt;=0,"Sin stock: pedir ya","Pedir o producir")))</f>
        <v/>
      </c>
      <c r="K1194" s="17" t="n"/>
      <c r="L1194" s="17" t="n"/>
      <c r="M1194" s="21">
        <f>IF(OR($A1194="",$A1194&lt;&gt;'Lista para pedir'!$C$3,N($I1194)&lt;=0),"",COUNTIFS($A$2:$A1194,$A1194,$I$2:$I1194,"&gt;0"))</f>
        <v/>
      </c>
    </row>
    <row r="1195">
      <c r="A1195" s="20" t="n"/>
      <c r="B1195" s="21">
        <f>IF($A1195="","",CHOOSE(WEEKDAY($A1195,2),"Lunes","Martes","Miércoles","Jueves","Viernes","Sábado","Domingo"))</f>
        <v/>
      </c>
      <c r="C1195" s="17" t="n"/>
      <c r="D1195" s="21">
        <f>IF($C1195="","",IFERROR(INDEX(Insumos!$B$2:$B$151,MATCH($C1195,Insumos!$A$2:$A$151,0)),"Código no cargado"))</f>
        <v/>
      </c>
      <c r="E1195" s="21">
        <f>IF($C1195="","",IFERROR(INDEX(Insumos!$C$2:$C$151,MATCH($C1195,Insumos!$A$2:$A$151,0)),""))</f>
        <v/>
      </c>
      <c r="F1195" s="21">
        <f>IF($C1195="","",IFERROR(INDEX(Insumos!$D$2:$D$151,MATCH($C1195,Insumos!$A$2:$A$151,0)),""))</f>
        <v/>
      </c>
      <c r="G1195" s="18" t="n"/>
      <c r="H1195" s="19">
        <f>IF(OR($A1195="",$C1195=""),"",IFERROR(INDEX(Insumos!$M$2:$S$151,MATCH($C1195,Insumos!$A$2:$A$151,0),WEEKDAY($A1195,2)),""))</f>
        <v/>
      </c>
      <c r="I1195" s="19">
        <f>IF(OR($G1195="",$H1195=""),"",MAX(0,$H1195-$G1195))</f>
        <v/>
      </c>
      <c r="J1195" s="21">
        <f>IF($I1195="","",IF($I1195=0,"OK",IF($G1195&lt;=0,"Sin stock: pedir ya","Pedir o producir")))</f>
        <v/>
      </c>
      <c r="K1195" s="17" t="n"/>
      <c r="L1195" s="17" t="n"/>
      <c r="M1195" s="21">
        <f>IF(OR($A1195="",$A1195&lt;&gt;'Lista para pedir'!$C$3,N($I1195)&lt;=0),"",COUNTIFS($A$2:$A1195,$A1195,$I$2:$I1195,"&gt;0"))</f>
        <v/>
      </c>
    </row>
    <row r="1196">
      <c r="A1196" s="20" t="n"/>
      <c r="B1196" s="21">
        <f>IF($A1196="","",CHOOSE(WEEKDAY($A1196,2),"Lunes","Martes","Miércoles","Jueves","Viernes","Sábado","Domingo"))</f>
        <v/>
      </c>
      <c r="C1196" s="17" t="n"/>
      <c r="D1196" s="21">
        <f>IF($C1196="","",IFERROR(INDEX(Insumos!$B$2:$B$151,MATCH($C1196,Insumos!$A$2:$A$151,0)),"Código no cargado"))</f>
        <v/>
      </c>
      <c r="E1196" s="21">
        <f>IF($C1196="","",IFERROR(INDEX(Insumos!$C$2:$C$151,MATCH($C1196,Insumos!$A$2:$A$151,0)),""))</f>
        <v/>
      </c>
      <c r="F1196" s="21">
        <f>IF($C1196="","",IFERROR(INDEX(Insumos!$D$2:$D$151,MATCH($C1196,Insumos!$A$2:$A$151,0)),""))</f>
        <v/>
      </c>
      <c r="G1196" s="18" t="n"/>
      <c r="H1196" s="19">
        <f>IF(OR($A1196="",$C1196=""),"",IFERROR(INDEX(Insumos!$M$2:$S$151,MATCH($C1196,Insumos!$A$2:$A$151,0),WEEKDAY($A1196,2)),""))</f>
        <v/>
      </c>
      <c r="I1196" s="19">
        <f>IF(OR($G1196="",$H1196=""),"",MAX(0,$H1196-$G1196))</f>
        <v/>
      </c>
      <c r="J1196" s="21">
        <f>IF($I1196="","",IF($I1196=0,"OK",IF($G1196&lt;=0,"Sin stock: pedir ya","Pedir o producir")))</f>
        <v/>
      </c>
      <c r="K1196" s="17" t="n"/>
      <c r="L1196" s="17" t="n"/>
      <c r="M1196" s="21">
        <f>IF(OR($A1196="",$A1196&lt;&gt;'Lista para pedir'!$C$3,N($I1196)&lt;=0),"",COUNTIFS($A$2:$A1196,$A1196,$I$2:$I1196,"&gt;0"))</f>
        <v/>
      </c>
    </row>
    <row r="1197">
      <c r="A1197" s="20" t="n"/>
      <c r="B1197" s="21">
        <f>IF($A1197="","",CHOOSE(WEEKDAY($A1197,2),"Lunes","Martes","Miércoles","Jueves","Viernes","Sábado","Domingo"))</f>
        <v/>
      </c>
      <c r="C1197" s="17" t="n"/>
      <c r="D1197" s="21">
        <f>IF($C1197="","",IFERROR(INDEX(Insumos!$B$2:$B$151,MATCH($C1197,Insumos!$A$2:$A$151,0)),"Código no cargado"))</f>
        <v/>
      </c>
      <c r="E1197" s="21">
        <f>IF($C1197="","",IFERROR(INDEX(Insumos!$C$2:$C$151,MATCH($C1197,Insumos!$A$2:$A$151,0)),""))</f>
        <v/>
      </c>
      <c r="F1197" s="21">
        <f>IF($C1197="","",IFERROR(INDEX(Insumos!$D$2:$D$151,MATCH($C1197,Insumos!$A$2:$A$151,0)),""))</f>
        <v/>
      </c>
      <c r="G1197" s="18" t="n"/>
      <c r="H1197" s="19">
        <f>IF(OR($A1197="",$C1197=""),"",IFERROR(INDEX(Insumos!$M$2:$S$151,MATCH($C1197,Insumos!$A$2:$A$151,0),WEEKDAY($A1197,2)),""))</f>
        <v/>
      </c>
      <c r="I1197" s="19">
        <f>IF(OR($G1197="",$H1197=""),"",MAX(0,$H1197-$G1197))</f>
        <v/>
      </c>
      <c r="J1197" s="21">
        <f>IF($I1197="","",IF($I1197=0,"OK",IF($G1197&lt;=0,"Sin stock: pedir ya","Pedir o producir")))</f>
        <v/>
      </c>
      <c r="K1197" s="17" t="n"/>
      <c r="L1197" s="17" t="n"/>
      <c r="M1197" s="21">
        <f>IF(OR($A1197="",$A1197&lt;&gt;'Lista para pedir'!$C$3,N($I1197)&lt;=0),"",COUNTIFS($A$2:$A1197,$A1197,$I$2:$I1197,"&gt;0"))</f>
        <v/>
      </c>
    </row>
    <row r="1198">
      <c r="A1198" s="20" t="n"/>
      <c r="B1198" s="21">
        <f>IF($A1198="","",CHOOSE(WEEKDAY($A1198,2),"Lunes","Martes","Miércoles","Jueves","Viernes","Sábado","Domingo"))</f>
        <v/>
      </c>
      <c r="C1198" s="17" t="n"/>
      <c r="D1198" s="21">
        <f>IF($C1198="","",IFERROR(INDEX(Insumos!$B$2:$B$151,MATCH($C1198,Insumos!$A$2:$A$151,0)),"Código no cargado"))</f>
        <v/>
      </c>
      <c r="E1198" s="21">
        <f>IF($C1198="","",IFERROR(INDEX(Insumos!$C$2:$C$151,MATCH($C1198,Insumos!$A$2:$A$151,0)),""))</f>
        <v/>
      </c>
      <c r="F1198" s="21">
        <f>IF($C1198="","",IFERROR(INDEX(Insumos!$D$2:$D$151,MATCH($C1198,Insumos!$A$2:$A$151,0)),""))</f>
        <v/>
      </c>
      <c r="G1198" s="18" t="n"/>
      <c r="H1198" s="19">
        <f>IF(OR($A1198="",$C1198=""),"",IFERROR(INDEX(Insumos!$M$2:$S$151,MATCH($C1198,Insumos!$A$2:$A$151,0),WEEKDAY($A1198,2)),""))</f>
        <v/>
      </c>
      <c r="I1198" s="19">
        <f>IF(OR($G1198="",$H1198=""),"",MAX(0,$H1198-$G1198))</f>
        <v/>
      </c>
      <c r="J1198" s="21">
        <f>IF($I1198="","",IF($I1198=0,"OK",IF($G1198&lt;=0,"Sin stock: pedir ya","Pedir o producir")))</f>
        <v/>
      </c>
      <c r="K1198" s="17" t="n"/>
      <c r="L1198" s="17" t="n"/>
      <c r="M1198" s="21">
        <f>IF(OR($A1198="",$A1198&lt;&gt;'Lista para pedir'!$C$3,N($I1198)&lt;=0),"",COUNTIFS($A$2:$A1198,$A1198,$I$2:$I1198,"&gt;0"))</f>
        <v/>
      </c>
    </row>
    <row r="1199">
      <c r="A1199" s="20" t="n"/>
      <c r="B1199" s="21">
        <f>IF($A1199="","",CHOOSE(WEEKDAY($A1199,2),"Lunes","Martes","Miércoles","Jueves","Viernes","Sábado","Domingo"))</f>
        <v/>
      </c>
      <c r="C1199" s="17" t="n"/>
      <c r="D1199" s="21">
        <f>IF($C1199="","",IFERROR(INDEX(Insumos!$B$2:$B$151,MATCH($C1199,Insumos!$A$2:$A$151,0)),"Código no cargado"))</f>
        <v/>
      </c>
      <c r="E1199" s="21">
        <f>IF($C1199="","",IFERROR(INDEX(Insumos!$C$2:$C$151,MATCH($C1199,Insumos!$A$2:$A$151,0)),""))</f>
        <v/>
      </c>
      <c r="F1199" s="21">
        <f>IF($C1199="","",IFERROR(INDEX(Insumos!$D$2:$D$151,MATCH($C1199,Insumos!$A$2:$A$151,0)),""))</f>
        <v/>
      </c>
      <c r="G1199" s="18" t="n"/>
      <c r="H1199" s="19">
        <f>IF(OR($A1199="",$C1199=""),"",IFERROR(INDEX(Insumos!$M$2:$S$151,MATCH($C1199,Insumos!$A$2:$A$151,0),WEEKDAY($A1199,2)),""))</f>
        <v/>
      </c>
      <c r="I1199" s="19">
        <f>IF(OR($G1199="",$H1199=""),"",MAX(0,$H1199-$G1199))</f>
        <v/>
      </c>
      <c r="J1199" s="21">
        <f>IF($I1199="","",IF($I1199=0,"OK",IF($G1199&lt;=0,"Sin stock: pedir ya","Pedir o producir")))</f>
        <v/>
      </c>
      <c r="K1199" s="17" t="n"/>
      <c r="L1199" s="17" t="n"/>
      <c r="M1199" s="21">
        <f>IF(OR($A1199="",$A1199&lt;&gt;'Lista para pedir'!$C$3,N($I1199)&lt;=0),"",COUNTIFS($A$2:$A1199,$A1199,$I$2:$I1199,"&gt;0"))</f>
        <v/>
      </c>
    </row>
    <row r="1200">
      <c r="A1200" s="20" t="n"/>
      <c r="B1200" s="21">
        <f>IF($A1200="","",CHOOSE(WEEKDAY($A1200,2),"Lunes","Martes","Miércoles","Jueves","Viernes","Sábado","Domingo"))</f>
        <v/>
      </c>
      <c r="C1200" s="17" t="n"/>
      <c r="D1200" s="21">
        <f>IF($C1200="","",IFERROR(INDEX(Insumos!$B$2:$B$151,MATCH($C1200,Insumos!$A$2:$A$151,0)),"Código no cargado"))</f>
        <v/>
      </c>
      <c r="E1200" s="21">
        <f>IF($C1200="","",IFERROR(INDEX(Insumos!$C$2:$C$151,MATCH($C1200,Insumos!$A$2:$A$151,0)),""))</f>
        <v/>
      </c>
      <c r="F1200" s="21">
        <f>IF($C1200="","",IFERROR(INDEX(Insumos!$D$2:$D$151,MATCH($C1200,Insumos!$A$2:$A$151,0)),""))</f>
        <v/>
      </c>
      <c r="G1200" s="18" t="n"/>
      <c r="H1200" s="19">
        <f>IF(OR($A1200="",$C1200=""),"",IFERROR(INDEX(Insumos!$M$2:$S$151,MATCH($C1200,Insumos!$A$2:$A$151,0),WEEKDAY($A1200,2)),""))</f>
        <v/>
      </c>
      <c r="I1200" s="19">
        <f>IF(OR($G1200="",$H1200=""),"",MAX(0,$H1200-$G1200))</f>
        <v/>
      </c>
      <c r="J1200" s="21">
        <f>IF($I1200="","",IF($I1200=0,"OK",IF($G1200&lt;=0,"Sin stock: pedir ya","Pedir o producir")))</f>
        <v/>
      </c>
      <c r="K1200" s="17" t="n"/>
      <c r="L1200" s="17" t="n"/>
      <c r="M1200" s="21">
        <f>IF(OR($A1200="",$A1200&lt;&gt;'Lista para pedir'!$C$3,N($I1200)&lt;=0),"",COUNTIFS($A$2:$A1200,$A1200,$I$2:$I1200,"&gt;0"))</f>
        <v/>
      </c>
    </row>
    <row r="1201">
      <c r="A1201" s="20" t="n"/>
      <c r="B1201" s="21">
        <f>IF($A1201="","",CHOOSE(WEEKDAY($A1201,2),"Lunes","Martes","Miércoles","Jueves","Viernes","Sábado","Domingo"))</f>
        <v/>
      </c>
      <c r="C1201" s="17" t="n"/>
      <c r="D1201" s="21">
        <f>IF($C1201="","",IFERROR(INDEX(Insumos!$B$2:$B$151,MATCH($C1201,Insumos!$A$2:$A$151,0)),"Código no cargado"))</f>
        <v/>
      </c>
      <c r="E1201" s="21">
        <f>IF($C1201="","",IFERROR(INDEX(Insumos!$C$2:$C$151,MATCH($C1201,Insumos!$A$2:$A$151,0)),""))</f>
        <v/>
      </c>
      <c r="F1201" s="21">
        <f>IF($C1201="","",IFERROR(INDEX(Insumos!$D$2:$D$151,MATCH($C1201,Insumos!$A$2:$A$151,0)),""))</f>
        <v/>
      </c>
      <c r="G1201" s="18" t="n"/>
      <c r="H1201" s="19">
        <f>IF(OR($A1201="",$C1201=""),"",IFERROR(INDEX(Insumos!$M$2:$S$151,MATCH($C1201,Insumos!$A$2:$A$151,0),WEEKDAY($A1201,2)),""))</f>
        <v/>
      </c>
      <c r="I1201" s="19">
        <f>IF(OR($G1201="",$H1201=""),"",MAX(0,$H1201-$G1201))</f>
        <v/>
      </c>
      <c r="J1201" s="21">
        <f>IF($I1201="","",IF($I1201=0,"OK",IF($G1201&lt;=0,"Sin stock: pedir ya","Pedir o producir")))</f>
        <v/>
      </c>
      <c r="K1201" s="17" t="n"/>
      <c r="L1201" s="17" t="n"/>
      <c r="M1201" s="21">
        <f>IF(OR($A1201="",$A1201&lt;&gt;'Lista para pedir'!$C$3,N($I1201)&lt;=0),"",COUNTIFS($A$2:$A1201,$A1201,$I$2:$I1201,"&gt;0"))</f>
        <v/>
      </c>
    </row>
    <row r="1202">
      <c r="A1202" s="20" t="n"/>
      <c r="B1202" s="21">
        <f>IF($A1202="","",CHOOSE(WEEKDAY($A1202,2),"Lunes","Martes","Miércoles","Jueves","Viernes","Sábado","Domingo"))</f>
        <v/>
      </c>
      <c r="C1202" s="17" t="n"/>
      <c r="D1202" s="21">
        <f>IF($C1202="","",IFERROR(INDEX(Insumos!$B$2:$B$151,MATCH($C1202,Insumos!$A$2:$A$151,0)),"Código no cargado"))</f>
        <v/>
      </c>
      <c r="E1202" s="21">
        <f>IF($C1202="","",IFERROR(INDEX(Insumos!$C$2:$C$151,MATCH($C1202,Insumos!$A$2:$A$151,0)),""))</f>
        <v/>
      </c>
      <c r="F1202" s="21">
        <f>IF($C1202="","",IFERROR(INDEX(Insumos!$D$2:$D$151,MATCH($C1202,Insumos!$A$2:$A$151,0)),""))</f>
        <v/>
      </c>
      <c r="G1202" s="18" t="n"/>
      <c r="H1202" s="19">
        <f>IF(OR($A1202="",$C1202=""),"",IFERROR(INDEX(Insumos!$M$2:$S$151,MATCH($C1202,Insumos!$A$2:$A$151,0),WEEKDAY($A1202,2)),""))</f>
        <v/>
      </c>
      <c r="I1202" s="19">
        <f>IF(OR($G1202="",$H1202=""),"",MAX(0,$H1202-$G1202))</f>
        <v/>
      </c>
      <c r="J1202" s="21">
        <f>IF($I1202="","",IF($I1202=0,"OK",IF($G1202&lt;=0,"Sin stock: pedir ya","Pedir o producir")))</f>
        <v/>
      </c>
      <c r="K1202" s="17" t="n"/>
      <c r="L1202" s="17" t="n"/>
      <c r="M1202" s="21">
        <f>IF(OR($A1202="",$A1202&lt;&gt;'Lista para pedir'!$C$3,N($I1202)&lt;=0),"",COUNTIFS($A$2:$A1202,$A1202,$I$2:$I1202,"&gt;0"))</f>
        <v/>
      </c>
    </row>
    <row r="1203">
      <c r="A1203" s="20" t="n"/>
      <c r="B1203" s="21">
        <f>IF($A1203="","",CHOOSE(WEEKDAY($A1203,2),"Lunes","Martes","Miércoles","Jueves","Viernes","Sábado","Domingo"))</f>
        <v/>
      </c>
      <c r="C1203" s="17" t="n"/>
      <c r="D1203" s="21">
        <f>IF($C1203="","",IFERROR(INDEX(Insumos!$B$2:$B$151,MATCH($C1203,Insumos!$A$2:$A$151,0)),"Código no cargado"))</f>
        <v/>
      </c>
      <c r="E1203" s="21">
        <f>IF($C1203="","",IFERROR(INDEX(Insumos!$C$2:$C$151,MATCH($C1203,Insumos!$A$2:$A$151,0)),""))</f>
        <v/>
      </c>
      <c r="F1203" s="21">
        <f>IF($C1203="","",IFERROR(INDEX(Insumos!$D$2:$D$151,MATCH($C1203,Insumos!$A$2:$A$151,0)),""))</f>
        <v/>
      </c>
      <c r="G1203" s="18" t="n"/>
      <c r="H1203" s="19">
        <f>IF(OR($A1203="",$C1203=""),"",IFERROR(INDEX(Insumos!$M$2:$S$151,MATCH($C1203,Insumos!$A$2:$A$151,0),WEEKDAY($A1203,2)),""))</f>
        <v/>
      </c>
      <c r="I1203" s="19">
        <f>IF(OR($G1203="",$H1203=""),"",MAX(0,$H1203-$G1203))</f>
        <v/>
      </c>
      <c r="J1203" s="21">
        <f>IF($I1203="","",IF($I1203=0,"OK",IF($G1203&lt;=0,"Sin stock: pedir ya","Pedir o producir")))</f>
        <v/>
      </c>
      <c r="K1203" s="17" t="n"/>
      <c r="L1203" s="17" t="n"/>
      <c r="M1203" s="21">
        <f>IF(OR($A1203="",$A1203&lt;&gt;'Lista para pedir'!$C$3,N($I1203)&lt;=0),"",COUNTIFS($A$2:$A1203,$A1203,$I$2:$I1203,"&gt;0"))</f>
        <v/>
      </c>
    </row>
    <row r="1204">
      <c r="A1204" s="20" t="n"/>
      <c r="B1204" s="21">
        <f>IF($A1204="","",CHOOSE(WEEKDAY($A1204,2),"Lunes","Martes","Miércoles","Jueves","Viernes","Sábado","Domingo"))</f>
        <v/>
      </c>
      <c r="C1204" s="17" t="n"/>
      <c r="D1204" s="21">
        <f>IF($C1204="","",IFERROR(INDEX(Insumos!$B$2:$B$151,MATCH($C1204,Insumos!$A$2:$A$151,0)),"Código no cargado"))</f>
        <v/>
      </c>
      <c r="E1204" s="21">
        <f>IF($C1204="","",IFERROR(INDEX(Insumos!$C$2:$C$151,MATCH($C1204,Insumos!$A$2:$A$151,0)),""))</f>
        <v/>
      </c>
      <c r="F1204" s="21">
        <f>IF($C1204="","",IFERROR(INDEX(Insumos!$D$2:$D$151,MATCH($C1204,Insumos!$A$2:$A$151,0)),""))</f>
        <v/>
      </c>
      <c r="G1204" s="18" t="n"/>
      <c r="H1204" s="19">
        <f>IF(OR($A1204="",$C1204=""),"",IFERROR(INDEX(Insumos!$M$2:$S$151,MATCH($C1204,Insumos!$A$2:$A$151,0),WEEKDAY($A1204,2)),""))</f>
        <v/>
      </c>
      <c r="I1204" s="19">
        <f>IF(OR($G1204="",$H1204=""),"",MAX(0,$H1204-$G1204))</f>
        <v/>
      </c>
      <c r="J1204" s="21">
        <f>IF($I1204="","",IF($I1204=0,"OK",IF($G1204&lt;=0,"Sin stock: pedir ya","Pedir o producir")))</f>
        <v/>
      </c>
      <c r="K1204" s="17" t="n"/>
      <c r="L1204" s="17" t="n"/>
      <c r="M1204" s="21">
        <f>IF(OR($A1204="",$A1204&lt;&gt;'Lista para pedir'!$C$3,N($I1204)&lt;=0),"",COUNTIFS($A$2:$A1204,$A1204,$I$2:$I1204,"&gt;0"))</f>
        <v/>
      </c>
    </row>
    <row r="1205">
      <c r="A1205" s="20" t="n"/>
      <c r="B1205" s="21">
        <f>IF($A1205="","",CHOOSE(WEEKDAY($A1205,2),"Lunes","Martes","Miércoles","Jueves","Viernes","Sábado","Domingo"))</f>
        <v/>
      </c>
      <c r="C1205" s="17" t="n"/>
      <c r="D1205" s="21">
        <f>IF($C1205="","",IFERROR(INDEX(Insumos!$B$2:$B$151,MATCH($C1205,Insumos!$A$2:$A$151,0)),"Código no cargado"))</f>
        <v/>
      </c>
      <c r="E1205" s="21">
        <f>IF($C1205="","",IFERROR(INDEX(Insumos!$C$2:$C$151,MATCH($C1205,Insumos!$A$2:$A$151,0)),""))</f>
        <v/>
      </c>
      <c r="F1205" s="21">
        <f>IF($C1205="","",IFERROR(INDEX(Insumos!$D$2:$D$151,MATCH($C1205,Insumos!$A$2:$A$151,0)),""))</f>
        <v/>
      </c>
      <c r="G1205" s="18" t="n"/>
      <c r="H1205" s="19">
        <f>IF(OR($A1205="",$C1205=""),"",IFERROR(INDEX(Insumos!$M$2:$S$151,MATCH($C1205,Insumos!$A$2:$A$151,0),WEEKDAY($A1205,2)),""))</f>
        <v/>
      </c>
      <c r="I1205" s="19">
        <f>IF(OR($G1205="",$H1205=""),"",MAX(0,$H1205-$G1205))</f>
        <v/>
      </c>
      <c r="J1205" s="21">
        <f>IF($I1205="","",IF($I1205=0,"OK",IF($G1205&lt;=0,"Sin stock: pedir ya","Pedir o producir")))</f>
        <v/>
      </c>
      <c r="K1205" s="17" t="n"/>
      <c r="L1205" s="17" t="n"/>
      <c r="M1205" s="21">
        <f>IF(OR($A1205="",$A1205&lt;&gt;'Lista para pedir'!$C$3,N($I1205)&lt;=0),"",COUNTIFS($A$2:$A1205,$A1205,$I$2:$I1205,"&gt;0"))</f>
        <v/>
      </c>
    </row>
    <row r="1206">
      <c r="A1206" s="20" t="n"/>
      <c r="B1206" s="21">
        <f>IF($A1206="","",CHOOSE(WEEKDAY($A1206,2),"Lunes","Martes","Miércoles","Jueves","Viernes","Sábado","Domingo"))</f>
        <v/>
      </c>
      <c r="C1206" s="17" t="n"/>
      <c r="D1206" s="21">
        <f>IF($C1206="","",IFERROR(INDEX(Insumos!$B$2:$B$151,MATCH($C1206,Insumos!$A$2:$A$151,0)),"Código no cargado"))</f>
        <v/>
      </c>
      <c r="E1206" s="21">
        <f>IF($C1206="","",IFERROR(INDEX(Insumos!$C$2:$C$151,MATCH($C1206,Insumos!$A$2:$A$151,0)),""))</f>
        <v/>
      </c>
      <c r="F1206" s="21">
        <f>IF($C1206="","",IFERROR(INDEX(Insumos!$D$2:$D$151,MATCH($C1206,Insumos!$A$2:$A$151,0)),""))</f>
        <v/>
      </c>
      <c r="G1206" s="18" t="n"/>
      <c r="H1206" s="19">
        <f>IF(OR($A1206="",$C1206=""),"",IFERROR(INDEX(Insumos!$M$2:$S$151,MATCH($C1206,Insumos!$A$2:$A$151,0),WEEKDAY($A1206,2)),""))</f>
        <v/>
      </c>
      <c r="I1206" s="19">
        <f>IF(OR($G1206="",$H1206=""),"",MAX(0,$H1206-$G1206))</f>
        <v/>
      </c>
      <c r="J1206" s="21">
        <f>IF($I1206="","",IF($I1206=0,"OK",IF($G1206&lt;=0,"Sin stock: pedir ya","Pedir o producir")))</f>
        <v/>
      </c>
      <c r="K1206" s="17" t="n"/>
      <c r="L1206" s="17" t="n"/>
      <c r="M1206" s="21">
        <f>IF(OR($A1206="",$A1206&lt;&gt;'Lista para pedir'!$C$3,N($I1206)&lt;=0),"",COUNTIFS($A$2:$A1206,$A1206,$I$2:$I1206,"&gt;0"))</f>
        <v/>
      </c>
    </row>
    <row r="1207">
      <c r="A1207" s="20" t="n"/>
      <c r="B1207" s="21">
        <f>IF($A1207="","",CHOOSE(WEEKDAY($A1207,2),"Lunes","Martes","Miércoles","Jueves","Viernes","Sábado","Domingo"))</f>
        <v/>
      </c>
      <c r="C1207" s="17" t="n"/>
      <c r="D1207" s="21">
        <f>IF($C1207="","",IFERROR(INDEX(Insumos!$B$2:$B$151,MATCH($C1207,Insumos!$A$2:$A$151,0)),"Código no cargado"))</f>
        <v/>
      </c>
      <c r="E1207" s="21">
        <f>IF($C1207="","",IFERROR(INDEX(Insumos!$C$2:$C$151,MATCH($C1207,Insumos!$A$2:$A$151,0)),""))</f>
        <v/>
      </c>
      <c r="F1207" s="21">
        <f>IF($C1207="","",IFERROR(INDEX(Insumos!$D$2:$D$151,MATCH($C1207,Insumos!$A$2:$A$151,0)),""))</f>
        <v/>
      </c>
      <c r="G1207" s="18" t="n"/>
      <c r="H1207" s="19">
        <f>IF(OR($A1207="",$C1207=""),"",IFERROR(INDEX(Insumos!$M$2:$S$151,MATCH($C1207,Insumos!$A$2:$A$151,0),WEEKDAY($A1207,2)),""))</f>
        <v/>
      </c>
      <c r="I1207" s="19">
        <f>IF(OR($G1207="",$H1207=""),"",MAX(0,$H1207-$G1207))</f>
        <v/>
      </c>
      <c r="J1207" s="21">
        <f>IF($I1207="","",IF($I1207=0,"OK",IF($G1207&lt;=0,"Sin stock: pedir ya","Pedir o producir")))</f>
        <v/>
      </c>
      <c r="K1207" s="17" t="n"/>
      <c r="L1207" s="17" t="n"/>
      <c r="M1207" s="21">
        <f>IF(OR($A1207="",$A1207&lt;&gt;'Lista para pedir'!$C$3,N($I1207)&lt;=0),"",COUNTIFS($A$2:$A1207,$A1207,$I$2:$I1207,"&gt;0"))</f>
        <v/>
      </c>
    </row>
    <row r="1208">
      <c r="A1208" s="20" t="n"/>
      <c r="B1208" s="21">
        <f>IF($A1208="","",CHOOSE(WEEKDAY($A1208,2),"Lunes","Martes","Miércoles","Jueves","Viernes","Sábado","Domingo"))</f>
        <v/>
      </c>
      <c r="C1208" s="17" t="n"/>
      <c r="D1208" s="21">
        <f>IF($C1208="","",IFERROR(INDEX(Insumos!$B$2:$B$151,MATCH($C1208,Insumos!$A$2:$A$151,0)),"Código no cargado"))</f>
        <v/>
      </c>
      <c r="E1208" s="21">
        <f>IF($C1208="","",IFERROR(INDEX(Insumos!$C$2:$C$151,MATCH($C1208,Insumos!$A$2:$A$151,0)),""))</f>
        <v/>
      </c>
      <c r="F1208" s="21">
        <f>IF($C1208="","",IFERROR(INDEX(Insumos!$D$2:$D$151,MATCH($C1208,Insumos!$A$2:$A$151,0)),""))</f>
        <v/>
      </c>
      <c r="G1208" s="18" t="n"/>
      <c r="H1208" s="19">
        <f>IF(OR($A1208="",$C1208=""),"",IFERROR(INDEX(Insumos!$M$2:$S$151,MATCH($C1208,Insumos!$A$2:$A$151,0),WEEKDAY($A1208,2)),""))</f>
        <v/>
      </c>
      <c r="I1208" s="19">
        <f>IF(OR($G1208="",$H1208=""),"",MAX(0,$H1208-$G1208))</f>
        <v/>
      </c>
      <c r="J1208" s="21">
        <f>IF($I1208="","",IF($I1208=0,"OK",IF($G1208&lt;=0,"Sin stock: pedir ya","Pedir o producir")))</f>
        <v/>
      </c>
      <c r="K1208" s="17" t="n"/>
      <c r="L1208" s="17" t="n"/>
      <c r="M1208" s="21">
        <f>IF(OR($A1208="",$A1208&lt;&gt;'Lista para pedir'!$C$3,N($I1208)&lt;=0),"",COUNTIFS($A$2:$A1208,$A1208,$I$2:$I1208,"&gt;0"))</f>
        <v/>
      </c>
    </row>
    <row r="1209">
      <c r="A1209" s="20" t="n"/>
      <c r="B1209" s="21">
        <f>IF($A1209="","",CHOOSE(WEEKDAY($A1209,2),"Lunes","Martes","Miércoles","Jueves","Viernes","Sábado","Domingo"))</f>
        <v/>
      </c>
      <c r="C1209" s="17" t="n"/>
      <c r="D1209" s="21">
        <f>IF($C1209="","",IFERROR(INDEX(Insumos!$B$2:$B$151,MATCH($C1209,Insumos!$A$2:$A$151,0)),"Código no cargado"))</f>
        <v/>
      </c>
      <c r="E1209" s="21">
        <f>IF($C1209="","",IFERROR(INDEX(Insumos!$C$2:$C$151,MATCH($C1209,Insumos!$A$2:$A$151,0)),""))</f>
        <v/>
      </c>
      <c r="F1209" s="21">
        <f>IF($C1209="","",IFERROR(INDEX(Insumos!$D$2:$D$151,MATCH($C1209,Insumos!$A$2:$A$151,0)),""))</f>
        <v/>
      </c>
      <c r="G1209" s="18" t="n"/>
      <c r="H1209" s="19">
        <f>IF(OR($A1209="",$C1209=""),"",IFERROR(INDEX(Insumos!$M$2:$S$151,MATCH($C1209,Insumos!$A$2:$A$151,0),WEEKDAY($A1209,2)),""))</f>
        <v/>
      </c>
      <c r="I1209" s="19">
        <f>IF(OR($G1209="",$H1209=""),"",MAX(0,$H1209-$G1209))</f>
        <v/>
      </c>
      <c r="J1209" s="21">
        <f>IF($I1209="","",IF($I1209=0,"OK",IF($G1209&lt;=0,"Sin stock: pedir ya","Pedir o producir")))</f>
        <v/>
      </c>
      <c r="K1209" s="17" t="n"/>
      <c r="L1209" s="17" t="n"/>
      <c r="M1209" s="21">
        <f>IF(OR($A1209="",$A1209&lt;&gt;'Lista para pedir'!$C$3,N($I1209)&lt;=0),"",COUNTIFS($A$2:$A1209,$A1209,$I$2:$I1209,"&gt;0"))</f>
        <v/>
      </c>
    </row>
    <row r="1210">
      <c r="A1210" s="20" t="n"/>
      <c r="B1210" s="21">
        <f>IF($A1210="","",CHOOSE(WEEKDAY($A1210,2),"Lunes","Martes","Miércoles","Jueves","Viernes","Sábado","Domingo"))</f>
        <v/>
      </c>
      <c r="C1210" s="17" t="n"/>
      <c r="D1210" s="21">
        <f>IF($C1210="","",IFERROR(INDEX(Insumos!$B$2:$B$151,MATCH($C1210,Insumos!$A$2:$A$151,0)),"Código no cargado"))</f>
        <v/>
      </c>
      <c r="E1210" s="21">
        <f>IF($C1210="","",IFERROR(INDEX(Insumos!$C$2:$C$151,MATCH($C1210,Insumos!$A$2:$A$151,0)),""))</f>
        <v/>
      </c>
      <c r="F1210" s="21">
        <f>IF($C1210="","",IFERROR(INDEX(Insumos!$D$2:$D$151,MATCH($C1210,Insumos!$A$2:$A$151,0)),""))</f>
        <v/>
      </c>
      <c r="G1210" s="18" t="n"/>
      <c r="H1210" s="19">
        <f>IF(OR($A1210="",$C1210=""),"",IFERROR(INDEX(Insumos!$M$2:$S$151,MATCH($C1210,Insumos!$A$2:$A$151,0),WEEKDAY($A1210,2)),""))</f>
        <v/>
      </c>
      <c r="I1210" s="19">
        <f>IF(OR($G1210="",$H1210=""),"",MAX(0,$H1210-$G1210))</f>
        <v/>
      </c>
      <c r="J1210" s="21">
        <f>IF($I1210="","",IF($I1210=0,"OK",IF($G1210&lt;=0,"Sin stock: pedir ya","Pedir o producir")))</f>
        <v/>
      </c>
      <c r="K1210" s="17" t="n"/>
      <c r="L1210" s="17" t="n"/>
      <c r="M1210" s="21">
        <f>IF(OR($A1210="",$A1210&lt;&gt;'Lista para pedir'!$C$3,N($I1210)&lt;=0),"",COUNTIFS($A$2:$A1210,$A1210,$I$2:$I1210,"&gt;0"))</f>
        <v/>
      </c>
    </row>
    <row r="1211">
      <c r="A1211" s="20" t="n"/>
      <c r="B1211" s="21">
        <f>IF($A1211="","",CHOOSE(WEEKDAY($A1211,2),"Lunes","Martes","Miércoles","Jueves","Viernes","Sábado","Domingo"))</f>
        <v/>
      </c>
      <c r="C1211" s="17" t="n"/>
      <c r="D1211" s="21">
        <f>IF($C1211="","",IFERROR(INDEX(Insumos!$B$2:$B$151,MATCH($C1211,Insumos!$A$2:$A$151,0)),"Código no cargado"))</f>
        <v/>
      </c>
      <c r="E1211" s="21">
        <f>IF($C1211="","",IFERROR(INDEX(Insumos!$C$2:$C$151,MATCH($C1211,Insumos!$A$2:$A$151,0)),""))</f>
        <v/>
      </c>
      <c r="F1211" s="21">
        <f>IF($C1211="","",IFERROR(INDEX(Insumos!$D$2:$D$151,MATCH($C1211,Insumos!$A$2:$A$151,0)),""))</f>
        <v/>
      </c>
      <c r="G1211" s="18" t="n"/>
      <c r="H1211" s="19">
        <f>IF(OR($A1211="",$C1211=""),"",IFERROR(INDEX(Insumos!$M$2:$S$151,MATCH($C1211,Insumos!$A$2:$A$151,0),WEEKDAY($A1211,2)),""))</f>
        <v/>
      </c>
      <c r="I1211" s="19">
        <f>IF(OR($G1211="",$H1211=""),"",MAX(0,$H1211-$G1211))</f>
        <v/>
      </c>
      <c r="J1211" s="21">
        <f>IF($I1211="","",IF($I1211=0,"OK",IF($G1211&lt;=0,"Sin stock: pedir ya","Pedir o producir")))</f>
        <v/>
      </c>
      <c r="K1211" s="17" t="n"/>
      <c r="L1211" s="17" t="n"/>
      <c r="M1211" s="21">
        <f>IF(OR($A1211="",$A1211&lt;&gt;'Lista para pedir'!$C$3,N($I1211)&lt;=0),"",COUNTIFS($A$2:$A1211,$A1211,$I$2:$I1211,"&gt;0"))</f>
        <v/>
      </c>
    </row>
    <row r="1212">
      <c r="A1212" s="20" t="n"/>
      <c r="B1212" s="21">
        <f>IF($A1212="","",CHOOSE(WEEKDAY($A1212,2),"Lunes","Martes","Miércoles","Jueves","Viernes","Sábado","Domingo"))</f>
        <v/>
      </c>
      <c r="C1212" s="17" t="n"/>
      <c r="D1212" s="21">
        <f>IF($C1212="","",IFERROR(INDEX(Insumos!$B$2:$B$151,MATCH($C1212,Insumos!$A$2:$A$151,0)),"Código no cargado"))</f>
        <v/>
      </c>
      <c r="E1212" s="21">
        <f>IF($C1212="","",IFERROR(INDEX(Insumos!$C$2:$C$151,MATCH($C1212,Insumos!$A$2:$A$151,0)),""))</f>
        <v/>
      </c>
      <c r="F1212" s="21">
        <f>IF($C1212="","",IFERROR(INDEX(Insumos!$D$2:$D$151,MATCH($C1212,Insumos!$A$2:$A$151,0)),""))</f>
        <v/>
      </c>
      <c r="G1212" s="18" t="n"/>
      <c r="H1212" s="19">
        <f>IF(OR($A1212="",$C1212=""),"",IFERROR(INDEX(Insumos!$M$2:$S$151,MATCH($C1212,Insumos!$A$2:$A$151,0),WEEKDAY($A1212,2)),""))</f>
        <v/>
      </c>
      <c r="I1212" s="19">
        <f>IF(OR($G1212="",$H1212=""),"",MAX(0,$H1212-$G1212))</f>
        <v/>
      </c>
      <c r="J1212" s="21">
        <f>IF($I1212="","",IF($I1212=0,"OK",IF($G1212&lt;=0,"Sin stock: pedir ya","Pedir o producir")))</f>
        <v/>
      </c>
      <c r="K1212" s="17" t="n"/>
      <c r="L1212" s="17" t="n"/>
      <c r="M1212" s="21">
        <f>IF(OR($A1212="",$A1212&lt;&gt;'Lista para pedir'!$C$3,N($I1212)&lt;=0),"",COUNTIFS($A$2:$A1212,$A1212,$I$2:$I1212,"&gt;0"))</f>
        <v/>
      </c>
    </row>
    <row r="1213">
      <c r="A1213" s="20" t="n"/>
      <c r="B1213" s="21">
        <f>IF($A1213="","",CHOOSE(WEEKDAY($A1213,2),"Lunes","Martes","Miércoles","Jueves","Viernes","Sábado","Domingo"))</f>
        <v/>
      </c>
      <c r="C1213" s="17" t="n"/>
      <c r="D1213" s="21">
        <f>IF($C1213="","",IFERROR(INDEX(Insumos!$B$2:$B$151,MATCH($C1213,Insumos!$A$2:$A$151,0)),"Código no cargado"))</f>
        <v/>
      </c>
      <c r="E1213" s="21">
        <f>IF($C1213="","",IFERROR(INDEX(Insumos!$C$2:$C$151,MATCH($C1213,Insumos!$A$2:$A$151,0)),""))</f>
        <v/>
      </c>
      <c r="F1213" s="21">
        <f>IF($C1213="","",IFERROR(INDEX(Insumos!$D$2:$D$151,MATCH($C1213,Insumos!$A$2:$A$151,0)),""))</f>
        <v/>
      </c>
      <c r="G1213" s="18" t="n"/>
      <c r="H1213" s="19">
        <f>IF(OR($A1213="",$C1213=""),"",IFERROR(INDEX(Insumos!$M$2:$S$151,MATCH($C1213,Insumos!$A$2:$A$151,0),WEEKDAY($A1213,2)),""))</f>
        <v/>
      </c>
      <c r="I1213" s="19">
        <f>IF(OR($G1213="",$H1213=""),"",MAX(0,$H1213-$G1213))</f>
        <v/>
      </c>
      <c r="J1213" s="21">
        <f>IF($I1213="","",IF($I1213=0,"OK",IF($G1213&lt;=0,"Sin stock: pedir ya","Pedir o producir")))</f>
        <v/>
      </c>
      <c r="K1213" s="17" t="n"/>
      <c r="L1213" s="17" t="n"/>
      <c r="M1213" s="21">
        <f>IF(OR($A1213="",$A1213&lt;&gt;'Lista para pedir'!$C$3,N($I1213)&lt;=0),"",COUNTIFS($A$2:$A1213,$A1213,$I$2:$I1213,"&gt;0"))</f>
        <v/>
      </c>
    </row>
    <row r="1214">
      <c r="A1214" s="20" t="n"/>
      <c r="B1214" s="21">
        <f>IF($A1214="","",CHOOSE(WEEKDAY($A1214,2),"Lunes","Martes","Miércoles","Jueves","Viernes","Sábado","Domingo"))</f>
        <v/>
      </c>
      <c r="C1214" s="17" t="n"/>
      <c r="D1214" s="21">
        <f>IF($C1214="","",IFERROR(INDEX(Insumos!$B$2:$B$151,MATCH($C1214,Insumos!$A$2:$A$151,0)),"Código no cargado"))</f>
        <v/>
      </c>
      <c r="E1214" s="21">
        <f>IF($C1214="","",IFERROR(INDEX(Insumos!$C$2:$C$151,MATCH($C1214,Insumos!$A$2:$A$151,0)),""))</f>
        <v/>
      </c>
      <c r="F1214" s="21">
        <f>IF($C1214="","",IFERROR(INDEX(Insumos!$D$2:$D$151,MATCH($C1214,Insumos!$A$2:$A$151,0)),""))</f>
        <v/>
      </c>
      <c r="G1214" s="18" t="n"/>
      <c r="H1214" s="19">
        <f>IF(OR($A1214="",$C1214=""),"",IFERROR(INDEX(Insumos!$M$2:$S$151,MATCH($C1214,Insumos!$A$2:$A$151,0),WEEKDAY($A1214,2)),""))</f>
        <v/>
      </c>
      <c r="I1214" s="19">
        <f>IF(OR($G1214="",$H1214=""),"",MAX(0,$H1214-$G1214))</f>
        <v/>
      </c>
      <c r="J1214" s="21">
        <f>IF($I1214="","",IF($I1214=0,"OK",IF($G1214&lt;=0,"Sin stock: pedir ya","Pedir o producir")))</f>
        <v/>
      </c>
      <c r="K1214" s="17" t="n"/>
      <c r="L1214" s="17" t="n"/>
      <c r="M1214" s="21">
        <f>IF(OR($A1214="",$A1214&lt;&gt;'Lista para pedir'!$C$3,N($I1214)&lt;=0),"",COUNTIFS($A$2:$A1214,$A1214,$I$2:$I1214,"&gt;0"))</f>
        <v/>
      </c>
    </row>
    <row r="1215">
      <c r="A1215" s="20" t="n"/>
      <c r="B1215" s="21">
        <f>IF($A1215="","",CHOOSE(WEEKDAY($A1215,2),"Lunes","Martes","Miércoles","Jueves","Viernes","Sábado","Domingo"))</f>
        <v/>
      </c>
      <c r="C1215" s="17" t="n"/>
      <c r="D1215" s="21">
        <f>IF($C1215="","",IFERROR(INDEX(Insumos!$B$2:$B$151,MATCH($C1215,Insumos!$A$2:$A$151,0)),"Código no cargado"))</f>
        <v/>
      </c>
      <c r="E1215" s="21">
        <f>IF($C1215="","",IFERROR(INDEX(Insumos!$C$2:$C$151,MATCH($C1215,Insumos!$A$2:$A$151,0)),""))</f>
        <v/>
      </c>
      <c r="F1215" s="21">
        <f>IF($C1215="","",IFERROR(INDEX(Insumos!$D$2:$D$151,MATCH($C1215,Insumos!$A$2:$A$151,0)),""))</f>
        <v/>
      </c>
      <c r="G1215" s="18" t="n"/>
      <c r="H1215" s="19">
        <f>IF(OR($A1215="",$C1215=""),"",IFERROR(INDEX(Insumos!$M$2:$S$151,MATCH($C1215,Insumos!$A$2:$A$151,0),WEEKDAY($A1215,2)),""))</f>
        <v/>
      </c>
      <c r="I1215" s="19">
        <f>IF(OR($G1215="",$H1215=""),"",MAX(0,$H1215-$G1215))</f>
        <v/>
      </c>
      <c r="J1215" s="21">
        <f>IF($I1215="","",IF($I1215=0,"OK",IF($G1215&lt;=0,"Sin stock: pedir ya","Pedir o producir")))</f>
        <v/>
      </c>
      <c r="K1215" s="17" t="n"/>
      <c r="L1215" s="17" t="n"/>
      <c r="M1215" s="21">
        <f>IF(OR($A1215="",$A1215&lt;&gt;'Lista para pedir'!$C$3,N($I1215)&lt;=0),"",COUNTIFS($A$2:$A1215,$A1215,$I$2:$I1215,"&gt;0"))</f>
        <v/>
      </c>
    </row>
    <row r="1216">
      <c r="A1216" s="20" t="n"/>
      <c r="B1216" s="21">
        <f>IF($A1216="","",CHOOSE(WEEKDAY($A1216,2),"Lunes","Martes","Miércoles","Jueves","Viernes","Sábado","Domingo"))</f>
        <v/>
      </c>
      <c r="C1216" s="17" t="n"/>
      <c r="D1216" s="21">
        <f>IF($C1216="","",IFERROR(INDEX(Insumos!$B$2:$B$151,MATCH($C1216,Insumos!$A$2:$A$151,0)),"Código no cargado"))</f>
        <v/>
      </c>
      <c r="E1216" s="21">
        <f>IF($C1216="","",IFERROR(INDEX(Insumos!$C$2:$C$151,MATCH($C1216,Insumos!$A$2:$A$151,0)),""))</f>
        <v/>
      </c>
      <c r="F1216" s="21">
        <f>IF($C1216="","",IFERROR(INDEX(Insumos!$D$2:$D$151,MATCH($C1216,Insumos!$A$2:$A$151,0)),""))</f>
        <v/>
      </c>
      <c r="G1216" s="18" t="n"/>
      <c r="H1216" s="19">
        <f>IF(OR($A1216="",$C1216=""),"",IFERROR(INDEX(Insumos!$M$2:$S$151,MATCH($C1216,Insumos!$A$2:$A$151,0),WEEKDAY($A1216,2)),""))</f>
        <v/>
      </c>
      <c r="I1216" s="19">
        <f>IF(OR($G1216="",$H1216=""),"",MAX(0,$H1216-$G1216))</f>
        <v/>
      </c>
      <c r="J1216" s="21">
        <f>IF($I1216="","",IF($I1216=0,"OK",IF($G1216&lt;=0,"Sin stock: pedir ya","Pedir o producir")))</f>
        <v/>
      </c>
      <c r="K1216" s="17" t="n"/>
      <c r="L1216" s="17" t="n"/>
      <c r="M1216" s="21">
        <f>IF(OR($A1216="",$A1216&lt;&gt;'Lista para pedir'!$C$3,N($I1216)&lt;=0),"",COUNTIFS($A$2:$A1216,$A1216,$I$2:$I1216,"&gt;0"))</f>
        <v/>
      </c>
    </row>
    <row r="1217">
      <c r="A1217" s="20" t="n"/>
      <c r="B1217" s="21">
        <f>IF($A1217="","",CHOOSE(WEEKDAY($A1217,2),"Lunes","Martes","Miércoles","Jueves","Viernes","Sábado","Domingo"))</f>
        <v/>
      </c>
      <c r="C1217" s="17" t="n"/>
      <c r="D1217" s="21">
        <f>IF($C1217="","",IFERROR(INDEX(Insumos!$B$2:$B$151,MATCH($C1217,Insumos!$A$2:$A$151,0)),"Código no cargado"))</f>
        <v/>
      </c>
      <c r="E1217" s="21">
        <f>IF($C1217="","",IFERROR(INDEX(Insumos!$C$2:$C$151,MATCH($C1217,Insumos!$A$2:$A$151,0)),""))</f>
        <v/>
      </c>
      <c r="F1217" s="21">
        <f>IF($C1217="","",IFERROR(INDEX(Insumos!$D$2:$D$151,MATCH($C1217,Insumos!$A$2:$A$151,0)),""))</f>
        <v/>
      </c>
      <c r="G1217" s="18" t="n"/>
      <c r="H1217" s="19">
        <f>IF(OR($A1217="",$C1217=""),"",IFERROR(INDEX(Insumos!$M$2:$S$151,MATCH($C1217,Insumos!$A$2:$A$151,0),WEEKDAY($A1217,2)),""))</f>
        <v/>
      </c>
      <c r="I1217" s="19">
        <f>IF(OR($G1217="",$H1217=""),"",MAX(0,$H1217-$G1217))</f>
        <v/>
      </c>
      <c r="J1217" s="21">
        <f>IF($I1217="","",IF($I1217=0,"OK",IF($G1217&lt;=0,"Sin stock: pedir ya","Pedir o producir")))</f>
        <v/>
      </c>
      <c r="K1217" s="17" t="n"/>
      <c r="L1217" s="17" t="n"/>
      <c r="M1217" s="21">
        <f>IF(OR($A1217="",$A1217&lt;&gt;'Lista para pedir'!$C$3,N($I1217)&lt;=0),"",COUNTIFS($A$2:$A1217,$A1217,$I$2:$I1217,"&gt;0"))</f>
        <v/>
      </c>
    </row>
    <row r="1218">
      <c r="A1218" s="20" t="n"/>
      <c r="B1218" s="21">
        <f>IF($A1218="","",CHOOSE(WEEKDAY($A1218,2),"Lunes","Martes","Miércoles","Jueves","Viernes","Sábado","Domingo"))</f>
        <v/>
      </c>
      <c r="C1218" s="17" t="n"/>
      <c r="D1218" s="21">
        <f>IF($C1218="","",IFERROR(INDEX(Insumos!$B$2:$B$151,MATCH($C1218,Insumos!$A$2:$A$151,0)),"Código no cargado"))</f>
        <v/>
      </c>
      <c r="E1218" s="21">
        <f>IF($C1218="","",IFERROR(INDEX(Insumos!$C$2:$C$151,MATCH($C1218,Insumos!$A$2:$A$151,0)),""))</f>
        <v/>
      </c>
      <c r="F1218" s="21">
        <f>IF($C1218="","",IFERROR(INDEX(Insumos!$D$2:$D$151,MATCH($C1218,Insumos!$A$2:$A$151,0)),""))</f>
        <v/>
      </c>
      <c r="G1218" s="18" t="n"/>
      <c r="H1218" s="19">
        <f>IF(OR($A1218="",$C1218=""),"",IFERROR(INDEX(Insumos!$M$2:$S$151,MATCH($C1218,Insumos!$A$2:$A$151,0),WEEKDAY($A1218,2)),""))</f>
        <v/>
      </c>
      <c r="I1218" s="19">
        <f>IF(OR($G1218="",$H1218=""),"",MAX(0,$H1218-$G1218))</f>
        <v/>
      </c>
      <c r="J1218" s="21">
        <f>IF($I1218="","",IF($I1218=0,"OK",IF($G1218&lt;=0,"Sin stock: pedir ya","Pedir o producir")))</f>
        <v/>
      </c>
      <c r="K1218" s="17" t="n"/>
      <c r="L1218" s="17" t="n"/>
      <c r="M1218" s="21">
        <f>IF(OR($A1218="",$A1218&lt;&gt;'Lista para pedir'!$C$3,N($I1218)&lt;=0),"",COUNTIFS($A$2:$A1218,$A1218,$I$2:$I1218,"&gt;0"))</f>
        <v/>
      </c>
    </row>
    <row r="1219">
      <c r="A1219" s="20" t="n"/>
      <c r="B1219" s="21">
        <f>IF($A1219="","",CHOOSE(WEEKDAY($A1219,2),"Lunes","Martes","Miércoles","Jueves","Viernes","Sábado","Domingo"))</f>
        <v/>
      </c>
      <c r="C1219" s="17" t="n"/>
      <c r="D1219" s="21">
        <f>IF($C1219="","",IFERROR(INDEX(Insumos!$B$2:$B$151,MATCH($C1219,Insumos!$A$2:$A$151,0)),"Código no cargado"))</f>
        <v/>
      </c>
      <c r="E1219" s="21">
        <f>IF($C1219="","",IFERROR(INDEX(Insumos!$C$2:$C$151,MATCH($C1219,Insumos!$A$2:$A$151,0)),""))</f>
        <v/>
      </c>
      <c r="F1219" s="21">
        <f>IF($C1219="","",IFERROR(INDEX(Insumos!$D$2:$D$151,MATCH($C1219,Insumos!$A$2:$A$151,0)),""))</f>
        <v/>
      </c>
      <c r="G1219" s="18" t="n"/>
      <c r="H1219" s="19">
        <f>IF(OR($A1219="",$C1219=""),"",IFERROR(INDEX(Insumos!$M$2:$S$151,MATCH($C1219,Insumos!$A$2:$A$151,0),WEEKDAY($A1219,2)),""))</f>
        <v/>
      </c>
      <c r="I1219" s="19">
        <f>IF(OR($G1219="",$H1219=""),"",MAX(0,$H1219-$G1219))</f>
        <v/>
      </c>
      <c r="J1219" s="21">
        <f>IF($I1219="","",IF($I1219=0,"OK",IF($G1219&lt;=0,"Sin stock: pedir ya","Pedir o producir")))</f>
        <v/>
      </c>
      <c r="K1219" s="17" t="n"/>
      <c r="L1219" s="17" t="n"/>
      <c r="M1219" s="21">
        <f>IF(OR($A1219="",$A1219&lt;&gt;'Lista para pedir'!$C$3,N($I1219)&lt;=0),"",COUNTIFS($A$2:$A1219,$A1219,$I$2:$I1219,"&gt;0"))</f>
        <v/>
      </c>
    </row>
    <row r="1220">
      <c r="A1220" s="20" t="n"/>
      <c r="B1220" s="21">
        <f>IF($A1220="","",CHOOSE(WEEKDAY($A1220,2),"Lunes","Martes","Miércoles","Jueves","Viernes","Sábado","Domingo"))</f>
        <v/>
      </c>
      <c r="C1220" s="17" t="n"/>
      <c r="D1220" s="21">
        <f>IF($C1220="","",IFERROR(INDEX(Insumos!$B$2:$B$151,MATCH($C1220,Insumos!$A$2:$A$151,0)),"Código no cargado"))</f>
        <v/>
      </c>
      <c r="E1220" s="21">
        <f>IF($C1220="","",IFERROR(INDEX(Insumos!$C$2:$C$151,MATCH($C1220,Insumos!$A$2:$A$151,0)),""))</f>
        <v/>
      </c>
      <c r="F1220" s="21">
        <f>IF($C1220="","",IFERROR(INDEX(Insumos!$D$2:$D$151,MATCH($C1220,Insumos!$A$2:$A$151,0)),""))</f>
        <v/>
      </c>
      <c r="G1220" s="18" t="n"/>
      <c r="H1220" s="19">
        <f>IF(OR($A1220="",$C1220=""),"",IFERROR(INDEX(Insumos!$M$2:$S$151,MATCH($C1220,Insumos!$A$2:$A$151,0),WEEKDAY($A1220,2)),""))</f>
        <v/>
      </c>
      <c r="I1220" s="19">
        <f>IF(OR($G1220="",$H1220=""),"",MAX(0,$H1220-$G1220))</f>
        <v/>
      </c>
      <c r="J1220" s="21">
        <f>IF($I1220="","",IF($I1220=0,"OK",IF($G1220&lt;=0,"Sin stock: pedir ya","Pedir o producir")))</f>
        <v/>
      </c>
      <c r="K1220" s="17" t="n"/>
      <c r="L1220" s="17" t="n"/>
      <c r="M1220" s="21">
        <f>IF(OR($A1220="",$A1220&lt;&gt;'Lista para pedir'!$C$3,N($I1220)&lt;=0),"",COUNTIFS($A$2:$A1220,$A1220,$I$2:$I1220,"&gt;0"))</f>
        <v/>
      </c>
    </row>
    <row r="1221">
      <c r="A1221" s="20" t="n"/>
      <c r="B1221" s="21">
        <f>IF($A1221="","",CHOOSE(WEEKDAY($A1221,2),"Lunes","Martes","Miércoles","Jueves","Viernes","Sábado","Domingo"))</f>
        <v/>
      </c>
      <c r="C1221" s="17" t="n"/>
      <c r="D1221" s="21">
        <f>IF($C1221="","",IFERROR(INDEX(Insumos!$B$2:$B$151,MATCH($C1221,Insumos!$A$2:$A$151,0)),"Código no cargado"))</f>
        <v/>
      </c>
      <c r="E1221" s="21">
        <f>IF($C1221="","",IFERROR(INDEX(Insumos!$C$2:$C$151,MATCH($C1221,Insumos!$A$2:$A$151,0)),""))</f>
        <v/>
      </c>
      <c r="F1221" s="21">
        <f>IF($C1221="","",IFERROR(INDEX(Insumos!$D$2:$D$151,MATCH($C1221,Insumos!$A$2:$A$151,0)),""))</f>
        <v/>
      </c>
      <c r="G1221" s="18" t="n"/>
      <c r="H1221" s="19">
        <f>IF(OR($A1221="",$C1221=""),"",IFERROR(INDEX(Insumos!$M$2:$S$151,MATCH($C1221,Insumos!$A$2:$A$151,0),WEEKDAY($A1221,2)),""))</f>
        <v/>
      </c>
      <c r="I1221" s="19">
        <f>IF(OR($G1221="",$H1221=""),"",MAX(0,$H1221-$G1221))</f>
        <v/>
      </c>
      <c r="J1221" s="21">
        <f>IF($I1221="","",IF($I1221=0,"OK",IF($G1221&lt;=0,"Sin stock: pedir ya","Pedir o producir")))</f>
        <v/>
      </c>
      <c r="K1221" s="17" t="n"/>
      <c r="L1221" s="17" t="n"/>
      <c r="M1221" s="21">
        <f>IF(OR($A1221="",$A1221&lt;&gt;'Lista para pedir'!$C$3,N($I1221)&lt;=0),"",COUNTIFS($A$2:$A1221,$A1221,$I$2:$I1221,"&gt;0"))</f>
        <v/>
      </c>
    </row>
    <row r="1222">
      <c r="A1222" s="20" t="n"/>
      <c r="B1222" s="21">
        <f>IF($A1222="","",CHOOSE(WEEKDAY($A1222,2),"Lunes","Martes","Miércoles","Jueves","Viernes","Sábado","Domingo"))</f>
        <v/>
      </c>
      <c r="C1222" s="17" t="n"/>
      <c r="D1222" s="21">
        <f>IF($C1222="","",IFERROR(INDEX(Insumos!$B$2:$B$151,MATCH($C1222,Insumos!$A$2:$A$151,0)),"Código no cargado"))</f>
        <v/>
      </c>
      <c r="E1222" s="21">
        <f>IF($C1222="","",IFERROR(INDEX(Insumos!$C$2:$C$151,MATCH($C1222,Insumos!$A$2:$A$151,0)),""))</f>
        <v/>
      </c>
      <c r="F1222" s="21">
        <f>IF($C1222="","",IFERROR(INDEX(Insumos!$D$2:$D$151,MATCH($C1222,Insumos!$A$2:$A$151,0)),""))</f>
        <v/>
      </c>
      <c r="G1222" s="18" t="n"/>
      <c r="H1222" s="19">
        <f>IF(OR($A1222="",$C1222=""),"",IFERROR(INDEX(Insumos!$M$2:$S$151,MATCH($C1222,Insumos!$A$2:$A$151,0),WEEKDAY($A1222,2)),""))</f>
        <v/>
      </c>
      <c r="I1222" s="19">
        <f>IF(OR($G1222="",$H1222=""),"",MAX(0,$H1222-$G1222))</f>
        <v/>
      </c>
      <c r="J1222" s="21">
        <f>IF($I1222="","",IF($I1222=0,"OK",IF($G1222&lt;=0,"Sin stock: pedir ya","Pedir o producir")))</f>
        <v/>
      </c>
      <c r="K1222" s="17" t="n"/>
      <c r="L1222" s="17" t="n"/>
      <c r="M1222" s="21">
        <f>IF(OR($A1222="",$A1222&lt;&gt;'Lista para pedir'!$C$3,N($I1222)&lt;=0),"",COUNTIFS($A$2:$A1222,$A1222,$I$2:$I1222,"&gt;0"))</f>
        <v/>
      </c>
    </row>
    <row r="1223">
      <c r="A1223" s="20" t="n"/>
      <c r="B1223" s="21">
        <f>IF($A1223="","",CHOOSE(WEEKDAY($A1223,2),"Lunes","Martes","Miércoles","Jueves","Viernes","Sábado","Domingo"))</f>
        <v/>
      </c>
      <c r="C1223" s="17" t="n"/>
      <c r="D1223" s="21">
        <f>IF($C1223="","",IFERROR(INDEX(Insumos!$B$2:$B$151,MATCH($C1223,Insumos!$A$2:$A$151,0)),"Código no cargado"))</f>
        <v/>
      </c>
      <c r="E1223" s="21">
        <f>IF($C1223="","",IFERROR(INDEX(Insumos!$C$2:$C$151,MATCH($C1223,Insumos!$A$2:$A$151,0)),""))</f>
        <v/>
      </c>
      <c r="F1223" s="21">
        <f>IF($C1223="","",IFERROR(INDEX(Insumos!$D$2:$D$151,MATCH($C1223,Insumos!$A$2:$A$151,0)),""))</f>
        <v/>
      </c>
      <c r="G1223" s="18" t="n"/>
      <c r="H1223" s="19">
        <f>IF(OR($A1223="",$C1223=""),"",IFERROR(INDEX(Insumos!$M$2:$S$151,MATCH($C1223,Insumos!$A$2:$A$151,0),WEEKDAY($A1223,2)),""))</f>
        <v/>
      </c>
      <c r="I1223" s="19">
        <f>IF(OR($G1223="",$H1223=""),"",MAX(0,$H1223-$G1223))</f>
        <v/>
      </c>
      <c r="J1223" s="21">
        <f>IF($I1223="","",IF($I1223=0,"OK",IF($G1223&lt;=0,"Sin stock: pedir ya","Pedir o producir")))</f>
        <v/>
      </c>
      <c r="K1223" s="17" t="n"/>
      <c r="L1223" s="17" t="n"/>
      <c r="M1223" s="21">
        <f>IF(OR($A1223="",$A1223&lt;&gt;'Lista para pedir'!$C$3,N($I1223)&lt;=0),"",COUNTIFS($A$2:$A1223,$A1223,$I$2:$I1223,"&gt;0"))</f>
        <v/>
      </c>
    </row>
    <row r="1224">
      <c r="A1224" s="20" t="n"/>
      <c r="B1224" s="21">
        <f>IF($A1224="","",CHOOSE(WEEKDAY($A1224,2),"Lunes","Martes","Miércoles","Jueves","Viernes","Sábado","Domingo"))</f>
        <v/>
      </c>
      <c r="C1224" s="17" t="n"/>
      <c r="D1224" s="21">
        <f>IF($C1224="","",IFERROR(INDEX(Insumos!$B$2:$B$151,MATCH($C1224,Insumos!$A$2:$A$151,0)),"Código no cargado"))</f>
        <v/>
      </c>
      <c r="E1224" s="21">
        <f>IF($C1224="","",IFERROR(INDEX(Insumos!$C$2:$C$151,MATCH($C1224,Insumos!$A$2:$A$151,0)),""))</f>
        <v/>
      </c>
      <c r="F1224" s="21">
        <f>IF($C1224="","",IFERROR(INDEX(Insumos!$D$2:$D$151,MATCH($C1224,Insumos!$A$2:$A$151,0)),""))</f>
        <v/>
      </c>
      <c r="G1224" s="18" t="n"/>
      <c r="H1224" s="19">
        <f>IF(OR($A1224="",$C1224=""),"",IFERROR(INDEX(Insumos!$M$2:$S$151,MATCH($C1224,Insumos!$A$2:$A$151,0),WEEKDAY($A1224,2)),""))</f>
        <v/>
      </c>
      <c r="I1224" s="19">
        <f>IF(OR($G1224="",$H1224=""),"",MAX(0,$H1224-$G1224))</f>
        <v/>
      </c>
      <c r="J1224" s="21">
        <f>IF($I1224="","",IF($I1224=0,"OK",IF($G1224&lt;=0,"Sin stock: pedir ya","Pedir o producir")))</f>
        <v/>
      </c>
      <c r="K1224" s="17" t="n"/>
      <c r="L1224" s="17" t="n"/>
      <c r="M1224" s="21">
        <f>IF(OR($A1224="",$A1224&lt;&gt;'Lista para pedir'!$C$3,N($I1224)&lt;=0),"",COUNTIFS($A$2:$A1224,$A1224,$I$2:$I1224,"&gt;0"))</f>
        <v/>
      </c>
    </row>
    <row r="1225">
      <c r="A1225" s="20" t="n"/>
      <c r="B1225" s="21">
        <f>IF($A1225="","",CHOOSE(WEEKDAY($A1225,2),"Lunes","Martes","Miércoles","Jueves","Viernes","Sábado","Domingo"))</f>
        <v/>
      </c>
      <c r="C1225" s="17" t="n"/>
      <c r="D1225" s="21">
        <f>IF($C1225="","",IFERROR(INDEX(Insumos!$B$2:$B$151,MATCH($C1225,Insumos!$A$2:$A$151,0)),"Código no cargado"))</f>
        <v/>
      </c>
      <c r="E1225" s="21">
        <f>IF($C1225="","",IFERROR(INDEX(Insumos!$C$2:$C$151,MATCH($C1225,Insumos!$A$2:$A$151,0)),""))</f>
        <v/>
      </c>
      <c r="F1225" s="21">
        <f>IF($C1225="","",IFERROR(INDEX(Insumos!$D$2:$D$151,MATCH($C1225,Insumos!$A$2:$A$151,0)),""))</f>
        <v/>
      </c>
      <c r="G1225" s="18" t="n"/>
      <c r="H1225" s="19">
        <f>IF(OR($A1225="",$C1225=""),"",IFERROR(INDEX(Insumos!$M$2:$S$151,MATCH($C1225,Insumos!$A$2:$A$151,0),WEEKDAY($A1225,2)),""))</f>
        <v/>
      </c>
      <c r="I1225" s="19">
        <f>IF(OR($G1225="",$H1225=""),"",MAX(0,$H1225-$G1225))</f>
        <v/>
      </c>
      <c r="J1225" s="21">
        <f>IF($I1225="","",IF($I1225=0,"OK",IF($G1225&lt;=0,"Sin stock: pedir ya","Pedir o producir")))</f>
        <v/>
      </c>
      <c r="K1225" s="17" t="n"/>
      <c r="L1225" s="17" t="n"/>
      <c r="M1225" s="21">
        <f>IF(OR($A1225="",$A1225&lt;&gt;'Lista para pedir'!$C$3,N($I1225)&lt;=0),"",COUNTIFS($A$2:$A1225,$A1225,$I$2:$I1225,"&gt;0"))</f>
        <v/>
      </c>
    </row>
    <row r="1226">
      <c r="A1226" s="20" t="n"/>
      <c r="B1226" s="21">
        <f>IF($A1226="","",CHOOSE(WEEKDAY($A1226,2),"Lunes","Martes","Miércoles","Jueves","Viernes","Sábado","Domingo"))</f>
        <v/>
      </c>
      <c r="C1226" s="17" t="n"/>
      <c r="D1226" s="21">
        <f>IF($C1226="","",IFERROR(INDEX(Insumos!$B$2:$B$151,MATCH($C1226,Insumos!$A$2:$A$151,0)),"Código no cargado"))</f>
        <v/>
      </c>
      <c r="E1226" s="21">
        <f>IF($C1226="","",IFERROR(INDEX(Insumos!$C$2:$C$151,MATCH($C1226,Insumos!$A$2:$A$151,0)),""))</f>
        <v/>
      </c>
      <c r="F1226" s="21">
        <f>IF($C1226="","",IFERROR(INDEX(Insumos!$D$2:$D$151,MATCH($C1226,Insumos!$A$2:$A$151,0)),""))</f>
        <v/>
      </c>
      <c r="G1226" s="18" t="n"/>
      <c r="H1226" s="19">
        <f>IF(OR($A1226="",$C1226=""),"",IFERROR(INDEX(Insumos!$M$2:$S$151,MATCH($C1226,Insumos!$A$2:$A$151,0),WEEKDAY($A1226,2)),""))</f>
        <v/>
      </c>
      <c r="I1226" s="19">
        <f>IF(OR($G1226="",$H1226=""),"",MAX(0,$H1226-$G1226))</f>
        <v/>
      </c>
      <c r="J1226" s="21">
        <f>IF($I1226="","",IF($I1226=0,"OK",IF($G1226&lt;=0,"Sin stock: pedir ya","Pedir o producir")))</f>
        <v/>
      </c>
      <c r="K1226" s="17" t="n"/>
      <c r="L1226" s="17" t="n"/>
      <c r="M1226" s="21">
        <f>IF(OR($A1226="",$A1226&lt;&gt;'Lista para pedir'!$C$3,N($I1226)&lt;=0),"",COUNTIFS($A$2:$A1226,$A1226,$I$2:$I1226,"&gt;0"))</f>
        <v/>
      </c>
    </row>
    <row r="1227">
      <c r="A1227" s="20" t="n"/>
      <c r="B1227" s="21">
        <f>IF($A1227="","",CHOOSE(WEEKDAY($A1227,2),"Lunes","Martes","Miércoles","Jueves","Viernes","Sábado","Domingo"))</f>
        <v/>
      </c>
      <c r="C1227" s="17" t="n"/>
      <c r="D1227" s="21">
        <f>IF($C1227="","",IFERROR(INDEX(Insumos!$B$2:$B$151,MATCH($C1227,Insumos!$A$2:$A$151,0)),"Código no cargado"))</f>
        <v/>
      </c>
      <c r="E1227" s="21">
        <f>IF($C1227="","",IFERROR(INDEX(Insumos!$C$2:$C$151,MATCH($C1227,Insumos!$A$2:$A$151,0)),""))</f>
        <v/>
      </c>
      <c r="F1227" s="21">
        <f>IF($C1227="","",IFERROR(INDEX(Insumos!$D$2:$D$151,MATCH($C1227,Insumos!$A$2:$A$151,0)),""))</f>
        <v/>
      </c>
      <c r="G1227" s="18" t="n"/>
      <c r="H1227" s="19">
        <f>IF(OR($A1227="",$C1227=""),"",IFERROR(INDEX(Insumos!$M$2:$S$151,MATCH($C1227,Insumos!$A$2:$A$151,0),WEEKDAY($A1227,2)),""))</f>
        <v/>
      </c>
      <c r="I1227" s="19">
        <f>IF(OR($G1227="",$H1227=""),"",MAX(0,$H1227-$G1227))</f>
        <v/>
      </c>
      <c r="J1227" s="21">
        <f>IF($I1227="","",IF($I1227=0,"OK",IF($G1227&lt;=0,"Sin stock: pedir ya","Pedir o producir")))</f>
        <v/>
      </c>
      <c r="K1227" s="17" t="n"/>
      <c r="L1227" s="17" t="n"/>
      <c r="M1227" s="21">
        <f>IF(OR($A1227="",$A1227&lt;&gt;'Lista para pedir'!$C$3,N($I1227)&lt;=0),"",COUNTIFS($A$2:$A1227,$A1227,$I$2:$I1227,"&gt;0"))</f>
        <v/>
      </c>
    </row>
    <row r="1228">
      <c r="A1228" s="20" t="n"/>
      <c r="B1228" s="21">
        <f>IF($A1228="","",CHOOSE(WEEKDAY($A1228,2),"Lunes","Martes","Miércoles","Jueves","Viernes","Sábado","Domingo"))</f>
        <v/>
      </c>
      <c r="C1228" s="17" t="n"/>
      <c r="D1228" s="21">
        <f>IF($C1228="","",IFERROR(INDEX(Insumos!$B$2:$B$151,MATCH($C1228,Insumos!$A$2:$A$151,0)),"Código no cargado"))</f>
        <v/>
      </c>
      <c r="E1228" s="21">
        <f>IF($C1228="","",IFERROR(INDEX(Insumos!$C$2:$C$151,MATCH($C1228,Insumos!$A$2:$A$151,0)),""))</f>
        <v/>
      </c>
      <c r="F1228" s="21">
        <f>IF($C1228="","",IFERROR(INDEX(Insumos!$D$2:$D$151,MATCH($C1228,Insumos!$A$2:$A$151,0)),""))</f>
        <v/>
      </c>
      <c r="G1228" s="18" t="n"/>
      <c r="H1228" s="19">
        <f>IF(OR($A1228="",$C1228=""),"",IFERROR(INDEX(Insumos!$M$2:$S$151,MATCH($C1228,Insumos!$A$2:$A$151,0),WEEKDAY($A1228,2)),""))</f>
        <v/>
      </c>
      <c r="I1228" s="19">
        <f>IF(OR($G1228="",$H1228=""),"",MAX(0,$H1228-$G1228))</f>
        <v/>
      </c>
      <c r="J1228" s="21">
        <f>IF($I1228="","",IF($I1228=0,"OK",IF($G1228&lt;=0,"Sin stock: pedir ya","Pedir o producir")))</f>
        <v/>
      </c>
      <c r="K1228" s="17" t="n"/>
      <c r="L1228" s="17" t="n"/>
      <c r="M1228" s="21">
        <f>IF(OR($A1228="",$A1228&lt;&gt;'Lista para pedir'!$C$3,N($I1228)&lt;=0),"",COUNTIFS($A$2:$A1228,$A1228,$I$2:$I1228,"&gt;0"))</f>
        <v/>
      </c>
    </row>
    <row r="1229">
      <c r="A1229" s="20" t="n"/>
      <c r="B1229" s="21">
        <f>IF($A1229="","",CHOOSE(WEEKDAY($A1229,2),"Lunes","Martes","Miércoles","Jueves","Viernes","Sábado","Domingo"))</f>
        <v/>
      </c>
      <c r="C1229" s="17" t="n"/>
      <c r="D1229" s="21">
        <f>IF($C1229="","",IFERROR(INDEX(Insumos!$B$2:$B$151,MATCH($C1229,Insumos!$A$2:$A$151,0)),"Código no cargado"))</f>
        <v/>
      </c>
      <c r="E1229" s="21">
        <f>IF($C1229="","",IFERROR(INDEX(Insumos!$C$2:$C$151,MATCH($C1229,Insumos!$A$2:$A$151,0)),""))</f>
        <v/>
      </c>
      <c r="F1229" s="21">
        <f>IF($C1229="","",IFERROR(INDEX(Insumos!$D$2:$D$151,MATCH($C1229,Insumos!$A$2:$A$151,0)),""))</f>
        <v/>
      </c>
      <c r="G1229" s="18" t="n"/>
      <c r="H1229" s="19">
        <f>IF(OR($A1229="",$C1229=""),"",IFERROR(INDEX(Insumos!$M$2:$S$151,MATCH($C1229,Insumos!$A$2:$A$151,0),WEEKDAY($A1229,2)),""))</f>
        <v/>
      </c>
      <c r="I1229" s="19">
        <f>IF(OR($G1229="",$H1229=""),"",MAX(0,$H1229-$G1229))</f>
        <v/>
      </c>
      <c r="J1229" s="21">
        <f>IF($I1229="","",IF($I1229=0,"OK",IF($G1229&lt;=0,"Sin stock: pedir ya","Pedir o producir")))</f>
        <v/>
      </c>
      <c r="K1229" s="17" t="n"/>
      <c r="L1229" s="17" t="n"/>
      <c r="M1229" s="21">
        <f>IF(OR($A1229="",$A1229&lt;&gt;'Lista para pedir'!$C$3,N($I1229)&lt;=0),"",COUNTIFS($A$2:$A1229,$A1229,$I$2:$I1229,"&gt;0"))</f>
        <v/>
      </c>
    </row>
    <row r="1230">
      <c r="A1230" s="20" t="n"/>
      <c r="B1230" s="21">
        <f>IF($A1230="","",CHOOSE(WEEKDAY($A1230,2),"Lunes","Martes","Miércoles","Jueves","Viernes","Sábado","Domingo"))</f>
        <v/>
      </c>
      <c r="C1230" s="17" t="n"/>
      <c r="D1230" s="21">
        <f>IF($C1230="","",IFERROR(INDEX(Insumos!$B$2:$B$151,MATCH($C1230,Insumos!$A$2:$A$151,0)),"Código no cargado"))</f>
        <v/>
      </c>
      <c r="E1230" s="21">
        <f>IF($C1230="","",IFERROR(INDEX(Insumos!$C$2:$C$151,MATCH($C1230,Insumos!$A$2:$A$151,0)),""))</f>
        <v/>
      </c>
      <c r="F1230" s="21">
        <f>IF($C1230="","",IFERROR(INDEX(Insumos!$D$2:$D$151,MATCH($C1230,Insumos!$A$2:$A$151,0)),""))</f>
        <v/>
      </c>
      <c r="G1230" s="18" t="n"/>
      <c r="H1230" s="19">
        <f>IF(OR($A1230="",$C1230=""),"",IFERROR(INDEX(Insumos!$M$2:$S$151,MATCH($C1230,Insumos!$A$2:$A$151,0),WEEKDAY($A1230,2)),""))</f>
        <v/>
      </c>
      <c r="I1230" s="19">
        <f>IF(OR($G1230="",$H1230=""),"",MAX(0,$H1230-$G1230))</f>
        <v/>
      </c>
      <c r="J1230" s="21">
        <f>IF($I1230="","",IF($I1230=0,"OK",IF($G1230&lt;=0,"Sin stock: pedir ya","Pedir o producir")))</f>
        <v/>
      </c>
      <c r="K1230" s="17" t="n"/>
      <c r="L1230" s="17" t="n"/>
      <c r="M1230" s="21">
        <f>IF(OR($A1230="",$A1230&lt;&gt;'Lista para pedir'!$C$3,N($I1230)&lt;=0),"",COUNTIFS($A$2:$A1230,$A1230,$I$2:$I1230,"&gt;0"))</f>
        <v/>
      </c>
    </row>
    <row r="1231">
      <c r="A1231" s="20" t="n"/>
      <c r="B1231" s="21">
        <f>IF($A1231="","",CHOOSE(WEEKDAY($A1231,2),"Lunes","Martes","Miércoles","Jueves","Viernes","Sábado","Domingo"))</f>
        <v/>
      </c>
      <c r="C1231" s="17" t="n"/>
      <c r="D1231" s="21">
        <f>IF($C1231="","",IFERROR(INDEX(Insumos!$B$2:$B$151,MATCH($C1231,Insumos!$A$2:$A$151,0)),"Código no cargado"))</f>
        <v/>
      </c>
      <c r="E1231" s="21">
        <f>IF($C1231="","",IFERROR(INDEX(Insumos!$C$2:$C$151,MATCH($C1231,Insumos!$A$2:$A$151,0)),""))</f>
        <v/>
      </c>
      <c r="F1231" s="21">
        <f>IF($C1231="","",IFERROR(INDEX(Insumos!$D$2:$D$151,MATCH($C1231,Insumos!$A$2:$A$151,0)),""))</f>
        <v/>
      </c>
      <c r="G1231" s="18" t="n"/>
      <c r="H1231" s="19">
        <f>IF(OR($A1231="",$C1231=""),"",IFERROR(INDEX(Insumos!$M$2:$S$151,MATCH($C1231,Insumos!$A$2:$A$151,0),WEEKDAY($A1231,2)),""))</f>
        <v/>
      </c>
      <c r="I1231" s="19">
        <f>IF(OR($G1231="",$H1231=""),"",MAX(0,$H1231-$G1231))</f>
        <v/>
      </c>
      <c r="J1231" s="21">
        <f>IF($I1231="","",IF($I1231=0,"OK",IF($G1231&lt;=0,"Sin stock: pedir ya","Pedir o producir")))</f>
        <v/>
      </c>
      <c r="K1231" s="17" t="n"/>
      <c r="L1231" s="17" t="n"/>
      <c r="M1231" s="21">
        <f>IF(OR($A1231="",$A1231&lt;&gt;'Lista para pedir'!$C$3,N($I1231)&lt;=0),"",COUNTIFS($A$2:$A1231,$A1231,$I$2:$I1231,"&gt;0"))</f>
        <v/>
      </c>
    </row>
    <row r="1232">
      <c r="A1232" s="20" t="n"/>
      <c r="B1232" s="21">
        <f>IF($A1232="","",CHOOSE(WEEKDAY($A1232,2),"Lunes","Martes","Miércoles","Jueves","Viernes","Sábado","Domingo"))</f>
        <v/>
      </c>
      <c r="C1232" s="17" t="n"/>
      <c r="D1232" s="21">
        <f>IF($C1232="","",IFERROR(INDEX(Insumos!$B$2:$B$151,MATCH($C1232,Insumos!$A$2:$A$151,0)),"Código no cargado"))</f>
        <v/>
      </c>
      <c r="E1232" s="21">
        <f>IF($C1232="","",IFERROR(INDEX(Insumos!$C$2:$C$151,MATCH($C1232,Insumos!$A$2:$A$151,0)),""))</f>
        <v/>
      </c>
      <c r="F1232" s="21">
        <f>IF($C1232="","",IFERROR(INDEX(Insumos!$D$2:$D$151,MATCH($C1232,Insumos!$A$2:$A$151,0)),""))</f>
        <v/>
      </c>
      <c r="G1232" s="18" t="n"/>
      <c r="H1232" s="19">
        <f>IF(OR($A1232="",$C1232=""),"",IFERROR(INDEX(Insumos!$M$2:$S$151,MATCH($C1232,Insumos!$A$2:$A$151,0),WEEKDAY($A1232,2)),""))</f>
        <v/>
      </c>
      <c r="I1232" s="19">
        <f>IF(OR($G1232="",$H1232=""),"",MAX(0,$H1232-$G1232))</f>
        <v/>
      </c>
      <c r="J1232" s="21">
        <f>IF($I1232="","",IF($I1232=0,"OK",IF($G1232&lt;=0,"Sin stock: pedir ya","Pedir o producir")))</f>
        <v/>
      </c>
      <c r="K1232" s="17" t="n"/>
      <c r="L1232" s="17" t="n"/>
      <c r="M1232" s="21">
        <f>IF(OR($A1232="",$A1232&lt;&gt;'Lista para pedir'!$C$3,N($I1232)&lt;=0),"",COUNTIFS($A$2:$A1232,$A1232,$I$2:$I1232,"&gt;0"))</f>
        <v/>
      </c>
    </row>
    <row r="1233">
      <c r="A1233" s="20" t="n"/>
      <c r="B1233" s="21">
        <f>IF($A1233="","",CHOOSE(WEEKDAY($A1233,2),"Lunes","Martes","Miércoles","Jueves","Viernes","Sábado","Domingo"))</f>
        <v/>
      </c>
      <c r="C1233" s="17" t="n"/>
      <c r="D1233" s="21">
        <f>IF($C1233="","",IFERROR(INDEX(Insumos!$B$2:$B$151,MATCH($C1233,Insumos!$A$2:$A$151,0)),"Código no cargado"))</f>
        <v/>
      </c>
      <c r="E1233" s="21">
        <f>IF($C1233="","",IFERROR(INDEX(Insumos!$C$2:$C$151,MATCH($C1233,Insumos!$A$2:$A$151,0)),""))</f>
        <v/>
      </c>
      <c r="F1233" s="21">
        <f>IF($C1233="","",IFERROR(INDEX(Insumos!$D$2:$D$151,MATCH($C1233,Insumos!$A$2:$A$151,0)),""))</f>
        <v/>
      </c>
      <c r="G1233" s="18" t="n"/>
      <c r="H1233" s="19">
        <f>IF(OR($A1233="",$C1233=""),"",IFERROR(INDEX(Insumos!$M$2:$S$151,MATCH($C1233,Insumos!$A$2:$A$151,0),WEEKDAY($A1233,2)),""))</f>
        <v/>
      </c>
      <c r="I1233" s="19">
        <f>IF(OR($G1233="",$H1233=""),"",MAX(0,$H1233-$G1233))</f>
        <v/>
      </c>
      <c r="J1233" s="21">
        <f>IF($I1233="","",IF($I1233=0,"OK",IF($G1233&lt;=0,"Sin stock: pedir ya","Pedir o producir")))</f>
        <v/>
      </c>
      <c r="K1233" s="17" t="n"/>
      <c r="L1233" s="17" t="n"/>
      <c r="M1233" s="21">
        <f>IF(OR($A1233="",$A1233&lt;&gt;'Lista para pedir'!$C$3,N($I1233)&lt;=0),"",COUNTIFS($A$2:$A1233,$A1233,$I$2:$I1233,"&gt;0"))</f>
        <v/>
      </c>
    </row>
    <row r="1234">
      <c r="A1234" s="20" t="n"/>
      <c r="B1234" s="21">
        <f>IF($A1234="","",CHOOSE(WEEKDAY($A1234,2),"Lunes","Martes","Miércoles","Jueves","Viernes","Sábado","Domingo"))</f>
        <v/>
      </c>
      <c r="C1234" s="17" t="n"/>
      <c r="D1234" s="21">
        <f>IF($C1234="","",IFERROR(INDEX(Insumos!$B$2:$B$151,MATCH($C1234,Insumos!$A$2:$A$151,0)),"Código no cargado"))</f>
        <v/>
      </c>
      <c r="E1234" s="21">
        <f>IF($C1234="","",IFERROR(INDEX(Insumos!$C$2:$C$151,MATCH($C1234,Insumos!$A$2:$A$151,0)),""))</f>
        <v/>
      </c>
      <c r="F1234" s="21">
        <f>IF($C1234="","",IFERROR(INDEX(Insumos!$D$2:$D$151,MATCH($C1234,Insumos!$A$2:$A$151,0)),""))</f>
        <v/>
      </c>
      <c r="G1234" s="18" t="n"/>
      <c r="H1234" s="19">
        <f>IF(OR($A1234="",$C1234=""),"",IFERROR(INDEX(Insumos!$M$2:$S$151,MATCH($C1234,Insumos!$A$2:$A$151,0),WEEKDAY($A1234,2)),""))</f>
        <v/>
      </c>
      <c r="I1234" s="19">
        <f>IF(OR($G1234="",$H1234=""),"",MAX(0,$H1234-$G1234))</f>
        <v/>
      </c>
      <c r="J1234" s="21">
        <f>IF($I1234="","",IF($I1234=0,"OK",IF($G1234&lt;=0,"Sin stock: pedir ya","Pedir o producir")))</f>
        <v/>
      </c>
      <c r="K1234" s="17" t="n"/>
      <c r="L1234" s="17" t="n"/>
      <c r="M1234" s="21">
        <f>IF(OR($A1234="",$A1234&lt;&gt;'Lista para pedir'!$C$3,N($I1234)&lt;=0),"",COUNTIFS($A$2:$A1234,$A1234,$I$2:$I1234,"&gt;0"))</f>
        <v/>
      </c>
    </row>
    <row r="1235">
      <c r="A1235" s="20" t="n"/>
      <c r="B1235" s="21">
        <f>IF($A1235="","",CHOOSE(WEEKDAY($A1235,2),"Lunes","Martes","Miércoles","Jueves","Viernes","Sábado","Domingo"))</f>
        <v/>
      </c>
      <c r="C1235" s="17" t="n"/>
      <c r="D1235" s="21">
        <f>IF($C1235="","",IFERROR(INDEX(Insumos!$B$2:$B$151,MATCH($C1235,Insumos!$A$2:$A$151,0)),"Código no cargado"))</f>
        <v/>
      </c>
      <c r="E1235" s="21">
        <f>IF($C1235="","",IFERROR(INDEX(Insumos!$C$2:$C$151,MATCH($C1235,Insumos!$A$2:$A$151,0)),""))</f>
        <v/>
      </c>
      <c r="F1235" s="21">
        <f>IF($C1235="","",IFERROR(INDEX(Insumos!$D$2:$D$151,MATCH($C1235,Insumos!$A$2:$A$151,0)),""))</f>
        <v/>
      </c>
      <c r="G1235" s="18" t="n"/>
      <c r="H1235" s="19">
        <f>IF(OR($A1235="",$C1235=""),"",IFERROR(INDEX(Insumos!$M$2:$S$151,MATCH($C1235,Insumos!$A$2:$A$151,0),WEEKDAY($A1235,2)),""))</f>
        <v/>
      </c>
      <c r="I1235" s="19">
        <f>IF(OR($G1235="",$H1235=""),"",MAX(0,$H1235-$G1235))</f>
        <v/>
      </c>
      <c r="J1235" s="21">
        <f>IF($I1235="","",IF($I1235=0,"OK",IF($G1235&lt;=0,"Sin stock: pedir ya","Pedir o producir")))</f>
        <v/>
      </c>
      <c r="K1235" s="17" t="n"/>
      <c r="L1235" s="17" t="n"/>
      <c r="M1235" s="21">
        <f>IF(OR($A1235="",$A1235&lt;&gt;'Lista para pedir'!$C$3,N($I1235)&lt;=0),"",COUNTIFS($A$2:$A1235,$A1235,$I$2:$I1235,"&gt;0"))</f>
        <v/>
      </c>
    </row>
    <row r="1236">
      <c r="A1236" s="20" t="n"/>
      <c r="B1236" s="21">
        <f>IF($A1236="","",CHOOSE(WEEKDAY($A1236,2),"Lunes","Martes","Miércoles","Jueves","Viernes","Sábado","Domingo"))</f>
        <v/>
      </c>
      <c r="C1236" s="17" t="n"/>
      <c r="D1236" s="21">
        <f>IF($C1236="","",IFERROR(INDEX(Insumos!$B$2:$B$151,MATCH($C1236,Insumos!$A$2:$A$151,0)),"Código no cargado"))</f>
        <v/>
      </c>
      <c r="E1236" s="21">
        <f>IF($C1236="","",IFERROR(INDEX(Insumos!$C$2:$C$151,MATCH($C1236,Insumos!$A$2:$A$151,0)),""))</f>
        <v/>
      </c>
      <c r="F1236" s="21">
        <f>IF($C1236="","",IFERROR(INDEX(Insumos!$D$2:$D$151,MATCH($C1236,Insumos!$A$2:$A$151,0)),""))</f>
        <v/>
      </c>
      <c r="G1236" s="18" t="n"/>
      <c r="H1236" s="19">
        <f>IF(OR($A1236="",$C1236=""),"",IFERROR(INDEX(Insumos!$M$2:$S$151,MATCH($C1236,Insumos!$A$2:$A$151,0),WEEKDAY($A1236,2)),""))</f>
        <v/>
      </c>
      <c r="I1236" s="19">
        <f>IF(OR($G1236="",$H1236=""),"",MAX(0,$H1236-$G1236))</f>
        <v/>
      </c>
      <c r="J1236" s="21">
        <f>IF($I1236="","",IF($I1236=0,"OK",IF($G1236&lt;=0,"Sin stock: pedir ya","Pedir o producir")))</f>
        <v/>
      </c>
      <c r="K1236" s="17" t="n"/>
      <c r="L1236" s="17" t="n"/>
      <c r="M1236" s="21">
        <f>IF(OR($A1236="",$A1236&lt;&gt;'Lista para pedir'!$C$3,N($I1236)&lt;=0),"",COUNTIFS($A$2:$A1236,$A1236,$I$2:$I1236,"&gt;0"))</f>
        <v/>
      </c>
    </row>
    <row r="1237">
      <c r="A1237" s="20" t="n"/>
      <c r="B1237" s="21">
        <f>IF($A1237="","",CHOOSE(WEEKDAY($A1237,2),"Lunes","Martes","Miércoles","Jueves","Viernes","Sábado","Domingo"))</f>
        <v/>
      </c>
      <c r="C1237" s="17" t="n"/>
      <c r="D1237" s="21">
        <f>IF($C1237="","",IFERROR(INDEX(Insumos!$B$2:$B$151,MATCH($C1237,Insumos!$A$2:$A$151,0)),"Código no cargado"))</f>
        <v/>
      </c>
      <c r="E1237" s="21">
        <f>IF($C1237="","",IFERROR(INDEX(Insumos!$C$2:$C$151,MATCH($C1237,Insumos!$A$2:$A$151,0)),""))</f>
        <v/>
      </c>
      <c r="F1237" s="21">
        <f>IF($C1237="","",IFERROR(INDEX(Insumos!$D$2:$D$151,MATCH($C1237,Insumos!$A$2:$A$151,0)),""))</f>
        <v/>
      </c>
      <c r="G1237" s="18" t="n"/>
      <c r="H1237" s="19">
        <f>IF(OR($A1237="",$C1237=""),"",IFERROR(INDEX(Insumos!$M$2:$S$151,MATCH($C1237,Insumos!$A$2:$A$151,0),WEEKDAY($A1237,2)),""))</f>
        <v/>
      </c>
      <c r="I1237" s="19">
        <f>IF(OR($G1237="",$H1237=""),"",MAX(0,$H1237-$G1237))</f>
        <v/>
      </c>
      <c r="J1237" s="21">
        <f>IF($I1237="","",IF($I1237=0,"OK",IF($G1237&lt;=0,"Sin stock: pedir ya","Pedir o producir")))</f>
        <v/>
      </c>
      <c r="K1237" s="17" t="n"/>
      <c r="L1237" s="17" t="n"/>
      <c r="M1237" s="21">
        <f>IF(OR($A1237="",$A1237&lt;&gt;'Lista para pedir'!$C$3,N($I1237)&lt;=0),"",COUNTIFS($A$2:$A1237,$A1237,$I$2:$I1237,"&gt;0"))</f>
        <v/>
      </c>
    </row>
    <row r="1238">
      <c r="A1238" s="20" t="n"/>
      <c r="B1238" s="21">
        <f>IF($A1238="","",CHOOSE(WEEKDAY($A1238,2),"Lunes","Martes","Miércoles","Jueves","Viernes","Sábado","Domingo"))</f>
        <v/>
      </c>
      <c r="C1238" s="17" t="n"/>
      <c r="D1238" s="21">
        <f>IF($C1238="","",IFERROR(INDEX(Insumos!$B$2:$B$151,MATCH($C1238,Insumos!$A$2:$A$151,0)),"Código no cargado"))</f>
        <v/>
      </c>
      <c r="E1238" s="21">
        <f>IF($C1238="","",IFERROR(INDEX(Insumos!$C$2:$C$151,MATCH($C1238,Insumos!$A$2:$A$151,0)),""))</f>
        <v/>
      </c>
      <c r="F1238" s="21">
        <f>IF($C1238="","",IFERROR(INDEX(Insumos!$D$2:$D$151,MATCH($C1238,Insumos!$A$2:$A$151,0)),""))</f>
        <v/>
      </c>
      <c r="G1238" s="18" t="n"/>
      <c r="H1238" s="19">
        <f>IF(OR($A1238="",$C1238=""),"",IFERROR(INDEX(Insumos!$M$2:$S$151,MATCH($C1238,Insumos!$A$2:$A$151,0),WEEKDAY($A1238,2)),""))</f>
        <v/>
      </c>
      <c r="I1238" s="19">
        <f>IF(OR($G1238="",$H1238=""),"",MAX(0,$H1238-$G1238))</f>
        <v/>
      </c>
      <c r="J1238" s="21">
        <f>IF($I1238="","",IF($I1238=0,"OK",IF($G1238&lt;=0,"Sin stock: pedir ya","Pedir o producir")))</f>
        <v/>
      </c>
      <c r="K1238" s="17" t="n"/>
      <c r="L1238" s="17" t="n"/>
      <c r="M1238" s="21">
        <f>IF(OR($A1238="",$A1238&lt;&gt;'Lista para pedir'!$C$3,N($I1238)&lt;=0),"",COUNTIFS($A$2:$A1238,$A1238,$I$2:$I1238,"&gt;0"))</f>
        <v/>
      </c>
    </row>
    <row r="1239">
      <c r="A1239" s="20" t="n"/>
      <c r="B1239" s="21">
        <f>IF($A1239="","",CHOOSE(WEEKDAY($A1239,2),"Lunes","Martes","Miércoles","Jueves","Viernes","Sábado","Domingo"))</f>
        <v/>
      </c>
      <c r="C1239" s="17" t="n"/>
      <c r="D1239" s="21">
        <f>IF($C1239="","",IFERROR(INDEX(Insumos!$B$2:$B$151,MATCH($C1239,Insumos!$A$2:$A$151,0)),"Código no cargado"))</f>
        <v/>
      </c>
      <c r="E1239" s="21">
        <f>IF($C1239="","",IFERROR(INDEX(Insumos!$C$2:$C$151,MATCH($C1239,Insumos!$A$2:$A$151,0)),""))</f>
        <v/>
      </c>
      <c r="F1239" s="21">
        <f>IF($C1239="","",IFERROR(INDEX(Insumos!$D$2:$D$151,MATCH($C1239,Insumos!$A$2:$A$151,0)),""))</f>
        <v/>
      </c>
      <c r="G1239" s="18" t="n"/>
      <c r="H1239" s="19">
        <f>IF(OR($A1239="",$C1239=""),"",IFERROR(INDEX(Insumos!$M$2:$S$151,MATCH($C1239,Insumos!$A$2:$A$151,0),WEEKDAY($A1239,2)),""))</f>
        <v/>
      </c>
      <c r="I1239" s="19">
        <f>IF(OR($G1239="",$H1239=""),"",MAX(0,$H1239-$G1239))</f>
        <v/>
      </c>
      <c r="J1239" s="21">
        <f>IF($I1239="","",IF($I1239=0,"OK",IF($G1239&lt;=0,"Sin stock: pedir ya","Pedir o producir")))</f>
        <v/>
      </c>
      <c r="K1239" s="17" t="n"/>
      <c r="L1239" s="17" t="n"/>
      <c r="M1239" s="21">
        <f>IF(OR($A1239="",$A1239&lt;&gt;'Lista para pedir'!$C$3,N($I1239)&lt;=0),"",COUNTIFS($A$2:$A1239,$A1239,$I$2:$I1239,"&gt;0"))</f>
        <v/>
      </c>
    </row>
    <row r="1240">
      <c r="A1240" s="20" t="n"/>
      <c r="B1240" s="21">
        <f>IF($A1240="","",CHOOSE(WEEKDAY($A1240,2),"Lunes","Martes","Miércoles","Jueves","Viernes","Sábado","Domingo"))</f>
        <v/>
      </c>
      <c r="C1240" s="17" t="n"/>
      <c r="D1240" s="21">
        <f>IF($C1240="","",IFERROR(INDEX(Insumos!$B$2:$B$151,MATCH($C1240,Insumos!$A$2:$A$151,0)),"Código no cargado"))</f>
        <v/>
      </c>
      <c r="E1240" s="21">
        <f>IF($C1240="","",IFERROR(INDEX(Insumos!$C$2:$C$151,MATCH($C1240,Insumos!$A$2:$A$151,0)),""))</f>
        <v/>
      </c>
      <c r="F1240" s="21">
        <f>IF($C1240="","",IFERROR(INDEX(Insumos!$D$2:$D$151,MATCH($C1240,Insumos!$A$2:$A$151,0)),""))</f>
        <v/>
      </c>
      <c r="G1240" s="18" t="n"/>
      <c r="H1240" s="19">
        <f>IF(OR($A1240="",$C1240=""),"",IFERROR(INDEX(Insumos!$M$2:$S$151,MATCH($C1240,Insumos!$A$2:$A$151,0),WEEKDAY($A1240,2)),""))</f>
        <v/>
      </c>
      <c r="I1240" s="19">
        <f>IF(OR($G1240="",$H1240=""),"",MAX(0,$H1240-$G1240))</f>
        <v/>
      </c>
      <c r="J1240" s="21">
        <f>IF($I1240="","",IF($I1240=0,"OK",IF($G1240&lt;=0,"Sin stock: pedir ya","Pedir o producir")))</f>
        <v/>
      </c>
      <c r="K1240" s="17" t="n"/>
      <c r="L1240" s="17" t="n"/>
      <c r="M1240" s="21">
        <f>IF(OR($A1240="",$A1240&lt;&gt;'Lista para pedir'!$C$3,N($I1240)&lt;=0),"",COUNTIFS($A$2:$A1240,$A1240,$I$2:$I1240,"&gt;0"))</f>
        <v/>
      </c>
    </row>
    <row r="1241">
      <c r="A1241" s="20" t="n"/>
      <c r="B1241" s="21">
        <f>IF($A1241="","",CHOOSE(WEEKDAY($A1241,2),"Lunes","Martes","Miércoles","Jueves","Viernes","Sábado","Domingo"))</f>
        <v/>
      </c>
      <c r="C1241" s="17" t="n"/>
      <c r="D1241" s="21">
        <f>IF($C1241="","",IFERROR(INDEX(Insumos!$B$2:$B$151,MATCH($C1241,Insumos!$A$2:$A$151,0)),"Código no cargado"))</f>
        <v/>
      </c>
      <c r="E1241" s="21">
        <f>IF($C1241="","",IFERROR(INDEX(Insumos!$C$2:$C$151,MATCH($C1241,Insumos!$A$2:$A$151,0)),""))</f>
        <v/>
      </c>
      <c r="F1241" s="21">
        <f>IF($C1241="","",IFERROR(INDEX(Insumos!$D$2:$D$151,MATCH($C1241,Insumos!$A$2:$A$151,0)),""))</f>
        <v/>
      </c>
      <c r="G1241" s="18" t="n"/>
      <c r="H1241" s="19">
        <f>IF(OR($A1241="",$C1241=""),"",IFERROR(INDEX(Insumos!$M$2:$S$151,MATCH($C1241,Insumos!$A$2:$A$151,0),WEEKDAY($A1241,2)),""))</f>
        <v/>
      </c>
      <c r="I1241" s="19">
        <f>IF(OR($G1241="",$H1241=""),"",MAX(0,$H1241-$G1241))</f>
        <v/>
      </c>
      <c r="J1241" s="21">
        <f>IF($I1241="","",IF($I1241=0,"OK",IF($G1241&lt;=0,"Sin stock: pedir ya","Pedir o producir")))</f>
        <v/>
      </c>
      <c r="K1241" s="17" t="n"/>
      <c r="L1241" s="17" t="n"/>
      <c r="M1241" s="21">
        <f>IF(OR($A1241="",$A1241&lt;&gt;'Lista para pedir'!$C$3,N($I1241)&lt;=0),"",COUNTIFS($A$2:$A1241,$A1241,$I$2:$I1241,"&gt;0"))</f>
        <v/>
      </c>
    </row>
    <row r="1242">
      <c r="A1242" s="20" t="n"/>
      <c r="B1242" s="21">
        <f>IF($A1242="","",CHOOSE(WEEKDAY($A1242,2),"Lunes","Martes","Miércoles","Jueves","Viernes","Sábado","Domingo"))</f>
        <v/>
      </c>
      <c r="C1242" s="17" t="n"/>
      <c r="D1242" s="21">
        <f>IF($C1242="","",IFERROR(INDEX(Insumos!$B$2:$B$151,MATCH($C1242,Insumos!$A$2:$A$151,0)),"Código no cargado"))</f>
        <v/>
      </c>
      <c r="E1242" s="21">
        <f>IF($C1242="","",IFERROR(INDEX(Insumos!$C$2:$C$151,MATCH($C1242,Insumos!$A$2:$A$151,0)),""))</f>
        <v/>
      </c>
      <c r="F1242" s="21">
        <f>IF($C1242="","",IFERROR(INDEX(Insumos!$D$2:$D$151,MATCH($C1242,Insumos!$A$2:$A$151,0)),""))</f>
        <v/>
      </c>
      <c r="G1242" s="18" t="n"/>
      <c r="H1242" s="19">
        <f>IF(OR($A1242="",$C1242=""),"",IFERROR(INDEX(Insumos!$M$2:$S$151,MATCH($C1242,Insumos!$A$2:$A$151,0),WEEKDAY($A1242,2)),""))</f>
        <v/>
      </c>
      <c r="I1242" s="19">
        <f>IF(OR($G1242="",$H1242=""),"",MAX(0,$H1242-$G1242))</f>
        <v/>
      </c>
      <c r="J1242" s="21">
        <f>IF($I1242="","",IF($I1242=0,"OK",IF($G1242&lt;=0,"Sin stock: pedir ya","Pedir o producir")))</f>
        <v/>
      </c>
      <c r="K1242" s="17" t="n"/>
      <c r="L1242" s="17" t="n"/>
      <c r="M1242" s="21">
        <f>IF(OR($A1242="",$A1242&lt;&gt;'Lista para pedir'!$C$3,N($I1242)&lt;=0),"",COUNTIFS($A$2:$A1242,$A1242,$I$2:$I1242,"&gt;0"))</f>
        <v/>
      </c>
    </row>
    <row r="1243">
      <c r="A1243" s="20" t="n"/>
      <c r="B1243" s="21">
        <f>IF($A1243="","",CHOOSE(WEEKDAY($A1243,2),"Lunes","Martes","Miércoles","Jueves","Viernes","Sábado","Domingo"))</f>
        <v/>
      </c>
      <c r="C1243" s="17" t="n"/>
      <c r="D1243" s="21">
        <f>IF($C1243="","",IFERROR(INDEX(Insumos!$B$2:$B$151,MATCH($C1243,Insumos!$A$2:$A$151,0)),"Código no cargado"))</f>
        <v/>
      </c>
      <c r="E1243" s="21">
        <f>IF($C1243="","",IFERROR(INDEX(Insumos!$C$2:$C$151,MATCH($C1243,Insumos!$A$2:$A$151,0)),""))</f>
        <v/>
      </c>
      <c r="F1243" s="21">
        <f>IF($C1243="","",IFERROR(INDEX(Insumos!$D$2:$D$151,MATCH($C1243,Insumos!$A$2:$A$151,0)),""))</f>
        <v/>
      </c>
      <c r="G1243" s="18" t="n"/>
      <c r="H1243" s="19">
        <f>IF(OR($A1243="",$C1243=""),"",IFERROR(INDEX(Insumos!$M$2:$S$151,MATCH($C1243,Insumos!$A$2:$A$151,0),WEEKDAY($A1243,2)),""))</f>
        <v/>
      </c>
      <c r="I1243" s="19">
        <f>IF(OR($G1243="",$H1243=""),"",MAX(0,$H1243-$G1243))</f>
        <v/>
      </c>
      <c r="J1243" s="21">
        <f>IF($I1243="","",IF($I1243=0,"OK",IF($G1243&lt;=0,"Sin stock: pedir ya","Pedir o producir")))</f>
        <v/>
      </c>
      <c r="K1243" s="17" t="n"/>
      <c r="L1243" s="17" t="n"/>
      <c r="M1243" s="21">
        <f>IF(OR($A1243="",$A1243&lt;&gt;'Lista para pedir'!$C$3,N($I1243)&lt;=0),"",COUNTIFS($A$2:$A1243,$A1243,$I$2:$I1243,"&gt;0"))</f>
        <v/>
      </c>
    </row>
    <row r="1244">
      <c r="A1244" s="20" t="n"/>
      <c r="B1244" s="21">
        <f>IF($A1244="","",CHOOSE(WEEKDAY($A1244,2),"Lunes","Martes","Miércoles","Jueves","Viernes","Sábado","Domingo"))</f>
        <v/>
      </c>
      <c r="C1244" s="17" t="n"/>
      <c r="D1244" s="21">
        <f>IF($C1244="","",IFERROR(INDEX(Insumos!$B$2:$B$151,MATCH($C1244,Insumos!$A$2:$A$151,0)),"Código no cargado"))</f>
        <v/>
      </c>
      <c r="E1244" s="21">
        <f>IF($C1244="","",IFERROR(INDEX(Insumos!$C$2:$C$151,MATCH($C1244,Insumos!$A$2:$A$151,0)),""))</f>
        <v/>
      </c>
      <c r="F1244" s="21">
        <f>IF($C1244="","",IFERROR(INDEX(Insumos!$D$2:$D$151,MATCH($C1244,Insumos!$A$2:$A$151,0)),""))</f>
        <v/>
      </c>
      <c r="G1244" s="18" t="n"/>
      <c r="H1244" s="19">
        <f>IF(OR($A1244="",$C1244=""),"",IFERROR(INDEX(Insumos!$M$2:$S$151,MATCH($C1244,Insumos!$A$2:$A$151,0),WEEKDAY($A1244,2)),""))</f>
        <v/>
      </c>
      <c r="I1244" s="19">
        <f>IF(OR($G1244="",$H1244=""),"",MAX(0,$H1244-$G1244))</f>
        <v/>
      </c>
      <c r="J1244" s="21">
        <f>IF($I1244="","",IF($I1244=0,"OK",IF($G1244&lt;=0,"Sin stock: pedir ya","Pedir o producir")))</f>
        <v/>
      </c>
      <c r="K1244" s="17" t="n"/>
      <c r="L1244" s="17" t="n"/>
      <c r="M1244" s="21">
        <f>IF(OR($A1244="",$A1244&lt;&gt;'Lista para pedir'!$C$3,N($I1244)&lt;=0),"",COUNTIFS($A$2:$A1244,$A1244,$I$2:$I1244,"&gt;0"))</f>
        <v/>
      </c>
    </row>
    <row r="1245">
      <c r="A1245" s="20" t="n"/>
      <c r="B1245" s="21">
        <f>IF($A1245="","",CHOOSE(WEEKDAY($A1245,2),"Lunes","Martes","Miércoles","Jueves","Viernes","Sábado","Domingo"))</f>
        <v/>
      </c>
      <c r="C1245" s="17" t="n"/>
      <c r="D1245" s="21">
        <f>IF($C1245="","",IFERROR(INDEX(Insumos!$B$2:$B$151,MATCH($C1245,Insumos!$A$2:$A$151,0)),"Código no cargado"))</f>
        <v/>
      </c>
      <c r="E1245" s="21">
        <f>IF($C1245="","",IFERROR(INDEX(Insumos!$C$2:$C$151,MATCH($C1245,Insumos!$A$2:$A$151,0)),""))</f>
        <v/>
      </c>
      <c r="F1245" s="21">
        <f>IF($C1245="","",IFERROR(INDEX(Insumos!$D$2:$D$151,MATCH($C1245,Insumos!$A$2:$A$151,0)),""))</f>
        <v/>
      </c>
      <c r="G1245" s="18" t="n"/>
      <c r="H1245" s="19">
        <f>IF(OR($A1245="",$C1245=""),"",IFERROR(INDEX(Insumos!$M$2:$S$151,MATCH($C1245,Insumos!$A$2:$A$151,0),WEEKDAY($A1245,2)),""))</f>
        <v/>
      </c>
      <c r="I1245" s="19">
        <f>IF(OR($G1245="",$H1245=""),"",MAX(0,$H1245-$G1245))</f>
        <v/>
      </c>
      <c r="J1245" s="21">
        <f>IF($I1245="","",IF($I1245=0,"OK",IF($G1245&lt;=0,"Sin stock: pedir ya","Pedir o producir")))</f>
        <v/>
      </c>
      <c r="K1245" s="17" t="n"/>
      <c r="L1245" s="17" t="n"/>
      <c r="M1245" s="21">
        <f>IF(OR($A1245="",$A1245&lt;&gt;'Lista para pedir'!$C$3,N($I1245)&lt;=0),"",COUNTIFS($A$2:$A1245,$A1245,$I$2:$I1245,"&gt;0"))</f>
        <v/>
      </c>
    </row>
    <row r="1246">
      <c r="A1246" s="20" t="n"/>
      <c r="B1246" s="21">
        <f>IF($A1246="","",CHOOSE(WEEKDAY($A1246,2),"Lunes","Martes","Miércoles","Jueves","Viernes","Sábado","Domingo"))</f>
        <v/>
      </c>
      <c r="C1246" s="17" t="n"/>
      <c r="D1246" s="21">
        <f>IF($C1246="","",IFERROR(INDEX(Insumos!$B$2:$B$151,MATCH($C1246,Insumos!$A$2:$A$151,0)),"Código no cargado"))</f>
        <v/>
      </c>
      <c r="E1246" s="21">
        <f>IF($C1246="","",IFERROR(INDEX(Insumos!$C$2:$C$151,MATCH($C1246,Insumos!$A$2:$A$151,0)),""))</f>
        <v/>
      </c>
      <c r="F1246" s="21">
        <f>IF($C1246="","",IFERROR(INDEX(Insumos!$D$2:$D$151,MATCH($C1246,Insumos!$A$2:$A$151,0)),""))</f>
        <v/>
      </c>
      <c r="G1246" s="18" t="n"/>
      <c r="H1246" s="19">
        <f>IF(OR($A1246="",$C1246=""),"",IFERROR(INDEX(Insumos!$M$2:$S$151,MATCH($C1246,Insumos!$A$2:$A$151,0),WEEKDAY($A1246,2)),""))</f>
        <v/>
      </c>
      <c r="I1246" s="19">
        <f>IF(OR($G1246="",$H1246=""),"",MAX(0,$H1246-$G1246))</f>
        <v/>
      </c>
      <c r="J1246" s="21">
        <f>IF($I1246="","",IF($I1246=0,"OK",IF($G1246&lt;=0,"Sin stock: pedir ya","Pedir o producir")))</f>
        <v/>
      </c>
      <c r="K1246" s="17" t="n"/>
      <c r="L1246" s="17" t="n"/>
      <c r="M1246" s="21">
        <f>IF(OR($A1246="",$A1246&lt;&gt;'Lista para pedir'!$C$3,N($I1246)&lt;=0),"",COUNTIFS($A$2:$A1246,$A1246,$I$2:$I1246,"&gt;0"))</f>
        <v/>
      </c>
    </row>
    <row r="1247">
      <c r="A1247" s="20" t="n"/>
      <c r="B1247" s="21">
        <f>IF($A1247="","",CHOOSE(WEEKDAY($A1247,2),"Lunes","Martes","Miércoles","Jueves","Viernes","Sábado","Domingo"))</f>
        <v/>
      </c>
      <c r="C1247" s="17" t="n"/>
      <c r="D1247" s="21">
        <f>IF($C1247="","",IFERROR(INDEX(Insumos!$B$2:$B$151,MATCH($C1247,Insumos!$A$2:$A$151,0)),"Código no cargado"))</f>
        <v/>
      </c>
      <c r="E1247" s="21">
        <f>IF($C1247="","",IFERROR(INDEX(Insumos!$C$2:$C$151,MATCH($C1247,Insumos!$A$2:$A$151,0)),""))</f>
        <v/>
      </c>
      <c r="F1247" s="21">
        <f>IF($C1247="","",IFERROR(INDEX(Insumos!$D$2:$D$151,MATCH($C1247,Insumos!$A$2:$A$151,0)),""))</f>
        <v/>
      </c>
      <c r="G1247" s="18" t="n"/>
      <c r="H1247" s="19">
        <f>IF(OR($A1247="",$C1247=""),"",IFERROR(INDEX(Insumos!$M$2:$S$151,MATCH($C1247,Insumos!$A$2:$A$151,0),WEEKDAY($A1247,2)),""))</f>
        <v/>
      </c>
      <c r="I1247" s="19">
        <f>IF(OR($G1247="",$H1247=""),"",MAX(0,$H1247-$G1247))</f>
        <v/>
      </c>
      <c r="J1247" s="21">
        <f>IF($I1247="","",IF($I1247=0,"OK",IF($G1247&lt;=0,"Sin stock: pedir ya","Pedir o producir")))</f>
        <v/>
      </c>
      <c r="K1247" s="17" t="n"/>
      <c r="L1247" s="17" t="n"/>
      <c r="M1247" s="21">
        <f>IF(OR($A1247="",$A1247&lt;&gt;'Lista para pedir'!$C$3,N($I1247)&lt;=0),"",COUNTIFS($A$2:$A1247,$A1247,$I$2:$I1247,"&gt;0"))</f>
        <v/>
      </c>
    </row>
    <row r="1248">
      <c r="A1248" s="20" t="n"/>
      <c r="B1248" s="21">
        <f>IF($A1248="","",CHOOSE(WEEKDAY($A1248,2),"Lunes","Martes","Miércoles","Jueves","Viernes","Sábado","Domingo"))</f>
        <v/>
      </c>
      <c r="C1248" s="17" t="n"/>
      <c r="D1248" s="21">
        <f>IF($C1248="","",IFERROR(INDEX(Insumos!$B$2:$B$151,MATCH($C1248,Insumos!$A$2:$A$151,0)),"Código no cargado"))</f>
        <v/>
      </c>
      <c r="E1248" s="21">
        <f>IF($C1248="","",IFERROR(INDEX(Insumos!$C$2:$C$151,MATCH($C1248,Insumos!$A$2:$A$151,0)),""))</f>
        <v/>
      </c>
      <c r="F1248" s="21">
        <f>IF($C1248="","",IFERROR(INDEX(Insumos!$D$2:$D$151,MATCH($C1248,Insumos!$A$2:$A$151,0)),""))</f>
        <v/>
      </c>
      <c r="G1248" s="18" t="n"/>
      <c r="H1248" s="19">
        <f>IF(OR($A1248="",$C1248=""),"",IFERROR(INDEX(Insumos!$M$2:$S$151,MATCH($C1248,Insumos!$A$2:$A$151,0),WEEKDAY($A1248,2)),""))</f>
        <v/>
      </c>
      <c r="I1248" s="19">
        <f>IF(OR($G1248="",$H1248=""),"",MAX(0,$H1248-$G1248))</f>
        <v/>
      </c>
      <c r="J1248" s="21">
        <f>IF($I1248="","",IF($I1248=0,"OK",IF($G1248&lt;=0,"Sin stock: pedir ya","Pedir o producir")))</f>
        <v/>
      </c>
      <c r="K1248" s="17" t="n"/>
      <c r="L1248" s="17" t="n"/>
      <c r="M1248" s="21">
        <f>IF(OR($A1248="",$A1248&lt;&gt;'Lista para pedir'!$C$3,N($I1248)&lt;=0),"",COUNTIFS($A$2:$A1248,$A1248,$I$2:$I1248,"&gt;0"))</f>
        <v/>
      </c>
    </row>
    <row r="1249">
      <c r="A1249" s="20" t="n"/>
      <c r="B1249" s="21">
        <f>IF($A1249="","",CHOOSE(WEEKDAY($A1249,2),"Lunes","Martes","Miércoles","Jueves","Viernes","Sábado","Domingo"))</f>
        <v/>
      </c>
      <c r="C1249" s="17" t="n"/>
      <c r="D1249" s="21">
        <f>IF($C1249="","",IFERROR(INDEX(Insumos!$B$2:$B$151,MATCH($C1249,Insumos!$A$2:$A$151,0)),"Código no cargado"))</f>
        <v/>
      </c>
      <c r="E1249" s="21">
        <f>IF($C1249="","",IFERROR(INDEX(Insumos!$C$2:$C$151,MATCH($C1249,Insumos!$A$2:$A$151,0)),""))</f>
        <v/>
      </c>
      <c r="F1249" s="21">
        <f>IF($C1249="","",IFERROR(INDEX(Insumos!$D$2:$D$151,MATCH($C1249,Insumos!$A$2:$A$151,0)),""))</f>
        <v/>
      </c>
      <c r="G1249" s="18" t="n"/>
      <c r="H1249" s="19">
        <f>IF(OR($A1249="",$C1249=""),"",IFERROR(INDEX(Insumos!$M$2:$S$151,MATCH($C1249,Insumos!$A$2:$A$151,0),WEEKDAY($A1249,2)),""))</f>
        <v/>
      </c>
      <c r="I1249" s="19">
        <f>IF(OR($G1249="",$H1249=""),"",MAX(0,$H1249-$G1249))</f>
        <v/>
      </c>
      <c r="J1249" s="21">
        <f>IF($I1249="","",IF($I1249=0,"OK",IF($G1249&lt;=0,"Sin stock: pedir ya","Pedir o producir")))</f>
        <v/>
      </c>
      <c r="K1249" s="17" t="n"/>
      <c r="L1249" s="17" t="n"/>
      <c r="M1249" s="21">
        <f>IF(OR($A1249="",$A1249&lt;&gt;'Lista para pedir'!$C$3,N($I1249)&lt;=0),"",COUNTIFS($A$2:$A1249,$A1249,$I$2:$I1249,"&gt;0"))</f>
        <v/>
      </c>
    </row>
    <row r="1250">
      <c r="A1250" s="20" t="n"/>
      <c r="B1250" s="21">
        <f>IF($A1250="","",CHOOSE(WEEKDAY($A1250,2),"Lunes","Martes","Miércoles","Jueves","Viernes","Sábado","Domingo"))</f>
        <v/>
      </c>
      <c r="C1250" s="17" t="n"/>
      <c r="D1250" s="21">
        <f>IF($C1250="","",IFERROR(INDEX(Insumos!$B$2:$B$151,MATCH($C1250,Insumos!$A$2:$A$151,0)),"Código no cargado"))</f>
        <v/>
      </c>
      <c r="E1250" s="21">
        <f>IF($C1250="","",IFERROR(INDEX(Insumos!$C$2:$C$151,MATCH($C1250,Insumos!$A$2:$A$151,0)),""))</f>
        <v/>
      </c>
      <c r="F1250" s="21">
        <f>IF($C1250="","",IFERROR(INDEX(Insumos!$D$2:$D$151,MATCH($C1250,Insumos!$A$2:$A$151,0)),""))</f>
        <v/>
      </c>
      <c r="G1250" s="18" t="n"/>
      <c r="H1250" s="19">
        <f>IF(OR($A1250="",$C1250=""),"",IFERROR(INDEX(Insumos!$M$2:$S$151,MATCH($C1250,Insumos!$A$2:$A$151,0),WEEKDAY($A1250,2)),""))</f>
        <v/>
      </c>
      <c r="I1250" s="19">
        <f>IF(OR($G1250="",$H1250=""),"",MAX(0,$H1250-$G1250))</f>
        <v/>
      </c>
      <c r="J1250" s="21">
        <f>IF($I1250="","",IF($I1250=0,"OK",IF($G1250&lt;=0,"Sin stock: pedir ya","Pedir o producir")))</f>
        <v/>
      </c>
      <c r="K1250" s="17" t="n"/>
      <c r="L1250" s="17" t="n"/>
      <c r="M1250" s="21">
        <f>IF(OR($A1250="",$A1250&lt;&gt;'Lista para pedir'!$C$3,N($I1250)&lt;=0),"",COUNTIFS($A$2:$A1250,$A1250,$I$2:$I1250,"&gt;0"))</f>
        <v/>
      </c>
    </row>
    <row r="1251">
      <c r="A1251" s="20" t="n"/>
      <c r="B1251" s="21">
        <f>IF($A1251="","",CHOOSE(WEEKDAY($A1251,2),"Lunes","Martes","Miércoles","Jueves","Viernes","Sábado","Domingo"))</f>
        <v/>
      </c>
      <c r="C1251" s="17" t="n"/>
      <c r="D1251" s="21">
        <f>IF($C1251="","",IFERROR(INDEX(Insumos!$B$2:$B$151,MATCH($C1251,Insumos!$A$2:$A$151,0)),"Código no cargado"))</f>
        <v/>
      </c>
      <c r="E1251" s="21">
        <f>IF($C1251="","",IFERROR(INDEX(Insumos!$C$2:$C$151,MATCH($C1251,Insumos!$A$2:$A$151,0)),""))</f>
        <v/>
      </c>
      <c r="F1251" s="21">
        <f>IF($C1251="","",IFERROR(INDEX(Insumos!$D$2:$D$151,MATCH($C1251,Insumos!$A$2:$A$151,0)),""))</f>
        <v/>
      </c>
      <c r="G1251" s="18" t="n"/>
      <c r="H1251" s="19">
        <f>IF(OR($A1251="",$C1251=""),"",IFERROR(INDEX(Insumos!$M$2:$S$151,MATCH($C1251,Insumos!$A$2:$A$151,0),WEEKDAY($A1251,2)),""))</f>
        <v/>
      </c>
      <c r="I1251" s="19">
        <f>IF(OR($G1251="",$H1251=""),"",MAX(0,$H1251-$G1251))</f>
        <v/>
      </c>
      <c r="J1251" s="21">
        <f>IF($I1251="","",IF($I1251=0,"OK",IF($G1251&lt;=0,"Sin stock: pedir ya","Pedir o producir")))</f>
        <v/>
      </c>
      <c r="K1251" s="17" t="n"/>
      <c r="L1251" s="17" t="n"/>
      <c r="M1251" s="21">
        <f>IF(OR($A1251="",$A1251&lt;&gt;'Lista para pedir'!$C$3,N($I1251)&lt;=0),"",COUNTIFS($A$2:$A1251,$A1251,$I$2:$I1251,"&gt;0"))</f>
        <v/>
      </c>
    </row>
    <row r="1252">
      <c r="A1252" s="20" t="n"/>
      <c r="B1252" s="21">
        <f>IF($A1252="","",CHOOSE(WEEKDAY($A1252,2),"Lunes","Martes","Miércoles","Jueves","Viernes","Sábado","Domingo"))</f>
        <v/>
      </c>
      <c r="C1252" s="17" t="n"/>
      <c r="D1252" s="21">
        <f>IF($C1252="","",IFERROR(INDEX(Insumos!$B$2:$B$151,MATCH($C1252,Insumos!$A$2:$A$151,0)),"Código no cargado"))</f>
        <v/>
      </c>
      <c r="E1252" s="21">
        <f>IF($C1252="","",IFERROR(INDEX(Insumos!$C$2:$C$151,MATCH($C1252,Insumos!$A$2:$A$151,0)),""))</f>
        <v/>
      </c>
      <c r="F1252" s="21">
        <f>IF($C1252="","",IFERROR(INDEX(Insumos!$D$2:$D$151,MATCH($C1252,Insumos!$A$2:$A$151,0)),""))</f>
        <v/>
      </c>
      <c r="G1252" s="18" t="n"/>
      <c r="H1252" s="19">
        <f>IF(OR($A1252="",$C1252=""),"",IFERROR(INDEX(Insumos!$M$2:$S$151,MATCH($C1252,Insumos!$A$2:$A$151,0),WEEKDAY($A1252,2)),""))</f>
        <v/>
      </c>
      <c r="I1252" s="19">
        <f>IF(OR($G1252="",$H1252=""),"",MAX(0,$H1252-$G1252))</f>
        <v/>
      </c>
      <c r="J1252" s="21">
        <f>IF($I1252="","",IF($I1252=0,"OK",IF($G1252&lt;=0,"Sin stock: pedir ya","Pedir o producir")))</f>
        <v/>
      </c>
      <c r="K1252" s="17" t="n"/>
      <c r="L1252" s="17" t="n"/>
      <c r="M1252" s="21">
        <f>IF(OR($A1252="",$A1252&lt;&gt;'Lista para pedir'!$C$3,N($I1252)&lt;=0),"",COUNTIFS($A$2:$A1252,$A1252,$I$2:$I1252,"&gt;0"))</f>
        <v/>
      </c>
    </row>
    <row r="1253">
      <c r="A1253" s="20" t="n"/>
      <c r="B1253" s="21">
        <f>IF($A1253="","",CHOOSE(WEEKDAY($A1253,2),"Lunes","Martes","Miércoles","Jueves","Viernes","Sábado","Domingo"))</f>
        <v/>
      </c>
      <c r="C1253" s="17" t="n"/>
      <c r="D1253" s="21">
        <f>IF($C1253="","",IFERROR(INDEX(Insumos!$B$2:$B$151,MATCH($C1253,Insumos!$A$2:$A$151,0)),"Código no cargado"))</f>
        <v/>
      </c>
      <c r="E1253" s="21">
        <f>IF($C1253="","",IFERROR(INDEX(Insumos!$C$2:$C$151,MATCH($C1253,Insumos!$A$2:$A$151,0)),""))</f>
        <v/>
      </c>
      <c r="F1253" s="21">
        <f>IF($C1253="","",IFERROR(INDEX(Insumos!$D$2:$D$151,MATCH($C1253,Insumos!$A$2:$A$151,0)),""))</f>
        <v/>
      </c>
      <c r="G1253" s="18" t="n"/>
      <c r="H1253" s="19">
        <f>IF(OR($A1253="",$C1253=""),"",IFERROR(INDEX(Insumos!$M$2:$S$151,MATCH($C1253,Insumos!$A$2:$A$151,0),WEEKDAY($A1253,2)),""))</f>
        <v/>
      </c>
      <c r="I1253" s="19">
        <f>IF(OR($G1253="",$H1253=""),"",MAX(0,$H1253-$G1253))</f>
        <v/>
      </c>
      <c r="J1253" s="21">
        <f>IF($I1253="","",IF($I1253=0,"OK",IF($G1253&lt;=0,"Sin stock: pedir ya","Pedir o producir")))</f>
        <v/>
      </c>
      <c r="K1253" s="17" t="n"/>
      <c r="L1253" s="17" t="n"/>
      <c r="M1253" s="21">
        <f>IF(OR($A1253="",$A1253&lt;&gt;'Lista para pedir'!$C$3,N($I1253)&lt;=0),"",COUNTIFS($A$2:$A1253,$A1253,$I$2:$I1253,"&gt;0"))</f>
        <v/>
      </c>
    </row>
    <row r="1254">
      <c r="A1254" s="20" t="n"/>
      <c r="B1254" s="21">
        <f>IF($A1254="","",CHOOSE(WEEKDAY($A1254,2),"Lunes","Martes","Miércoles","Jueves","Viernes","Sábado","Domingo"))</f>
        <v/>
      </c>
      <c r="C1254" s="17" t="n"/>
      <c r="D1254" s="21">
        <f>IF($C1254="","",IFERROR(INDEX(Insumos!$B$2:$B$151,MATCH($C1254,Insumos!$A$2:$A$151,0)),"Código no cargado"))</f>
        <v/>
      </c>
      <c r="E1254" s="21">
        <f>IF($C1254="","",IFERROR(INDEX(Insumos!$C$2:$C$151,MATCH($C1254,Insumos!$A$2:$A$151,0)),""))</f>
        <v/>
      </c>
      <c r="F1254" s="21">
        <f>IF($C1254="","",IFERROR(INDEX(Insumos!$D$2:$D$151,MATCH($C1254,Insumos!$A$2:$A$151,0)),""))</f>
        <v/>
      </c>
      <c r="G1254" s="18" t="n"/>
      <c r="H1254" s="19">
        <f>IF(OR($A1254="",$C1254=""),"",IFERROR(INDEX(Insumos!$M$2:$S$151,MATCH($C1254,Insumos!$A$2:$A$151,0),WEEKDAY($A1254,2)),""))</f>
        <v/>
      </c>
      <c r="I1254" s="19">
        <f>IF(OR($G1254="",$H1254=""),"",MAX(0,$H1254-$G1254))</f>
        <v/>
      </c>
      <c r="J1254" s="21">
        <f>IF($I1254="","",IF($I1254=0,"OK",IF($G1254&lt;=0,"Sin stock: pedir ya","Pedir o producir")))</f>
        <v/>
      </c>
      <c r="K1254" s="17" t="n"/>
      <c r="L1254" s="17" t="n"/>
      <c r="M1254" s="21">
        <f>IF(OR($A1254="",$A1254&lt;&gt;'Lista para pedir'!$C$3,N($I1254)&lt;=0),"",COUNTIFS($A$2:$A1254,$A1254,$I$2:$I1254,"&gt;0"))</f>
        <v/>
      </c>
    </row>
    <row r="1255">
      <c r="A1255" s="20" t="n"/>
      <c r="B1255" s="21">
        <f>IF($A1255="","",CHOOSE(WEEKDAY($A1255,2),"Lunes","Martes","Miércoles","Jueves","Viernes","Sábado","Domingo"))</f>
        <v/>
      </c>
      <c r="C1255" s="17" t="n"/>
      <c r="D1255" s="21">
        <f>IF($C1255="","",IFERROR(INDEX(Insumos!$B$2:$B$151,MATCH($C1255,Insumos!$A$2:$A$151,0)),"Código no cargado"))</f>
        <v/>
      </c>
      <c r="E1255" s="21">
        <f>IF($C1255="","",IFERROR(INDEX(Insumos!$C$2:$C$151,MATCH($C1255,Insumos!$A$2:$A$151,0)),""))</f>
        <v/>
      </c>
      <c r="F1255" s="21">
        <f>IF($C1255="","",IFERROR(INDEX(Insumos!$D$2:$D$151,MATCH($C1255,Insumos!$A$2:$A$151,0)),""))</f>
        <v/>
      </c>
      <c r="G1255" s="18" t="n"/>
      <c r="H1255" s="19">
        <f>IF(OR($A1255="",$C1255=""),"",IFERROR(INDEX(Insumos!$M$2:$S$151,MATCH($C1255,Insumos!$A$2:$A$151,0),WEEKDAY($A1255,2)),""))</f>
        <v/>
      </c>
      <c r="I1255" s="19">
        <f>IF(OR($G1255="",$H1255=""),"",MAX(0,$H1255-$G1255))</f>
        <v/>
      </c>
      <c r="J1255" s="21">
        <f>IF($I1255="","",IF($I1255=0,"OK",IF($G1255&lt;=0,"Sin stock: pedir ya","Pedir o producir")))</f>
        <v/>
      </c>
      <c r="K1255" s="17" t="n"/>
      <c r="L1255" s="17" t="n"/>
      <c r="M1255" s="21">
        <f>IF(OR($A1255="",$A1255&lt;&gt;'Lista para pedir'!$C$3,N($I1255)&lt;=0),"",COUNTIFS($A$2:$A1255,$A1255,$I$2:$I1255,"&gt;0"))</f>
        <v/>
      </c>
    </row>
    <row r="1256">
      <c r="A1256" s="20" t="n"/>
      <c r="B1256" s="21">
        <f>IF($A1256="","",CHOOSE(WEEKDAY($A1256,2),"Lunes","Martes","Miércoles","Jueves","Viernes","Sábado","Domingo"))</f>
        <v/>
      </c>
      <c r="C1256" s="17" t="n"/>
      <c r="D1256" s="21">
        <f>IF($C1256="","",IFERROR(INDEX(Insumos!$B$2:$B$151,MATCH($C1256,Insumos!$A$2:$A$151,0)),"Código no cargado"))</f>
        <v/>
      </c>
      <c r="E1256" s="21">
        <f>IF($C1256="","",IFERROR(INDEX(Insumos!$C$2:$C$151,MATCH($C1256,Insumos!$A$2:$A$151,0)),""))</f>
        <v/>
      </c>
      <c r="F1256" s="21">
        <f>IF($C1256="","",IFERROR(INDEX(Insumos!$D$2:$D$151,MATCH($C1256,Insumos!$A$2:$A$151,0)),""))</f>
        <v/>
      </c>
      <c r="G1256" s="18" t="n"/>
      <c r="H1256" s="19">
        <f>IF(OR($A1256="",$C1256=""),"",IFERROR(INDEX(Insumos!$M$2:$S$151,MATCH($C1256,Insumos!$A$2:$A$151,0),WEEKDAY($A1256,2)),""))</f>
        <v/>
      </c>
      <c r="I1256" s="19">
        <f>IF(OR($G1256="",$H1256=""),"",MAX(0,$H1256-$G1256))</f>
        <v/>
      </c>
      <c r="J1256" s="21">
        <f>IF($I1256="","",IF($I1256=0,"OK",IF($G1256&lt;=0,"Sin stock: pedir ya","Pedir o producir")))</f>
        <v/>
      </c>
      <c r="K1256" s="17" t="n"/>
      <c r="L1256" s="17" t="n"/>
      <c r="M1256" s="21">
        <f>IF(OR($A1256="",$A1256&lt;&gt;'Lista para pedir'!$C$3,N($I1256)&lt;=0),"",COUNTIFS($A$2:$A1256,$A1256,$I$2:$I1256,"&gt;0"))</f>
        <v/>
      </c>
    </row>
    <row r="1257">
      <c r="A1257" s="20" t="n"/>
      <c r="B1257" s="21">
        <f>IF($A1257="","",CHOOSE(WEEKDAY($A1257,2),"Lunes","Martes","Miércoles","Jueves","Viernes","Sábado","Domingo"))</f>
        <v/>
      </c>
      <c r="C1257" s="17" t="n"/>
      <c r="D1257" s="21">
        <f>IF($C1257="","",IFERROR(INDEX(Insumos!$B$2:$B$151,MATCH($C1257,Insumos!$A$2:$A$151,0)),"Código no cargado"))</f>
        <v/>
      </c>
      <c r="E1257" s="21">
        <f>IF($C1257="","",IFERROR(INDEX(Insumos!$C$2:$C$151,MATCH($C1257,Insumos!$A$2:$A$151,0)),""))</f>
        <v/>
      </c>
      <c r="F1257" s="21">
        <f>IF($C1257="","",IFERROR(INDEX(Insumos!$D$2:$D$151,MATCH($C1257,Insumos!$A$2:$A$151,0)),""))</f>
        <v/>
      </c>
      <c r="G1257" s="18" t="n"/>
      <c r="H1257" s="19">
        <f>IF(OR($A1257="",$C1257=""),"",IFERROR(INDEX(Insumos!$M$2:$S$151,MATCH($C1257,Insumos!$A$2:$A$151,0),WEEKDAY($A1257,2)),""))</f>
        <v/>
      </c>
      <c r="I1257" s="19">
        <f>IF(OR($G1257="",$H1257=""),"",MAX(0,$H1257-$G1257))</f>
        <v/>
      </c>
      <c r="J1257" s="21">
        <f>IF($I1257="","",IF($I1257=0,"OK",IF($G1257&lt;=0,"Sin stock: pedir ya","Pedir o producir")))</f>
        <v/>
      </c>
      <c r="K1257" s="17" t="n"/>
      <c r="L1257" s="17" t="n"/>
      <c r="M1257" s="21">
        <f>IF(OR($A1257="",$A1257&lt;&gt;'Lista para pedir'!$C$3,N($I1257)&lt;=0),"",COUNTIFS($A$2:$A1257,$A1257,$I$2:$I1257,"&gt;0"))</f>
        <v/>
      </c>
    </row>
    <row r="1258">
      <c r="A1258" s="20" t="n"/>
      <c r="B1258" s="21">
        <f>IF($A1258="","",CHOOSE(WEEKDAY($A1258,2),"Lunes","Martes","Miércoles","Jueves","Viernes","Sábado","Domingo"))</f>
        <v/>
      </c>
      <c r="C1258" s="17" t="n"/>
      <c r="D1258" s="21">
        <f>IF($C1258="","",IFERROR(INDEX(Insumos!$B$2:$B$151,MATCH($C1258,Insumos!$A$2:$A$151,0)),"Código no cargado"))</f>
        <v/>
      </c>
      <c r="E1258" s="21">
        <f>IF($C1258="","",IFERROR(INDEX(Insumos!$C$2:$C$151,MATCH($C1258,Insumos!$A$2:$A$151,0)),""))</f>
        <v/>
      </c>
      <c r="F1258" s="21">
        <f>IF($C1258="","",IFERROR(INDEX(Insumos!$D$2:$D$151,MATCH($C1258,Insumos!$A$2:$A$151,0)),""))</f>
        <v/>
      </c>
      <c r="G1258" s="18" t="n"/>
      <c r="H1258" s="19">
        <f>IF(OR($A1258="",$C1258=""),"",IFERROR(INDEX(Insumos!$M$2:$S$151,MATCH($C1258,Insumos!$A$2:$A$151,0),WEEKDAY($A1258,2)),""))</f>
        <v/>
      </c>
      <c r="I1258" s="19">
        <f>IF(OR($G1258="",$H1258=""),"",MAX(0,$H1258-$G1258))</f>
        <v/>
      </c>
      <c r="J1258" s="21">
        <f>IF($I1258="","",IF($I1258=0,"OK",IF($G1258&lt;=0,"Sin stock: pedir ya","Pedir o producir")))</f>
        <v/>
      </c>
      <c r="K1258" s="17" t="n"/>
      <c r="L1258" s="17" t="n"/>
      <c r="M1258" s="21">
        <f>IF(OR($A1258="",$A1258&lt;&gt;'Lista para pedir'!$C$3,N($I1258)&lt;=0),"",COUNTIFS($A$2:$A1258,$A1258,$I$2:$I1258,"&gt;0"))</f>
        <v/>
      </c>
    </row>
    <row r="1259">
      <c r="A1259" s="20" t="n"/>
      <c r="B1259" s="21">
        <f>IF($A1259="","",CHOOSE(WEEKDAY($A1259,2),"Lunes","Martes","Miércoles","Jueves","Viernes","Sábado","Domingo"))</f>
        <v/>
      </c>
      <c r="C1259" s="17" t="n"/>
      <c r="D1259" s="21">
        <f>IF($C1259="","",IFERROR(INDEX(Insumos!$B$2:$B$151,MATCH($C1259,Insumos!$A$2:$A$151,0)),"Código no cargado"))</f>
        <v/>
      </c>
      <c r="E1259" s="21">
        <f>IF($C1259="","",IFERROR(INDEX(Insumos!$C$2:$C$151,MATCH($C1259,Insumos!$A$2:$A$151,0)),""))</f>
        <v/>
      </c>
      <c r="F1259" s="21">
        <f>IF($C1259="","",IFERROR(INDEX(Insumos!$D$2:$D$151,MATCH($C1259,Insumos!$A$2:$A$151,0)),""))</f>
        <v/>
      </c>
      <c r="G1259" s="18" t="n"/>
      <c r="H1259" s="19">
        <f>IF(OR($A1259="",$C1259=""),"",IFERROR(INDEX(Insumos!$M$2:$S$151,MATCH($C1259,Insumos!$A$2:$A$151,0),WEEKDAY($A1259,2)),""))</f>
        <v/>
      </c>
      <c r="I1259" s="19">
        <f>IF(OR($G1259="",$H1259=""),"",MAX(0,$H1259-$G1259))</f>
        <v/>
      </c>
      <c r="J1259" s="21">
        <f>IF($I1259="","",IF($I1259=0,"OK",IF($G1259&lt;=0,"Sin stock: pedir ya","Pedir o producir")))</f>
        <v/>
      </c>
      <c r="K1259" s="17" t="n"/>
      <c r="L1259" s="17" t="n"/>
      <c r="M1259" s="21">
        <f>IF(OR($A1259="",$A1259&lt;&gt;'Lista para pedir'!$C$3,N($I1259)&lt;=0),"",COUNTIFS($A$2:$A1259,$A1259,$I$2:$I1259,"&gt;0"))</f>
        <v/>
      </c>
    </row>
    <row r="1260">
      <c r="A1260" s="20" t="n"/>
      <c r="B1260" s="21">
        <f>IF($A1260="","",CHOOSE(WEEKDAY($A1260,2),"Lunes","Martes","Miércoles","Jueves","Viernes","Sábado","Domingo"))</f>
        <v/>
      </c>
      <c r="C1260" s="17" t="n"/>
      <c r="D1260" s="21">
        <f>IF($C1260="","",IFERROR(INDEX(Insumos!$B$2:$B$151,MATCH($C1260,Insumos!$A$2:$A$151,0)),"Código no cargado"))</f>
        <v/>
      </c>
      <c r="E1260" s="21">
        <f>IF($C1260="","",IFERROR(INDEX(Insumos!$C$2:$C$151,MATCH($C1260,Insumos!$A$2:$A$151,0)),""))</f>
        <v/>
      </c>
      <c r="F1260" s="21">
        <f>IF($C1260="","",IFERROR(INDEX(Insumos!$D$2:$D$151,MATCH($C1260,Insumos!$A$2:$A$151,0)),""))</f>
        <v/>
      </c>
      <c r="G1260" s="18" t="n"/>
      <c r="H1260" s="19">
        <f>IF(OR($A1260="",$C1260=""),"",IFERROR(INDEX(Insumos!$M$2:$S$151,MATCH($C1260,Insumos!$A$2:$A$151,0),WEEKDAY($A1260,2)),""))</f>
        <v/>
      </c>
      <c r="I1260" s="19">
        <f>IF(OR($G1260="",$H1260=""),"",MAX(0,$H1260-$G1260))</f>
        <v/>
      </c>
      <c r="J1260" s="21">
        <f>IF($I1260="","",IF($I1260=0,"OK",IF($G1260&lt;=0,"Sin stock: pedir ya","Pedir o producir")))</f>
        <v/>
      </c>
      <c r="K1260" s="17" t="n"/>
      <c r="L1260" s="17" t="n"/>
      <c r="M1260" s="21">
        <f>IF(OR($A1260="",$A1260&lt;&gt;'Lista para pedir'!$C$3,N($I1260)&lt;=0),"",COUNTIFS($A$2:$A1260,$A1260,$I$2:$I1260,"&gt;0"))</f>
        <v/>
      </c>
    </row>
    <row r="1261">
      <c r="A1261" s="20" t="n"/>
      <c r="B1261" s="21">
        <f>IF($A1261="","",CHOOSE(WEEKDAY($A1261,2),"Lunes","Martes","Miércoles","Jueves","Viernes","Sábado","Domingo"))</f>
        <v/>
      </c>
      <c r="C1261" s="17" t="n"/>
      <c r="D1261" s="21">
        <f>IF($C1261="","",IFERROR(INDEX(Insumos!$B$2:$B$151,MATCH($C1261,Insumos!$A$2:$A$151,0)),"Código no cargado"))</f>
        <v/>
      </c>
      <c r="E1261" s="21">
        <f>IF($C1261="","",IFERROR(INDEX(Insumos!$C$2:$C$151,MATCH($C1261,Insumos!$A$2:$A$151,0)),""))</f>
        <v/>
      </c>
      <c r="F1261" s="21">
        <f>IF($C1261="","",IFERROR(INDEX(Insumos!$D$2:$D$151,MATCH($C1261,Insumos!$A$2:$A$151,0)),""))</f>
        <v/>
      </c>
      <c r="G1261" s="18" t="n"/>
      <c r="H1261" s="19">
        <f>IF(OR($A1261="",$C1261=""),"",IFERROR(INDEX(Insumos!$M$2:$S$151,MATCH($C1261,Insumos!$A$2:$A$151,0),WEEKDAY($A1261,2)),""))</f>
        <v/>
      </c>
      <c r="I1261" s="19">
        <f>IF(OR($G1261="",$H1261=""),"",MAX(0,$H1261-$G1261))</f>
        <v/>
      </c>
      <c r="J1261" s="21">
        <f>IF($I1261="","",IF($I1261=0,"OK",IF($G1261&lt;=0,"Sin stock: pedir ya","Pedir o producir")))</f>
        <v/>
      </c>
      <c r="K1261" s="17" t="n"/>
      <c r="L1261" s="17" t="n"/>
      <c r="M1261" s="21">
        <f>IF(OR($A1261="",$A1261&lt;&gt;'Lista para pedir'!$C$3,N($I1261)&lt;=0),"",COUNTIFS($A$2:$A1261,$A1261,$I$2:$I1261,"&gt;0"))</f>
        <v/>
      </c>
    </row>
    <row r="1262">
      <c r="A1262" s="20" t="n"/>
      <c r="B1262" s="21">
        <f>IF($A1262="","",CHOOSE(WEEKDAY($A1262,2),"Lunes","Martes","Miércoles","Jueves","Viernes","Sábado","Domingo"))</f>
        <v/>
      </c>
      <c r="C1262" s="17" t="n"/>
      <c r="D1262" s="21">
        <f>IF($C1262="","",IFERROR(INDEX(Insumos!$B$2:$B$151,MATCH($C1262,Insumos!$A$2:$A$151,0)),"Código no cargado"))</f>
        <v/>
      </c>
      <c r="E1262" s="21">
        <f>IF($C1262="","",IFERROR(INDEX(Insumos!$C$2:$C$151,MATCH($C1262,Insumos!$A$2:$A$151,0)),""))</f>
        <v/>
      </c>
      <c r="F1262" s="21">
        <f>IF($C1262="","",IFERROR(INDEX(Insumos!$D$2:$D$151,MATCH($C1262,Insumos!$A$2:$A$151,0)),""))</f>
        <v/>
      </c>
      <c r="G1262" s="18" t="n"/>
      <c r="H1262" s="19">
        <f>IF(OR($A1262="",$C1262=""),"",IFERROR(INDEX(Insumos!$M$2:$S$151,MATCH($C1262,Insumos!$A$2:$A$151,0),WEEKDAY($A1262,2)),""))</f>
        <v/>
      </c>
      <c r="I1262" s="19">
        <f>IF(OR($G1262="",$H1262=""),"",MAX(0,$H1262-$G1262))</f>
        <v/>
      </c>
      <c r="J1262" s="21">
        <f>IF($I1262="","",IF($I1262=0,"OK",IF($G1262&lt;=0,"Sin stock: pedir ya","Pedir o producir")))</f>
        <v/>
      </c>
      <c r="K1262" s="17" t="n"/>
      <c r="L1262" s="17" t="n"/>
      <c r="M1262" s="21">
        <f>IF(OR($A1262="",$A1262&lt;&gt;'Lista para pedir'!$C$3,N($I1262)&lt;=0),"",COUNTIFS($A$2:$A1262,$A1262,$I$2:$I1262,"&gt;0"))</f>
        <v/>
      </c>
    </row>
    <row r="1263">
      <c r="A1263" s="20" t="n"/>
      <c r="B1263" s="21">
        <f>IF($A1263="","",CHOOSE(WEEKDAY($A1263,2),"Lunes","Martes","Miércoles","Jueves","Viernes","Sábado","Domingo"))</f>
        <v/>
      </c>
      <c r="C1263" s="17" t="n"/>
      <c r="D1263" s="21">
        <f>IF($C1263="","",IFERROR(INDEX(Insumos!$B$2:$B$151,MATCH($C1263,Insumos!$A$2:$A$151,0)),"Código no cargado"))</f>
        <v/>
      </c>
      <c r="E1263" s="21">
        <f>IF($C1263="","",IFERROR(INDEX(Insumos!$C$2:$C$151,MATCH($C1263,Insumos!$A$2:$A$151,0)),""))</f>
        <v/>
      </c>
      <c r="F1263" s="21">
        <f>IF($C1263="","",IFERROR(INDEX(Insumos!$D$2:$D$151,MATCH($C1263,Insumos!$A$2:$A$151,0)),""))</f>
        <v/>
      </c>
      <c r="G1263" s="18" t="n"/>
      <c r="H1263" s="19">
        <f>IF(OR($A1263="",$C1263=""),"",IFERROR(INDEX(Insumos!$M$2:$S$151,MATCH($C1263,Insumos!$A$2:$A$151,0),WEEKDAY($A1263,2)),""))</f>
        <v/>
      </c>
      <c r="I1263" s="19">
        <f>IF(OR($G1263="",$H1263=""),"",MAX(0,$H1263-$G1263))</f>
        <v/>
      </c>
      <c r="J1263" s="21">
        <f>IF($I1263="","",IF($I1263=0,"OK",IF($G1263&lt;=0,"Sin stock: pedir ya","Pedir o producir")))</f>
        <v/>
      </c>
      <c r="K1263" s="17" t="n"/>
      <c r="L1263" s="17" t="n"/>
      <c r="M1263" s="21">
        <f>IF(OR($A1263="",$A1263&lt;&gt;'Lista para pedir'!$C$3,N($I1263)&lt;=0),"",COUNTIFS($A$2:$A1263,$A1263,$I$2:$I1263,"&gt;0"))</f>
        <v/>
      </c>
    </row>
    <row r="1264">
      <c r="A1264" s="20" t="n"/>
      <c r="B1264" s="21">
        <f>IF($A1264="","",CHOOSE(WEEKDAY($A1264,2),"Lunes","Martes","Miércoles","Jueves","Viernes","Sábado","Domingo"))</f>
        <v/>
      </c>
      <c r="C1264" s="17" t="n"/>
      <c r="D1264" s="21">
        <f>IF($C1264="","",IFERROR(INDEX(Insumos!$B$2:$B$151,MATCH($C1264,Insumos!$A$2:$A$151,0)),"Código no cargado"))</f>
        <v/>
      </c>
      <c r="E1264" s="21">
        <f>IF($C1264="","",IFERROR(INDEX(Insumos!$C$2:$C$151,MATCH($C1264,Insumos!$A$2:$A$151,0)),""))</f>
        <v/>
      </c>
      <c r="F1264" s="21">
        <f>IF($C1264="","",IFERROR(INDEX(Insumos!$D$2:$D$151,MATCH($C1264,Insumos!$A$2:$A$151,0)),""))</f>
        <v/>
      </c>
      <c r="G1264" s="18" t="n"/>
      <c r="H1264" s="19">
        <f>IF(OR($A1264="",$C1264=""),"",IFERROR(INDEX(Insumos!$M$2:$S$151,MATCH($C1264,Insumos!$A$2:$A$151,0),WEEKDAY($A1264,2)),""))</f>
        <v/>
      </c>
      <c r="I1264" s="19">
        <f>IF(OR($G1264="",$H1264=""),"",MAX(0,$H1264-$G1264))</f>
        <v/>
      </c>
      <c r="J1264" s="21">
        <f>IF($I1264="","",IF($I1264=0,"OK",IF($G1264&lt;=0,"Sin stock: pedir ya","Pedir o producir")))</f>
        <v/>
      </c>
      <c r="K1264" s="17" t="n"/>
      <c r="L1264" s="17" t="n"/>
      <c r="M1264" s="21">
        <f>IF(OR($A1264="",$A1264&lt;&gt;'Lista para pedir'!$C$3,N($I1264)&lt;=0),"",COUNTIFS($A$2:$A1264,$A1264,$I$2:$I1264,"&gt;0"))</f>
        <v/>
      </c>
    </row>
    <row r="1265">
      <c r="A1265" s="20" t="n"/>
      <c r="B1265" s="21">
        <f>IF($A1265="","",CHOOSE(WEEKDAY($A1265,2),"Lunes","Martes","Miércoles","Jueves","Viernes","Sábado","Domingo"))</f>
        <v/>
      </c>
      <c r="C1265" s="17" t="n"/>
      <c r="D1265" s="21">
        <f>IF($C1265="","",IFERROR(INDEX(Insumos!$B$2:$B$151,MATCH($C1265,Insumos!$A$2:$A$151,0)),"Código no cargado"))</f>
        <v/>
      </c>
      <c r="E1265" s="21">
        <f>IF($C1265="","",IFERROR(INDEX(Insumos!$C$2:$C$151,MATCH($C1265,Insumos!$A$2:$A$151,0)),""))</f>
        <v/>
      </c>
      <c r="F1265" s="21">
        <f>IF($C1265="","",IFERROR(INDEX(Insumos!$D$2:$D$151,MATCH($C1265,Insumos!$A$2:$A$151,0)),""))</f>
        <v/>
      </c>
      <c r="G1265" s="18" t="n"/>
      <c r="H1265" s="19">
        <f>IF(OR($A1265="",$C1265=""),"",IFERROR(INDEX(Insumos!$M$2:$S$151,MATCH($C1265,Insumos!$A$2:$A$151,0),WEEKDAY($A1265,2)),""))</f>
        <v/>
      </c>
      <c r="I1265" s="19">
        <f>IF(OR($G1265="",$H1265=""),"",MAX(0,$H1265-$G1265))</f>
        <v/>
      </c>
      <c r="J1265" s="21">
        <f>IF($I1265="","",IF($I1265=0,"OK",IF($G1265&lt;=0,"Sin stock: pedir ya","Pedir o producir")))</f>
        <v/>
      </c>
      <c r="K1265" s="17" t="n"/>
      <c r="L1265" s="17" t="n"/>
      <c r="M1265" s="21">
        <f>IF(OR($A1265="",$A1265&lt;&gt;'Lista para pedir'!$C$3,N($I1265)&lt;=0),"",COUNTIFS($A$2:$A1265,$A1265,$I$2:$I1265,"&gt;0"))</f>
        <v/>
      </c>
    </row>
    <row r="1266">
      <c r="A1266" s="20" t="n"/>
      <c r="B1266" s="21">
        <f>IF($A1266="","",CHOOSE(WEEKDAY($A1266,2),"Lunes","Martes","Miércoles","Jueves","Viernes","Sábado","Domingo"))</f>
        <v/>
      </c>
      <c r="C1266" s="17" t="n"/>
      <c r="D1266" s="21">
        <f>IF($C1266="","",IFERROR(INDEX(Insumos!$B$2:$B$151,MATCH($C1266,Insumos!$A$2:$A$151,0)),"Código no cargado"))</f>
        <v/>
      </c>
      <c r="E1266" s="21">
        <f>IF($C1266="","",IFERROR(INDEX(Insumos!$C$2:$C$151,MATCH($C1266,Insumos!$A$2:$A$151,0)),""))</f>
        <v/>
      </c>
      <c r="F1266" s="21">
        <f>IF($C1266="","",IFERROR(INDEX(Insumos!$D$2:$D$151,MATCH($C1266,Insumos!$A$2:$A$151,0)),""))</f>
        <v/>
      </c>
      <c r="G1266" s="18" t="n"/>
      <c r="H1266" s="19">
        <f>IF(OR($A1266="",$C1266=""),"",IFERROR(INDEX(Insumos!$M$2:$S$151,MATCH($C1266,Insumos!$A$2:$A$151,0),WEEKDAY($A1266,2)),""))</f>
        <v/>
      </c>
      <c r="I1266" s="19">
        <f>IF(OR($G1266="",$H1266=""),"",MAX(0,$H1266-$G1266))</f>
        <v/>
      </c>
      <c r="J1266" s="21">
        <f>IF($I1266="","",IF($I1266=0,"OK",IF($G1266&lt;=0,"Sin stock: pedir ya","Pedir o producir")))</f>
        <v/>
      </c>
      <c r="K1266" s="17" t="n"/>
      <c r="L1266" s="17" t="n"/>
      <c r="M1266" s="21">
        <f>IF(OR($A1266="",$A1266&lt;&gt;'Lista para pedir'!$C$3,N($I1266)&lt;=0),"",COUNTIFS($A$2:$A1266,$A1266,$I$2:$I1266,"&gt;0"))</f>
        <v/>
      </c>
    </row>
    <row r="1267">
      <c r="A1267" s="20" t="n"/>
      <c r="B1267" s="21">
        <f>IF($A1267="","",CHOOSE(WEEKDAY($A1267,2),"Lunes","Martes","Miércoles","Jueves","Viernes","Sábado","Domingo"))</f>
        <v/>
      </c>
      <c r="C1267" s="17" t="n"/>
      <c r="D1267" s="21">
        <f>IF($C1267="","",IFERROR(INDEX(Insumos!$B$2:$B$151,MATCH($C1267,Insumos!$A$2:$A$151,0)),"Código no cargado"))</f>
        <v/>
      </c>
      <c r="E1267" s="21">
        <f>IF($C1267="","",IFERROR(INDEX(Insumos!$C$2:$C$151,MATCH($C1267,Insumos!$A$2:$A$151,0)),""))</f>
        <v/>
      </c>
      <c r="F1267" s="21">
        <f>IF($C1267="","",IFERROR(INDEX(Insumos!$D$2:$D$151,MATCH($C1267,Insumos!$A$2:$A$151,0)),""))</f>
        <v/>
      </c>
      <c r="G1267" s="18" t="n"/>
      <c r="H1267" s="19">
        <f>IF(OR($A1267="",$C1267=""),"",IFERROR(INDEX(Insumos!$M$2:$S$151,MATCH($C1267,Insumos!$A$2:$A$151,0),WEEKDAY($A1267,2)),""))</f>
        <v/>
      </c>
      <c r="I1267" s="19">
        <f>IF(OR($G1267="",$H1267=""),"",MAX(0,$H1267-$G1267))</f>
        <v/>
      </c>
      <c r="J1267" s="21">
        <f>IF($I1267="","",IF($I1267=0,"OK",IF($G1267&lt;=0,"Sin stock: pedir ya","Pedir o producir")))</f>
        <v/>
      </c>
      <c r="K1267" s="17" t="n"/>
      <c r="L1267" s="17" t="n"/>
      <c r="M1267" s="21">
        <f>IF(OR($A1267="",$A1267&lt;&gt;'Lista para pedir'!$C$3,N($I1267)&lt;=0),"",COUNTIFS($A$2:$A1267,$A1267,$I$2:$I1267,"&gt;0"))</f>
        <v/>
      </c>
    </row>
    <row r="1268">
      <c r="A1268" s="20" t="n"/>
      <c r="B1268" s="21">
        <f>IF($A1268="","",CHOOSE(WEEKDAY($A1268,2),"Lunes","Martes","Miércoles","Jueves","Viernes","Sábado","Domingo"))</f>
        <v/>
      </c>
      <c r="C1268" s="17" t="n"/>
      <c r="D1268" s="21">
        <f>IF($C1268="","",IFERROR(INDEX(Insumos!$B$2:$B$151,MATCH($C1268,Insumos!$A$2:$A$151,0)),"Código no cargado"))</f>
        <v/>
      </c>
      <c r="E1268" s="21">
        <f>IF($C1268="","",IFERROR(INDEX(Insumos!$C$2:$C$151,MATCH($C1268,Insumos!$A$2:$A$151,0)),""))</f>
        <v/>
      </c>
      <c r="F1268" s="21">
        <f>IF($C1268="","",IFERROR(INDEX(Insumos!$D$2:$D$151,MATCH($C1268,Insumos!$A$2:$A$151,0)),""))</f>
        <v/>
      </c>
      <c r="G1268" s="18" t="n"/>
      <c r="H1268" s="19">
        <f>IF(OR($A1268="",$C1268=""),"",IFERROR(INDEX(Insumos!$M$2:$S$151,MATCH($C1268,Insumos!$A$2:$A$151,0),WEEKDAY($A1268,2)),""))</f>
        <v/>
      </c>
      <c r="I1268" s="19">
        <f>IF(OR($G1268="",$H1268=""),"",MAX(0,$H1268-$G1268))</f>
        <v/>
      </c>
      <c r="J1268" s="21">
        <f>IF($I1268="","",IF($I1268=0,"OK",IF($G1268&lt;=0,"Sin stock: pedir ya","Pedir o producir")))</f>
        <v/>
      </c>
      <c r="K1268" s="17" t="n"/>
      <c r="L1268" s="17" t="n"/>
      <c r="M1268" s="21">
        <f>IF(OR($A1268="",$A1268&lt;&gt;'Lista para pedir'!$C$3,N($I1268)&lt;=0),"",COUNTIFS($A$2:$A1268,$A1268,$I$2:$I1268,"&gt;0"))</f>
        <v/>
      </c>
    </row>
    <row r="1269">
      <c r="A1269" s="20" t="n"/>
      <c r="B1269" s="21">
        <f>IF($A1269="","",CHOOSE(WEEKDAY($A1269,2),"Lunes","Martes","Miércoles","Jueves","Viernes","Sábado","Domingo"))</f>
        <v/>
      </c>
      <c r="C1269" s="17" t="n"/>
      <c r="D1269" s="21">
        <f>IF($C1269="","",IFERROR(INDEX(Insumos!$B$2:$B$151,MATCH($C1269,Insumos!$A$2:$A$151,0)),"Código no cargado"))</f>
        <v/>
      </c>
      <c r="E1269" s="21">
        <f>IF($C1269="","",IFERROR(INDEX(Insumos!$C$2:$C$151,MATCH($C1269,Insumos!$A$2:$A$151,0)),""))</f>
        <v/>
      </c>
      <c r="F1269" s="21">
        <f>IF($C1269="","",IFERROR(INDEX(Insumos!$D$2:$D$151,MATCH($C1269,Insumos!$A$2:$A$151,0)),""))</f>
        <v/>
      </c>
      <c r="G1269" s="18" t="n"/>
      <c r="H1269" s="19">
        <f>IF(OR($A1269="",$C1269=""),"",IFERROR(INDEX(Insumos!$M$2:$S$151,MATCH($C1269,Insumos!$A$2:$A$151,0),WEEKDAY($A1269,2)),""))</f>
        <v/>
      </c>
      <c r="I1269" s="19">
        <f>IF(OR($G1269="",$H1269=""),"",MAX(0,$H1269-$G1269))</f>
        <v/>
      </c>
      <c r="J1269" s="21">
        <f>IF($I1269="","",IF($I1269=0,"OK",IF($G1269&lt;=0,"Sin stock: pedir ya","Pedir o producir")))</f>
        <v/>
      </c>
      <c r="K1269" s="17" t="n"/>
      <c r="L1269" s="17" t="n"/>
      <c r="M1269" s="21">
        <f>IF(OR($A1269="",$A1269&lt;&gt;'Lista para pedir'!$C$3,N($I1269)&lt;=0),"",COUNTIFS($A$2:$A1269,$A1269,$I$2:$I1269,"&gt;0"))</f>
        <v/>
      </c>
    </row>
    <row r="1270">
      <c r="A1270" s="20" t="n"/>
      <c r="B1270" s="21">
        <f>IF($A1270="","",CHOOSE(WEEKDAY($A1270,2),"Lunes","Martes","Miércoles","Jueves","Viernes","Sábado","Domingo"))</f>
        <v/>
      </c>
      <c r="C1270" s="17" t="n"/>
      <c r="D1270" s="21">
        <f>IF($C1270="","",IFERROR(INDEX(Insumos!$B$2:$B$151,MATCH($C1270,Insumos!$A$2:$A$151,0)),"Código no cargado"))</f>
        <v/>
      </c>
      <c r="E1270" s="21">
        <f>IF($C1270="","",IFERROR(INDEX(Insumos!$C$2:$C$151,MATCH($C1270,Insumos!$A$2:$A$151,0)),""))</f>
        <v/>
      </c>
      <c r="F1270" s="21">
        <f>IF($C1270="","",IFERROR(INDEX(Insumos!$D$2:$D$151,MATCH($C1270,Insumos!$A$2:$A$151,0)),""))</f>
        <v/>
      </c>
      <c r="G1270" s="18" t="n"/>
      <c r="H1270" s="19">
        <f>IF(OR($A1270="",$C1270=""),"",IFERROR(INDEX(Insumos!$M$2:$S$151,MATCH($C1270,Insumos!$A$2:$A$151,0),WEEKDAY($A1270,2)),""))</f>
        <v/>
      </c>
      <c r="I1270" s="19">
        <f>IF(OR($G1270="",$H1270=""),"",MAX(0,$H1270-$G1270))</f>
        <v/>
      </c>
      <c r="J1270" s="21">
        <f>IF($I1270="","",IF($I1270=0,"OK",IF($G1270&lt;=0,"Sin stock: pedir ya","Pedir o producir")))</f>
        <v/>
      </c>
      <c r="K1270" s="17" t="n"/>
      <c r="L1270" s="17" t="n"/>
      <c r="M1270" s="21">
        <f>IF(OR($A1270="",$A1270&lt;&gt;'Lista para pedir'!$C$3,N($I1270)&lt;=0),"",COUNTIFS($A$2:$A1270,$A1270,$I$2:$I1270,"&gt;0"))</f>
        <v/>
      </c>
    </row>
    <row r="1271">
      <c r="A1271" s="20" t="n"/>
      <c r="B1271" s="21">
        <f>IF($A1271="","",CHOOSE(WEEKDAY($A1271,2),"Lunes","Martes","Miércoles","Jueves","Viernes","Sábado","Domingo"))</f>
        <v/>
      </c>
      <c r="C1271" s="17" t="n"/>
      <c r="D1271" s="21">
        <f>IF($C1271="","",IFERROR(INDEX(Insumos!$B$2:$B$151,MATCH($C1271,Insumos!$A$2:$A$151,0)),"Código no cargado"))</f>
        <v/>
      </c>
      <c r="E1271" s="21">
        <f>IF($C1271="","",IFERROR(INDEX(Insumos!$C$2:$C$151,MATCH($C1271,Insumos!$A$2:$A$151,0)),""))</f>
        <v/>
      </c>
      <c r="F1271" s="21">
        <f>IF($C1271="","",IFERROR(INDEX(Insumos!$D$2:$D$151,MATCH($C1271,Insumos!$A$2:$A$151,0)),""))</f>
        <v/>
      </c>
      <c r="G1271" s="18" t="n"/>
      <c r="H1271" s="19">
        <f>IF(OR($A1271="",$C1271=""),"",IFERROR(INDEX(Insumos!$M$2:$S$151,MATCH($C1271,Insumos!$A$2:$A$151,0),WEEKDAY($A1271,2)),""))</f>
        <v/>
      </c>
      <c r="I1271" s="19">
        <f>IF(OR($G1271="",$H1271=""),"",MAX(0,$H1271-$G1271))</f>
        <v/>
      </c>
      <c r="J1271" s="21">
        <f>IF($I1271="","",IF($I1271=0,"OK",IF($G1271&lt;=0,"Sin stock: pedir ya","Pedir o producir")))</f>
        <v/>
      </c>
      <c r="K1271" s="17" t="n"/>
      <c r="L1271" s="17" t="n"/>
      <c r="M1271" s="21">
        <f>IF(OR($A1271="",$A1271&lt;&gt;'Lista para pedir'!$C$3,N($I1271)&lt;=0),"",COUNTIFS($A$2:$A1271,$A1271,$I$2:$I1271,"&gt;0"))</f>
        <v/>
      </c>
    </row>
    <row r="1272">
      <c r="A1272" s="20" t="n"/>
      <c r="B1272" s="21">
        <f>IF($A1272="","",CHOOSE(WEEKDAY($A1272,2),"Lunes","Martes","Miércoles","Jueves","Viernes","Sábado","Domingo"))</f>
        <v/>
      </c>
      <c r="C1272" s="17" t="n"/>
      <c r="D1272" s="21">
        <f>IF($C1272="","",IFERROR(INDEX(Insumos!$B$2:$B$151,MATCH($C1272,Insumos!$A$2:$A$151,0)),"Código no cargado"))</f>
        <v/>
      </c>
      <c r="E1272" s="21">
        <f>IF($C1272="","",IFERROR(INDEX(Insumos!$C$2:$C$151,MATCH($C1272,Insumos!$A$2:$A$151,0)),""))</f>
        <v/>
      </c>
      <c r="F1272" s="21">
        <f>IF($C1272="","",IFERROR(INDEX(Insumos!$D$2:$D$151,MATCH($C1272,Insumos!$A$2:$A$151,0)),""))</f>
        <v/>
      </c>
      <c r="G1272" s="18" t="n"/>
      <c r="H1272" s="19">
        <f>IF(OR($A1272="",$C1272=""),"",IFERROR(INDEX(Insumos!$M$2:$S$151,MATCH($C1272,Insumos!$A$2:$A$151,0),WEEKDAY($A1272,2)),""))</f>
        <v/>
      </c>
      <c r="I1272" s="19">
        <f>IF(OR($G1272="",$H1272=""),"",MAX(0,$H1272-$G1272))</f>
        <v/>
      </c>
      <c r="J1272" s="21">
        <f>IF($I1272="","",IF($I1272=0,"OK",IF($G1272&lt;=0,"Sin stock: pedir ya","Pedir o producir")))</f>
        <v/>
      </c>
      <c r="K1272" s="17" t="n"/>
      <c r="L1272" s="17" t="n"/>
      <c r="M1272" s="21">
        <f>IF(OR($A1272="",$A1272&lt;&gt;'Lista para pedir'!$C$3,N($I1272)&lt;=0),"",COUNTIFS($A$2:$A1272,$A1272,$I$2:$I1272,"&gt;0"))</f>
        <v/>
      </c>
    </row>
    <row r="1273">
      <c r="A1273" s="20" t="n"/>
      <c r="B1273" s="21">
        <f>IF($A1273="","",CHOOSE(WEEKDAY($A1273,2),"Lunes","Martes","Miércoles","Jueves","Viernes","Sábado","Domingo"))</f>
        <v/>
      </c>
      <c r="C1273" s="17" t="n"/>
      <c r="D1273" s="21">
        <f>IF($C1273="","",IFERROR(INDEX(Insumos!$B$2:$B$151,MATCH($C1273,Insumos!$A$2:$A$151,0)),"Código no cargado"))</f>
        <v/>
      </c>
      <c r="E1273" s="21">
        <f>IF($C1273="","",IFERROR(INDEX(Insumos!$C$2:$C$151,MATCH($C1273,Insumos!$A$2:$A$151,0)),""))</f>
        <v/>
      </c>
      <c r="F1273" s="21">
        <f>IF($C1273="","",IFERROR(INDEX(Insumos!$D$2:$D$151,MATCH($C1273,Insumos!$A$2:$A$151,0)),""))</f>
        <v/>
      </c>
      <c r="G1273" s="18" t="n"/>
      <c r="H1273" s="19">
        <f>IF(OR($A1273="",$C1273=""),"",IFERROR(INDEX(Insumos!$M$2:$S$151,MATCH($C1273,Insumos!$A$2:$A$151,0),WEEKDAY($A1273,2)),""))</f>
        <v/>
      </c>
      <c r="I1273" s="19">
        <f>IF(OR($G1273="",$H1273=""),"",MAX(0,$H1273-$G1273))</f>
        <v/>
      </c>
      <c r="J1273" s="21">
        <f>IF($I1273="","",IF($I1273=0,"OK",IF($G1273&lt;=0,"Sin stock: pedir ya","Pedir o producir")))</f>
        <v/>
      </c>
      <c r="K1273" s="17" t="n"/>
      <c r="L1273" s="17" t="n"/>
      <c r="M1273" s="21">
        <f>IF(OR($A1273="",$A1273&lt;&gt;'Lista para pedir'!$C$3,N($I1273)&lt;=0),"",COUNTIFS($A$2:$A1273,$A1273,$I$2:$I1273,"&gt;0"))</f>
        <v/>
      </c>
    </row>
    <row r="1274">
      <c r="A1274" s="20" t="n"/>
      <c r="B1274" s="21">
        <f>IF($A1274="","",CHOOSE(WEEKDAY($A1274,2),"Lunes","Martes","Miércoles","Jueves","Viernes","Sábado","Domingo"))</f>
        <v/>
      </c>
      <c r="C1274" s="17" t="n"/>
      <c r="D1274" s="21">
        <f>IF($C1274="","",IFERROR(INDEX(Insumos!$B$2:$B$151,MATCH($C1274,Insumos!$A$2:$A$151,0)),"Código no cargado"))</f>
        <v/>
      </c>
      <c r="E1274" s="21">
        <f>IF($C1274="","",IFERROR(INDEX(Insumos!$C$2:$C$151,MATCH($C1274,Insumos!$A$2:$A$151,0)),""))</f>
        <v/>
      </c>
      <c r="F1274" s="21">
        <f>IF($C1274="","",IFERROR(INDEX(Insumos!$D$2:$D$151,MATCH($C1274,Insumos!$A$2:$A$151,0)),""))</f>
        <v/>
      </c>
      <c r="G1274" s="18" t="n"/>
      <c r="H1274" s="19">
        <f>IF(OR($A1274="",$C1274=""),"",IFERROR(INDEX(Insumos!$M$2:$S$151,MATCH($C1274,Insumos!$A$2:$A$151,0),WEEKDAY($A1274,2)),""))</f>
        <v/>
      </c>
      <c r="I1274" s="19">
        <f>IF(OR($G1274="",$H1274=""),"",MAX(0,$H1274-$G1274))</f>
        <v/>
      </c>
      <c r="J1274" s="21">
        <f>IF($I1274="","",IF($I1274=0,"OK",IF($G1274&lt;=0,"Sin stock: pedir ya","Pedir o producir")))</f>
        <v/>
      </c>
      <c r="K1274" s="17" t="n"/>
      <c r="L1274" s="17" t="n"/>
      <c r="M1274" s="21">
        <f>IF(OR($A1274="",$A1274&lt;&gt;'Lista para pedir'!$C$3,N($I1274)&lt;=0),"",COUNTIFS($A$2:$A1274,$A1274,$I$2:$I1274,"&gt;0"))</f>
        <v/>
      </c>
    </row>
    <row r="1275">
      <c r="A1275" s="20" t="n"/>
      <c r="B1275" s="21">
        <f>IF($A1275="","",CHOOSE(WEEKDAY($A1275,2),"Lunes","Martes","Miércoles","Jueves","Viernes","Sábado","Domingo"))</f>
        <v/>
      </c>
      <c r="C1275" s="17" t="n"/>
      <c r="D1275" s="21">
        <f>IF($C1275="","",IFERROR(INDEX(Insumos!$B$2:$B$151,MATCH($C1275,Insumos!$A$2:$A$151,0)),"Código no cargado"))</f>
        <v/>
      </c>
      <c r="E1275" s="21">
        <f>IF($C1275="","",IFERROR(INDEX(Insumos!$C$2:$C$151,MATCH($C1275,Insumos!$A$2:$A$151,0)),""))</f>
        <v/>
      </c>
      <c r="F1275" s="21">
        <f>IF($C1275="","",IFERROR(INDEX(Insumos!$D$2:$D$151,MATCH($C1275,Insumos!$A$2:$A$151,0)),""))</f>
        <v/>
      </c>
      <c r="G1275" s="18" t="n"/>
      <c r="H1275" s="19">
        <f>IF(OR($A1275="",$C1275=""),"",IFERROR(INDEX(Insumos!$M$2:$S$151,MATCH($C1275,Insumos!$A$2:$A$151,0),WEEKDAY($A1275,2)),""))</f>
        <v/>
      </c>
      <c r="I1275" s="19">
        <f>IF(OR($G1275="",$H1275=""),"",MAX(0,$H1275-$G1275))</f>
        <v/>
      </c>
      <c r="J1275" s="21">
        <f>IF($I1275="","",IF($I1275=0,"OK",IF($G1275&lt;=0,"Sin stock: pedir ya","Pedir o producir")))</f>
        <v/>
      </c>
      <c r="K1275" s="17" t="n"/>
      <c r="L1275" s="17" t="n"/>
      <c r="M1275" s="21">
        <f>IF(OR($A1275="",$A1275&lt;&gt;'Lista para pedir'!$C$3,N($I1275)&lt;=0),"",COUNTIFS($A$2:$A1275,$A1275,$I$2:$I1275,"&gt;0"))</f>
        <v/>
      </c>
    </row>
    <row r="1276">
      <c r="A1276" s="20" t="n"/>
      <c r="B1276" s="21">
        <f>IF($A1276="","",CHOOSE(WEEKDAY($A1276,2),"Lunes","Martes","Miércoles","Jueves","Viernes","Sábado","Domingo"))</f>
        <v/>
      </c>
      <c r="C1276" s="17" t="n"/>
      <c r="D1276" s="21">
        <f>IF($C1276="","",IFERROR(INDEX(Insumos!$B$2:$B$151,MATCH($C1276,Insumos!$A$2:$A$151,0)),"Código no cargado"))</f>
        <v/>
      </c>
      <c r="E1276" s="21">
        <f>IF($C1276="","",IFERROR(INDEX(Insumos!$C$2:$C$151,MATCH($C1276,Insumos!$A$2:$A$151,0)),""))</f>
        <v/>
      </c>
      <c r="F1276" s="21">
        <f>IF($C1276="","",IFERROR(INDEX(Insumos!$D$2:$D$151,MATCH($C1276,Insumos!$A$2:$A$151,0)),""))</f>
        <v/>
      </c>
      <c r="G1276" s="18" t="n"/>
      <c r="H1276" s="19">
        <f>IF(OR($A1276="",$C1276=""),"",IFERROR(INDEX(Insumos!$M$2:$S$151,MATCH($C1276,Insumos!$A$2:$A$151,0),WEEKDAY($A1276,2)),""))</f>
        <v/>
      </c>
      <c r="I1276" s="19">
        <f>IF(OR($G1276="",$H1276=""),"",MAX(0,$H1276-$G1276))</f>
        <v/>
      </c>
      <c r="J1276" s="21">
        <f>IF($I1276="","",IF($I1276=0,"OK",IF($G1276&lt;=0,"Sin stock: pedir ya","Pedir o producir")))</f>
        <v/>
      </c>
      <c r="K1276" s="17" t="n"/>
      <c r="L1276" s="17" t="n"/>
      <c r="M1276" s="21">
        <f>IF(OR($A1276="",$A1276&lt;&gt;'Lista para pedir'!$C$3,N($I1276)&lt;=0),"",COUNTIFS($A$2:$A1276,$A1276,$I$2:$I1276,"&gt;0"))</f>
        <v/>
      </c>
    </row>
    <row r="1277">
      <c r="A1277" s="20" t="n"/>
      <c r="B1277" s="21">
        <f>IF($A1277="","",CHOOSE(WEEKDAY($A1277,2),"Lunes","Martes","Miércoles","Jueves","Viernes","Sábado","Domingo"))</f>
        <v/>
      </c>
      <c r="C1277" s="17" t="n"/>
      <c r="D1277" s="21">
        <f>IF($C1277="","",IFERROR(INDEX(Insumos!$B$2:$B$151,MATCH($C1277,Insumos!$A$2:$A$151,0)),"Código no cargado"))</f>
        <v/>
      </c>
      <c r="E1277" s="21">
        <f>IF($C1277="","",IFERROR(INDEX(Insumos!$C$2:$C$151,MATCH($C1277,Insumos!$A$2:$A$151,0)),""))</f>
        <v/>
      </c>
      <c r="F1277" s="21">
        <f>IF($C1277="","",IFERROR(INDEX(Insumos!$D$2:$D$151,MATCH($C1277,Insumos!$A$2:$A$151,0)),""))</f>
        <v/>
      </c>
      <c r="G1277" s="18" t="n"/>
      <c r="H1277" s="19">
        <f>IF(OR($A1277="",$C1277=""),"",IFERROR(INDEX(Insumos!$M$2:$S$151,MATCH($C1277,Insumos!$A$2:$A$151,0),WEEKDAY($A1277,2)),""))</f>
        <v/>
      </c>
      <c r="I1277" s="19">
        <f>IF(OR($G1277="",$H1277=""),"",MAX(0,$H1277-$G1277))</f>
        <v/>
      </c>
      <c r="J1277" s="21">
        <f>IF($I1277="","",IF($I1277=0,"OK",IF($G1277&lt;=0,"Sin stock: pedir ya","Pedir o producir")))</f>
        <v/>
      </c>
      <c r="K1277" s="17" t="n"/>
      <c r="L1277" s="17" t="n"/>
      <c r="M1277" s="21">
        <f>IF(OR($A1277="",$A1277&lt;&gt;'Lista para pedir'!$C$3,N($I1277)&lt;=0),"",COUNTIFS($A$2:$A1277,$A1277,$I$2:$I1277,"&gt;0"))</f>
        <v/>
      </c>
    </row>
    <row r="1278">
      <c r="A1278" s="20" t="n"/>
      <c r="B1278" s="21">
        <f>IF($A1278="","",CHOOSE(WEEKDAY($A1278,2),"Lunes","Martes","Miércoles","Jueves","Viernes","Sábado","Domingo"))</f>
        <v/>
      </c>
      <c r="C1278" s="17" t="n"/>
      <c r="D1278" s="21">
        <f>IF($C1278="","",IFERROR(INDEX(Insumos!$B$2:$B$151,MATCH($C1278,Insumos!$A$2:$A$151,0)),"Código no cargado"))</f>
        <v/>
      </c>
      <c r="E1278" s="21">
        <f>IF($C1278="","",IFERROR(INDEX(Insumos!$C$2:$C$151,MATCH($C1278,Insumos!$A$2:$A$151,0)),""))</f>
        <v/>
      </c>
      <c r="F1278" s="21">
        <f>IF($C1278="","",IFERROR(INDEX(Insumos!$D$2:$D$151,MATCH($C1278,Insumos!$A$2:$A$151,0)),""))</f>
        <v/>
      </c>
      <c r="G1278" s="18" t="n"/>
      <c r="H1278" s="19">
        <f>IF(OR($A1278="",$C1278=""),"",IFERROR(INDEX(Insumos!$M$2:$S$151,MATCH($C1278,Insumos!$A$2:$A$151,0),WEEKDAY($A1278,2)),""))</f>
        <v/>
      </c>
      <c r="I1278" s="19">
        <f>IF(OR($G1278="",$H1278=""),"",MAX(0,$H1278-$G1278))</f>
        <v/>
      </c>
      <c r="J1278" s="21">
        <f>IF($I1278="","",IF($I1278=0,"OK",IF($G1278&lt;=0,"Sin stock: pedir ya","Pedir o producir")))</f>
        <v/>
      </c>
      <c r="K1278" s="17" t="n"/>
      <c r="L1278" s="17" t="n"/>
      <c r="M1278" s="21">
        <f>IF(OR($A1278="",$A1278&lt;&gt;'Lista para pedir'!$C$3,N($I1278)&lt;=0),"",COUNTIFS($A$2:$A1278,$A1278,$I$2:$I1278,"&gt;0"))</f>
        <v/>
      </c>
    </row>
    <row r="1279">
      <c r="A1279" s="20" t="n"/>
      <c r="B1279" s="21">
        <f>IF($A1279="","",CHOOSE(WEEKDAY($A1279,2),"Lunes","Martes","Miércoles","Jueves","Viernes","Sábado","Domingo"))</f>
        <v/>
      </c>
      <c r="C1279" s="17" t="n"/>
      <c r="D1279" s="21">
        <f>IF($C1279="","",IFERROR(INDEX(Insumos!$B$2:$B$151,MATCH($C1279,Insumos!$A$2:$A$151,0)),"Código no cargado"))</f>
        <v/>
      </c>
      <c r="E1279" s="21">
        <f>IF($C1279="","",IFERROR(INDEX(Insumos!$C$2:$C$151,MATCH($C1279,Insumos!$A$2:$A$151,0)),""))</f>
        <v/>
      </c>
      <c r="F1279" s="21">
        <f>IF($C1279="","",IFERROR(INDEX(Insumos!$D$2:$D$151,MATCH($C1279,Insumos!$A$2:$A$151,0)),""))</f>
        <v/>
      </c>
      <c r="G1279" s="18" t="n"/>
      <c r="H1279" s="19">
        <f>IF(OR($A1279="",$C1279=""),"",IFERROR(INDEX(Insumos!$M$2:$S$151,MATCH($C1279,Insumos!$A$2:$A$151,0),WEEKDAY($A1279,2)),""))</f>
        <v/>
      </c>
      <c r="I1279" s="19">
        <f>IF(OR($G1279="",$H1279=""),"",MAX(0,$H1279-$G1279))</f>
        <v/>
      </c>
      <c r="J1279" s="21">
        <f>IF($I1279="","",IF($I1279=0,"OK",IF($G1279&lt;=0,"Sin stock: pedir ya","Pedir o producir")))</f>
        <v/>
      </c>
      <c r="K1279" s="17" t="n"/>
      <c r="L1279" s="17" t="n"/>
      <c r="M1279" s="21">
        <f>IF(OR($A1279="",$A1279&lt;&gt;'Lista para pedir'!$C$3,N($I1279)&lt;=0),"",COUNTIFS($A$2:$A1279,$A1279,$I$2:$I1279,"&gt;0"))</f>
        <v/>
      </c>
    </row>
    <row r="1280">
      <c r="A1280" s="20" t="n"/>
      <c r="B1280" s="21">
        <f>IF($A1280="","",CHOOSE(WEEKDAY($A1280,2),"Lunes","Martes","Miércoles","Jueves","Viernes","Sábado","Domingo"))</f>
        <v/>
      </c>
      <c r="C1280" s="17" t="n"/>
      <c r="D1280" s="21">
        <f>IF($C1280="","",IFERROR(INDEX(Insumos!$B$2:$B$151,MATCH($C1280,Insumos!$A$2:$A$151,0)),"Código no cargado"))</f>
        <v/>
      </c>
      <c r="E1280" s="21">
        <f>IF($C1280="","",IFERROR(INDEX(Insumos!$C$2:$C$151,MATCH($C1280,Insumos!$A$2:$A$151,0)),""))</f>
        <v/>
      </c>
      <c r="F1280" s="21">
        <f>IF($C1280="","",IFERROR(INDEX(Insumos!$D$2:$D$151,MATCH($C1280,Insumos!$A$2:$A$151,0)),""))</f>
        <v/>
      </c>
      <c r="G1280" s="18" t="n"/>
      <c r="H1280" s="19">
        <f>IF(OR($A1280="",$C1280=""),"",IFERROR(INDEX(Insumos!$M$2:$S$151,MATCH($C1280,Insumos!$A$2:$A$151,0),WEEKDAY($A1280,2)),""))</f>
        <v/>
      </c>
      <c r="I1280" s="19">
        <f>IF(OR($G1280="",$H1280=""),"",MAX(0,$H1280-$G1280))</f>
        <v/>
      </c>
      <c r="J1280" s="21">
        <f>IF($I1280="","",IF($I1280=0,"OK",IF($G1280&lt;=0,"Sin stock: pedir ya","Pedir o producir")))</f>
        <v/>
      </c>
      <c r="K1280" s="17" t="n"/>
      <c r="L1280" s="17" t="n"/>
      <c r="M1280" s="21">
        <f>IF(OR($A1280="",$A1280&lt;&gt;'Lista para pedir'!$C$3,N($I1280)&lt;=0),"",COUNTIFS($A$2:$A1280,$A1280,$I$2:$I1280,"&gt;0"))</f>
        <v/>
      </c>
    </row>
    <row r="1281">
      <c r="A1281" s="20" t="n"/>
      <c r="B1281" s="21">
        <f>IF($A1281="","",CHOOSE(WEEKDAY($A1281,2),"Lunes","Martes","Miércoles","Jueves","Viernes","Sábado","Domingo"))</f>
        <v/>
      </c>
      <c r="C1281" s="17" t="n"/>
      <c r="D1281" s="21">
        <f>IF($C1281="","",IFERROR(INDEX(Insumos!$B$2:$B$151,MATCH($C1281,Insumos!$A$2:$A$151,0)),"Código no cargado"))</f>
        <v/>
      </c>
      <c r="E1281" s="21">
        <f>IF($C1281="","",IFERROR(INDEX(Insumos!$C$2:$C$151,MATCH($C1281,Insumos!$A$2:$A$151,0)),""))</f>
        <v/>
      </c>
      <c r="F1281" s="21">
        <f>IF($C1281="","",IFERROR(INDEX(Insumos!$D$2:$D$151,MATCH($C1281,Insumos!$A$2:$A$151,0)),""))</f>
        <v/>
      </c>
      <c r="G1281" s="18" t="n"/>
      <c r="H1281" s="19">
        <f>IF(OR($A1281="",$C1281=""),"",IFERROR(INDEX(Insumos!$M$2:$S$151,MATCH($C1281,Insumos!$A$2:$A$151,0),WEEKDAY($A1281,2)),""))</f>
        <v/>
      </c>
      <c r="I1281" s="19">
        <f>IF(OR($G1281="",$H1281=""),"",MAX(0,$H1281-$G1281))</f>
        <v/>
      </c>
      <c r="J1281" s="21">
        <f>IF($I1281="","",IF($I1281=0,"OK",IF($G1281&lt;=0,"Sin stock: pedir ya","Pedir o producir")))</f>
        <v/>
      </c>
      <c r="K1281" s="17" t="n"/>
      <c r="L1281" s="17" t="n"/>
      <c r="M1281" s="21">
        <f>IF(OR($A1281="",$A1281&lt;&gt;'Lista para pedir'!$C$3,N($I1281)&lt;=0),"",COUNTIFS($A$2:$A1281,$A1281,$I$2:$I1281,"&gt;0"))</f>
        <v/>
      </c>
    </row>
    <row r="1282">
      <c r="A1282" s="20" t="n"/>
      <c r="B1282" s="21">
        <f>IF($A1282="","",CHOOSE(WEEKDAY($A1282,2),"Lunes","Martes","Miércoles","Jueves","Viernes","Sábado","Domingo"))</f>
        <v/>
      </c>
      <c r="C1282" s="17" t="n"/>
      <c r="D1282" s="21">
        <f>IF($C1282="","",IFERROR(INDEX(Insumos!$B$2:$B$151,MATCH($C1282,Insumos!$A$2:$A$151,0)),"Código no cargado"))</f>
        <v/>
      </c>
      <c r="E1282" s="21">
        <f>IF($C1282="","",IFERROR(INDEX(Insumos!$C$2:$C$151,MATCH($C1282,Insumos!$A$2:$A$151,0)),""))</f>
        <v/>
      </c>
      <c r="F1282" s="21">
        <f>IF($C1282="","",IFERROR(INDEX(Insumos!$D$2:$D$151,MATCH($C1282,Insumos!$A$2:$A$151,0)),""))</f>
        <v/>
      </c>
      <c r="G1282" s="18" t="n"/>
      <c r="H1282" s="19">
        <f>IF(OR($A1282="",$C1282=""),"",IFERROR(INDEX(Insumos!$M$2:$S$151,MATCH($C1282,Insumos!$A$2:$A$151,0),WEEKDAY($A1282,2)),""))</f>
        <v/>
      </c>
      <c r="I1282" s="19">
        <f>IF(OR($G1282="",$H1282=""),"",MAX(0,$H1282-$G1282))</f>
        <v/>
      </c>
      <c r="J1282" s="21">
        <f>IF($I1282="","",IF($I1282=0,"OK",IF($G1282&lt;=0,"Sin stock: pedir ya","Pedir o producir")))</f>
        <v/>
      </c>
      <c r="K1282" s="17" t="n"/>
      <c r="L1282" s="17" t="n"/>
      <c r="M1282" s="21">
        <f>IF(OR($A1282="",$A1282&lt;&gt;'Lista para pedir'!$C$3,N($I1282)&lt;=0),"",COUNTIFS($A$2:$A1282,$A1282,$I$2:$I1282,"&gt;0"))</f>
        <v/>
      </c>
    </row>
    <row r="1283">
      <c r="A1283" s="20" t="n"/>
      <c r="B1283" s="21">
        <f>IF($A1283="","",CHOOSE(WEEKDAY($A1283,2),"Lunes","Martes","Miércoles","Jueves","Viernes","Sábado","Domingo"))</f>
        <v/>
      </c>
      <c r="C1283" s="17" t="n"/>
      <c r="D1283" s="21">
        <f>IF($C1283="","",IFERROR(INDEX(Insumos!$B$2:$B$151,MATCH($C1283,Insumos!$A$2:$A$151,0)),"Código no cargado"))</f>
        <v/>
      </c>
      <c r="E1283" s="21">
        <f>IF($C1283="","",IFERROR(INDEX(Insumos!$C$2:$C$151,MATCH($C1283,Insumos!$A$2:$A$151,0)),""))</f>
        <v/>
      </c>
      <c r="F1283" s="21">
        <f>IF($C1283="","",IFERROR(INDEX(Insumos!$D$2:$D$151,MATCH($C1283,Insumos!$A$2:$A$151,0)),""))</f>
        <v/>
      </c>
      <c r="G1283" s="18" t="n"/>
      <c r="H1283" s="19">
        <f>IF(OR($A1283="",$C1283=""),"",IFERROR(INDEX(Insumos!$M$2:$S$151,MATCH($C1283,Insumos!$A$2:$A$151,0),WEEKDAY($A1283,2)),""))</f>
        <v/>
      </c>
      <c r="I1283" s="19">
        <f>IF(OR($G1283="",$H1283=""),"",MAX(0,$H1283-$G1283))</f>
        <v/>
      </c>
      <c r="J1283" s="21">
        <f>IF($I1283="","",IF($I1283=0,"OK",IF($G1283&lt;=0,"Sin stock: pedir ya","Pedir o producir")))</f>
        <v/>
      </c>
      <c r="K1283" s="17" t="n"/>
      <c r="L1283" s="17" t="n"/>
      <c r="M1283" s="21">
        <f>IF(OR($A1283="",$A1283&lt;&gt;'Lista para pedir'!$C$3,N($I1283)&lt;=0),"",COUNTIFS($A$2:$A1283,$A1283,$I$2:$I1283,"&gt;0"))</f>
        <v/>
      </c>
    </row>
    <row r="1284">
      <c r="A1284" s="20" t="n"/>
      <c r="B1284" s="21">
        <f>IF($A1284="","",CHOOSE(WEEKDAY($A1284,2),"Lunes","Martes","Miércoles","Jueves","Viernes","Sábado","Domingo"))</f>
        <v/>
      </c>
      <c r="C1284" s="17" t="n"/>
      <c r="D1284" s="21">
        <f>IF($C1284="","",IFERROR(INDEX(Insumos!$B$2:$B$151,MATCH($C1284,Insumos!$A$2:$A$151,0)),"Código no cargado"))</f>
        <v/>
      </c>
      <c r="E1284" s="21">
        <f>IF($C1284="","",IFERROR(INDEX(Insumos!$C$2:$C$151,MATCH($C1284,Insumos!$A$2:$A$151,0)),""))</f>
        <v/>
      </c>
      <c r="F1284" s="21">
        <f>IF($C1284="","",IFERROR(INDEX(Insumos!$D$2:$D$151,MATCH($C1284,Insumos!$A$2:$A$151,0)),""))</f>
        <v/>
      </c>
      <c r="G1284" s="18" t="n"/>
      <c r="H1284" s="19">
        <f>IF(OR($A1284="",$C1284=""),"",IFERROR(INDEX(Insumos!$M$2:$S$151,MATCH($C1284,Insumos!$A$2:$A$151,0),WEEKDAY($A1284,2)),""))</f>
        <v/>
      </c>
      <c r="I1284" s="19">
        <f>IF(OR($G1284="",$H1284=""),"",MAX(0,$H1284-$G1284))</f>
        <v/>
      </c>
      <c r="J1284" s="21">
        <f>IF($I1284="","",IF($I1284=0,"OK",IF($G1284&lt;=0,"Sin stock: pedir ya","Pedir o producir")))</f>
        <v/>
      </c>
      <c r="K1284" s="17" t="n"/>
      <c r="L1284" s="17" t="n"/>
      <c r="M1284" s="21">
        <f>IF(OR($A1284="",$A1284&lt;&gt;'Lista para pedir'!$C$3,N($I1284)&lt;=0),"",COUNTIFS($A$2:$A1284,$A1284,$I$2:$I1284,"&gt;0"))</f>
        <v/>
      </c>
    </row>
    <row r="1285">
      <c r="A1285" s="20" t="n"/>
      <c r="B1285" s="21">
        <f>IF($A1285="","",CHOOSE(WEEKDAY($A1285,2),"Lunes","Martes","Miércoles","Jueves","Viernes","Sábado","Domingo"))</f>
        <v/>
      </c>
      <c r="C1285" s="17" t="n"/>
      <c r="D1285" s="21">
        <f>IF($C1285="","",IFERROR(INDEX(Insumos!$B$2:$B$151,MATCH($C1285,Insumos!$A$2:$A$151,0)),"Código no cargado"))</f>
        <v/>
      </c>
      <c r="E1285" s="21">
        <f>IF($C1285="","",IFERROR(INDEX(Insumos!$C$2:$C$151,MATCH($C1285,Insumos!$A$2:$A$151,0)),""))</f>
        <v/>
      </c>
      <c r="F1285" s="21">
        <f>IF($C1285="","",IFERROR(INDEX(Insumos!$D$2:$D$151,MATCH($C1285,Insumos!$A$2:$A$151,0)),""))</f>
        <v/>
      </c>
      <c r="G1285" s="18" t="n"/>
      <c r="H1285" s="19">
        <f>IF(OR($A1285="",$C1285=""),"",IFERROR(INDEX(Insumos!$M$2:$S$151,MATCH($C1285,Insumos!$A$2:$A$151,0),WEEKDAY($A1285,2)),""))</f>
        <v/>
      </c>
      <c r="I1285" s="19">
        <f>IF(OR($G1285="",$H1285=""),"",MAX(0,$H1285-$G1285))</f>
        <v/>
      </c>
      <c r="J1285" s="21">
        <f>IF($I1285="","",IF($I1285=0,"OK",IF($G1285&lt;=0,"Sin stock: pedir ya","Pedir o producir")))</f>
        <v/>
      </c>
      <c r="K1285" s="17" t="n"/>
      <c r="L1285" s="17" t="n"/>
      <c r="M1285" s="21">
        <f>IF(OR($A1285="",$A1285&lt;&gt;'Lista para pedir'!$C$3,N($I1285)&lt;=0),"",COUNTIFS($A$2:$A1285,$A1285,$I$2:$I1285,"&gt;0"))</f>
        <v/>
      </c>
    </row>
    <row r="1286">
      <c r="A1286" s="20" t="n"/>
      <c r="B1286" s="21">
        <f>IF($A1286="","",CHOOSE(WEEKDAY($A1286,2),"Lunes","Martes","Miércoles","Jueves","Viernes","Sábado","Domingo"))</f>
        <v/>
      </c>
      <c r="C1286" s="17" t="n"/>
      <c r="D1286" s="21">
        <f>IF($C1286="","",IFERROR(INDEX(Insumos!$B$2:$B$151,MATCH($C1286,Insumos!$A$2:$A$151,0)),"Código no cargado"))</f>
        <v/>
      </c>
      <c r="E1286" s="21">
        <f>IF($C1286="","",IFERROR(INDEX(Insumos!$C$2:$C$151,MATCH($C1286,Insumos!$A$2:$A$151,0)),""))</f>
        <v/>
      </c>
      <c r="F1286" s="21">
        <f>IF($C1286="","",IFERROR(INDEX(Insumos!$D$2:$D$151,MATCH($C1286,Insumos!$A$2:$A$151,0)),""))</f>
        <v/>
      </c>
      <c r="G1286" s="18" t="n"/>
      <c r="H1286" s="19">
        <f>IF(OR($A1286="",$C1286=""),"",IFERROR(INDEX(Insumos!$M$2:$S$151,MATCH($C1286,Insumos!$A$2:$A$151,0),WEEKDAY($A1286,2)),""))</f>
        <v/>
      </c>
      <c r="I1286" s="19">
        <f>IF(OR($G1286="",$H1286=""),"",MAX(0,$H1286-$G1286))</f>
        <v/>
      </c>
      <c r="J1286" s="21">
        <f>IF($I1286="","",IF($I1286=0,"OK",IF($G1286&lt;=0,"Sin stock: pedir ya","Pedir o producir")))</f>
        <v/>
      </c>
      <c r="K1286" s="17" t="n"/>
      <c r="L1286" s="17" t="n"/>
      <c r="M1286" s="21">
        <f>IF(OR($A1286="",$A1286&lt;&gt;'Lista para pedir'!$C$3,N($I1286)&lt;=0),"",COUNTIFS($A$2:$A1286,$A1286,$I$2:$I1286,"&gt;0"))</f>
        <v/>
      </c>
    </row>
    <row r="1287">
      <c r="A1287" s="20" t="n"/>
      <c r="B1287" s="21">
        <f>IF($A1287="","",CHOOSE(WEEKDAY($A1287,2),"Lunes","Martes","Miércoles","Jueves","Viernes","Sábado","Domingo"))</f>
        <v/>
      </c>
      <c r="C1287" s="17" t="n"/>
      <c r="D1287" s="21">
        <f>IF($C1287="","",IFERROR(INDEX(Insumos!$B$2:$B$151,MATCH($C1287,Insumos!$A$2:$A$151,0)),"Código no cargado"))</f>
        <v/>
      </c>
      <c r="E1287" s="21">
        <f>IF($C1287="","",IFERROR(INDEX(Insumos!$C$2:$C$151,MATCH($C1287,Insumos!$A$2:$A$151,0)),""))</f>
        <v/>
      </c>
      <c r="F1287" s="21">
        <f>IF($C1287="","",IFERROR(INDEX(Insumos!$D$2:$D$151,MATCH($C1287,Insumos!$A$2:$A$151,0)),""))</f>
        <v/>
      </c>
      <c r="G1287" s="18" t="n"/>
      <c r="H1287" s="19">
        <f>IF(OR($A1287="",$C1287=""),"",IFERROR(INDEX(Insumos!$M$2:$S$151,MATCH($C1287,Insumos!$A$2:$A$151,0),WEEKDAY($A1287,2)),""))</f>
        <v/>
      </c>
      <c r="I1287" s="19">
        <f>IF(OR($G1287="",$H1287=""),"",MAX(0,$H1287-$G1287))</f>
        <v/>
      </c>
      <c r="J1287" s="21">
        <f>IF($I1287="","",IF($I1287=0,"OK",IF($G1287&lt;=0,"Sin stock: pedir ya","Pedir o producir")))</f>
        <v/>
      </c>
      <c r="K1287" s="17" t="n"/>
      <c r="L1287" s="17" t="n"/>
      <c r="M1287" s="21">
        <f>IF(OR($A1287="",$A1287&lt;&gt;'Lista para pedir'!$C$3,N($I1287)&lt;=0),"",COUNTIFS($A$2:$A1287,$A1287,$I$2:$I1287,"&gt;0"))</f>
        <v/>
      </c>
    </row>
    <row r="1288">
      <c r="A1288" s="20" t="n"/>
      <c r="B1288" s="21">
        <f>IF($A1288="","",CHOOSE(WEEKDAY($A1288,2),"Lunes","Martes","Miércoles","Jueves","Viernes","Sábado","Domingo"))</f>
        <v/>
      </c>
      <c r="C1288" s="17" t="n"/>
      <c r="D1288" s="21">
        <f>IF($C1288="","",IFERROR(INDEX(Insumos!$B$2:$B$151,MATCH($C1288,Insumos!$A$2:$A$151,0)),"Código no cargado"))</f>
        <v/>
      </c>
      <c r="E1288" s="21">
        <f>IF($C1288="","",IFERROR(INDEX(Insumos!$C$2:$C$151,MATCH($C1288,Insumos!$A$2:$A$151,0)),""))</f>
        <v/>
      </c>
      <c r="F1288" s="21">
        <f>IF($C1288="","",IFERROR(INDEX(Insumos!$D$2:$D$151,MATCH($C1288,Insumos!$A$2:$A$151,0)),""))</f>
        <v/>
      </c>
      <c r="G1288" s="18" t="n"/>
      <c r="H1288" s="19">
        <f>IF(OR($A1288="",$C1288=""),"",IFERROR(INDEX(Insumos!$M$2:$S$151,MATCH($C1288,Insumos!$A$2:$A$151,0),WEEKDAY($A1288,2)),""))</f>
        <v/>
      </c>
      <c r="I1288" s="19">
        <f>IF(OR($G1288="",$H1288=""),"",MAX(0,$H1288-$G1288))</f>
        <v/>
      </c>
      <c r="J1288" s="21">
        <f>IF($I1288="","",IF($I1288=0,"OK",IF($G1288&lt;=0,"Sin stock: pedir ya","Pedir o producir")))</f>
        <v/>
      </c>
      <c r="K1288" s="17" t="n"/>
      <c r="L1288" s="17" t="n"/>
      <c r="M1288" s="21">
        <f>IF(OR($A1288="",$A1288&lt;&gt;'Lista para pedir'!$C$3,N($I1288)&lt;=0),"",COUNTIFS($A$2:$A1288,$A1288,$I$2:$I1288,"&gt;0"))</f>
        <v/>
      </c>
    </row>
    <row r="1289">
      <c r="A1289" s="20" t="n"/>
      <c r="B1289" s="21">
        <f>IF($A1289="","",CHOOSE(WEEKDAY($A1289,2),"Lunes","Martes","Miércoles","Jueves","Viernes","Sábado","Domingo"))</f>
        <v/>
      </c>
      <c r="C1289" s="17" t="n"/>
      <c r="D1289" s="21">
        <f>IF($C1289="","",IFERROR(INDEX(Insumos!$B$2:$B$151,MATCH($C1289,Insumos!$A$2:$A$151,0)),"Código no cargado"))</f>
        <v/>
      </c>
      <c r="E1289" s="21">
        <f>IF($C1289="","",IFERROR(INDEX(Insumos!$C$2:$C$151,MATCH($C1289,Insumos!$A$2:$A$151,0)),""))</f>
        <v/>
      </c>
      <c r="F1289" s="21">
        <f>IF($C1289="","",IFERROR(INDEX(Insumos!$D$2:$D$151,MATCH($C1289,Insumos!$A$2:$A$151,0)),""))</f>
        <v/>
      </c>
      <c r="G1289" s="18" t="n"/>
      <c r="H1289" s="19">
        <f>IF(OR($A1289="",$C1289=""),"",IFERROR(INDEX(Insumos!$M$2:$S$151,MATCH($C1289,Insumos!$A$2:$A$151,0),WEEKDAY($A1289,2)),""))</f>
        <v/>
      </c>
      <c r="I1289" s="19">
        <f>IF(OR($G1289="",$H1289=""),"",MAX(0,$H1289-$G1289))</f>
        <v/>
      </c>
      <c r="J1289" s="21">
        <f>IF($I1289="","",IF($I1289=0,"OK",IF($G1289&lt;=0,"Sin stock: pedir ya","Pedir o producir")))</f>
        <v/>
      </c>
      <c r="K1289" s="17" t="n"/>
      <c r="L1289" s="17" t="n"/>
      <c r="M1289" s="21">
        <f>IF(OR($A1289="",$A1289&lt;&gt;'Lista para pedir'!$C$3,N($I1289)&lt;=0),"",COUNTIFS($A$2:$A1289,$A1289,$I$2:$I1289,"&gt;0"))</f>
        <v/>
      </c>
    </row>
    <row r="1290">
      <c r="A1290" s="20" t="n"/>
      <c r="B1290" s="21">
        <f>IF($A1290="","",CHOOSE(WEEKDAY($A1290,2),"Lunes","Martes","Miércoles","Jueves","Viernes","Sábado","Domingo"))</f>
        <v/>
      </c>
      <c r="C1290" s="17" t="n"/>
      <c r="D1290" s="21">
        <f>IF($C1290="","",IFERROR(INDEX(Insumos!$B$2:$B$151,MATCH($C1290,Insumos!$A$2:$A$151,0)),"Código no cargado"))</f>
        <v/>
      </c>
      <c r="E1290" s="21">
        <f>IF($C1290="","",IFERROR(INDEX(Insumos!$C$2:$C$151,MATCH($C1290,Insumos!$A$2:$A$151,0)),""))</f>
        <v/>
      </c>
      <c r="F1290" s="21">
        <f>IF($C1290="","",IFERROR(INDEX(Insumos!$D$2:$D$151,MATCH($C1290,Insumos!$A$2:$A$151,0)),""))</f>
        <v/>
      </c>
      <c r="G1290" s="18" t="n"/>
      <c r="H1290" s="19">
        <f>IF(OR($A1290="",$C1290=""),"",IFERROR(INDEX(Insumos!$M$2:$S$151,MATCH($C1290,Insumos!$A$2:$A$151,0),WEEKDAY($A1290,2)),""))</f>
        <v/>
      </c>
      <c r="I1290" s="19">
        <f>IF(OR($G1290="",$H1290=""),"",MAX(0,$H1290-$G1290))</f>
        <v/>
      </c>
      <c r="J1290" s="21">
        <f>IF($I1290="","",IF($I1290=0,"OK",IF($G1290&lt;=0,"Sin stock: pedir ya","Pedir o producir")))</f>
        <v/>
      </c>
      <c r="K1290" s="17" t="n"/>
      <c r="L1290" s="17" t="n"/>
      <c r="M1290" s="21">
        <f>IF(OR($A1290="",$A1290&lt;&gt;'Lista para pedir'!$C$3,N($I1290)&lt;=0),"",COUNTIFS($A$2:$A1290,$A1290,$I$2:$I1290,"&gt;0"))</f>
        <v/>
      </c>
    </row>
    <row r="1291">
      <c r="A1291" s="20" t="n"/>
      <c r="B1291" s="21">
        <f>IF($A1291="","",CHOOSE(WEEKDAY($A1291,2),"Lunes","Martes","Miércoles","Jueves","Viernes","Sábado","Domingo"))</f>
        <v/>
      </c>
      <c r="C1291" s="17" t="n"/>
      <c r="D1291" s="21">
        <f>IF($C1291="","",IFERROR(INDEX(Insumos!$B$2:$B$151,MATCH($C1291,Insumos!$A$2:$A$151,0)),"Código no cargado"))</f>
        <v/>
      </c>
      <c r="E1291" s="21">
        <f>IF($C1291="","",IFERROR(INDEX(Insumos!$C$2:$C$151,MATCH($C1291,Insumos!$A$2:$A$151,0)),""))</f>
        <v/>
      </c>
      <c r="F1291" s="21">
        <f>IF($C1291="","",IFERROR(INDEX(Insumos!$D$2:$D$151,MATCH($C1291,Insumos!$A$2:$A$151,0)),""))</f>
        <v/>
      </c>
      <c r="G1291" s="18" t="n"/>
      <c r="H1291" s="19">
        <f>IF(OR($A1291="",$C1291=""),"",IFERROR(INDEX(Insumos!$M$2:$S$151,MATCH($C1291,Insumos!$A$2:$A$151,0),WEEKDAY($A1291,2)),""))</f>
        <v/>
      </c>
      <c r="I1291" s="19">
        <f>IF(OR($G1291="",$H1291=""),"",MAX(0,$H1291-$G1291))</f>
        <v/>
      </c>
      <c r="J1291" s="21">
        <f>IF($I1291="","",IF($I1291=0,"OK",IF($G1291&lt;=0,"Sin stock: pedir ya","Pedir o producir")))</f>
        <v/>
      </c>
      <c r="K1291" s="17" t="n"/>
      <c r="L1291" s="17" t="n"/>
      <c r="M1291" s="21">
        <f>IF(OR($A1291="",$A1291&lt;&gt;'Lista para pedir'!$C$3,N($I1291)&lt;=0),"",COUNTIFS($A$2:$A1291,$A1291,$I$2:$I1291,"&gt;0"))</f>
        <v/>
      </c>
    </row>
    <row r="1292">
      <c r="A1292" s="20" t="n"/>
      <c r="B1292" s="21">
        <f>IF($A1292="","",CHOOSE(WEEKDAY($A1292,2),"Lunes","Martes","Miércoles","Jueves","Viernes","Sábado","Domingo"))</f>
        <v/>
      </c>
      <c r="C1292" s="17" t="n"/>
      <c r="D1292" s="21">
        <f>IF($C1292="","",IFERROR(INDEX(Insumos!$B$2:$B$151,MATCH($C1292,Insumos!$A$2:$A$151,0)),"Código no cargado"))</f>
        <v/>
      </c>
      <c r="E1292" s="21">
        <f>IF($C1292="","",IFERROR(INDEX(Insumos!$C$2:$C$151,MATCH($C1292,Insumos!$A$2:$A$151,0)),""))</f>
        <v/>
      </c>
      <c r="F1292" s="21">
        <f>IF($C1292="","",IFERROR(INDEX(Insumos!$D$2:$D$151,MATCH($C1292,Insumos!$A$2:$A$151,0)),""))</f>
        <v/>
      </c>
      <c r="G1292" s="18" t="n"/>
      <c r="H1292" s="19">
        <f>IF(OR($A1292="",$C1292=""),"",IFERROR(INDEX(Insumos!$M$2:$S$151,MATCH($C1292,Insumos!$A$2:$A$151,0),WEEKDAY($A1292,2)),""))</f>
        <v/>
      </c>
      <c r="I1292" s="19">
        <f>IF(OR($G1292="",$H1292=""),"",MAX(0,$H1292-$G1292))</f>
        <v/>
      </c>
      <c r="J1292" s="21">
        <f>IF($I1292="","",IF($I1292=0,"OK",IF($G1292&lt;=0,"Sin stock: pedir ya","Pedir o producir")))</f>
        <v/>
      </c>
      <c r="K1292" s="17" t="n"/>
      <c r="L1292" s="17" t="n"/>
      <c r="M1292" s="21">
        <f>IF(OR($A1292="",$A1292&lt;&gt;'Lista para pedir'!$C$3,N($I1292)&lt;=0),"",COUNTIFS($A$2:$A1292,$A1292,$I$2:$I1292,"&gt;0"))</f>
        <v/>
      </c>
    </row>
    <row r="1293">
      <c r="A1293" s="20" t="n"/>
      <c r="B1293" s="21">
        <f>IF($A1293="","",CHOOSE(WEEKDAY($A1293,2),"Lunes","Martes","Miércoles","Jueves","Viernes","Sábado","Domingo"))</f>
        <v/>
      </c>
      <c r="C1293" s="17" t="n"/>
      <c r="D1293" s="21">
        <f>IF($C1293="","",IFERROR(INDEX(Insumos!$B$2:$B$151,MATCH($C1293,Insumos!$A$2:$A$151,0)),"Código no cargado"))</f>
        <v/>
      </c>
      <c r="E1293" s="21">
        <f>IF($C1293="","",IFERROR(INDEX(Insumos!$C$2:$C$151,MATCH($C1293,Insumos!$A$2:$A$151,0)),""))</f>
        <v/>
      </c>
      <c r="F1293" s="21">
        <f>IF($C1293="","",IFERROR(INDEX(Insumos!$D$2:$D$151,MATCH($C1293,Insumos!$A$2:$A$151,0)),""))</f>
        <v/>
      </c>
      <c r="G1293" s="18" t="n"/>
      <c r="H1293" s="19">
        <f>IF(OR($A1293="",$C1293=""),"",IFERROR(INDEX(Insumos!$M$2:$S$151,MATCH($C1293,Insumos!$A$2:$A$151,0),WEEKDAY($A1293,2)),""))</f>
        <v/>
      </c>
      <c r="I1293" s="19">
        <f>IF(OR($G1293="",$H1293=""),"",MAX(0,$H1293-$G1293))</f>
        <v/>
      </c>
      <c r="J1293" s="21">
        <f>IF($I1293="","",IF($I1293=0,"OK",IF($G1293&lt;=0,"Sin stock: pedir ya","Pedir o producir")))</f>
        <v/>
      </c>
      <c r="K1293" s="17" t="n"/>
      <c r="L1293" s="17" t="n"/>
      <c r="M1293" s="21">
        <f>IF(OR($A1293="",$A1293&lt;&gt;'Lista para pedir'!$C$3,N($I1293)&lt;=0),"",COUNTIFS($A$2:$A1293,$A1293,$I$2:$I1293,"&gt;0"))</f>
        <v/>
      </c>
    </row>
    <row r="1294">
      <c r="A1294" s="20" t="n"/>
      <c r="B1294" s="21">
        <f>IF($A1294="","",CHOOSE(WEEKDAY($A1294,2),"Lunes","Martes","Miércoles","Jueves","Viernes","Sábado","Domingo"))</f>
        <v/>
      </c>
      <c r="C1294" s="17" t="n"/>
      <c r="D1294" s="21">
        <f>IF($C1294="","",IFERROR(INDEX(Insumos!$B$2:$B$151,MATCH($C1294,Insumos!$A$2:$A$151,0)),"Código no cargado"))</f>
        <v/>
      </c>
      <c r="E1294" s="21">
        <f>IF($C1294="","",IFERROR(INDEX(Insumos!$C$2:$C$151,MATCH($C1294,Insumos!$A$2:$A$151,0)),""))</f>
        <v/>
      </c>
      <c r="F1294" s="21">
        <f>IF($C1294="","",IFERROR(INDEX(Insumos!$D$2:$D$151,MATCH($C1294,Insumos!$A$2:$A$151,0)),""))</f>
        <v/>
      </c>
      <c r="G1294" s="18" t="n"/>
      <c r="H1294" s="19">
        <f>IF(OR($A1294="",$C1294=""),"",IFERROR(INDEX(Insumos!$M$2:$S$151,MATCH($C1294,Insumos!$A$2:$A$151,0),WEEKDAY($A1294,2)),""))</f>
        <v/>
      </c>
      <c r="I1294" s="19">
        <f>IF(OR($G1294="",$H1294=""),"",MAX(0,$H1294-$G1294))</f>
        <v/>
      </c>
      <c r="J1294" s="21">
        <f>IF($I1294="","",IF($I1294=0,"OK",IF($G1294&lt;=0,"Sin stock: pedir ya","Pedir o producir")))</f>
        <v/>
      </c>
      <c r="K1294" s="17" t="n"/>
      <c r="L1294" s="17" t="n"/>
      <c r="M1294" s="21">
        <f>IF(OR($A1294="",$A1294&lt;&gt;'Lista para pedir'!$C$3,N($I1294)&lt;=0),"",COUNTIFS($A$2:$A1294,$A1294,$I$2:$I1294,"&gt;0"))</f>
        <v/>
      </c>
    </row>
    <row r="1295">
      <c r="A1295" s="20" t="n"/>
      <c r="B1295" s="21">
        <f>IF($A1295="","",CHOOSE(WEEKDAY($A1295,2),"Lunes","Martes","Miércoles","Jueves","Viernes","Sábado","Domingo"))</f>
        <v/>
      </c>
      <c r="C1295" s="17" t="n"/>
      <c r="D1295" s="21">
        <f>IF($C1295="","",IFERROR(INDEX(Insumos!$B$2:$B$151,MATCH($C1295,Insumos!$A$2:$A$151,0)),"Código no cargado"))</f>
        <v/>
      </c>
      <c r="E1295" s="21">
        <f>IF($C1295="","",IFERROR(INDEX(Insumos!$C$2:$C$151,MATCH($C1295,Insumos!$A$2:$A$151,0)),""))</f>
        <v/>
      </c>
      <c r="F1295" s="21">
        <f>IF($C1295="","",IFERROR(INDEX(Insumos!$D$2:$D$151,MATCH($C1295,Insumos!$A$2:$A$151,0)),""))</f>
        <v/>
      </c>
      <c r="G1295" s="18" t="n"/>
      <c r="H1295" s="19">
        <f>IF(OR($A1295="",$C1295=""),"",IFERROR(INDEX(Insumos!$M$2:$S$151,MATCH($C1295,Insumos!$A$2:$A$151,0),WEEKDAY($A1295,2)),""))</f>
        <v/>
      </c>
      <c r="I1295" s="19">
        <f>IF(OR($G1295="",$H1295=""),"",MAX(0,$H1295-$G1295))</f>
        <v/>
      </c>
      <c r="J1295" s="21">
        <f>IF($I1295="","",IF($I1295=0,"OK",IF($G1295&lt;=0,"Sin stock: pedir ya","Pedir o producir")))</f>
        <v/>
      </c>
      <c r="K1295" s="17" t="n"/>
      <c r="L1295" s="17" t="n"/>
      <c r="M1295" s="21">
        <f>IF(OR($A1295="",$A1295&lt;&gt;'Lista para pedir'!$C$3,N($I1295)&lt;=0),"",COUNTIFS($A$2:$A1295,$A1295,$I$2:$I1295,"&gt;0"))</f>
        <v/>
      </c>
    </row>
    <row r="1296">
      <c r="A1296" s="20" t="n"/>
      <c r="B1296" s="21">
        <f>IF($A1296="","",CHOOSE(WEEKDAY($A1296,2),"Lunes","Martes","Miércoles","Jueves","Viernes","Sábado","Domingo"))</f>
        <v/>
      </c>
      <c r="C1296" s="17" t="n"/>
      <c r="D1296" s="21">
        <f>IF($C1296="","",IFERROR(INDEX(Insumos!$B$2:$B$151,MATCH($C1296,Insumos!$A$2:$A$151,0)),"Código no cargado"))</f>
        <v/>
      </c>
      <c r="E1296" s="21">
        <f>IF($C1296="","",IFERROR(INDEX(Insumos!$C$2:$C$151,MATCH($C1296,Insumos!$A$2:$A$151,0)),""))</f>
        <v/>
      </c>
      <c r="F1296" s="21">
        <f>IF($C1296="","",IFERROR(INDEX(Insumos!$D$2:$D$151,MATCH($C1296,Insumos!$A$2:$A$151,0)),""))</f>
        <v/>
      </c>
      <c r="G1296" s="18" t="n"/>
      <c r="H1296" s="19">
        <f>IF(OR($A1296="",$C1296=""),"",IFERROR(INDEX(Insumos!$M$2:$S$151,MATCH($C1296,Insumos!$A$2:$A$151,0),WEEKDAY($A1296,2)),""))</f>
        <v/>
      </c>
      <c r="I1296" s="19">
        <f>IF(OR($G1296="",$H1296=""),"",MAX(0,$H1296-$G1296))</f>
        <v/>
      </c>
      <c r="J1296" s="21">
        <f>IF($I1296="","",IF($I1296=0,"OK",IF($G1296&lt;=0,"Sin stock: pedir ya","Pedir o producir")))</f>
        <v/>
      </c>
      <c r="K1296" s="17" t="n"/>
      <c r="L1296" s="17" t="n"/>
      <c r="M1296" s="21">
        <f>IF(OR($A1296="",$A1296&lt;&gt;'Lista para pedir'!$C$3,N($I1296)&lt;=0),"",COUNTIFS($A$2:$A1296,$A1296,$I$2:$I1296,"&gt;0"))</f>
        <v/>
      </c>
    </row>
    <row r="1297">
      <c r="A1297" s="20" t="n"/>
      <c r="B1297" s="21">
        <f>IF($A1297="","",CHOOSE(WEEKDAY($A1297,2),"Lunes","Martes","Miércoles","Jueves","Viernes","Sábado","Domingo"))</f>
        <v/>
      </c>
      <c r="C1297" s="17" t="n"/>
      <c r="D1297" s="21">
        <f>IF($C1297="","",IFERROR(INDEX(Insumos!$B$2:$B$151,MATCH($C1297,Insumos!$A$2:$A$151,0)),"Código no cargado"))</f>
        <v/>
      </c>
      <c r="E1297" s="21">
        <f>IF($C1297="","",IFERROR(INDEX(Insumos!$C$2:$C$151,MATCH($C1297,Insumos!$A$2:$A$151,0)),""))</f>
        <v/>
      </c>
      <c r="F1297" s="21">
        <f>IF($C1297="","",IFERROR(INDEX(Insumos!$D$2:$D$151,MATCH($C1297,Insumos!$A$2:$A$151,0)),""))</f>
        <v/>
      </c>
      <c r="G1297" s="18" t="n"/>
      <c r="H1297" s="19">
        <f>IF(OR($A1297="",$C1297=""),"",IFERROR(INDEX(Insumos!$M$2:$S$151,MATCH($C1297,Insumos!$A$2:$A$151,0),WEEKDAY($A1297,2)),""))</f>
        <v/>
      </c>
      <c r="I1297" s="19">
        <f>IF(OR($G1297="",$H1297=""),"",MAX(0,$H1297-$G1297))</f>
        <v/>
      </c>
      <c r="J1297" s="21">
        <f>IF($I1297="","",IF($I1297=0,"OK",IF($G1297&lt;=0,"Sin stock: pedir ya","Pedir o producir")))</f>
        <v/>
      </c>
      <c r="K1297" s="17" t="n"/>
      <c r="L1297" s="17" t="n"/>
      <c r="M1297" s="21">
        <f>IF(OR($A1297="",$A1297&lt;&gt;'Lista para pedir'!$C$3,N($I1297)&lt;=0),"",COUNTIFS($A$2:$A1297,$A1297,$I$2:$I1297,"&gt;0"))</f>
        <v/>
      </c>
    </row>
    <row r="1298">
      <c r="A1298" s="20" t="n"/>
      <c r="B1298" s="21">
        <f>IF($A1298="","",CHOOSE(WEEKDAY($A1298,2),"Lunes","Martes","Miércoles","Jueves","Viernes","Sábado","Domingo"))</f>
        <v/>
      </c>
      <c r="C1298" s="17" t="n"/>
      <c r="D1298" s="21">
        <f>IF($C1298="","",IFERROR(INDEX(Insumos!$B$2:$B$151,MATCH($C1298,Insumos!$A$2:$A$151,0)),"Código no cargado"))</f>
        <v/>
      </c>
      <c r="E1298" s="21">
        <f>IF($C1298="","",IFERROR(INDEX(Insumos!$C$2:$C$151,MATCH($C1298,Insumos!$A$2:$A$151,0)),""))</f>
        <v/>
      </c>
      <c r="F1298" s="21">
        <f>IF($C1298="","",IFERROR(INDEX(Insumos!$D$2:$D$151,MATCH($C1298,Insumos!$A$2:$A$151,0)),""))</f>
        <v/>
      </c>
      <c r="G1298" s="18" t="n"/>
      <c r="H1298" s="19">
        <f>IF(OR($A1298="",$C1298=""),"",IFERROR(INDEX(Insumos!$M$2:$S$151,MATCH($C1298,Insumos!$A$2:$A$151,0),WEEKDAY($A1298,2)),""))</f>
        <v/>
      </c>
      <c r="I1298" s="19">
        <f>IF(OR($G1298="",$H1298=""),"",MAX(0,$H1298-$G1298))</f>
        <v/>
      </c>
      <c r="J1298" s="21">
        <f>IF($I1298="","",IF($I1298=0,"OK",IF($G1298&lt;=0,"Sin stock: pedir ya","Pedir o producir")))</f>
        <v/>
      </c>
      <c r="K1298" s="17" t="n"/>
      <c r="L1298" s="17" t="n"/>
      <c r="M1298" s="21">
        <f>IF(OR($A1298="",$A1298&lt;&gt;'Lista para pedir'!$C$3,N($I1298)&lt;=0),"",COUNTIFS($A$2:$A1298,$A1298,$I$2:$I1298,"&gt;0"))</f>
        <v/>
      </c>
    </row>
    <row r="1299">
      <c r="A1299" s="20" t="n"/>
      <c r="B1299" s="21">
        <f>IF($A1299="","",CHOOSE(WEEKDAY($A1299,2),"Lunes","Martes","Miércoles","Jueves","Viernes","Sábado","Domingo"))</f>
        <v/>
      </c>
      <c r="C1299" s="17" t="n"/>
      <c r="D1299" s="21">
        <f>IF($C1299="","",IFERROR(INDEX(Insumos!$B$2:$B$151,MATCH($C1299,Insumos!$A$2:$A$151,0)),"Código no cargado"))</f>
        <v/>
      </c>
      <c r="E1299" s="21">
        <f>IF($C1299="","",IFERROR(INDEX(Insumos!$C$2:$C$151,MATCH($C1299,Insumos!$A$2:$A$151,0)),""))</f>
        <v/>
      </c>
      <c r="F1299" s="21">
        <f>IF($C1299="","",IFERROR(INDEX(Insumos!$D$2:$D$151,MATCH($C1299,Insumos!$A$2:$A$151,0)),""))</f>
        <v/>
      </c>
      <c r="G1299" s="18" t="n"/>
      <c r="H1299" s="19">
        <f>IF(OR($A1299="",$C1299=""),"",IFERROR(INDEX(Insumos!$M$2:$S$151,MATCH($C1299,Insumos!$A$2:$A$151,0),WEEKDAY($A1299,2)),""))</f>
        <v/>
      </c>
      <c r="I1299" s="19">
        <f>IF(OR($G1299="",$H1299=""),"",MAX(0,$H1299-$G1299))</f>
        <v/>
      </c>
      <c r="J1299" s="21">
        <f>IF($I1299="","",IF($I1299=0,"OK",IF($G1299&lt;=0,"Sin stock: pedir ya","Pedir o producir")))</f>
        <v/>
      </c>
      <c r="K1299" s="17" t="n"/>
      <c r="L1299" s="17" t="n"/>
      <c r="M1299" s="21">
        <f>IF(OR($A1299="",$A1299&lt;&gt;'Lista para pedir'!$C$3,N($I1299)&lt;=0),"",COUNTIFS($A$2:$A1299,$A1299,$I$2:$I1299,"&gt;0"))</f>
        <v/>
      </c>
    </row>
    <row r="1300">
      <c r="A1300" s="20" t="n"/>
      <c r="B1300" s="21">
        <f>IF($A1300="","",CHOOSE(WEEKDAY($A1300,2),"Lunes","Martes","Miércoles","Jueves","Viernes","Sábado","Domingo"))</f>
        <v/>
      </c>
      <c r="C1300" s="17" t="n"/>
      <c r="D1300" s="21">
        <f>IF($C1300="","",IFERROR(INDEX(Insumos!$B$2:$B$151,MATCH($C1300,Insumos!$A$2:$A$151,0)),"Código no cargado"))</f>
        <v/>
      </c>
      <c r="E1300" s="21">
        <f>IF($C1300="","",IFERROR(INDEX(Insumos!$C$2:$C$151,MATCH($C1300,Insumos!$A$2:$A$151,0)),""))</f>
        <v/>
      </c>
      <c r="F1300" s="21">
        <f>IF($C1300="","",IFERROR(INDEX(Insumos!$D$2:$D$151,MATCH($C1300,Insumos!$A$2:$A$151,0)),""))</f>
        <v/>
      </c>
      <c r="G1300" s="18" t="n"/>
      <c r="H1300" s="19">
        <f>IF(OR($A1300="",$C1300=""),"",IFERROR(INDEX(Insumos!$M$2:$S$151,MATCH($C1300,Insumos!$A$2:$A$151,0),WEEKDAY($A1300,2)),""))</f>
        <v/>
      </c>
      <c r="I1300" s="19">
        <f>IF(OR($G1300="",$H1300=""),"",MAX(0,$H1300-$G1300))</f>
        <v/>
      </c>
      <c r="J1300" s="21">
        <f>IF($I1300="","",IF($I1300=0,"OK",IF($G1300&lt;=0,"Sin stock: pedir ya","Pedir o producir")))</f>
        <v/>
      </c>
      <c r="K1300" s="17" t="n"/>
      <c r="L1300" s="17" t="n"/>
      <c r="M1300" s="21">
        <f>IF(OR($A1300="",$A1300&lt;&gt;'Lista para pedir'!$C$3,N($I1300)&lt;=0),"",COUNTIFS($A$2:$A1300,$A1300,$I$2:$I1300,"&gt;0"))</f>
        <v/>
      </c>
    </row>
    <row r="1301">
      <c r="A1301" s="20" t="n"/>
      <c r="B1301" s="21">
        <f>IF($A1301="","",CHOOSE(WEEKDAY($A1301,2),"Lunes","Martes","Miércoles","Jueves","Viernes","Sábado","Domingo"))</f>
        <v/>
      </c>
      <c r="C1301" s="17" t="n"/>
      <c r="D1301" s="21">
        <f>IF($C1301="","",IFERROR(INDEX(Insumos!$B$2:$B$151,MATCH($C1301,Insumos!$A$2:$A$151,0)),"Código no cargado"))</f>
        <v/>
      </c>
      <c r="E1301" s="21">
        <f>IF($C1301="","",IFERROR(INDEX(Insumos!$C$2:$C$151,MATCH($C1301,Insumos!$A$2:$A$151,0)),""))</f>
        <v/>
      </c>
      <c r="F1301" s="21">
        <f>IF($C1301="","",IFERROR(INDEX(Insumos!$D$2:$D$151,MATCH($C1301,Insumos!$A$2:$A$151,0)),""))</f>
        <v/>
      </c>
      <c r="G1301" s="18" t="n"/>
      <c r="H1301" s="19">
        <f>IF(OR($A1301="",$C1301=""),"",IFERROR(INDEX(Insumos!$M$2:$S$151,MATCH($C1301,Insumos!$A$2:$A$151,0),WEEKDAY($A1301,2)),""))</f>
        <v/>
      </c>
      <c r="I1301" s="19">
        <f>IF(OR($G1301="",$H1301=""),"",MAX(0,$H1301-$G1301))</f>
        <v/>
      </c>
      <c r="J1301" s="21">
        <f>IF($I1301="","",IF($I1301=0,"OK",IF($G1301&lt;=0,"Sin stock: pedir ya","Pedir o producir")))</f>
        <v/>
      </c>
      <c r="K1301" s="17" t="n"/>
      <c r="L1301" s="17" t="n"/>
      <c r="M1301" s="21">
        <f>IF(OR($A1301="",$A1301&lt;&gt;'Lista para pedir'!$C$3,N($I1301)&lt;=0),"",COUNTIFS($A$2:$A1301,$A1301,$I$2:$I1301,"&gt;0"))</f>
        <v/>
      </c>
    </row>
    <row r="1302">
      <c r="A1302" s="20" t="n"/>
      <c r="B1302" s="21">
        <f>IF($A1302="","",CHOOSE(WEEKDAY($A1302,2),"Lunes","Martes","Miércoles","Jueves","Viernes","Sábado","Domingo"))</f>
        <v/>
      </c>
      <c r="C1302" s="17" t="n"/>
      <c r="D1302" s="21">
        <f>IF($C1302="","",IFERROR(INDEX(Insumos!$B$2:$B$151,MATCH($C1302,Insumos!$A$2:$A$151,0)),"Código no cargado"))</f>
        <v/>
      </c>
      <c r="E1302" s="21">
        <f>IF($C1302="","",IFERROR(INDEX(Insumos!$C$2:$C$151,MATCH($C1302,Insumos!$A$2:$A$151,0)),""))</f>
        <v/>
      </c>
      <c r="F1302" s="21">
        <f>IF($C1302="","",IFERROR(INDEX(Insumos!$D$2:$D$151,MATCH($C1302,Insumos!$A$2:$A$151,0)),""))</f>
        <v/>
      </c>
      <c r="G1302" s="18" t="n"/>
      <c r="H1302" s="19">
        <f>IF(OR($A1302="",$C1302=""),"",IFERROR(INDEX(Insumos!$M$2:$S$151,MATCH($C1302,Insumos!$A$2:$A$151,0),WEEKDAY($A1302,2)),""))</f>
        <v/>
      </c>
      <c r="I1302" s="19">
        <f>IF(OR($G1302="",$H1302=""),"",MAX(0,$H1302-$G1302))</f>
        <v/>
      </c>
      <c r="J1302" s="21">
        <f>IF($I1302="","",IF($I1302=0,"OK",IF($G1302&lt;=0,"Sin stock: pedir ya","Pedir o producir")))</f>
        <v/>
      </c>
      <c r="K1302" s="17" t="n"/>
      <c r="L1302" s="17" t="n"/>
      <c r="M1302" s="21">
        <f>IF(OR($A1302="",$A1302&lt;&gt;'Lista para pedir'!$C$3,N($I1302)&lt;=0),"",COUNTIFS($A$2:$A1302,$A1302,$I$2:$I1302,"&gt;0"))</f>
        <v/>
      </c>
    </row>
    <row r="1303">
      <c r="A1303" s="20" t="n"/>
      <c r="B1303" s="21">
        <f>IF($A1303="","",CHOOSE(WEEKDAY($A1303,2),"Lunes","Martes","Miércoles","Jueves","Viernes","Sábado","Domingo"))</f>
        <v/>
      </c>
      <c r="C1303" s="17" t="n"/>
      <c r="D1303" s="21">
        <f>IF($C1303="","",IFERROR(INDEX(Insumos!$B$2:$B$151,MATCH($C1303,Insumos!$A$2:$A$151,0)),"Código no cargado"))</f>
        <v/>
      </c>
      <c r="E1303" s="21">
        <f>IF($C1303="","",IFERROR(INDEX(Insumos!$C$2:$C$151,MATCH($C1303,Insumos!$A$2:$A$151,0)),""))</f>
        <v/>
      </c>
      <c r="F1303" s="21">
        <f>IF($C1303="","",IFERROR(INDEX(Insumos!$D$2:$D$151,MATCH($C1303,Insumos!$A$2:$A$151,0)),""))</f>
        <v/>
      </c>
      <c r="G1303" s="18" t="n"/>
      <c r="H1303" s="19">
        <f>IF(OR($A1303="",$C1303=""),"",IFERROR(INDEX(Insumos!$M$2:$S$151,MATCH($C1303,Insumos!$A$2:$A$151,0),WEEKDAY($A1303,2)),""))</f>
        <v/>
      </c>
      <c r="I1303" s="19">
        <f>IF(OR($G1303="",$H1303=""),"",MAX(0,$H1303-$G1303))</f>
        <v/>
      </c>
      <c r="J1303" s="21">
        <f>IF($I1303="","",IF($I1303=0,"OK",IF($G1303&lt;=0,"Sin stock: pedir ya","Pedir o producir")))</f>
        <v/>
      </c>
      <c r="K1303" s="17" t="n"/>
      <c r="L1303" s="17" t="n"/>
      <c r="M1303" s="21">
        <f>IF(OR($A1303="",$A1303&lt;&gt;'Lista para pedir'!$C$3,N($I1303)&lt;=0),"",COUNTIFS($A$2:$A1303,$A1303,$I$2:$I1303,"&gt;0"))</f>
        <v/>
      </c>
    </row>
    <row r="1304">
      <c r="A1304" s="20" t="n"/>
      <c r="B1304" s="21">
        <f>IF($A1304="","",CHOOSE(WEEKDAY($A1304,2),"Lunes","Martes","Miércoles","Jueves","Viernes","Sábado","Domingo"))</f>
        <v/>
      </c>
      <c r="C1304" s="17" t="n"/>
      <c r="D1304" s="21">
        <f>IF($C1304="","",IFERROR(INDEX(Insumos!$B$2:$B$151,MATCH($C1304,Insumos!$A$2:$A$151,0)),"Código no cargado"))</f>
        <v/>
      </c>
      <c r="E1304" s="21">
        <f>IF($C1304="","",IFERROR(INDEX(Insumos!$C$2:$C$151,MATCH($C1304,Insumos!$A$2:$A$151,0)),""))</f>
        <v/>
      </c>
      <c r="F1304" s="21">
        <f>IF($C1304="","",IFERROR(INDEX(Insumos!$D$2:$D$151,MATCH($C1304,Insumos!$A$2:$A$151,0)),""))</f>
        <v/>
      </c>
      <c r="G1304" s="18" t="n"/>
      <c r="H1304" s="19">
        <f>IF(OR($A1304="",$C1304=""),"",IFERROR(INDEX(Insumos!$M$2:$S$151,MATCH($C1304,Insumos!$A$2:$A$151,0),WEEKDAY($A1304,2)),""))</f>
        <v/>
      </c>
      <c r="I1304" s="19">
        <f>IF(OR($G1304="",$H1304=""),"",MAX(0,$H1304-$G1304))</f>
        <v/>
      </c>
      <c r="J1304" s="21">
        <f>IF($I1304="","",IF($I1304=0,"OK",IF($G1304&lt;=0,"Sin stock: pedir ya","Pedir o producir")))</f>
        <v/>
      </c>
      <c r="K1304" s="17" t="n"/>
      <c r="L1304" s="17" t="n"/>
      <c r="M1304" s="21">
        <f>IF(OR($A1304="",$A1304&lt;&gt;'Lista para pedir'!$C$3,N($I1304)&lt;=0),"",COUNTIFS($A$2:$A1304,$A1304,$I$2:$I1304,"&gt;0"))</f>
        <v/>
      </c>
    </row>
    <row r="1305">
      <c r="A1305" s="20" t="n"/>
      <c r="B1305" s="21">
        <f>IF($A1305="","",CHOOSE(WEEKDAY($A1305,2),"Lunes","Martes","Miércoles","Jueves","Viernes","Sábado","Domingo"))</f>
        <v/>
      </c>
      <c r="C1305" s="17" t="n"/>
      <c r="D1305" s="21">
        <f>IF($C1305="","",IFERROR(INDEX(Insumos!$B$2:$B$151,MATCH($C1305,Insumos!$A$2:$A$151,0)),"Código no cargado"))</f>
        <v/>
      </c>
      <c r="E1305" s="21">
        <f>IF($C1305="","",IFERROR(INDEX(Insumos!$C$2:$C$151,MATCH($C1305,Insumos!$A$2:$A$151,0)),""))</f>
        <v/>
      </c>
      <c r="F1305" s="21">
        <f>IF($C1305="","",IFERROR(INDEX(Insumos!$D$2:$D$151,MATCH($C1305,Insumos!$A$2:$A$151,0)),""))</f>
        <v/>
      </c>
      <c r="G1305" s="18" t="n"/>
      <c r="H1305" s="19">
        <f>IF(OR($A1305="",$C1305=""),"",IFERROR(INDEX(Insumos!$M$2:$S$151,MATCH($C1305,Insumos!$A$2:$A$151,0),WEEKDAY($A1305,2)),""))</f>
        <v/>
      </c>
      <c r="I1305" s="19">
        <f>IF(OR($G1305="",$H1305=""),"",MAX(0,$H1305-$G1305))</f>
        <v/>
      </c>
      <c r="J1305" s="21">
        <f>IF($I1305="","",IF($I1305=0,"OK",IF($G1305&lt;=0,"Sin stock: pedir ya","Pedir o producir")))</f>
        <v/>
      </c>
      <c r="K1305" s="17" t="n"/>
      <c r="L1305" s="17" t="n"/>
      <c r="M1305" s="21">
        <f>IF(OR($A1305="",$A1305&lt;&gt;'Lista para pedir'!$C$3,N($I1305)&lt;=0),"",COUNTIFS($A$2:$A1305,$A1305,$I$2:$I1305,"&gt;0"))</f>
        <v/>
      </c>
    </row>
    <row r="1306">
      <c r="A1306" s="20" t="n"/>
      <c r="B1306" s="21">
        <f>IF($A1306="","",CHOOSE(WEEKDAY($A1306,2),"Lunes","Martes","Miércoles","Jueves","Viernes","Sábado","Domingo"))</f>
        <v/>
      </c>
      <c r="C1306" s="17" t="n"/>
      <c r="D1306" s="21">
        <f>IF($C1306="","",IFERROR(INDEX(Insumos!$B$2:$B$151,MATCH($C1306,Insumos!$A$2:$A$151,0)),"Código no cargado"))</f>
        <v/>
      </c>
      <c r="E1306" s="21">
        <f>IF($C1306="","",IFERROR(INDEX(Insumos!$C$2:$C$151,MATCH($C1306,Insumos!$A$2:$A$151,0)),""))</f>
        <v/>
      </c>
      <c r="F1306" s="21">
        <f>IF($C1306="","",IFERROR(INDEX(Insumos!$D$2:$D$151,MATCH($C1306,Insumos!$A$2:$A$151,0)),""))</f>
        <v/>
      </c>
      <c r="G1306" s="18" t="n"/>
      <c r="H1306" s="19">
        <f>IF(OR($A1306="",$C1306=""),"",IFERROR(INDEX(Insumos!$M$2:$S$151,MATCH($C1306,Insumos!$A$2:$A$151,0),WEEKDAY($A1306,2)),""))</f>
        <v/>
      </c>
      <c r="I1306" s="19">
        <f>IF(OR($G1306="",$H1306=""),"",MAX(0,$H1306-$G1306))</f>
        <v/>
      </c>
      <c r="J1306" s="21">
        <f>IF($I1306="","",IF($I1306=0,"OK",IF($G1306&lt;=0,"Sin stock: pedir ya","Pedir o producir")))</f>
        <v/>
      </c>
      <c r="K1306" s="17" t="n"/>
      <c r="L1306" s="17" t="n"/>
      <c r="M1306" s="21">
        <f>IF(OR($A1306="",$A1306&lt;&gt;'Lista para pedir'!$C$3,N($I1306)&lt;=0),"",COUNTIFS($A$2:$A1306,$A1306,$I$2:$I1306,"&gt;0"))</f>
        <v/>
      </c>
    </row>
    <row r="1307">
      <c r="A1307" s="20" t="n"/>
      <c r="B1307" s="21">
        <f>IF($A1307="","",CHOOSE(WEEKDAY($A1307,2),"Lunes","Martes","Miércoles","Jueves","Viernes","Sábado","Domingo"))</f>
        <v/>
      </c>
      <c r="C1307" s="17" t="n"/>
      <c r="D1307" s="21">
        <f>IF($C1307="","",IFERROR(INDEX(Insumos!$B$2:$B$151,MATCH($C1307,Insumos!$A$2:$A$151,0)),"Código no cargado"))</f>
        <v/>
      </c>
      <c r="E1307" s="21">
        <f>IF($C1307="","",IFERROR(INDEX(Insumos!$C$2:$C$151,MATCH($C1307,Insumos!$A$2:$A$151,0)),""))</f>
        <v/>
      </c>
      <c r="F1307" s="21">
        <f>IF($C1307="","",IFERROR(INDEX(Insumos!$D$2:$D$151,MATCH($C1307,Insumos!$A$2:$A$151,0)),""))</f>
        <v/>
      </c>
      <c r="G1307" s="18" t="n"/>
      <c r="H1307" s="19">
        <f>IF(OR($A1307="",$C1307=""),"",IFERROR(INDEX(Insumos!$M$2:$S$151,MATCH($C1307,Insumos!$A$2:$A$151,0),WEEKDAY($A1307,2)),""))</f>
        <v/>
      </c>
      <c r="I1307" s="19">
        <f>IF(OR($G1307="",$H1307=""),"",MAX(0,$H1307-$G1307))</f>
        <v/>
      </c>
      <c r="J1307" s="21">
        <f>IF($I1307="","",IF($I1307=0,"OK",IF($G1307&lt;=0,"Sin stock: pedir ya","Pedir o producir")))</f>
        <v/>
      </c>
      <c r="K1307" s="17" t="n"/>
      <c r="L1307" s="17" t="n"/>
      <c r="M1307" s="21">
        <f>IF(OR($A1307="",$A1307&lt;&gt;'Lista para pedir'!$C$3,N($I1307)&lt;=0),"",COUNTIFS($A$2:$A1307,$A1307,$I$2:$I1307,"&gt;0"))</f>
        <v/>
      </c>
    </row>
    <row r="1308">
      <c r="A1308" s="20" t="n"/>
      <c r="B1308" s="21">
        <f>IF($A1308="","",CHOOSE(WEEKDAY($A1308,2),"Lunes","Martes","Miércoles","Jueves","Viernes","Sábado","Domingo"))</f>
        <v/>
      </c>
      <c r="C1308" s="17" t="n"/>
      <c r="D1308" s="21">
        <f>IF($C1308="","",IFERROR(INDEX(Insumos!$B$2:$B$151,MATCH($C1308,Insumos!$A$2:$A$151,0)),"Código no cargado"))</f>
        <v/>
      </c>
      <c r="E1308" s="21">
        <f>IF($C1308="","",IFERROR(INDEX(Insumos!$C$2:$C$151,MATCH($C1308,Insumos!$A$2:$A$151,0)),""))</f>
        <v/>
      </c>
      <c r="F1308" s="21">
        <f>IF($C1308="","",IFERROR(INDEX(Insumos!$D$2:$D$151,MATCH($C1308,Insumos!$A$2:$A$151,0)),""))</f>
        <v/>
      </c>
      <c r="G1308" s="18" t="n"/>
      <c r="H1308" s="19">
        <f>IF(OR($A1308="",$C1308=""),"",IFERROR(INDEX(Insumos!$M$2:$S$151,MATCH($C1308,Insumos!$A$2:$A$151,0),WEEKDAY($A1308,2)),""))</f>
        <v/>
      </c>
      <c r="I1308" s="19">
        <f>IF(OR($G1308="",$H1308=""),"",MAX(0,$H1308-$G1308))</f>
        <v/>
      </c>
      <c r="J1308" s="21">
        <f>IF($I1308="","",IF($I1308=0,"OK",IF($G1308&lt;=0,"Sin stock: pedir ya","Pedir o producir")))</f>
        <v/>
      </c>
      <c r="K1308" s="17" t="n"/>
      <c r="L1308" s="17" t="n"/>
      <c r="M1308" s="21">
        <f>IF(OR($A1308="",$A1308&lt;&gt;'Lista para pedir'!$C$3,N($I1308)&lt;=0),"",COUNTIFS($A$2:$A1308,$A1308,$I$2:$I1308,"&gt;0"))</f>
        <v/>
      </c>
    </row>
    <row r="1309">
      <c r="A1309" s="20" t="n"/>
      <c r="B1309" s="21">
        <f>IF($A1309="","",CHOOSE(WEEKDAY($A1309,2),"Lunes","Martes","Miércoles","Jueves","Viernes","Sábado","Domingo"))</f>
        <v/>
      </c>
      <c r="C1309" s="17" t="n"/>
      <c r="D1309" s="21">
        <f>IF($C1309="","",IFERROR(INDEX(Insumos!$B$2:$B$151,MATCH($C1309,Insumos!$A$2:$A$151,0)),"Código no cargado"))</f>
        <v/>
      </c>
      <c r="E1309" s="21">
        <f>IF($C1309="","",IFERROR(INDEX(Insumos!$C$2:$C$151,MATCH($C1309,Insumos!$A$2:$A$151,0)),""))</f>
        <v/>
      </c>
      <c r="F1309" s="21">
        <f>IF($C1309="","",IFERROR(INDEX(Insumos!$D$2:$D$151,MATCH($C1309,Insumos!$A$2:$A$151,0)),""))</f>
        <v/>
      </c>
      <c r="G1309" s="18" t="n"/>
      <c r="H1309" s="19">
        <f>IF(OR($A1309="",$C1309=""),"",IFERROR(INDEX(Insumos!$M$2:$S$151,MATCH($C1309,Insumos!$A$2:$A$151,0),WEEKDAY($A1309,2)),""))</f>
        <v/>
      </c>
      <c r="I1309" s="19">
        <f>IF(OR($G1309="",$H1309=""),"",MAX(0,$H1309-$G1309))</f>
        <v/>
      </c>
      <c r="J1309" s="21">
        <f>IF($I1309="","",IF($I1309=0,"OK",IF($G1309&lt;=0,"Sin stock: pedir ya","Pedir o producir")))</f>
        <v/>
      </c>
      <c r="K1309" s="17" t="n"/>
      <c r="L1309" s="17" t="n"/>
      <c r="M1309" s="21">
        <f>IF(OR($A1309="",$A1309&lt;&gt;'Lista para pedir'!$C$3,N($I1309)&lt;=0),"",COUNTIFS($A$2:$A1309,$A1309,$I$2:$I1309,"&gt;0"))</f>
        <v/>
      </c>
    </row>
    <row r="1310">
      <c r="A1310" s="20" t="n"/>
      <c r="B1310" s="21">
        <f>IF($A1310="","",CHOOSE(WEEKDAY($A1310,2),"Lunes","Martes","Miércoles","Jueves","Viernes","Sábado","Domingo"))</f>
        <v/>
      </c>
      <c r="C1310" s="17" t="n"/>
      <c r="D1310" s="21">
        <f>IF($C1310="","",IFERROR(INDEX(Insumos!$B$2:$B$151,MATCH($C1310,Insumos!$A$2:$A$151,0)),"Código no cargado"))</f>
        <v/>
      </c>
      <c r="E1310" s="21">
        <f>IF($C1310="","",IFERROR(INDEX(Insumos!$C$2:$C$151,MATCH($C1310,Insumos!$A$2:$A$151,0)),""))</f>
        <v/>
      </c>
      <c r="F1310" s="21">
        <f>IF($C1310="","",IFERROR(INDEX(Insumos!$D$2:$D$151,MATCH($C1310,Insumos!$A$2:$A$151,0)),""))</f>
        <v/>
      </c>
      <c r="G1310" s="18" t="n"/>
      <c r="H1310" s="19">
        <f>IF(OR($A1310="",$C1310=""),"",IFERROR(INDEX(Insumos!$M$2:$S$151,MATCH($C1310,Insumos!$A$2:$A$151,0),WEEKDAY($A1310,2)),""))</f>
        <v/>
      </c>
      <c r="I1310" s="19">
        <f>IF(OR($G1310="",$H1310=""),"",MAX(0,$H1310-$G1310))</f>
        <v/>
      </c>
      <c r="J1310" s="21">
        <f>IF($I1310="","",IF($I1310=0,"OK",IF($G1310&lt;=0,"Sin stock: pedir ya","Pedir o producir")))</f>
        <v/>
      </c>
      <c r="K1310" s="17" t="n"/>
      <c r="L1310" s="17" t="n"/>
      <c r="M1310" s="21">
        <f>IF(OR($A1310="",$A1310&lt;&gt;'Lista para pedir'!$C$3,N($I1310)&lt;=0),"",COUNTIFS($A$2:$A1310,$A1310,$I$2:$I1310,"&gt;0"))</f>
        <v/>
      </c>
    </row>
    <row r="1311">
      <c r="A1311" s="20" t="n"/>
      <c r="B1311" s="21">
        <f>IF($A1311="","",CHOOSE(WEEKDAY($A1311,2),"Lunes","Martes","Miércoles","Jueves","Viernes","Sábado","Domingo"))</f>
        <v/>
      </c>
      <c r="C1311" s="17" t="n"/>
      <c r="D1311" s="21">
        <f>IF($C1311="","",IFERROR(INDEX(Insumos!$B$2:$B$151,MATCH($C1311,Insumos!$A$2:$A$151,0)),"Código no cargado"))</f>
        <v/>
      </c>
      <c r="E1311" s="21">
        <f>IF($C1311="","",IFERROR(INDEX(Insumos!$C$2:$C$151,MATCH($C1311,Insumos!$A$2:$A$151,0)),""))</f>
        <v/>
      </c>
      <c r="F1311" s="21">
        <f>IF($C1311="","",IFERROR(INDEX(Insumos!$D$2:$D$151,MATCH($C1311,Insumos!$A$2:$A$151,0)),""))</f>
        <v/>
      </c>
      <c r="G1311" s="18" t="n"/>
      <c r="H1311" s="19">
        <f>IF(OR($A1311="",$C1311=""),"",IFERROR(INDEX(Insumos!$M$2:$S$151,MATCH($C1311,Insumos!$A$2:$A$151,0),WEEKDAY($A1311,2)),""))</f>
        <v/>
      </c>
      <c r="I1311" s="19">
        <f>IF(OR($G1311="",$H1311=""),"",MAX(0,$H1311-$G1311))</f>
        <v/>
      </c>
      <c r="J1311" s="21">
        <f>IF($I1311="","",IF($I1311=0,"OK",IF($G1311&lt;=0,"Sin stock: pedir ya","Pedir o producir")))</f>
        <v/>
      </c>
      <c r="K1311" s="17" t="n"/>
      <c r="L1311" s="17" t="n"/>
      <c r="M1311" s="21">
        <f>IF(OR($A1311="",$A1311&lt;&gt;'Lista para pedir'!$C$3,N($I1311)&lt;=0),"",COUNTIFS($A$2:$A1311,$A1311,$I$2:$I1311,"&gt;0"))</f>
        <v/>
      </c>
    </row>
    <row r="1312">
      <c r="A1312" s="20" t="n"/>
      <c r="B1312" s="21">
        <f>IF($A1312="","",CHOOSE(WEEKDAY($A1312,2),"Lunes","Martes","Miércoles","Jueves","Viernes","Sábado","Domingo"))</f>
        <v/>
      </c>
      <c r="C1312" s="17" t="n"/>
      <c r="D1312" s="21">
        <f>IF($C1312="","",IFERROR(INDEX(Insumos!$B$2:$B$151,MATCH($C1312,Insumos!$A$2:$A$151,0)),"Código no cargado"))</f>
        <v/>
      </c>
      <c r="E1312" s="21">
        <f>IF($C1312="","",IFERROR(INDEX(Insumos!$C$2:$C$151,MATCH($C1312,Insumos!$A$2:$A$151,0)),""))</f>
        <v/>
      </c>
      <c r="F1312" s="21">
        <f>IF($C1312="","",IFERROR(INDEX(Insumos!$D$2:$D$151,MATCH($C1312,Insumos!$A$2:$A$151,0)),""))</f>
        <v/>
      </c>
      <c r="G1312" s="18" t="n"/>
      <c r="H1312" s="19">
        <f>IF(OR($A1312="",$C1312=""),"",IFERROR(INDEX(Insumos!$M$2:$S$151,MATCH($C1312,Insumos!$A$2:$A$151,0),WEEKDAY($A1312,2)),""))</f>
        <v/>
      </c>
      <c r="I1312" s="19">
        <f>IF(OR($G1312="",$H1312=""),"",MAX(0,$H1312-$G1312))</f>
        <v/>
      </c>
      <c r="J1312" s="21">
        <f>IF($I1312="","",IF($I1312=0,"OK",IF($G1312&lt;=0,"Sin stock: pedir ya","Pedir o producir")))</f>
        <v/>
      </c>
      <c r="K1312" s="17" t="n"/>
      <c r="L1312" s="17" t="n"/>
      <c r="M1312" s="21">
        <f>IF(OR($A1312="",$A1312&lt;&gt;'Lista para pedir'!$C$3,N($I1312)&lt;=0),"",COUNTIFS($A$2:$A1312,$A1312,$I$2:$I1312,"&gt;0"))</f>
        <v/>
      </c>
    </row>
    <row r="1313">
      <c r="A1313" s="20" t="n"/>
      <c r="B1313" s="21">
        <f>IF($A1313="","",CHOOSE(WEEKDAY($A1313,2),"Lunes","Martes","Miércoles","Jueves","Viernes","Sábado","Domingo"))</f>
        <v/>
      </c>
      <c r="C1313" s="17" t="n"/>
      <c r="D1313" s="21">
        <f>IF($C1313="","",IFERROR(INDEX(Insumos!$B$2:$B$151,MATCH($C1313,Insumos!$A$2:$A$151,0)),"Código no cargado"))</f>
        <v/>
      </c>
      <c r="E1313" s="21">
        <f>IF($C1313="","",IFERROR(INDEX(Insumos!$C$2:$C$151,MATCH($C1313,Insumos!$A$2:$A$151,0)),""))</f>
        <v/>
      </c>
      <c r="F1313" s="21">
        <f>IF($C1313="","",IFERROR(INDEX(Insumos!$D$2:$D$151,MATCH($C1313,Insumos!$A$2:$A$151,0)),""))</f>
        <v/>
      </c>
      <c r="G1313" s="18" t="n"/>
      <c r="H1313" s="19">
        <f>IF(OR($A1313="",$C1313=""),"",IFERROR(INDEX(Insumos!$M$2:$S$151,MATCH($C1313,Insumos!$A$2:$A$151,0),WEEKDAY($A1313,2)),""))</f>
        <v/>
      </c>
      <c r="I1313" s="19">
        <f>IF(OR($G1313="",$H1313=""),"",MAX(0,$H1313-$G1313))</f>
        <v/>
      </c>
      <c r="J1313" s="21">
        <f>IF($I1313="","",IF($I1313=0,"OK",IF($G1313&lt;=0,"Sin stock: pedir ya","Pedir o producir")))</f>
        <v/>
      </c>
      <c r="K1313" s="17" t="n"/>
      <c r="L1313" s="17" t="n"/>
      <c r="M1313" s="21">
        <f>IF(OR($A1313="",$A1313&lt;&gt;'Lista para pedir'!$C$3,N($I1313)&lt;=0),"",COUNTIFS($A$2:$A1313,$A1313,$I$2:$I1313,"&gt;0"))</f>
        <v/>
      </c>
    </row>
    <row r="1314">
      <c r="A1314" s="20" t="n"/>
      <c r="B1314" s="21">
        <f>IF($A1314="","",CHOOSE(WEEKDAY($A1314,2),"Lunes","Martes","Miércoles","Jueves","Viernes","Sábado","Domingo"))</f>
        <v/>
      </c>
      <c r="C1314" s="17" t="n"/>
      <c r="D1314" s="21">
        <f>IF($C1314="","",IFERROR(INDEX(Insumos!$B$2:$B$151,MATCH($C1314,Insumos!$A$2:$A$151,0)),"Código no cargado"))</f>
        <v/>
      </c>
      <c r="E1314" s="21">
        <f>IF($C1314="","",IFERROR(INDEX(Insumos!$C$2:$C$151,MATCH($C1314,Insumos!$A$2:$A$151,0)),""))</f>
        <v/>
      </c>
      <c r="F1314" s="21">
        <f>IF($C1314="","",IFERROR(INDEX(Insumos!$D$2:$D$151,MATCH($C1314,Insumos!$A$2:$A$151,0)),""))</f>
        <v/>
      </c>
      <c r="G1314" s="18" t="n"/>
      <c r="H1314" s="19">
        <f>IF(OR($A1314="",$C1314=""),"",IFERROR(INDEX(Insumos!$M$2:$S$151,MATCH($C1314,Insumos!$A$2:$A$151,0),WEEKDAY($A1314,2)),""))</f>
        <v/>
      </c>
      <c r="I1314" s="19">
        <f>IF(OR($G1314="",$H1314=""),"",MAX(0,$H1314-$G1314))</f>
        <v/>
      </c>
      <c r="J1314" s="21">
        <f>IF($I1314="","",IF($I1314=0,"OK",IF($G1314&lt;=0,"Sin stock: pedir ya","Pedir o producir")))</f>
        <v/>
      </c>
      <c r="K1314" s="17" t="n"/>
      <c r="L1314" s="17" t="n"/>
      <c r="M1314" s="21">
        <f>IF(OR($A1314="",$A1314&lt;&gt;'Lista para pedir'!$C$3,N($I1314)&lt;=0),"",COUNTIFS($A$2:$A1314,$A1314,$I$2:$I1314,"&gt;0"))</f>
        <v/>
      </c>
    </row>
    <row r="1315">
      <c r="A1315" s="20" t="n"/>
      <c r="B1315" s="21">
        <f>IF($A1315="","",CHOOSE(WEEKDAY($A1315,2),"Lunes","Martes","Miércoles","Jueves","Viernes","Sábado","Domingo"))</f>
        <v/>
      </c>
      <c r="C1315" s="17" t="n"/>
      <c r="D1315" s="21">
        <f>IF($C1315="","",IFERROR(INDEX(Insumos!$B$2:$B$151,MATCH($C1315,Insumos!$A$2:$A$151,0)),"Código no cargado"))</f>
        <v/>
      </c>
      <c r="E1315" s="21">
        <f>IF($C1315="","",IFERROR(INDEX(Insumos!$C$2:$C$151,MATCH($C1315,Insumos!$A$2:$A$151,0)),""))</f>
        <v/>
      </c>
      <c r="F1315" s="21">
        <f>IF($C1315="","",IFERROR(INDEX(Insumos!$D$2:$D$151,MATCH($C1315,Insumos!$A$2:$A$151,0)),""))</f>
        <v/>
      </c>
      <c r="G1315" s="18" t="n"/>
      <c r="H1315" s="19">
        <f>IF(OR($A1315="",$C1315=""),"",IFERROR(INDEX(Insumos!$M$2:$S$151,MATCH($C1315,Insumos!$A$2:$A$151,0),WEEKDAY($A1315,2)),""))</f>
        <v/>
      </c>
      <c r="I1315" s="19">
        <f>IF(OR($G1315="",$H1315=""),"",MAX(0,$H1315-$G1315))</f>
        <v/>
      </c>
      <c r="J1315" s="21">
        <f>IF($I1315="","",IF($I1315=0,"OK",IF($G1315&lt;=0,"Sin stock: pedir ya","Pedir o producir")))</f>
        <v/>
      </c>
      <c r="K1315" s="17" t="n"/>
      <c r="L1315" s="17" t="n"/>
      <c r="M1315" s="21">
        <f>IF(OR($A1315="",$A1315&lt;&gt;'Lista para pedir'!$C$3,N($I1315)&lt;=0),"",COUNTIFS($A$2:$A1315,$A1315,$I$2:$I1315,"&gt;0"))</f>
        <v/>
      </c>
    </row>
    <row r="1316">
      <c r="A1316" s="20" t="n"/>
      <c r="B1316" s="21">
        <f>IF($A1316="","",CHOOSE(WEEKDAY($A1316,2),"Lunes","Martes","Miércoles","Jueves","Viernes","Sábado","Domingo"))</f>
        <v/>
      </c>
      <c r="C1316" s="17" t="n"/>
      <c r="D1316" s="21">
        <f>IF($C1316="","",IFERROR(INDEX(Insumos!$B$2:$B$151,MATCH($C1316,Insumos!$A$2:$A$151,0)),"Código no cargado"))</f>
        <v/>
      </c>
      <c r="E1316" s="21">
        <f>IF($C1316="","",IFERROR(INDEX(Insumos!$C$2:$C$151,MATCH($C1316,Insumos!$A$2:$A$151,0)),""))</f>
        <v/>
      </c>
      <c r="F1316" s="21">
        <f>IF($C1316="","",IFERROR(INDEX(Insumos!$D$2:$D$151,MATCH($C1316,Insumos!$A$2:$A$151,0)),""))</f>
        <v/>
      </c>
      <c r="G1316" s="18" t="n"/>
      <c r="H1316" s="19">
        <f>IF(OR($A1316="",$C1316=""),"",IFERROR(INDEX(Insumos!$M$2:$S$151,MATCH($C1316,Insumos!$A$2:$A$151,0),WEEKDAY($A1316,2)),""))</f>
        <v/>
      </c>
      <c r="I1316" s="19">
        <f>IF(OR($G1316="",$H1316=""),"",MAX(0,$H1316-$G1316))</f>
        <v/>
      </c>
      <c r="J1316" s="21">
        <f>IF($I1316="","",IF($I1316=0,"OK",IF($G1316&lt;=0,"Sin stock: pedir ya","Pedir o producir")))</f>
        <v/>
      </c>
      <c r="K1316" s="17" t="n"/>
      <c r="L1316" s="17" t="n"/>
      <c r="M1316" s="21">
        <f>IF(OR($A1316="",$A1316&lt;&gt;'Lista para pedir'!$C$3,N($I1316)&lt;=0),"",COUNTIFS($A$2:$A1316,$A1316,$I$2:$I1316,"&gt;0"))</f>
        <v/>
      </c>
    </row>
    <row r="1317">
      <c r="A1317" s="20" t="n"/>
      <c r="B1317" s="21">
        <f>IF($A1317="","",CHOOSE(WEEKDAY($A1317,2),"Lunes","Martes","Miércoles","Jueves","Viernes","Sábado","Domingo"))</f>
        <v/>
      </c>
      <c r="C1317" s="17" t="n"/>
      <c r="D1317" s="21">
        <f>IF($C1317="","",IFERROR(INDEX(Insumos!$B$2:$B$151,MATCH($C1317,Insumos!$A$2:$A$151,0)),"Código no cargado"))</f>
        <v/>
      </c>
      <c r="E1317" s="21">
        <f>IF($C1317="","",IFERROR(INDEX(Insumos!$C$2:$C$151,MATCH($C1317,Insumos!$A$2:$A$151,0)),""))</f>
        <v/>
      </c>
      <c r="F1317" s="21">
        <f>IF($C1317="","",IFERROR(INDEX(Insumos!$D$2:$D$151,MATCH($C1317,Insumos!$A$2:$A$151,0)),""))</f>
        <v/>
      </c>
      <c r="G1317" s="18" t="n"/>
      <c r="H1317" s="19">
        <f>IF(OR($A1317="",$C1317=""),"",IFERROR(INDEX(Insumos!$M$2:$S$151,MATCH($C1317,Insumos!$A$2:$A$151,0),WEEKDAY($A1317,2)),""))</f>
        <v/>
      </c>
      <c r="I1317" s="19">
        <f>IF(OR($G1317="",$H1317=""),"",MAX(0,$H1317-$G1317))</f>
        <v/>
      </c>
      <c r="J1317" s="21">
        <f>IF($I1317="","",IF($I1317=0,"OK",IF($G1317&lt;=0,"Sin stock: pedir ya","Pedir o producir")))</f>
        <v/>
      </c>
      <c r="K1317" s="17" t="n"/>
      <c r="L1317" s="17" t="n"/>
      <c r="M1317" s="21">
        <f>IF(OR($A1317="",$A1317&lt;&gt;'Lista para pedir'!$C$3,N($I1317)&lt;=0),"",COUNTIFS($A$2:$A1317,$A1317,$I$2:$I1317,"&gt;0"))</f>
        <v/>
      </c>
    </row>
    <row r="1318">
      <c r="A1318" s="20" t="n"/>
      <c r="B1318" s="21">
        <f>IF($A1318="","",CHOOSE(WEEKDAY($A1318,2),"Lunes","Martes","Miércoles","Jueves","Viernes","Sábado","Domingo"))</f>
        <v/>
      </c>
      <c r="C1318" s="17" t="n"/>
      <c r="D1318" s="21">
        <f>IF($C1318="","",IFERROR(INDEX(Insumos!$B$2:$B$151,MATCH($C1318,Insumos!$A$2:$A$151,0)),"Código no cargado"))</f>
        <v/>
      </c>
      <c r="E1318" s="21">
        <f>IF($C1318="","",IFERROR(INDEX(Insumos!$C$2:$C$151,MATCH($C1318,Insumos!$A$2:$A$151,0)),""))</f>
        <v/>
      </c>
      <c r="F1318" s="21">
        <f>IF($C1318="","",IFERROR(INDEX(Insumos!$D$2:$D$151,MATCH($C1318,Insumos!$A$2:$A$151,0)),""))</f>
        <v/>
      </c>
      <c r="G1318" s="18" t="n"/>
      <c r="H1318" s="19">
        <f>IF(OR($A1318="",$C1318=""),"",IFERROR(INDEX(Insumos!$M$2:$S$151,MATCH($C1318,Insumos!$A$2:$A$151,0),WEEKDAY($A1318,2)),""))</f>
        <v/>
      </c>
      <c r="I1318" s="19">
        <f>IF(OR($G1318="",$H1318=""),"",MAX(0,$H1318-$G1318))</f>
        <v/>
      </c>
      <c r="J1318" s="21">
        <f>IF($I1318="","",IF($I1318=0,"OK",IF($G1318&lt;=0,"Sin stock: pedir ya","Pedir o producir")))</f>
        <v/>
      </c>
      <c r="K1318" s="17" t="n"/>
      <c r="L1318" s="17" t="n"/>
      <c r="M1318" s="21">
        <f>IF(OR($A1318="",$A1318&lt;&gt;'Lista para pedir'!$C$3,N($I1318)&lt;=0),"",COUNTIFS($A$2:$A1318,$A1318,$I$2:$I1318,"&gt;0"))</f>
        <v/>
      </c>
    </row>
    <row r="1319">
      <c r="A1319" s="20" t="n"/>
      <c r="B1319" s="21">
        <f>IF($A1319="","",CHOOSE(WEEKDAY($A1319,2),"Lunes","Martes","Miércoles","Jueves","Viernes","Sábado","Domingo"))</f>
        <v/>
      </c>
      <c r="C1319" s="17" t="n"/>
      <c r="D1319" s="21">
        <f>IF($C1319="","",IFERROR(INDEX(Insumos!$B$2:$B$151,MATCH($C1319,Insumos!$A$2:$A$151,0)),"Código no cargado"))</f>
        <v/>
      </c>
      <c r="E1319" s="21">
        <f>IF($C1319="","",IFERROR(INDEX(Insumos!$C$2:$C$151,MATCH($C1319,Insumos!$A$2:$A$151,0)),""))</f>
        <v/>
      </c>
      <c r="F1319" s="21">
        <f>IF($C1319="","",IFERROR(INDEX(Insumos!$D$2:$D$151,MATCH($C1319,Insumos!$A$2:$A$151,0)),""))</f>
        <v/>
      </c>
      <c r="G1319" s="18" t="n"/>
      <c r="H1319" s="19">
        <f>IF(OR($A1319="",$C1319=""),"",IFERROR(INDEX(Insumos!$M$2:$S$151,MATCH($C1319,Insumos!$A$2:$A$151,0),WEEKDAY($A1319,2)),""))</f>
        <v/>
      </c>
      <c r="I1319" s="19">
        <f>IF(OR($G1319="",$H1319=""),"",MAX(0,$H1319-$G1319))</f>
        <v/>
      </c>
      <c r="J1319" s="21">
        <f>IF($I1319="","",IF($I1319=0,"OK",IF($G1319&lt;=0,"Sin stock: pedir ya","Pedir o producir")))</f>
        <v/>
      </c>
      <c r="K1319" s="17" t="n"/>
      <c r="L1319" s="17" t="n"/>
      <c r="M1319" s="21">
        <f>IF(OR($A1319="",$A1319&lt;&gt;'Lista para pedir'!$C$3,N($I1319)&lt;=0),"",COUNTIFS($A$2:$A1319,$A1319,$I$2:$I1319,"&gt;0"))</f>
        <v/>
      </c>
    </row>
    <row r="1320">
      <c r="A1320" s="20" t="n"/>
      <c r="B1320" s="21">
        <f>IF($A1320="","",CHOOSE(WEEKDAY($A1320,2),"Lunes","Martes","Miércoles","Jueves","Viernes","Sábado","Domingo"))</f>
        <v/>
      </c>
      <c r="C1320" s="17" t="n"/>
      <c r="D1320" s="21">
        <f>IF($C1320="","",IFERROR(INDEX(Insumos!$B$2:$B$151,MATCH($C1320,Insumos!$A$2:$A$151,0)),"Código no cargado"))</f>
        <v/>
      </c>
      <c r="E1320" s="21">
        <f>IF($C1320="","",IFERROR(INDEX(Insumos!$C$2:$C$151,MATCH($C1320,Insumos!$A$2:$A$151,0)),""))</f>
        <v/>
      </c>
      <c r="F1320" s="21">
        <f>IF($C1320="","",IFERROR(INDEX(Insumos!$D$2:$D$151,MATCH($C1320,Insumos!$A$2:$A$151,0)),""))</f>
        <v/>
      </c>
      <c r="G1320" s="18" t="n"/>
      <c r="H1320" s="19">
        <f>IF(OR($A1320="",$C1320=""),"",IFERROR(INDEX(Insumos!$M$2:$S$151,MATCH($C1320,Insumos!$A$2:$A$151,0),WEEKDAY($A1320,2)),""))</f>
        <v/>
      </c>
      <c r="I1320" s="19">
        <f>IF(OR($G1320="",$H1320=""),"",MAX(0,$H1320-$G1320))</f>
        <v/>
      </c>
      <c r="J1320" s="21">
        <f>IF($I1320="","",IF($I1320=0,"OK",IF($G1320&lt;=0,"Sin stock: pedir ya","Pedir o producir")))</f>
        <v/>
      </c>
      <c r="K1320" s="17" t="n"/>
      <c r="L1320" s="17" t="n"/>
      <c r="M1320" s="21">
        <f>IF(OR($A1320="",$A1320&lt;&gt;'Lista para pedir'!$C$3,N($I1320)&lt;=0),"",COUNTIFS($A$2:$A1320,$A1320,$I$2:$I1320,"&gt;0"))</f>
        <v/>
      </c>
    </row>
    <row r="1321">
      <c r="A1321" s="20" t="n"/>
      <c r="B1321" s="21">
        <f>IF($A1321="","",CHOOSE(WEEKDAY($A1321,2),"Lunes","Martes","Miércoles","Jueves","Viernes","Sábado","Domingo"))</f>
        <v/>
      </c>
      <c r="C1321" s="17" t="n"/>
      <c r="D1321" s="21">
        <f>IF($C1321="","",IFERROR(INDEX(Insumos!$B$2:$B$151,MATCH($C1321,Insumos!$A$2:$A$151,0)),"Código no cargado"))</f>
        <v/>
      </c>
      <c r="E1321" s="21">
        <f>IF($C1321="","",IFERROR(INDEX(Insumos!$C$2:$C$151,MATCH($C1321,Insumos!$A$2:$A$151,0)),""))</f>
        <v/>
      </c>
      <c r="F1321" s="21">
        <f>IF($C1321="","",IFERROR(INDEX(Insumos!$D$2:$D$151,MATCH($C1321,Insumos!$A$2:$A$151,0)),""))</f>
        <v/>
      </c>
      <c r="G1321" s="18" t="n"/>
      <c r="H1321" s="19">
        <f>IF(OR($A1321="",$C1321=""),"",IFERROR(INDEX(Insumos!$M$2:$S$151,MATCH($C1321,Insumos!$A$2:$A$151,0),WEEKDAY($A1321,2)),""))</f>
        <v/>
      </c>
      <c r="I1321" s="19">
        <f>IF(OR($G1321="",$H1321=""),"",MAX(0,$H1321-$G1321))</f>
        <v/>
      </c>
      <c r="J1321" s="21">
        <f>IF($I1321="","",IF($I1321=0,"OK",IF($G1321&lt;=0,"Sin stock: pedir ya","Pedir o producir")))</f>
        <v/>
      </c>
      <c r="K1321" s="17" t="n"/>
      <c r="L1321" s="17" t="n"/>
      <c r="M1321" s="21">
        <f>IF(OR($A1321="",$A1321&lt;&gt;'Lista para pedir'!$C$3,N($I1321)&lt;=0),"",COUNTIFS($A$2:$A1321,$A1321,$I$2:$I1321,"&gt;0"))</f>
        <v/>
      </c>
    </row>
    <row r="1322">
      <c r="A1322" s="20" t="n"/>
      <c r="B1322" s="21">
        <f>IF($A1322="","",CHOOSE(WEEKDAY($A1322,2),"Lunes","Martes","Miércoles","Jueves","Viernes","Sábado","Domingo"))</f>
        <v/>
      </c>
      <c r="C1322" s="17" t="n"/>
      <c r="D1322" s="21">
        <f>IF($C1322="","",IFERROR(INDEX(Insumos!$B$2:$B$151,MATCH($C1322,Insumos!$A$2:$A$151,0)),"Código no cargado"))</f>
        <v/>
      </c>
      <c r="E1322" s="21">
        <f>IF($C1322="","",IFERROR(INDEX(Insumos!$C$2:$C$151,MATCH($C1322,Insumos!$A$2:$A$151,0)),""))</f>
        <v/>
      </c>
      <c r="F1322" s="21">
        <f>IF($C1322="","",IFERROR(INDEX(Insumos!$D$2:$D$151,MATCH($C1322,Insumos!$A$2:$A$151,0)),""))</f>
        <v/>
      </c>
      <c r="G1322" s="18" t="n"/>
      <c r="H1322" s="19">
        <f>IF(OR($A1322="",$C1322=""),"",IFERROR(INDEX(Insumos!$M$2:$S$151,MATCH($C1322,Insumos!$A$2:$A$151,0),WEEKDAY($A1322,2)),""))</f>
        <v/>
      </c>
      <c r="I1322" s="19">
        <f>IF(OR($G1322="",$H1322=""),"",MAX(0,$H1322-$G1322))</f>
        <v/>
      </c>
      <c r="J1322" s="21">
        <f>IF($I1322="","",IF($I1322=0,"OK",IF($G1322&lt;=0,"Sin stock: pedir ya","Pedir o producir")))</f>
        <v/>
      </c>
      <c r="K1322" s="17" t="n"/>
      <c r="L1322" s="17" t="n"/>
      <c r="M1322" s="21">
        <f>IF(OR($A1322="",$A1322&lt;&gt;'Lista para pedir'!$C$3,N($I1322)&lt;=0),"",COUNTIFS($A$2:$A1322,$A1322,$I$2:$I1322,"&gt;0"))</f>
        <v/>
      </c>
    </row>
    <row r="1323">
      <c r="A1323" s="20" t="n"/>
      <c r="B1323" s="21">
        <f>IF($A1323="","",CHOOSE(WEEKDAY($A1323,2),"Lunes","Martes","Miércoles","Jueves","Viernes","Sábado","Domingo"))</f>
        <v/>
      </c>
      <c r="C1323" s="17" t="n"/>
      <c r="D1323" s="21">
        <f>IF($C1323="","",IFERROR(INDEX(Insumos!$B$2:$B$151,MATCH($C1323,Insumos!$A$2:$A$151,0)),"Código no cargado"))</f>
        <v/>
      </c>
      <c r="E1323" s="21">
        <f>IF($C1323="","",IFERROR(INDEX(Insumos!$C$2:$C$151,MATCH($C1323,Insumos!$A$2:$A$151,0)),""))</f>
        <v/>
      </c>
      <c r="F1323" s="21">
        <f>IF($C1323="","",IFERROR(INDEX(Insumos!$D$2:$D$151,MATCH($C1323,Insumos!$A$2:$A$151,0)),""))</f>
        <v/>
      </c>
      <c r="G1323" s="18" t="n"/>
      <c r="H1323" s="19">
        <f>IF(OR($A1323="",$C1323=""),"",IFERROR(INDEX(Insumos!$M$2:$S$151,MATCH($C1323,Insumos!$A$2:$A$151,0),WEEKDAY($A1323,2)),""))</f>
        <v/>
      </c>
      <c r="I1323" s="19">
        <f>IF(OR($G1323="",$H1323=""),"",MAX(0,$H1323-$G1323))</f>
        <v/>
      </c>
      <c r="J1323" s="21">
        <f>IF($I1323="","",IF($I1323=0,"OK",IF($G1323&lt;=0,"Sin stock: pedir ya","Pedir o producir")))</f>
        <v/>
      </c>
      <c r="K1323" s="17" t="n"/>
      <c r="L1323" s="17" t="n"/>
      <c r="M1323" s="21">
        <f>IF(OR($A1323="",$A1323&lt;&gt;'Lista para pedir'!$C$3,N($I1323)&lt;=0),"",COUNTIFS($A$2:$A1323,$A1323,$I$2:$I1323,"&gt;0"))</f>
        <v/>
      </c>
    </row>
    <row r="1324">
      <c r="A1324" s="20" t="n"/>
      <c r="B1324" s="21">
        <f>IF($A1324="","",CHOOSE(WEEKDAY($A1324,2),"Lunes","Martes","Miércoles","Jueves","Viernes","Sábado","Domingo"))</f>
        <v/>
      </c>
      <c r="C1324" s="17" t="n"/>
      <c r="D1324" s="21">
        <f>IF($C1324="","",IFERROR(INDEX(Insumos!$B$2:$B$151,MATCH($C1324,Insumos!$A$2:$A$151,0)),"Código no cargado"))</f>
        <v/>
      </c>
      <c r="E1324" s="21">
        <f>IF($C1324="","",IFERROR(INDEX(Insumos!$C$2:$C$151,MATCH($C1324,Insumos!$A$2:$A$151,0)),""))</f>
        <v/>
      </c>
      <c r="F1324" s="21">
        <f>IF($C1324="","",IFERROR(INDEX(Insumos!$D$2:$D$151,MATCH($C1324,Insumos!$A$2:$A$151,0)),""))</f>
        <v/>
      </c>
      <c r="G1324" s="18" t="n"/>
      <c r="H1324" s="19">
        <f>IF(OR($A1324="",$C1324=""),"",IFERROR(INDEX(Insumos!$M$2:$S$151,MATCH($C1324,Insumos!$A$2:$A$151,0),WEEKDAY($A1324,2)),""))</f>
        <v/>
      </c>
      <c r="I1324" s="19">
        <f>IF(OR($G1324="",$H1324=""),"",MAX(0,$H1324-$G1324))</f>
        <v/>
      </c>
      <c r="J1324" s="21">
        <f>IF($I1324="","",IF($I1324=0,"OK",IF($G1324&lt;=0,"Sin stock: pedir ya","Pedir o producir")))</f>
        <v/>
      </c>
      <c r="K1324" s="17" t="n"/>
      <c r="L1324" s="17" t="n"/>
      <c r="M1324" s="21">
        <f>IF(OR($A1324="",$A1324&lt;&gt;'Lista para pedir'!$C$3,N($I1324)&lt;=0),"",COUNTIFS($A$2:$A1324,$A1324,$I$2:$I1324,"&gt;0"))</f>
        <v/>
      </c>
    </row>
    <row r="1325">
      <c r="A1325" s="20" t="n"/>
      <c r="B1325" s="21">
        <f>IF($A1325="","",CHOOSE(WEEKDAY($A1325,2),"Lunes","Martes","Miércoles","Jueves","Viernes","Sábado","Domingo"))</f>
        <v/>
      </c>
      <c r="C1325" s="17" t="n"/>
      <c r="D1325" s="21">
        <f>IF($C1325="","",IFERROR(INDEX(Insumos!$B$2:$B$151,MATCH($C1325,Insumos!$A$2:$A$151,0)),"Código no cargado"))</f>
        <v/>
      </c>
      <c r="E1325" s="21">
        <f>IF($C1325="","",IFERROR(INDEX(Insumos!$C$2:$C$151,MATCH($C1325,Insumos!$A$2:$A$151,0)),""))</f>
        <v/>
      </c>
      <c r="F1325" s="21">
        <f>IF($C1325="","",IFERROR(INDEX(Insumos!$D$2:$D$151,MATCH($C1325,Insumos!$A$2:$A$151,0)),""))</f>
        <v/>
      </c>
      <c r="G1325" s="18" t="n"/>
      <c r="H1325" s="19">
        <f>IF(OR($A1325="",$C1325=""),"",IFERROR(INDEX(Insumos!$M$2:$S$151,MATCH($C1325,Insumos!$A$2:$A$151,0),WEEKDAY($A1325,2)),""))</f>
        <v/>
      </c>
      <c r="I1325" s="19">
        <f>IF(OR($G1325="",$H1325=""),"",MAX(0,$H1325-$G1325))</f>
        <v/>
      </c>
      <c r="J1325" s="21">
        <f>IF($I1325="","",IF($I1325=0,"OK",IF($G1325&lt;=0,"Sin stock: pedir ya","Pedir o producir")))</f>
        <v/>
      </c>
      <c r="K1325" s="17" t="n"/>
      <c r="L1325" s="17" t="n"/>
      <c r="M1325" s="21">
        <f>IF(OR($A1325="",$A1325&lt;&gt;'Lista para pedir'!$C$3,N($I1325)&lt;=0),"",COUNTIFS($A$2:$A1325,$A1325,$I$2:$I1325,"&gt;0"))</f>
        <v/>
      </c>
    </row>
    <row r="1326">
      <c r="A1326" s="20" t="n"/>
      <c r="B1326" s="21">
        <f>IF($A1326="","",CHOOSE(WEEKDAY($A1326,2),"Lunes","Martes","Miércoles","Jueves","Viernes","Sábado","Domingo"))</f>
        <v/>
      </c>
      <c r="C1326" s="17" t="n"/>
      <c r="D1326" s="21">
        <f>IF($C1326="","",IFERROR(INDEX(Insumos!$B$2:$B$151,MATCH($C1326,Insumos!$A$2:$A$151,0)),"Código no cargado"))</f>
        <v/>
      </c>
      <c r="E1326" s="21">
        <f>IF($C1326="","",IFERROR(INDEX(Insumos!$C$2:$C$151,MATCH($C1326,Insumos!$A$2:$A$151,0)),""))</f>
        <v/>
      </c>
      <c r="F1326" s="21">
        <f>IF($C1326="","",IFERROR(INDEX(Insumos!$D$2:$D$151,MATCH($C1326,Insumos!$A$2:$A$151,0)),""))</f>
        <v/>
      </c>
      <c r="G1326" s="18" t="n"/>
      <c r="H1326" s="19">
        <f>IF(OR($A1326="",$C1326=""),"",IFERROR(INDEX(Insumos!$M$2:$S$151,MATCH($C1326,Insumos!$A$2:$A$151,0),WEEKDAY($A1326,2)),""))</f>
        <v/>
      </c>
      <c r="I1326" s="19">
        <f>IF(OR($G1326="",$H1326=""),"",MAX(0,$H1326-$G1326))</f>
        <v/>
      </c>
      <c r="J1326" s="21">
        <f>IF($I1326="","",IF($I1326=0,"OK",IF($G1326&lt;=0,"Sin stock: pedir ya","Pedir o producir")))</f>
        <v/>
      </c>
      <c r="K1326" s="17" t="n"/>
      <c r="L1326" s="17" t="n"/>
      <c r="M1326" s="21">
        <f>IF(OR($A1326="",$A1326&lt;&gt;'Lista para pedir'!$C$3,N($I1326)&lt;=0),"",COUNTIFS($A$2:$A1326,$A1326,$I$2:$I1326,"&gt;0"))</f>
        <v/>
      </c>
    </row>
    <row r="1327">
      <c r="A1327" s="20" t="n"/>
      <c r="B1327" s="21">
        <f>IF($A1327="","",CHOOSE(WEEKDAY($A1327,2),"Lunes","Martes","Miércoles","Jueves","Viernes","Sábado","Domingo"))</f>
        <v/>
      </c>
      <c r="C1327" s="17" t="n"/>
      <c r="D1327" s="21">
        <f>IF($C1327="","",IFERROR(INDEX(Insumos!$B$2:$B$151,MATCH($C1327,Insumos!$A$2:$A$151,0)),"Código no cargado"))</f>
        <v/>
      </c>
      <c r="E1327" s="21">
        <f>IF($C1327="","",IFERROR(INDEX(Insumos!$C$2:$C$151,MATCH($C1327,Insumos!$A$2:$A$151,0)),""))</f>
        <v/>
      </c>
      <c r="F1327" s="21">
        <f>IF($C1327="","",IFERROR(INDEX(Insumos!$D$2:$D$151,MATCH($C1327,Insumos!$A$2:$A$151,0)),""))</f>
        <v/>
      </c>
      <c r="G1327" s="18" t="n"/>
      <c r="H1327" s="19">
        <f>IF(OR($A1327="",$C1327=""),"",IFERROR(INDEX(Insumos!$M$2:$S$151,MATCH($C1327,Insumos!$A$2:$A$151,0),WEEKDAY($A1327,2)),""))</f>
        <v/>
      </c>
      <c r="I1327" s="19">
        <f>IF(OR($G1327="",$H1327=""),"",MAX(0,$H1327-$G1327))</f>
        <v/>
      </c>
      <c r="J1327" s="21">
        <f>IF($I1327="","",IF($I1327=0,"OK",IF($G1327&lt;=0,"Sin stock: pedir ya","Pedir o producir")))</f>
        <v/>
      </c>
      <c r="K1327" s="17" t="n"/>
      <c r="L1327" s="17" t="n"/>
      <c r="M1327" s="21">
        <f>IF(OR($A1327="",$A1327&lt;&gt;'Lista para pedir'!$C$3,N($I1327)&lt;=0),"",COUNTIFS($A$2:$A1327,$A1327,$I$2:$I1327,"&gt;0"))</f>
        <v/>
      </c>
    </row>
    <row r="1328">
      <c r="A1328" s="20" t="n"/>
      <c r="B1328" s="21">
        <f>IF($A1328="","",CHOOSE(WEEKDAY($A1328,2),"Lunes","Martes","Miércoles","Jueves","Viernes","Sábado","Domingo"))</f>
        <v/>
      </c>
      <c r="C1328" s="17" t="n"/>
      <c r="D1328" s="21">
        <f>IF($C1328="","",IFERROR(INDEX(Insumos!$B$2:$B$151,MATCH($C1328,Insumos!$A$2:$A$151,0)),"Código no cargado"))</f>
        <v/>
      </c>
      <c r="E1328" s="21">
        <f>IF($C1328="","",IFERROR(INDEX(Insumos!$C$2:$C$151,MATCH($C1328,Insumos!$A$2:$A$151,0)),""))</f>
        <v/>
      </c>
      <c r="F1328" s="21">
        <f>IF($C1328="","",IFERROR(INDEX(Insumos!$D$2:$D$151,MATCH($C1328,Insumos!$A$2:$A$151,0)),""))</f>
        <v/>
      </c>
      <c r="G1328" s="18" t="n"/>
      <c r="H1328" s="19">
        <f>IF(OR($A1328="",$C1328=""),"",IFERROR(INDEX(Insumos!$M$2:$S$151,MATCH($C1328,Insumos!$A$2:$A$151,0),WEEKDAY($A1328,2)),""))</f>
        <v/>
      </c>
      <c r="I1328" s="19">
        <f>IF(OR($G1328="",$H1328=""),"",MAX(0,$H1328-$G1328))</f>
        <v/>
      </c>
      <c r="J1328" s="21">
        <f>IF($I1328="","",IF($I1328=0,"OK",IF($G1328&lt;=0,"Sin stock: pedir ya","Pedir o producir")))</f>
        <v/>
      </c>
      <c r="K1328" s="17" t="n"/>
      <c r="L1328" s="17" t="n"/>
      <c r="M1328" s="21">
        <f>IF(OR($A1328="",$A1328&lt;&gt;'Lista para pedir'!$C$3,N($I1328)&lt;=0),"",COUNTIFS($A$2:$A1328,$A1328,$I$2:$I1328,"&gt;0"))</f>
        <v/>
      </c>
    </row>
    <row r="1329">
      <c r="A1329" s="20" t="n"/>
      <c r="B1329" s="21">
        <f>IF($A1329="","",CHOOSE(WEEKDAY($A1329,2),"Lunes","Martes","Miércoles","Jueves","Viernes","Sábado","Domingo"))</f>
        <v/>
      </c>
      <c r="C1329" s="17" t="n"/>
      <c r="D1329" s="21">
        <f>IF($C1329="","",IFERROR(INDEX(Insumos!$B$2:$B$151,MATCH($C1329,Insumos!$A$2:$A$151,0)),"Código no cargado"))</f>
        <v/>
      </c>
      <c r="E1329" s="21">
        <f>IF($C1329="","",IFERROR(INDEX(Insumos!$C$2:$C$151,MATCH($C1329,Insumos!$A$2:$A$151,0)),""))</f>
        <v/>
      </c>
      <c r="F1329" s="21">
        <f>IF($C1329="","",IFERROR(INDEX(Insumos!$D$2:$D$151,MATCH($C1329,Insumos!$A$2:$A$151,0)),""))</f>
        <v/>
      </c>
      <c r="G1329" s="18" t="n"/>
      <c r="H1329" s="19">
        <f>IF(OR($A1329="",$C1329=""),"",IFERROR(INDEX(Insumos!$M$2:$S$151,MATCH($C1329,Insumos!$A$2:$A$151,0),WEEKDAY($A1329,2)),""))</f>
        <v/>
      </c>
      <c r="I1329" s="19">
        <f>IF(OR($G1329="",$H1329=""),"",MAX(0,$H1329-$G1329))</f>
        <v/>
      </c>
      <c r="J1329" s="21">
        <f>IF($I1329="","",IF($I1329=0,"OK",IF($G1329&lt;=0,"Sin stock: pedir ya","Pedir o producir")))</f>
        <v/>
      </c>
      <c r="K1329" s="17" t="n"/>
      <c r="L1329" s="17" t="n"/>
      <c r="M1329" s="21">
        <f>IF(OR($A1329="",$A1329&lt;&gt;'Lista para pedir'!$C$3,N($I1329)&lt;=0),"",COUNTIFS($A$2:$A1329,$A1329,$I$2:$I1329,"&gt;0"))</f>
        <v/>
      </c>
    </row>
    <row r="1330">
      <c r="A1330" s="20" t="n"/>
      <c r="B1330" s="21">
        <f>IF($A1330="","",CHOOSE(WEEKDAY($A1330,2),"Lunes","Martes","Miércoles","Jueves","Viernes","Sábado","Domingo"))</f>
        <v/>
      </c>
      <c r="C1330" s="17" t="n"/>
      <c r="D1330" s="21">
        <f>IF($C1330="","",IFERROR(INDEX(Insumos!$B$2:$B$151,MATCH($C1330,Insumos!$A$2:$A$151,0)),"Código no cargado"))</f>
        <v/>
      </c>
      <c r="E1330" s="21">
        <f>IF($C1330="","",IFERROR(INDEX(Insumos!$C$2:$C$151,MATCH($C1330,Insumos!$A$2:$A$151,0)),""))</f>
        <v/>
      </c>
      <c r="F1330" s="21">
        <f>IF($C1330="","",IFERROR(INDEX(Insumos!$D$2:$D$151,MATCH($C1330,Insumos!$A$2:$A$151,0)),""))</f>
        <v/>
      </c>
      <c r="G1330" s="18" t="n"/>
      <c r="H1330" s="19">
        <f>IF(OR($A1330="",$C1330=""),"",IFERROR(INDEX(Insumos!$M$2:$S$151,MATCH($C1330,Insumos!$A$2:$A$151,0),WEEKDAY($A1330,2)),""))</f>
        <v/>
      </c>
      <c r="I1330" s="19">
        <f>IF(OR($G1330="",$H1330=""),"",MAX(0,$H1330-$G1330))</f>
        <v/>
      </c>
      <c r="J1330" s="21">
        <f>IF($I1330="","",IF($I1330=0,"OK",IF($G1330&lt;=0,"Sin stock: pedir ya","Pedir o producir")))</f>
        <v/>
      </c>
      <c r="K1330" s="17" t="n"/>
      <c r="L1330" s="17" t="n"/>
      <c r="M1330" s="21">
        <f>IF(OR($A1330="",$A1330&lt;&gt;'Lista para pedir'!$C$3,N($I1330)&lt;=0),"",COUNTIFS($A$2:$A1330,$A1330,$I$2:$I1330,"&gt;0"))</f>
        <v/>
      </c>
    </row>
    <row r="1331">
      <c r="A1331" s="20" t="n"/>
      <c r="B1331" s="21">
        <f>IF($A1331="","",CHOOSE(WEEKDAY($A1331,2),"Lunes","Martes","Miércoles","Jueves","Viernes","Sábado","Domingo"))</f>
        <v/>
      </c>
      <c r="C1331" s="17" t="n"/>
      <c r="D1331" s="21">
        <f>IF($C1331="","",IFERROR(INDEX(Insumos!$B$2:$B$151,MATCH($C1331,Insumos!$A$2:$A$151,0)),"Código no cargado"))</f>
        <v/>
      </c>
      <c r="E1331" s="21">
        <f>IF($C1331="","",IFERROR(INDEX(Insumos!$C$2:$C$151,MATCH($C1331,Insumos!$A$2:$A$151,0)),""))</f>
        <v/>
      </c>
      <c r="F1331" s="21">
        <f>IF($C1331="","",IFERROR(INDEX(Insumos!$D$2:$D$151,MATCH($C1331,Insumos!$A$2:$A$151,0)),""))</f>
        <v/>
      </c>
      <c r="G1331" s="18" t="n"/>
      <c r="H1331" s="19">
        <f>IF(OR($A1331="",$C1331=""),"",IFERROR(INDEX(Insumos!$M$2:$S$151,MATCH($C1331,Insumos!$A$2:$A$151,0),WEEKDAY($A1331,2)),""))</f>
        <v/>
      </c>
      <c r="I1331" s="19">
        <f>IF(OR($G1331="",$H1331=""),"",MAX(0,$H1331-$G1331))</f>
        <v/>
      </c>
      <c r="J1331" s="21">
        <f>IF($I1331="","",IF($I1331=0,"OK",IF($G1331&lt;=0,"Sin stock: pedir ya","Pedir o producir")))</f>
        <v/>
      </c>
      <c r="K1331" s="17" t="n"/>
      <c r="L1331" s="17" t="n"/>
      <c r="M1331" s="21">
        <f>IF(OR($A1331="",$A1331&lt;&gt;'Lista para pedir'!$C$3,N($I1331)&lt;=0),"",COUNTIFS($A$2:$A1331,$A1331,$I$2:$I1331,"&gt;0"))</f>
        <v/>
      </c>
    </row>
    <row r="1332">
      <c r="A1332" s="20" t="n"/>
      <c r="B1332" s="21">
        <f>IF($A1332="","",CHOOSE(WEEKDAY($A1332,2),"Lunes","Martes","Miércoles","Jueves","Viernes","Sábado","Domingo"))</f>
        <v/>
      </c>
      <c r="C1332" s="17" t="n"/>
      <c r="D1332" s="21">
        <f>IF($C1332="","",IFERROR(INDEX(Insumos!$B$2:$B$151,MATCH($C1332,Insumos!$A$2:$A$151,0)),"Código no cargado"))</f>
        <v/>
      </c>
      <c r="E1332" s="21">
        <f>IF($C1332="","",IFERROR(INDEX(Insumos!$C$2:$C$151,MATCH($C1332,Insumos!$A$2:$A$151,0)),""))</f>
        <v/>
      </c>
      <c r="F1332" s="21">
        <f>IF($C1332="","",IFERROR(INDEX(Insumos!$D$2:$D$151,MATCH($C1332,Insumos!$A$2:$A$151,0)),""))</f>
        <v/>
      </c>
      <c r="G1332" s="18" t="n"/>
      <c r="H1332" s="19">
        <f>IF(OR($A1332="",$C1332=""),"",IFERROR(INDEX(Insumos!$M$2:$S$151,MATCH($C1332,Insumos!$A$2:$A$151,0),WEEKDAY($A1332,2)),""))</f>
        <v/>
      </c>
      <c r="I1332" s="19">
        <f>IF(OR($G1332="",$H1332=""),"",MAX(0,$H1332-$G1332))</f>
        <v/>
      </c>
      <c r="J1332" s="21">
        <f>IF($I1332="","",IF($I1332=0,"OK",IF($G1332&lt;=0,"Sin stock: pedir ya","Pedir o producir")))</f>
        <v/>
      </c>
      <c r="K1332" s="17" t="n"/>
      <c r="L1332" s="17" t="n"/>
      <c r="M1332" s="21">
        <f>IF(OR($A1332="",$A1332&lt;&gt;'Lista para pedir'!$C$3,N($I1332)&lt;=0),"",COUNTIFS($A$2:$A1332,$A1332,$I$2:$I1332,"&gt;0"))</f>
        <v/>
      </c>
    </row>
    <row r="1333">
      <c r="A1333" s="20" t="n"/>
      <c r="B1333" s="21">
        <f>IF($A1333="","",CHOOSE(WEEKDAY($A1333,2),"Lunes","Martes","Miércoles","Jueves","Viernes","Sábado","Domingo"))</f>
        <v/>
      </c>
      <c r="C1333" s="17" t="n"/>
      <c r="D1333" s="21">
        <f>IF($C1333="","",IFERROR(INDEX(Insumos!$B$2:$B$151,MATCH($C1333,Insumos!$A$2:$A$151,0)),"Código no cargado"))</f>
        <v/>
      </c>
      <c r="E1333" s="21">
        <f>IF($C1333="","",IFERROR(INDEX(Insumos!$C$2:$C$151,MATCH($C1333,Insumos!$A$2:$A$151,0)),""))</f>
        <v/>
      </c>
      <c r="F1333" s="21">
        <f>IF($C1333="","",IFERROR(INDEX(Insumos!$D$2:$D$151,MATCH($C1333,Insumos!$A$2:$A$151,0)),""))</f>
        <v/>
      </c>
      <c r="G1333" s="18" t="n"/>
      <c r="H1333" s="19">
        <f>IF(OR($A1333="",$C1333=""),"",IFERROR(INDEX(Insumos!$M$2:$S$151,MATCH($C1333,Insumos!$A$2:$A$151,0),WEEKDAY($A1333,2)),""))</f>
        <v/>
      </c>
      <c r="I1333" s="19">
        <f>IF(OR($G1333="",$H1333=""),"",MAX(0,$H1333-$G1333))</f>
        <v/>
      </c>
      <c r="J1333" s="21">
        <f>IF($I1333="","",IF($I1333=0,"OK",IF($G1333&lt;=0,"Sin stock: pedir ya","Pedir o producir")))</f>
        <v/>
      </c>
      <c r="K1333" s="17" t="n"/>
      <c r="L1333" s="17" t="n"/>
      <c r="M1333" s="21">
        <f>IF(OR($A1333="",$A1333&lt;&gt;'Lista para pedir'!$C$3,N($I1333)&lt;=0),"",COUNTIFS($A$2:$A1333,$A1333,$I$2:$I1333,"&gt;0"))</f>
        <v/>
      </c>
    </row>
    <row r="1334">
      <c r="A1334" s="20" t="n"/>
      <c r="B1334" s="21">
        <f>IF($A1334="","",CHOOSE(WEEKDAY($A1334,2),"Lunes","Martes","Miércoles","Jueves","Viernes","Sábado","Domingo"))</f>
        <v/>
      </c>
      <c r="C1334" s="17" t="n"/>
      <c r="D1334" s="21">
        <f>IF($C1334="","",IFERROR(INDEX(Insumos!$B$2:$B$151,MATCH($C1334,Insumos!$A$2:$A$151,0)),"Código no cargado"))</f>
        <v/>
      </c>
      <c r="E1334" s="21">
        <f>IF($C1334="","",IFERROR(INDEX(Insumos!$C$2:$C$151,MATCH($C1334,Insumos!$A$2:$A$151,0)),""))</f>
        <v/>
      </c>
      <c r="F1334" s="21">
        <f>IF($C1334="","",IFERROR(INDEX(Insumos!$D$2:$D$151,MATCH($C1334,Insumos!$A$2:$A$151,0)),""))</f>
        <v/>
      </c>
      <c r="G1334" s="18" t="n"/>
      <c r="H1334" s="19">
        <f>IF(OR($A1334="",$C1334=""),"",IFERROR(INDEX(Insumos!$M$2:$S$151,MATCH($C1334,Insumos!$A$2:$A$151,0),WEEKDAY($A1334,2)),""))</f>
        <v/>
      </c>
      <c r="I1334" s="19">
        <f>IF(OR($G1334="",$H1334=""),"",MAX(0,$H1334-$G1334))</f>
        <v/>
      </c>
      <c r="J1334" s="21">
        <f>IF($I1334="","",IF($I1334=0,"OK",IF($G1334&lt;=0,"Sin stock: pedir ya","Pedir o producir")))</f>
        <v/>
      </c>
      <c r="K1334" s="17" t="n"/>
      <c r="L1334" s="17" t="n"/>
      <c r="M1334" s="21">
        <f>IF(OR($A1334="",$A1334&lt;&gt;'Lista para pedir'!$C$3,N($I1334)&lt;=0),"",COUNTIFS($A$2:$A1334,$A1334,$I$2:$I1334,"&gt;0"))</f>
        <v/>
      </c>
    </row>
    <row r="1335">
      <c r="A1335" s="20" t="n"/>
      <c r="B1335" s="21">
        <f>IF($A1335="","",CHOOSE(WEEKDAY($A1335,2),"Lunes","Martes","Miércoles","Jueves","Viernes","Sábado","Domingo"))</f>
        <v/>
      </c>
      <c r="C1335" s="17" t="n"/>
      <c r="D1335" s="21">
        <f>IF($C1335="","",IFERROR(INDEX(Insumos!$B$2:$B$151,MATCH($C1335,Insumos!$A$2:$A$151,0)),"Código no cargado"))</f>
        <v/>
      </c>
      <c r="E1335" s="21">
        <f>IF($C1335="","",IFERROR(INDEX(Insumos!$C$2:$C$151,MATCH($C1335,Insumos!$A$2:$A$151,0)),""))</f>
        <v/>
      </c>
      <c r="F1335" s="21">
        <f>IF($C1335="","",IFERROR(INDEX(Insumos!$D$2:$D$151,MATCH($C1335,Insumos!$A$2:$A$151,0)),""))</f>
        <v/>
      </c>
      <c r="G1335" s="18" t="n"/>
      <c r="H1335" s="19">
        <f>IF(OR($A1335="",$C1335=""),"",IFERROR(INDEX(Insumos!$M$2:$S$151,MATCH($C1335,Insumos!$A$2:$A$151,0),WEEKDAY($A1335,2)),""))</f>
        <v/>
      </c>
      <c r="I1335" s="19">
        <f>IF(OR($G1335="",$H1335=""),"",MAX(0,$H1335-$G1335))</f>
        <v/>
      </c>
      <c r="J1335" s="21">
        <f>IF($I1335="","",IF($I1335=0,"OK",IF($G1335&lt;=0,"Sin stock: pedir ya","Pedir o producir")))</f>
        <v/>
      </c>
      <c r="K1335" s="17" t="n"/>
      <c r="L1335" s="17" t="n"/>
      <c r="M1335" s="21">
        <f>IF(OR($A1335="",$A1335&lt;&gt;'Lista para pedir'!$C$3,N($I1335)&lt;=0),"",COUNTIFS($A$2:$A1335,$A1335,$I$2:$I1335,"&gt;0"))</f>
        <v/>
      </c>
    </row>
    <row r="1336">
      <c r="A1336" s="20" t="n"/>
      <c r="B1336" s="21">
        <f>IF($A1336="","",CHOOSE(WEEKDAY($A1336,2),"Lunes","Martes","Miércoles","Jueves","Viernes","Sábado","Domingo"))</f>
        <v/>
      </c>
      <c r="C1336" s="17" t="n"/>
      <c r="D1336" s="21">
        <f>IF($C1336="","",IFERROR(INDEX(Insumos!$B$2:$B$151,MATCH($C1336,Insumos!$A$2:$A$151,0)),"Código no cargado"))</f>
        <v/>
      </c>
      <c r="E1336" s="21">
        <f>IF($C1336="","",IFERROR(INDEX(Insumos!$C$2:$C$151,MATCH($C1336,Insumos!$A$2:$A$151,0)),""))</f>
        <v/>
      </c>
      <c r="F1336" s="21">
        <f>IF($C1336="","",IFERROR(INDEX(Insumos!$D$2:$D$151,MATCH($C1336,Insumos!$A$2:$A$151,0)),""))</f>
        <v/>
      </c>
      <c r="G1336" s="18" t="n"/>
      <c r="H1336" s="19">
        <f>IF(OR($A1336="",$C1336=""),"",IFERROR(INDEX(Insumos!$M$2:$S$151,MATCH($C1336,Insumos!$A$2:$A$151,0),WEEKDAY($A1336,2)),""))</f>
        <v/>
      </c>
      <c r="I1336" s="19">
        <f>IF(OR($G1336="",$H1336=""),"",MAX(0,$H1336-$G1336))</f>
        <v/>
      </c>
      <c r="J1336" s="21">
        <f>IF($I1336="","",IF($I1336=0,"OK",IF($G1336&lt;=0,"Sin stock: pedir ya","Pedir o producir")))</f>
        <v/>
      </c>
      <c r="K1336" s="17" t="n"/>
      <c r="L1336" s="17" t="n"/>
      <c r="M1336" s="21">
        <f>IF(OR($A1336="",$A1336&lt;&gt;'Lista para pedir'!$C$3,N($I1336)&lt;=0),"",COUNTIFS($A$2:$A1336,$A1336,$I$2:$I1336,"&gt;0"))</f>
        <v/>
      </c>
    </row>
    <row r="1337">
      <c r="A1337" s="20" t="n"/>
      <c r="B1337" s="21">
        <f>IF($A1337="","",CHOOSE(WEEKDAY($A1337,2),"Lunes","Martes","Miércoles","Jueves","Viernes","Sábado","Domingo"))</f>
        <v/>
      </c>
      <c r="C1337" s="17" t="n"/>
      <c r="D1337" s="21">
        <f>IF($C1337="","",IFERROR(INDEX(Insumos!$B$2:$B$151,MATCH($C1337,Insumos!$A$2:$A$151,0)),"Código no cargado"))</f>
        <v/>
      </c>
      <c r="E1337" s="21">
        <f>IF($C1337="","",IFERROR(INDEX(Insumos!$C$2:$C$151,MATCH($C1337,Insumos!$A$2:$A$151,0)),""))</f>
        <v/>
      </c>
      <c r="F1337" s="21">
        <f>IF($C1337="","",IFERROR(INDEX(Insumos!$D$2:$D$151,MATCH($C1337,Insumos!$A$2:$A$151,0)),""))</f>
        <v/>
      </c>
      <c r="G1337" s="18" t="n"/>
      <c r="H1337" s="19">
        <f>IF(OR($A1337="",$C1337=""),"",IFERROR(INDEX(Insumos!$M$2:$S$151,MATCH($C1337,Insumos!$A$2:$A$151,0),WEEKDAY($A1337,2)),""))</f>
        <v/>
      </c>
      <c r="I1337" s="19">
        <f>IF(OR($G1337="",$H1337=""),"",MAX(0,$H1337-$G1337))</f>
        <v/>
      </c>
      <c r="J1337" s="21">
        <f>IF($I1337="","",IF($I1337=0,"OK",IF($G1337&lt;=0,"Sin stock: pedir ya","Pedir o producir")))</f>
        <v/>
      </c>
      <c r="K1337" s="17" t="n"/>
      <c r="L1337" s="17" t="n"/>
      <c r="M1337" s="21">
        <f>IF(OR($A1337="",$A1337&lt;&gt;'Lista para pedir'!$C$3,N($I1337)&lt;=0),"",COUNTIFS($A$2:$A1337,$A1337,$I$2:$I1337,"&gt;0"))</f>
        <v/>
      </c>
    </row>
    <row r="1338">
      <c r="A1338" s="20" t="n"/>
      <c r="B1338" s="21">
        <f>IF($A1338="","",CHOOSE(WEEKDAY($A1338,2),"Lunes","Martes","Miércoles","Jueves","Viernes","Sábado","Domingo"))</f>
        <v/>
      </c>
      <c r="C1338" s="17" t="n"/>
      <c r="D1338" s="21">
        <f>IF($C1338="","",IFERROR(INDEX(Insumos!$B$2:$B$151,MATCH($C1338,Insumos!$A$2:$A$151,0)),"Código no cargado"))</f>
        <v/>
      </c>
      <c r="E1338" s="21">
        <f>IF($C1338="","",IFERROR(INDEX(Insumos!$C$2:$C$151,MATCH($C1338,Insumos!$A$2:$A$151,0)),""))</f>
        <v/>
      </c>
      <c r="F1338" s="21">
        <f>IF($C1338="","",IFERROR(INDEX(Insumos!$D$2:$D$151,MATCH($C1338,Insumos!$A$2:$A$151,0)),""))</f>
        <v/>
      </c>
      <c r="G1338" s="18" t="n"/>
      <c r="H1338" s="19">
        <f>IF(OR($A1338="",$C1338=""),"",IFERROR(INDEX(Insumos!$M$2:$S$151,MATCH($C1338,Insumos!$A$2:$A$151,0),WEEKDAY($A1338,2)),""))</f>
        <v/>
      </c>
      <c r="I1338" s="19">
        <f>IF(OR($G1338="",$H1338=""),"",MAX(0,$H1338-$G1338))</f>
        <v/>
      </c>
      <c r="J1338" s="21">
        <f>IF($I1338="","",IF($I1338=0,"OK",IF($G1338&lt;=0,"Sin stock: pedir ya","Pedir o producir")))</f>
        <v/>
      </c>
      <c r="K1338" s="17" t="n"/>
      <c r="L1338" s="17" t="n"/>
      <c r="M1338" s="21">
        <f>IF(OR($A1338="",$A1338&lt;&gt;'Lista para pedir'!$C$3,N($I1338)&lt;=0),"",COUNTIFS($A$2:$A1338,$A1338,$I$2:$I1338,"&gt;0"))</f>
        <v/>
      </c>
    </row>
    <row r="1339">
      <c r="A1339" s="20" t="n"/>
      <c r="B1339" s="21">
        <f>IF($A1339="","",CHOOSE(WEEKDAY($A1339,2),"Lunes","Martes","Miércoles","Jueves","Viernes","Sábado","Domingo"))</f>
        <v/>
      </c>
      <c r="C1339" s="17" t="n"/>
      <c r="D1339" s="21">
        <f>IF($C1339="","",IFERROR(INDEX(Insumos!$B$2:$B$151,MATCH($C1339,Insumos!$A$2:$A$151,0)),"Código no cargado"))</f>
        <v/>
      </c>
      <c r="E1339" s="21">
        <f>IF($C1339="","",IFERROR(INDEX(Insumos!$C$2:$C$151,MATCH($C1339,Insumos!$A$2:$A$151,0)),""))</f>
        <v/>
      </c>
      <c r="F1339" s="21">
        <f>IF($C1339="","",IFERROR(INDEX(Insumos!$D$2:$D$151,MATCH($C1339,Insumos!$A$2:$A$151,0)),""))</f>
        <v/>
      </c>
      <c r="G1339" s="18" t="n"/>
      <c r="H1339" s="19">
        <f>IF(OR($A1339="",$C1339=""),"",IFERROR(INDEX(Insumos!$M$2:$S$151,MATCH($C1339,Insumos!$A$2:$A$151,0),WEEKDAY($A1339,2)),""))</f>
        <v/>
      </c>
      <c r="I1339" s="19">
        <f>IF(OR($G1339="",$H1339=""),"",MAX(0,$H1339-$G1339))</f>
        <v/>
      </c>
      <c r="J1339" s="21">
        <f>IF($I1339="","",IF($I1339=0,"OK",IF($G1339&lt;=0,"Sin stock: pedir ya","Pedir o producir")))</f>
        <v/>
      </c>
      <c r="K1339" s="17" t="n"/>
      <c r="L1339" s="17" t="n"/>
      <c r="M1339" s="21">
        <f>IF(OR($A1339="",$A1339&lt;&gt;'Lista para pedir'!$C$3,N($I1339)&lt;=0),"",COUNTIFS($A$2:$A1339,$A1339,$I$2:$I1339,"&gt;0"))</f>
        <v/>
      </c>
    </row>
    <row r="1340">
      <c r="A1340" s="20" t="n"/>
      <c r="B1340" s="21">
        <f>IF($A1340="","",CHOOSE(WEEKDAY($A1340,2),"Lunes","Martes","Miércoles","Jueves","Viernes","Sábado","Domingo"))</f>
        <v/>
      </c>
      <c r="C1340" s="17" t="n"/>
      <c r="D1340" s="21">
        <f>IF($C1340="","",IFERROR(INDEX(Insumos!$B$2:$B$151,MATCH($C1340,Insumos!$A$2:$A$151,0)),"Código no cargado"))</f>
        <v/>
      </c>
      <c r="E1340" s="21">
        <f>IF($C1340="","",IFERROR(INDEX(Insumos!$C$2:$C$151,MATCH($C1340,Insumos!$A$2:$A$151,0)),""))</f>
        <v/>
      </c>
      <c r="F1340" s="21">
        <f>IF($C1340="","",IFERROR(INDEX(Insumos!$D$2:$D$151,MATCH($C1340,Insumos!$A$2:$A$151,0)),""))</f>
        <v/>
      </c>
      <c r="G1340" s="18" t="n"/>
      <c r="H1340" s="19">
        <f>IF(OR($A1340="",$C1340=""),"",IFERROR(INDEX(Insumos!$M$2:$S$151,MATCH($C1340,Insumos!$A$2:$A$151,0),WEEKDAY($A1340,2)),""))</f>
        <v/>
      </c>
      <c r="I1340" s="19">
        <f>IF(OR($G1340="",$H1340=""),"",MAX(0,$H1340-$G1340))</f>
        <v/>
      </c>
      <c r="J1340" s="21">
        <f>IF($I1340="","",IF($I1340=0,"OK",IF($G1340&lt;=0,"Sin stock: pedir ya","Pedir o producir")))</f>
        <v/>
      </c>
      <c r="K1340" s="17" t="n"/>
      <c r="L1340" s="17" t="n"/>
      <c r="M1340" s="21">
        <f>IF(OR($A1340="",$A1340&lt;&gt;'Lista para pedir'!$C$3,N($I1340)&lt;=0),"",COUNTIFS($A$2:$A1340,$A1340,$I$2:$I1340,"&gt;0"))</f>
        <v/>
      </c>
    </row>
    <row r="1341">
      <c r="A1341" s="20" t="n"/>
      <c r="B1341" s="21">
        <f>IF($A1341="","",CHOOSE(WEEKDAY($A1341,2),"Lunes","Martes","Miércoles","Jueves","Viernes","Sábado","Domingo"))</f>
        <v/>
      </c>
      <c r="C1341" s="17" t="n"/>
      <c r="D1341" s="21">
        <f>IF($C1341="","",IFERROR(INDEX(Insumos!$B$2:$B$151,MATCH($C1341,Insumos!$A$2:$A$151,0)),"Código no cargado"))</f>
        <v/>
      </c>
      <c r="E1341" s="21">
        <f>IF($C1341="","",IFERROR(INDEX(Insumos!$C$2:$C$151,MATCH($C1341,Insumos!$A$2:$A$151,0)),""))</f>
        <v/>
      </c>
      <c r="F1341" s="21">
        <f>IF($C1341="","",IFERROR(INDEX(Insumos!$D$2:$D$151,MATCH($C1341,Insumos!$A$2:$A$151,0)),""))</f>
        <v/>
      </c>
      <c r="G1341" s="18" t="n"/>
      <c r="H1341" s="19">
        <f>IF(OR($A1341="",$C1341=""),"",IFERROR(INDEX(Insumos!$M$2:$S$151,MATCH($C1341,Insumos!$A$2:$A$151,0),WEEKDAY($A1341,2)),""))</f>
        <v/>
      </c>
      <c r="I1341" s="19">
        <f>IF(OR($G1341="",$H1341=""),"",MAX(0,$H1341-$G1341))</f>
        <v/>
      </c>
      <c r="J1341" s="21">
        <f>IF($I1341="","",IF($I1341=0,"OK",IF($G1341&lt;=0,"Sin stock: pedir ya","Pedir o producir")))</f>
        <v/>
      </c>
      <c r="K1341" s="17" t="n"/>
      <c r="L1341" s="17" t="n"/>
      <c r="M1341" s="21">
        <f>IF(OR($A1341="",$A1341&lt;&gt;'Lista para pedir'!$C$3,N($I1341)&lt;=0),"",COUNTIFS($A$2:$A1341,$A1341,$I$2:$I1341,"&gt;0"))</f>
        <v/>
      </c>
    </row>
    <row r="1342">
      <c r="A1342" s="20" t="n"/>
      <c r="B1342" s="21">
        <f>IF($A1342="","",CHOOSE(WEEKDAY($A1342,2),"Lunes","Martes","Miércoles","Jueves","Viernes","Sábado","Domingo"))</f>
        <v/>
      </c>
      <c r="C1342" s="17" t="n"/>
      <c r="D1342" s="21">
        <f>IF($C1342="","",IFERROR(INDEX(Insumos!$B$2:$B$151,MATCH($C1342,Insumos!$A$2:$A$151,0)),"Código no cargado"))</f>
        <v/>
      </c>
      <c r="E1342" s="21">
        <f>IF($C1342="","",IFERROR(INDEX(Insumos!$C$2:$C$151,MATCH($C1342,Insumos!$A$2:$A$151,0)),""))</f>
        <v/>
      </c>
      <c r="F1342" s="21">
        <f>IF($C1342="","",IFERROR(INDEX(Insumos!$D$2:$D$151,MATCH($C1342,Insumos!$A$2:$A$151,0)),""))</f>
        <v/>
      </c>
      <c r="G1342" s="18" t="n"/>
      <c r="H1342" s="19">
        <f>IF(OR($A1342="",$C1342=""),"",IFERROR(INDEX(Insumos!$M$2:$S$151,MATCH($C1342,Insumos!$A$2:$A$151,0),WEEKDAY($A1342,2)),""))</f>
        <v/>
      </c>
      <c r="I1342" s="19">
        <f>IF(OR($G1342="",$H1342=""),"",MAX(0,$H1342-$G1342))</f>
        <v/>
      </c>
      <c r="J1342" s="21">
        <f>IF($I1342="","",IF($I1342=0,"OK",IF($G1342&lt;=0,"Sin stock: pedir ya","Pedir o producir")))</f>
        <v/>
      </c>
      <c r="K1342" s="17" t="n"/>
      <c r="L1342" s="17" t="n"/>
      <c r="M1342" s="21">
        <f>IF(OR($A1342="",$A1342&lt;&gt;'Lista para pedir'!$C$3,N($I1342)&lt;=0),"",COUNTIFS($A$2:$A1342,$A1342,$I$2:$I1342,"&gt;0"))</f>
        <v/>
      </c>
    </row>
    <row r="1343">
      <c r="A1343" s="20" t="n"/>
      <c r="B1343" s="21">
        <f>IF($A1343="","",CHOOSE(WEEKDAY($A1343,2),"Lunes","Martes","Miércoles","Jueves","Viernes","Sábado","Domingo"))</f>
        <v/>
      </c>
      <c r="C1343" s="17" t="n"/>
      <c r="D1343" s="21">
        <f>IF($C1343="","",IFERROR(INDEX(Insumos!$B$2:$B$151,MATCH($C1343,Insumos!$A$2:$A$151,0)),"Código no cargado"))</f>
        <v/>
      </c>
      <c r="E1343" s="21">
        <f>IF($C1343="","",IFERROR(INDEX(Insumos!$C$2:$C$151,MATCH($C1343,Insumos!$A$2:$A$151,0)),""))</f>
        <v/>
      </c>
      <c r="F1343" s="21">
        <f>IF($C1343="","",IFERROR(INDEX(Insumos!$D$2:$D$151,MATCH($C1343,Insumos!$A$2:$A$151,0)),""))</f>
        <v/>
      </c>
      <c r="G1343" s="18" t="n"/>
      <c r="H1343" s="19">
        <f>IF(OR($A1343="",$C1343=""),"",IFERROR(INDEX(Insumos!$M$2:$S$151,MATCH($C1343,Insumos!$A$2:$A$151,0),WEEKDAY($A1343,2)),""))</f>
        <v/>
      </c>
      <c r="I1343" s="19">
        <f>IF(OR($G1343="",$H1343=""),"",MAX(0,$H1343-$G1343))</f>
        <v/>
      </c>
      <c r="J1343" s="21">
        <f>IF($I1343="","",IF($I1343=0,"OK",IF($G1343&lt;=0,"Sin stock: pedir ya","Pedir o producir")))</f>
        <v/>
      </c>
      <c r="K1343" s="17" t="n"/>
      <c r="L1343" s="17" t="n"/>
      <c r="M1343" s="21">
        <f>IF(OR($A1343="",$A1343&lt;&gt;'Lista para pedir'!$C$3,N($I1343)&lt;=0),"",COUNTIFS($A$2:$A1343,$A1343,$I$2:$I1343,"&gt;0"))</f>
        <v/>
      </c>
    </row>
    <row r="1344">
      <c r="A1344" s="20" t="n"/>
      <c r="B1344" s="21">
        <f>IF($A1344="","",CHOOSE(WEEKDAY($A1344,2),"Lunes","Martes","Miércoles","Jueves","Viernes","Sábado","Domingo"))</f>
        <v/>
      </c>
      <c r="C1344" s="17" t="n"/>
      <c r="D1344" s="21">
        <f>IF($C1344="","",IFERROR(INDEX(Insumos!$B$2:$B$151,MATCH($C1344,Insumos!$A$2:$A$151,0)),"Código no cargado"))</f>
        <v/>
      </c>
      <c r="E1344" s="21">
        <f>IF($C1344="","",IFERROR(INDEX(Insumos!$C$2:$C$151,MATCH($C1344,Insumos!$A$2:$A$151,0)),""))</f>
        <v/>
      </c>
      <c r="F1344" s="21">
        <f>IF($C1344="","",IFERROR(INDEX(Insumos!$D$2:$D$151,MATCH($C1344,Insumos!$A$2:$A$151,0)),""))</f>
        <v/>
      </c>
      <c r="G1344" s="18" t="n"/>
      <c r="H1344" s="19">
        <f>IF(OR($A1344="",$C1344=""),"",IFERROR(INDEX(Insumos!$M$2:$S$151,MATCH($C1344,Insumos!$A$2:$A$151,0),WEEKDAY($A1344,2)),""))</f>
        <v/>
      </c>
      <c r="I1344" s="19">
        <f>IF(OR($G1344="",$H1344=""),"",MAX(0,$H1344-$G1344))</f>
        <v/>
      </c>
      <c r="J1344" s="21">
        <f>IF($I1344="","",IF($I1344=0,"OK",IF($G1344&lt;=0,"Sin stock: pedir ya","Pedir o producir")))</f>
        <v/>
      </c>
      <c r="K1344" s="17" t="n"/>
      <c r="L1344" s="17" t="n"/>
      <c r="M1344" s="21">
        <f>IF(OR($A1344="",$A1344&lt;&gt;'Lista para pedir'!$C$3,N($I1344)&lt;=0),"",COUNTIFS($A$2:$A1344,$A1344,$I$2:$I1344,"&gt;0"))</f>
        <v/>
      </c>
    </row>
    <row r="1345">
      <c r="A1345" s="20" t="n"/>
      <c r="B1345" s="21">
        <f>IF($A1345="","",CHOOSE(WEEKDAY($A1345,2),"Lunes","Martes","Miércoles","Jueves","Viernes","Sábado","Domingo"))</f>
        <v/>
      </c>
      <c r="C1345" s="17" t="n"/>
      <c r="D1345" s="21">
        <f>IF($C1345="","",IFERROR(INDEX(Insumos!$B$2:$B$151,MATCH($C1345,Insumos!$A$2:$A$151,0)),"Código no cargado"))</f>
        <v/>
      </c>
      <c r="E1345" s="21">
        <f>IF($C1345="","",IFERROR(INDEX(Insumos!$C$2:$C$151,MATCH($C1345,Insumos!$A$2:$A$151,0)),""))</f>
        <v/>
      </c>
      <c r="F1345" s="21">
        <f>IF($C1345="","",IFERROR(INDEX(Insumos!$D$2:$D$151,MATCH($C1345,Insumos!$A$2:$A$151,0)),""))</f>
        <v/>
      </c>
      <c r="G1345" s="18" t="n"/>
      <c r="H1345" s="19">
        <f>IF(OR($A1345="",$C1345=""),"",IFERROR(INDEX(Insumos!$M$2:$S$151,MATCH($C1345,Insumos!$A$2:$A$151,0),WEEKDAY($A1345,2)),""))</f>
        <v/>
      </c>
      <c r="I1345" s="19">
        <f>IF(OR($G1345="",$H1345=""),"",MAX(0,$H1345-$G1345))</f>
        <v/>
      </c>
      <c r="J1345" s="21">
        <f>IF($I1345="","",IF($I1345=0,"OK",IF($G1345&lt;=0,"Sin stock: pedir ya","Pedir o producir")))</f>
        <v/>
      </c>
      <c r="K1345" s="17" t="n"/>
      <c r="L1345" s="17" t="n"/>
      <c r="M1345" s="21">
        <f>IF(OR($A1345="",$A1345&lt;&gt;'Lista para pedir'!$C$3,N($I1345)&lt;=0),"",COUNTIFS($A$2:$A1345,$A1345,$I$2:$I1345,"&gt;0"))</f>
        <v/>
      </c>
    </row>
    <row r="1346">
      <c r="A1346" s="20" t="n"/>
      <c r="B1346" s="21">
        <f>IF($A1346="","",CHOOSE(WEEKDAY($A1346,2),"Lunes","Martes","Miércoles","Jueves","Viernes","Sábado","Domingo"))</f>
        <v/>
      </c>
      <c r="C1346" s="17" t="n"/>
      <c r="D1346" s="21">
        <f>IF($C1346="","",IFERROR(INDEX(Insumos!$B$2:$B$151,MATCH($C1346,Insumos!$A$2:$A$151,0)),"Código no cargado"))</f>
        <v/>
      </c>
      <c r="E1346" s="21">
        <f>IF($C1346="","",IFERROR(INDEX(Insumos!$C$2:$C$151,MATCH($C1346,Insumos!$A$2:$A$151,0)),""))</f>
        <v/>
      </c>
      <c r="F1346" s="21">
        <f>IF($C1346="","",IFERROR(INDEX(Insumos!$D$2:$D$151,MATCH($C1346,Insumos!$A$2:$A$151,0)),""))</f>
        <v/>
      </c>
      <c r="G1346" s="18" t="n"/>
      <c r="H1346" s="19">
        <f>IF(OR($A1346="",$C1346=""),"",IFERROR(INDEX(Insumos!$M$2:$S$151,MATCH($C1346,Insumos!$A$2:$A$151,0),WEEKDAY($A1346,2)),""))</f>
        <v/>
      </c>
      <c r="I1346" s="19">
        <f>IF(OR($G1346="",$H1346=""),"",MAX(0,$H1346-$G1346))</f>
        <v/>
      </c>
      <c r="J1346" s="21">
        <f>IF($I1346="","",IF($I1346=0,"OK",IF($G1346&lt;=0,"Sin stock: pedir ya","Pedir o producir")))</f>
        <v/>
      </c>
      <c r="K1346" s="17" t="n"/>
      <c r="L1346" s="17" t="n"/>
      <c r="M1346" s="21">
        <f>IF(OR($A1346="",$A1346&lt;&gt;'Lista para pedir'!$C$3,N($I1346)&lt;=0),"",COUNTIFS($A$2:$A1346,$A1346,$I$2:$I1346,"&gt;0"))</f>
        <v/>
      </c>
    </row>
    <row r="1347">
      <c r="A1347" s="20" t="n"/>
      <c r="B1347" s="21">
        <f>IF($A1347="","",CHOOSE(WEEKDAY($A1347,2),"Lunes","Martes","Miércoles","Jueves","Viernes","Sábado","Domingo"))</f>
        <v/>
      </c>
      <c r="C1347" s="17" t="n"/>
      <c r="D1347" s="21">
        <f>IF($C1347="","",IFERROR(INDEX(Insumos!$B$2:$B$151,MATCH($C1347,Insumos!$A$2:$A$151,0)),"Código no cargado"))</f>
        <v/>
      </c>
      <c r="E1347" s="21">
        <f>IF($C1347="","",IFERROR(INDEX(Insumos!$C$2:$C$151,MATCH($C1347,Insumos!$A$2:$A$151,0)),""))</f>
        <v/>
      </c>
      <c r="F1347" s="21">
        <f>IF($C1347="","",IFERROR(INDEX(Insumos!$D$2:$D$151,MATCH($C1347,Insumos!$A$2:$A$151,0)),""))</f>
        <v/>
      </c>
      <c r="G1347" s="18" t="n"/>
      <c r="H1347" s="19">
        <f>IF(OR($A1347="",$C1347=""),"",IFERROR(INDEX(Insumos!$M$2:$S$151,MATCH($C1347,Insumos!$A$2:$A$151,0),WEEKDAY($A1347,2)),""))</f>
        <v/>
      </c>
      <c r="I1347" s="19">
        <f>IF(OR($G1347="",$H1347=""),"",MAX(0,$H1347-$G1347))</f>
        <v/>
      </c>
      <c r="J1347" s="21">
        <f>IF($I1347="","",IF($I1347=0,"OK",IF($G1347&lt;=0,"Sin stock: pedir ya","Pedir o producir")))</f>
        <v/>
      </c>
      <c r="K1347" s="17" t="n"/>
      <c r="L1347" s="17" t="n"/>
      <c r="M1347" s="21">
        <f>IF(OR($A1347="",$A1347&lt;&gt;'Lista para pedir'!$C$3,N($I1347)&lt;=0),"",COUNTIFS($A$2:$A1347,$A1347,$I$2:$I1347,"&gt;0"))</f>
        <v/>
      </c>
    </row>
    <row r="1348">
      <c r="A1348" s="20" t="n"/>
      <c r="B1348" s="21">
        <f>IF($A1348="","",CHOOSE(WEEKDAY($A1348,2),"Lunes","Martes","Miércoles","Jueves","Viernes","Sábado","Domingo"))</f>
        <v/>
      </c>
      <c r="C1348" s="17" t="n"/>
      <c r="D1348" s="21">
        <f>IF($C1348="","",IFERROR(INDEX(Insumos!$B$2:$B$151,MATCH($C1348,Insumos!$A$2:$A$151,0)),"Código no cargado"))</f>
        <v/>
      </c>
      <c r="E1348" s="21">
        <f>IF($C1348="","",IFERROR(INDEX(Insumos!$C$2:$C$151,MATCH($C1348,Insumos!$A$2:$A$151,0)),""))</f>
        <v/>
      </c>
      <c r="F1348" s="21">
        <f>IF($C1348="","",IFERROR(INDEX(Insumos!$D$2:$D$151,MATCH($C1348,Insumos!$A$2:$A$151,0)),""))</f>
        <v/>
      </c>
      <c r="G1348" s="18" t="n"/>
      <c r="H1348" s="19">
        <f>IF(OR($A1348="",$C1348=""),"",IFERROR(INDEX(Insumos!$M$2:$S$151,MATCH($C1348,Insumos!$A$2:$A$151,0),WEEKDAY($A1348,2)),""))</f>
        <v/>
      </c>
      <c r="I1348" s="19">
        <f>IF(OR($G1348="",$H1348=""),"",MAX(0,$H1348-$G1348))</f>
        <v/>
      </c>
      <c r="J1348" s="21">
        <f>IF($I1348="","",IF($I1348=0,"OK",IF($G1348&lt;=0,"Sin stock: pedir ya","Pedir o producir")))</f>
        <v/>
      </c>
      <c r="K1348" s="17" t="n"/>
      <c r="L1348" s="17" t="n"/>
      <c r="M1348" s="21">
        <f>IF(OR($A1348="",$A1348&lt;&gt;'Lista para pedir'!$C$3,N($I1348)&lt;=0),"",COUNTIFS($A$2:$A1348,$A1348,$I$2:$I1348,"&gt;0"))</f>
        <v/>
      </c>
    </row>
    <row r="1349">
      <c r="A1349" s="20" t="n"/>
      <c r="B1349" s="21">
        <f>IF($A1349="","",CHOOSE(WEEKDAY($A1349,2),"Lunes","Martes","Miércoles","Jueves","Viernes","Sábado","Domingo"))</f>
        <v/>
      </c>
      <c r="C1349" s="17" t="n"/>
      <c r="D1349" s="21">
        <f>IF($C1349="","",IFERROR(INDEX(Insumos!$B$2:$B$151,MATCH($C1349,Insumos!$A$2:$A$151,0)),"Código no cargado"))</f>
        <v/>
      </c>
      <c r="E1349" s="21">
        <f>IF($C1349="","",IFERROR(INDEX(Insumos!$C$2:$C$151,MATCH($C1349,Insumos!$A$2:$A$151,0)),""))</f>
        <v/>
      </c>
      <c r="F1349" s="21">
        <f>IF($C1349="","",IFERROR(INDEX(Insumos!$D$2:$D$151,MATCH($C1349,Insumos!$A$2:$A$151,0)),""))</f>
        <v/>
      </c>
      <c r="G1349" s="18" t="n"/>
      <c r="H1349" s="19">
        <f>IF(OR($A1349="",$C1349=""),"",IFERROR(INDEX(Insumos!$M$2:$S$151,MATCH($C1349,Insumos!$A$2:$A$151,0),WEEKDAY($A1349,2)),""))</f>
        <v/>
      </c>
      <c r="I1349" s="19">
        <f>IF(OR($G1349="",$H1349=""),"",MAX(0,$H1349-$G1349))</f>
        <v/>
      </c>
      <c r="J1349" s="21">
        <f>IF($I1349="","",IF($I1349=0,"OK",IF($G1349&lt;=0,"Sin stock: pedir ya","Pedir o producir")))</f>
        <v/>
      </c>
      <c r="K1349" s="17" t="n"/>
      <c r="L1349" s="17" t="n"/>
      <c r="M1349" s="21">
        <f>IF(OR($A1349="",$A1349&lt;&gt;'Lista para pedir'!$C$3,N($I1349)&lt;=0),"",COUNTIFS($A$2:$A1349,$A1349,$I$2:$I1349,"&gt;0"))</f>
        <v/>
      </c>
    </row>
    <row r="1350">
      <c r="A1350" s="20" t="n"/>
      <c r="B1350" s="21">
        <f>IF($A1350="","",CHOOSE(WEEKDAY($A1350,2),"Lunes","Martes","Miércoles","Jueves","Viernes","Sábado","Domingo"))</f>
        <v/>
      </c>
      <c r="C1350" s="17" t="n"/>
      <c r="D1350" s="21">
        <f>IF($C1350="","",IFERROR(INDEX(Insumos!$B$2:$B$151,MATCH($C1350,Insumos!$A$2:$A$151,0)),"Código no cargado"))</f>
        <v/>
      </c>
      <c r="E1350" s="21">
        <f>IF($C1350="","",IFERROR(INDEX(Insumos!$C$2:$C$151,MATCH($C1350,Insumos!$A$2:$A$151,0)),""))</f>
        <v/>
      </c>
      <c r="F1350" s="21">
        <f>IF($C1350="","",IFERROR(INDEX(Insumos!$D$2:$D$151,MATCH($C1350,Insumos!$A$2:$A$151,0)),""))</f>
        <v/>
      </c>
      <c r="G1350" s="18" t="n"/>
      <c r="H1350" s="19">
        <f>IF(OR($A1350="",$C1350=""),"",IFERROR(INDEX(Insumos!$M$2:$S$151,MATCH($C1350,Insumos!$A$2:$A$151,0),WEEKDAY($A1350,2)),""))</f>
        <v/>
      </c>
      <c r="I1350" s="19">
        <f>IF(OR($G1350="",$H1350=""),"",MAX(0,$H1350-$G1350))</f>
        <v/>
      </c>
      <c r="J1350" s="21">
        <f>IF($I1350="","",IF($I1350=0,"OK",IF($G1350&lt;=0,"Sin stock: pedir ya","Pedir o producir")))</f>
        <v/>
      </c>
      <c r="K1350" s="17" t="n"/>
      <c r="L1350" s="17" t="n"/>
      <c r="M1350" s="21">
        <f>IF(OR($A1350="",$A1350&lt;&gt;'Lista para pedir'!$C$3,N($I1350)&lt;=0),"",COUNTIFS($A$2:$A1350,$A1350,$I$2:$I1350,"&gt;0"))</f>
        <v/>
      </c>
    </row>
    <row r="1351">
      <c r="A1351" s="20" t="n"/>
      <c r="B1351" s="21">
        <f>IF($A1351="","",CHOOSE(WEEKDAY($A1351,2),"Lunes","Martes","Miércoles","Jueves","Viernes","Sábado","Domingo"))</f>
        <v/>
      </c>
      <c r="C1351" s="17" t="n"/>
      <c r="D1351" s="21">
        <f>IF($C1351="","",IFERROR(INDEX(Insumos!$B$2:$B$151,MATCH($C1351,Insumos!$A$2:$A$151,0)),"Código no cargado"))</f>
        <v/>
      </c>
      <c r="E1351" s="21">
        <f>IF($C1351="","",IFERROR(INDEX(Insumos!$C$2:$C$151,MATCH($C1351,Insumos!$A$2:$A$151,0)),""))</f>
        <v/>
      </c>
      <c r="F1351" s="21">
        <f>IF($C1351="","",IFERROR(INDEX(Insumos!$D$2:$D$151,MATCH($C1351,Insumos!$A$2:$A$151,0)),""))</f>
        <v/>
      </c>
      <c r="G1351" s="18" t="n"/>
      <c r="H1351" s="19">
        <f>IF(OR($A1351="",$C1351=""),"",IFERROR(INDEX(Insumos!$M$2:$S$151,MATCH($C1351,Insumos!$A$2:$A$151,0),WEEKDAY($A1351,2)),""))</f>
        <v/>
      </c>
      <c r="I1351" s="19">
        <f>IF(OR($G1351="",$H1351=""),"",MAX(0,$H1351-$G1351))</f>
        <v/>
      </c>
      <c r="J1351" s="21">
        <f>IF($I1351="","",IF($I1351=0,"OK",IF($G1351&lt;=0,"Sin stock: pedir ya","Pedir o producir")))</f>
        <v/>
      </c>
      <c r="K1351" s="17" t="n"/>
      <c r="L1351" s="17" t="n"/>
      <c r="M1351" s="21">
        <f>IF(OR($A1351="",$A1351&lt;&gt;'Lista para pedir'!$C$3,N($I1351)&lt;=0),"",COUNTIFS($A$2:$A1351,$A1351,$I$2:$I1351,"&gt;0"))</f>
        <v/>
      </c>
    </row>
    <row r="1352">
      <c r="A1352" s="20" t="n"/>
      <c r="B1352" s="21">
        <f>IF($A1352="","",CHOOSE(WEEKDAY($A1352,2),"Lunes","Martes","Miércoles","Jueves","Viernes","Sábado","Domingo"))</f>
        <v/>
      </c>
      <c r="C1352" s="17" t="n"/>
      <c r="D1352" s="21">
        <f>IF($C1352="","",IFERROR(INDEX(Insumos!$B$2:$B$151,MATCH($C1352,Insumos!$A$2:$A$151,0)),"Código no cargado"))</f>
        <v/>
      </c>
      <c r="E1352" s="21">
        <f>IF($C1352="","",IFERROR(INDEX(Insumos!$C$2:$C$151,MATCH($C1352,Insumos!$A$2:$A$151,0)),""))</f>
        <v/>
      </c>
      <c r="F1352" s="21">
        <f>IF($C1352="","",IFERROR(INDEX(Insumos!$D$2:$D$151,MATCH($C1352,Insumos!$A$2:$A$151,0)),""))</f>
        <v/>
      </c>
      <c r="G1352" s="18" t="n"/>
      <c r="H1352" s="19">
        <f>IF(OR($A1352="",$C1352=""),"",IFERROR(INDEX(Insumos!$M$2:$S$151,MATCH($C1352,Insumos!$A$2:$A$151,0),WEEKDAY($A1352,2)),""))</f>
        <v/>
      </c>
      <c r="I1352" s="19">
        <f>IF(OR($G1352="",$H1352=""),"",MAX(0,$H1352-$G1352))</f>
        <v/>
      </c>
      <c r="J1352" s="21">
        <f>IF($I1352="","",IF($I1352=0,"OK",IF($G1352&lt;=0,"Sin stock: pedir ya","Pedir o producir")))</f>
        <v/>
      </c>
      <c r="K1352" s="17" t="n"/>
      <c r="L1352" s="17" t="n"/>
      <c r="M1352" s="21">
        <f>IF(OR($A1352="",$A1352&lt;&gt;'Lista para pedir'!$C$3,N($I1352)&lt;=0),"",COUNTIFS($A$2:$A1352,$A1352,$I$2:$I1352,"&gt;0"))</f>
        <v/>
      </c>
    </row>
    <row r="1353">
      <c r="A1353" s="20" t="n"/>
      <c r="B1353" s="21">
        <f>IF($A1353="","",CHOOSE(WEEKDAY($A1353,2),"Lunes","Martes","Miércoles","Jueves","Viernes","Sábado","Domingo"))</f>
        <v/>
      </c>
      <c r="C1353" s="17" t="n"/>
      <c r="D1353" s="21">
        <f>IF($C1353="","",IFERROR(INDEX(Insumos!$B$2:$B$151,MATCH($C1353,Insumos!$A$2:$A$151,0)),"Código no cargado"))</f>
        <v/>
      </c>
      <c r="E1353" s="21">
        <f>IF($C1353="","",IFERROR(INDEX(Insumos!$C$2:$C$151,MATCH($C1353,Insumos!$A$2:$A$151,0)),""))</f>
        <v/>
      </c>
      <c r="F1353" s="21">
        <f>IF($C1353="","",IFERROR(INDEX(Insumos!$D$2:$D$151,MATCH($C1353,Insumos!$A$2:$A$151,0)),""))</f>
        <v/>
      </c>
      <c r="G1353" s="18" t="n"/>
      <c r="H1353" s="19">
        <f>IF(OR($A1353="",$C1353=""),"",IFERROR(INDEX(Insumos!$M$2:$S$151,MATCH($C1353,Insumos!$A$2:$A$151,0),WEEKDAY($A1353,2)),""))</f>
        <v/>
      </c>
      <c r="I1353" s="19">
        <f>IF(OR($G1353="",$H1353=""),"",MAX(0,$H1353-$G1353))</f>
        <v/>
      </c>
      <c r="J1353" s="21">
        <f>IF($I1353="","",IF($I1353=0,"OK",IF($G1353&lt;=0,"Sin stock: pedir ya","Pedir o producir")))</f>
        <v/>
      </c>
      <c r="K1353" s="17" t="n"/>
      <c r="L1353" s="17" t="n"/>
      <c r="M1353" s="21">
        <f>IF(OR($A1353="",$A1353&lt;&gt;'Lista para pedir'!$C$3,N($I1353)&lt;=0),"",COUNTIFS($A$2:$A1353,$A1353,$I$2:$I1353,"&gt;0"))</f>
        <v/>
      </c>
    </row>
    <row r="1354">
      <c r="A1354" s="20" t="n"/>
      <c r="B1354" s="21">
        <f>IF($A1354="","",CHOOSE(WEEKDAY($A1354,2),"Lunes","Martes","Miércoles","Jueves","Viernes","Sábado","Domingo"))</f>
        <v/>
      </c>
      <c r="C1354" s="17" t="n"/>
      <c r="D1354" s="21">
        <f>IF($C1354="","",IFERROR(INDEX(Insumos!$B$2:$B$151,MATCH($C1354,Insumos!$A$2:$A$151,0)),"Código no cargado"))</f>
        <v/>
      </c>
      <c r="E1354" s="21">
        <f>IF($C1354="","",IFERROR(INDEX(Insumos!$C$2:$C$151,MATCH($C1354,Insumos!$A$2:$A$151,0)),""))</f>
        <v/>
      </c>
      <c r="F1354" s="21">
        <f>IF($C1354="","",IFERROR(INDEX(Insumos!$D$2:$D$151,MATCH($C1354,Insumos!$A$2:$A$151,0)),""))</f>
        <v/>
      </c>
      <c r="G1354" s="18" t="n"/>
      <c r="H1354" s="19">
        <f>IF(OR($A1354="",$C1354=""),"",IFERROR(INDEX(Insumos!$M$2:$S$151,MATCH($C1354,Insumos!$A$2:$A$151,0),WEEKDAY($A1354,2)),""))</f>
        <v/>
      </c>
      <c r="I1354" s="19">
        <f>IF(OR($G1354="",$H1354=""),"",MAX(0,$H1354-$G1354))</f>
        <v/>
      </c>
      <c r="J1354" s="21">
        <f>IF($I1354="","",IF($I1354=0,"OK",IF($G1354&lt;=0,"Sin stock: pedir ya","Pedir o producir")))</f>
        <v/>
      </c>
      <c r="K1354" s="17" t="n"/>
      <c r="L1354" s="17" t="n"/>
      <c r="M1354" s="21">
        <f>IF(OR($A1354="",$A1354&lt;&gt;'Lista para pedir'!$C$3,N($I1354)&lt;=0),"",COUNTIFS($A$2:$A1354,$A1354,$I$2:$I1354,"&gt;0"))</f>
        <v/>
      </c>
    </row>
    <row r="1355">
      <c r="A1355" s="20" t="n"/>
      <c r="B1355" s="21">
        <f>IF($A1355="","",CHOOSE(WEEKDAY($A1355,2),"Lunes","Martes","Miércoles","Jueves","Viernes","Sábado","Domingo"))</f>
        <v/>
      </c>
      <c r="C1355" s="17" t="n"/>
      <c r="D1355" s="21">
        <f>IF($C1355="","",IFERROR(INDEX(Insumos!$B$2:$B$151,MATCH($C1355,Insumos!$A$2:$A$151,0)),"Código no cargado"))</f>
        <v/>
      </c>
      <c r="E1355" s="21">
        <f>IF($C1355="","",IFERROR(INDEX(Insumos!$C$2:$C$151,MATCH($C1355,Insumos!$A$2:$A$151,0)),""))</f>
        <v/>
      </c>
      <c r="F1355" s="21">
        <f>IF($C1355="","",IFERROR(INDEX(Insumos!$D$2:$D$151,MATCH($C1355,Insumos!$A$2:$A$151,0)),""))</f>
        <v/>
      </c>
      <c r="G1355" s="18" t="n"/>
      <c r="H1355" s="19">
        <f>IF(OR($A1355="",$C1355=""),"",IFERROR(INDEX(Insumos!$M$2:$S$151,MATCH($C1355,Insumos!$A$2:$A$151,0),WEEKDAY($A1355,2)),""))</f>
        <v/>
      </c>
      <c r="I1355" s="19">
        <f>IF(OR($G1355="",$H1355=""),"",MAX(0,$H1355-$G1355))</f>
        <v/>
      </c>
      <c r="J1355" s="21">
        <f>IF($I1355="","",IF($I1355=0,"OK",IF($G1355&lt;=0,"Sin stock: pedir ya","Pedir o producir")))</f>
        <v/>
      </c>
      <c r="K1355" s="17" t="n"/>
      <c r="L1355" s="17" t="n"/>
      <c r="M1355" s="21">
        <f>IF(OR($A1355="",$A1355&lt;&gt;'Lista para pedir'!$C$3,N($I1355)&lt;=0),"",COUNTIFS($A$2:$A1355,$A1355,$I$2:$I1355,"&gt;0"))</f>
        <v/>
      </c>
    </row>
    <row r="1356">
      <c r="A1356" s="20" t="n"/>
      <c r="B1356" s="21">
        <f>IF($A1356="","",CHOOSE(WEEKDAY($A1356,2),"Lunes","Martes","Miércoles","Jueves","Viernes","Sábado","Domingo"))</f>
        <v/>
      </c>
      <c r="C1356" s="17" t="n"/>
      <c r="D1356" s="21">
        <f>IF($C1356="","",IFERROR(INDEX(Insumos!$B$2:$B$151,MATCH($C1356,Insumos!$A$2:$A$151,0)),"Código no cargado"))</f>
        <v/>
      </c>
      <c r="E1356" s="21">
        <f>IF($C1356="","",IFERROR(INDEX(Insumos!$C$2:$C$151,MATCH($C1356,Insumos!$A$2:$A$151,0)),""))</f>
        <v/>
      </c>
      <c r="F1356" s="21">
        <f>IF($C1356="","",IFERROR(INDEX(Insumos!$D$2:$D$151,MATCH($C1356,Insumos!$A$2:$A$151,0)),""))</f>
        <v/>
      </c>
      <c r="G1356" s="18" t="n"/>
      <c r="H1356" s="19">
        <f>IF(OR($A1356="",$C1356=""),"",IFERROR(INDEX(Insumos!$M$2:$S$151,MATCH($C1356,Insumos!$A$2:$A$151,0),WEEKDAY($A1356,2)),""))</f>
        <v/>
      </c>
      <c r="I1356" s="19">
        <f>IF(OR($G1356="",$H1356=""),"",MAX(0,$H1356-$G1356))</f>
        <v/>
      </c>
      <c r="J1356" s="21">
        <f>IF($I1356="","",IF($I1356=0,"OK",IF($G1356&lt;=0,"Sin stock: pedir ya","Pedir o producir")))</f>
        <v/>
      </c>
      <c r="K1356" s="17" t="n"/>
      <c r="L1356" s="17" t="n"/>
      <c r="M1356" s="21">
        <f>IF(OR($A1356="",$A1356&lt;&gt;'Lista para pedir'!$C$3,N($I1356)&lt;=0),"",COUNTIFS($A$2:$A1356,$A1356,$I$2:$I1356,"&gt;0"))</f>
        <v/>
      </c>
    </row>
    <row r="1357">
      <c r="A1357" s="20" t="n"/>
      <c r="B1357" s="21">
        <f>IF($A1357="","",CHOOSE(WEEKDAY($A1357,2),"Lunes","Martes","Miércoles","Jueves","Viernes","Sábado","Domingo"))</f>
        <v/>
      </c>
      <c r="C1357" s="17" t="n"/>
      <c r="D1357" s="21">
        <f>IF($C1357="","",IFERROR(INDEX(Insumos!$B$2:$B$151,MATCH($C1357,Insumos!$A$2:$A$151,0)),"Código no cargado"))</f>
        <v/>
      </c>
      <c r="E1357" s="21">
        <f>IF($C1357="","",IFERROR(INDEX(Insumos!$C$2:$C$151,MATCH($C1357,Insumos!$A$2:$A$151,0)),""))</f>
        <v/>
      </c>
      <c r="F1357" s="21">
        <f>IF($C1357="","",IFERROR(INDEX(Insumos!$D$2:$D$151,MATCH($C1357,Insumos!$A$2:$A$151,0)),""))</f>
        <v/>
      </c>
      <c r="G1357" s="18" t="n"/>
      <c r="H1357" s="19">
        <f>IF(OR($A1357="",$C1357=""),"",IFERROR(INDEX(Insumos!$M$2:$S$151,MATCH($C1357,Insumos!$A$2:$A$151,0),WEEKDAY($A1357,2)),""))</f>
        <v/>
      </c>
      <c r="I1357" s="19">
        <f>IF(OR($G1357="",$H1357=""),"",MAX(0,$H1357-$G1357))</f>
        <v/>
      </c>
      <c r="J1357" s="21">
        <f>IF($I1357="","",IF($I1357=0,"OK",IF($G1357&lt;=0,"Sin stock: pedir ya","Pedir o producir")))</f>
        <v/>
      </c>
      <c r="K1357" s="17" t="n"/>
      <c r="L1357" s="17" t="n"/>
      <c r="M1357" s="21">
        <f>IF(OR($A1357="",$A1357&lt;&gt;'Lista para pedir'!$C$3,N($I1357)&lt;=0),"",COUNTIFS($A$2:$A1357,$A1357,$I$2:$I1357,"&gt;0"))</f>
        <v/>
      </c>
    </row>
    <row r="1358">
      <c r="A1358" s="20" t="n"/>
      <c r="B1358" s="21">
        <f>IF($A1358="","",CHOOSE(WEEKDAY($A1358,2),"Lunes","Martes","Miércoles","Jueves","Viernes","Sábado","Domingo"))</f>
        <v/>
      </c>
      <c r="C1358" s="17" t="n"/>
      <c r="D1358" s="21">
        <f>IF($C1358="","",IFERROR(INDEX(Insumos!$B$2:$B$151,MATCH($C1358,Insumos!$A$2:$A$151,0)),"Código no cargado"))</f>
        <v/>
      </c>
      <c r="E1358" s="21">
        <f>IF($C1358="","",IFERROR(INDEX(Insumos!$C$2:$C$151,MATCH($C1358,Insumos!$A$2:$A$151,0)),""))</f>
        <v/>
      </c>
      <c r="F1358" s="21">
        <f>IF($C1358="","",IFERROR(INDEX(Insumos!$D$2:$D$151,MATCH($C1358,Insumos!$A$2:$A$151,0)),""))</f>
        <v/>
      </c>
      <c r="G1358" s="18" t="n"/>
      <c r="H1358" s="19">
        <f>IF(OR($A1358="",$C1358=""),"",IFERROR(INDEX(Insumos!$M$2:$S$151,MATCH($C1358,Insumos!$A$2:$A$151,0),WEEKDAY($A1358,2)),""))</f>
        <v/>
      </c>
      <c r="I1358" s="19">
        <f>IF(OR($G1358="",$H1358=""),"",MAX(0,$H1358-$G1358))</f>
        <v/>
      </c>
      <c r="J1358" s="21">
        <f>IF($I1358="","",IF($I1358=0,"OK",IF($G1358&lt;=0,"Sin stock: pedir ya","Pedir o producir")))</f>
        <v/>
      </c>
      <c r="K1358" s="17" t="n"/>
      <c r="L1358" s="17" t="n"/>
      <c r="M1358" s="21">
        <f>IF(OR($A1358="",$A1358&lt;&gt;'Lista para pedir'!$C$3,N($I1358)&lt;=0),"",COUNTIFS($A$2:$A1358,$A1358,$I$2:$I1358,"&gt;0"))</f>
        <v/>
      </c>
    </row>
    <row r="1359">
      <c r="A1359" s="20" t="n"/>
      <c r="B1359" s="21">
        <f>IF($A1359="","",CHOOSE(WEEKDAY($A1359,2),"Lunes","Martes","Miércoles","Jueves","Viernes","Sábado","Domingo"))</f>
        <v/>
      </c>
      <c r="C1359" s="17" t="n"/>
      <c r="D1359" s="21">
        <f>IF($C1359="","",IFERROR(INDEX(Insumos!$B$2:$B$151,MATCH($C1359,Insumos!$A$2:$A$151,0)),"Código no cargado"))</f>
        <v/>
      </c>
      <c r="E1359" s="21">
        <f>IF($C1359="","",IFERROR(INDEX(Insumos!$C$2:$C$151,MATCH($C1359,Insumos!$A$2:$A$151,0)),""))</f>
        <v/>
      </c>
      <c r="F1359" s="21">
        <f>IF($C1359="","",IFERROR(INDEX(Insumos!$D$2:$D$151,MATCH($C1359,Insumos!$A$2:$A$151,0)),""))</f>
        <v/>
      </c>
      <c r="G1359" s="18" t="n"/>
      <c r="H1359" s="19">
        <f>IF(OR($A1359="",$C1359=""),"",IFERROR(INDEX(Insumos!$M$2:$S$151,MATCH($C1359,Insumos!$A$2:$A$151,0),WEEKDAY($A1359,2)),""))</f>
        <v/>
      </c>
      <c r="I1359" s="19">
        <f>IF(OR($G1359="",$H1359=""),"",MAX(0,$H1359-$G1359))</f>
        <v/>
      </c>
      <c r="J1359" s="21">
        <f>IF($I1359="","",IF($I1359=0,"OK",IF($G1359&lt;=0,"Sin stock: pedir ya","Pedir o producir")))</f>
        <v/>
      </c>
      <c r="K1359" s="17" t="n"/>
      <c r="L1359" s="17" t="n"/>
      <c r="M1359" s="21">
        <f>IF(OR($A1359="",$A1359&lt;&gt;'Lista para pedir'!$C$3,N($I1359)&lt;=0),"",COUNTIFS($A$2:$A1359,$A1359,$I$2:$I1359,"&gt;0"))</f>
        <v/>
      </c>
    </row>
    <row r="1360">
      <c r="A1360" s="20" t="n"/>
      <c r="B1360" s="21">
        <f>IF($A1360="","",CHOOSE(WEEKDAY($A1360,2),"Lunes","Martes","Miércoles","Jueves","Viernes","Sábado","Domingo"))</f>
        <v/>
      </c>
      <c r="C1360" s="17" t="n"/>
      <c r="D1360" s="21">
        <f>IF($C1360="","",IFERROR(INDEX(Insumos!$B$2:$B$151,MATCH($C1360,Insumos!$A$2:$A$151,0)),"Código no cargado"))</f>
        <v/>
      </c>
      <c r="E1360" s="21">
        <f>IF($C1360="","",IFERROR(INDEX(Insumos!$C$2:$C$151,MATCH($C1360,Insumos!$A$2:$A$151,0)),""))</f>
        <v/>
      </c>
      <c r="F1360" s="21">
        <f>IF($C1360="","",IFERROR(INDEX(Insumos!$D$2:$D$151,MATCH($C1360,Insumos!$A$2:$A$151,0)),""))</f>
        <v/>
      </c>
      <c r="G1360" s="18" t="n"/>
      <c r="H1360" s="19">
        <f>IF(OR($A1360="",$C1360=""),"",IFERROR(INDEX(Insumos!$M$2:$S$151,MATCH($C1360,Insumos!$A$2:$A$151,0),WEEKDAY($A1360,2)),""))</f>
        <v/>
      </c>
      <c r="I1360" s="19">
        <f>IF(OR($G1360="",$H1360=""),"",MAX(0,$H1360-$G1360))</f>
        <v/>
      </c>
      <c r="J1360" s="21">
        <f>IF($I1360="","",IF($I1360=0,"OK",IF($G1360&lt;=0,"Sin stock: pedir ya","Pedir o producir")))</f>
        <v/>
      </c>
      <c r="K1360" s="17" t="n"/>
      <c r="L1360" s="17" t="n"/>
      <c r="M1360" s="21">
        <f>IF(OR($A1360="",$A1360&lt;&gt;'Lista para pedir'!$C$3,N($I1360)&lt;=0),"",COUNTIFS($A$2:$A1360,$A1360,$I$2:$I1360,"&gt;0"))</f>
        <v/>
      </c>
    </row>
    <row r="1361">
      <c r="A1361" s="20" t="n"/>
      <c r="B1361" s="21">
        <f>IF($A1361="","",CHOOSE(WEEKDAY($A1361,2),"Lunes","Martes","Miércoles","Jueves","Viernes","Sábado","Domingo"))</f>
        <v/>
      </c>
      <c r="C1361" s="17" t="n"/>
      <c r="D1361" s="21">
        <f>IF($C1361="","",IFERROR(INDEX(Insumos!$B$2:$B$151,MATCH($C1361,Insumos!$A$2:$A$151,0)),"Código no cargado"))</f>
        <v/>
      </c>
      <c r="E1361" s="21">
        <f>IF($C1361="","",IFERROR(INDEX(Insumos!$C$2:$C$151,MATCH($C1361,Insumos!$A$2:$A$151,0)),""))</f>
        <v/>
      </c>
      <c r="F1361" s="21">
        <f>IF($C1361="","",IFERROR(INDEX(Insumos!$D$2:$D$151,MATCH($C1361,Insumos!$A$2:$A$151,0)),""))</f>
        <v/>
      </c>
      <c r="G1361" s="18" t="n"/>
      <c r="H1361" s="19">
        <f>IF(OR($A1361="",$C1361=""),"",IFERROR(INDEX(Insumos!$M$2:$S$151,MATCH($C1361,Insumos!$A$2:$A$151,0),WEEKDAY($A1361,2)),""))</f>
        <v/>
      </c>
      <c r="I1361" s="19">
        <f>IF(OR($G1361="",$H1361=""),"",MAX(0,$H1361-$G1361))</f>
        <v/>
      </c>
      <c r="J1361" s="21">
        <f>IF($I1361="","",IF($I1361=0,"OK",IF($G1361&lt;=0,"Sin stock: pedir ya","Pedir o producir")))</f>
        <v/>
      </c>
      <c r="K1361" s="17" t="n"/>
      <c r="L1361" s="17" t="n"/>
      <c r="M1361" s="21">
        <f>IF(OR($A1361="",$A1361&lt;&gt;'Lista para pedir'!$C$3,N($I1361)&lt;=0),"",COUNTIFS($A$2:$A1361,$A1361,$I$2:$I1361,"&gt;0"))</f>
        <v/>
      </c>
    </row>
    <row r="1362">
      <c r="A1362" s="20" t="n"/>
      <c r="B1362" s="21">
        <f>IF($A1362="","",CHOOSE(WEEKDAY($A1362,2),"Lunes","Martes","Miércoles","Jueves","Viernes","Sábado","Domingo"))</f>
        <v/>
      </c>
      <c r="C1362" s="17" t="n"/>
      <c r="D1362" s="21">
        <f>IF($C1362="","",IFERROR(INDEX(Insumos!$B$2:$B$151,MATCH($C1362,Insumos!$A$2:$A$151,0)),"Código no cargado"))</f>
        <v/>
      </c>
      <c r="E1362" s="21">
        <f>IF($C1362="","",IFERROR(INDEX(Insumos!$C$2:$C$151,MATCH($C1362,Insumos!$A$2:$A$151,0)),""))</f>
        <v/>
      </c>
      <c r="F1362" s="21">
        <f>IF($C1362="","",IFERROR(INDEX(Insumos!$D$2:$D$151,MATCH($C1362,Insumos!$A$2:$A$151,0)),""))</f>
        <v/>
      </c>
      <c r="G1362" s="18" t="n"/>
      <c r="H1362" s="19">
        <f>IF(OR($A1362="",$C1362=""),"",IFERROR(INDEX(Insumos!$M$2:$S$151,MATCH($C1362,Insumos!$A$2:$A$151,0),WEEKDAY($A1362,2)),""))</f>
        <v/>
      </c>
      <c r="I1362" s="19">
        <f>IF(OR($G1362="",$H1362=""),"",MAX(0,$H1362-$G1362))</f>
        <v/>
      </c>
      <c r="J1362" s="21">
        <f>IF($I1362="","",IF($I1362=0,"OK",IF($G1362&lt;=0,"Sin stock: pedir ya","Pedir o producir")))</f>
        <v/>
      </c>
      <c r="K1362" s="17" t="n"/>
      <c r="L1362" s="17" t="n"/>
      <c r="M1362" s="21">
        <f>IF(OR($A1362="",$A1362&lt;&gt;'Lista para pedir'!$C$3,N($I1362)&lt;=0),"",COUNTIFS($A$2:$A1362,$A1362,$I$2:$I1362,"&gt;0"))</f>
        <v/>
      </c>
    </row>
    <row r="1363">
      <c r="A1363" s="20" t="n"/>
      <c r="B1363" s="21">
        <f>IF($A1363="","",CHOOSE(WEEKDAY($A1363,2),"Lunes","Martes","Miércoles","Jueves","Viernes","Sábado","Domingo"))</f>
        <v/>
      </c>
      <c r="C1363" s="17" t="n"/>
      <c r="D1363" s="21">
        <f>IF($C1363="","",IFERROR(INDEX(Insumos!$B$2:$B$151,MATCH($C1363,Insumos!$A$2:$A$151,0)),"Código no cargado"))</f>
        <v/>
      </c>
      <c r="E1363" s="21">
        <f>IF($C1363="","",IFERROR(INDEX(Insumos!$C$2:$C$151,MATCH($C1363,Insumos!$A$2:$A$151,0)),""))</f>
        <v/>
      </c>
      <c r="F1363" s="21">
        <f>IF($C1363="","",IFERROR(INDEX(Insumos!$D$2:$D$151,MATCH($C1363,Insumos!$A$2:$A$151,0)),""))</f>
        <v/>
      </c>
      <c r="G1363" s="18" t="n"/>
      <c r="H1363" s="19">
        <f>IF(OR($A1363="",$C1363=""),"",IFERROR(INDEX(Insumos!$M$2:$S$151,MATCH($C1363,Insumos!$A$2:$A$151,0),WEEKDAY($A1363,2)),""))</f>
        <v/>
      </c>
      <c r="I1363" s="19">
        <f>IF(OR($G1363="",$H1363=""),"",MAX(0,$H1363-$G1363))</f>
        <v/>
      </c>
      <c r="J1363" s="21">
        <f>IF($I1363="","",IF($I1363=0,"OK",IF($G1363&lt;=0,"Sin stock: pedir ya","Pedir o producir")))</f>
        <v/>
      </c>
      <c r="K1363" s="17" t="n"/>
      <c r="L1363" s="17" t="n"/>
      <c r="M1363" s="21">
        <f>IF(OR($A1363="",$A1363&lt;&gt;'Lista para pedir'!$C$3,N($I1363)&lt;=0),"",COUNTIFS($A$2:$A1363,$A1363,$I$2:$I1363,"&gt;0"))</f>
        <v/>
      </c>
    </row>
    <row r="1364">
      <c r="A1364" s="20" t="n"/>
      <c r="B1364" s="21">
        <f>IF($A1364="","",CHOOSE(WEEKDAY($A1364,2),"Lunes","Martes","Miércoles","Jueves","Viernes","Sábado","Domingo"))</f>
        <v/>
      </c>
      <c r="C1364" s="17" t="n"/>
      <c r="D1364" s="21">
        <f>IF($C1364="","",IFERROR(INDEX(Insumos!$B$2:$B$151,MATCH($C1364,Insumos!$A$2:$A$151,0)),"Código no cargado"))</f>
        <v/>
      </c>
      <c r="E1364" s="21">
        <f>IF($C1364="","",IFERROR(INDEX(Insumos!$C$2:$C$151,MATCH($C1364,Insumos!$A$2:$A$151,0)),""))</f>
        <v/>
      </c>
      <c r="F1364" s="21">
        <f>IF($C1364="","",IFERROR(INDEX(Insumos!$D$2:$D$151,MATCH($C1364,Insumos!$A$2:$A$151,0)),""))</f>
        <v/>
      </c>
      <c r="G1364" s="18" t="n"/>
      <c r="H1364" s="19">
        <f>IF(OR($A1364="",$C1364=""),"",IFERROR(INDEX(Insumos!$M$2:$S$151,MATCH($C1364,Insumos!$A$2:$A$151,0),WEEKDAY($A1364,2)),""))</f>
        <v/>
      </c>
      <c r="I1364" s="19">
        <f>IF(OR($G1364="",$H1364=""),"",MAX(0,$H1364-$G1364))</f>
        <v/>
      </c>
      <c r="J1364" s="21">
        <f>IF($I1364="","",IF($I1364=0,"OK",IF($G1364&lt;=0,"Sin stock: pedir ya","Pedir o producir")))</f>
        <v/>
      </c>
      <c r="K1364" s="17" t="n"/>
      <c r="L1364" s="17" t="n"/>
      <c r="M1364" s="21">
        <f>IF(OR($A1364="",$A1364&lt;&gt;'Lista para pedir'!$C$3,N($I1364)&lt;=0),"",COUNTIFS($A$2:$A1364,$A1364,$I$2:$I1364,"&gt;0"))</f>
        <v/>
      </c>
    </row>
    <row r="1365">
      <c r="A1365" s="20" t="n"/>
      <c r="B1365" s="21">
        <f>IF($A1365="","",CHOOSE(WEEKDAY($A1365,2),"Lunes","Martes","Miércoles","Jueves","Viernes","Sábado","Domingo"))</f>
        <v/>
      </c>
      <c r="C1365" s="17" t="n"/>
      <c r="D1365" s="21">
        <f>IF($C1365="","",IFERROR(INDEX(Insumos!$B$2:$B$151,MATCH($C1365,Insumos!$A$2:$A$151,0)),"Código no cargado"))</f>
        <v/>
      </c>
      <c r="E1365" s="21">
        <f>IF($C1365="","",IFERROR(INDEX(Insumos!$C$2:$C$151,MATCH($C1365,Insumos!$A$2:$A$151,0)),""))</f>
        <v/>
      </c>
      <c r="F1365" s="21">
        <f>IF($C1365="","",IFERROR(INDEX(Insumos!$D$2:$D$151,MATCH($C1365,Insumos!$A$2:$A$151,0)),""))</f>
        <v/>
      </c>
      <c r="G1365" s="18" t="n"/>
      <c r="H1365" s="19">
        <f>IF(OR($A1365="",$C1365=""),"",IFERROR(INDEX(Insumos!$M$2:$S$151,MATCH($C1365,Insumos!$A$2:$A$151,0),WEEKDAY($A1365,2)),""))</f>
        <v/>
      </c>
      <c r="I1365" s="19">
        <f>IF(OR($G1365="",$H1365=""),"",MAX(0,$H1365-$G1365))</f>
        <v/>
      </c>
      <c r="J1365" s="21">
        <f>IF($I1365="","",IF($I1365=0,"OK",IF($G1365&lt;=0,"Sin stock: pedir ya","Pedir o producir")))</f>
        <v/>
      </c>
      <c r="K1365" s="17" t="n"/>
      <c r="L1365" s="17" t="n"/>
      <c r="M1365" s="21">
        <f>IF(OR($A1365="",$A1365&lt;&gt;'Lista para pedir'!$C$3,N($I1365)&lt;=0),"",COUNTIFS($A$2:$A1365,$A1365,$I$2:$I1365,"&gt;0"))</f>
        <v/>
      </c>
    </row>
    <row r="1366">
      <c r="A1366" s="20" t="n"/>
      <c r="B1366" s="21">
        <f>IF($A1366="","",CHOOSE(WEEKDAY($A1366,2),"Lunes","Martes","Miércoles","Jueves","Viernes","Sábado","Domingo"))</f>
        <v/>
      </c>
      <c r="C1366" s="17" t="n"/>
      <c r="D1366" s="21">
        <f>IF($C1366="","",IFERROR(INDEX(Insumos!$B$2:$B$151,MATCH($C1366,Insumos!$A$2:$A$151,0)),"Código no cargado"))</f>
        <v/>
      </c>
      <c r="E1366" s="21">
        <f>IF($C1366="","",IFERROR(INDEX(Insumos!$C$2:$C$151,MATCH($C1366,Insumos!$A$2:$A$151,0)),""))</f>
        <v/>
      </c>
      <c r="F1366" s="21">
        <f>IF($C1366="","",IFERROR(INDEX(Insumos!$D$2:$D$151,MATCH($C1366,Insumos!$A$2:$A$151,0)),""))</f>
        <v/>
      </c>
      <c r="G1366" s="18" t="n"/>
      <c r="H1366" s="19">
        <f>IF(OR($A1366="",$C1366=""),"",IFERROR(INDEX(Insumos!$M$2:$S$151,MATCH($C1366,Insumos!$A$2:$A$151,0),WEEKDAY($A1366,2)),""))</f>
        <v/>
      </c>
      <c r="I1366" s="19">
        <f>IF(OR($G1366="",$H1366=""),"",MAX(0,$H1366-$G1366))</f>
        <v/>
      </c>
      <c r="J1366" s="21">
        <f>IF($I1366="","",IF($I1366=0,"OK",IF($G1366&lt;=0,"Sin stock: pedir ya","Pedir o producir")))</f>
        <v/>
      </c>
      <c r="K1366" s="17" t="n"/>
      <c r="L1366" s="17" t="n"/>
      <c r="M1366" s="21">
        <f>IF(OR($A1366="",$A1366&lt;&gt;'Lista para pedir'!$C$3,N($I1366)&lt;=0),"",COUNTIFS($A$2:$A1366,$A1366,$I$2:$I1366,"&gt;0"))</f>
        <v/>
      </c>
    </row>
    <row r="1367">
      <c r="A1367" s="20" t="n"/>
      <c r="B1367" s="21">
        <f>IF($A1367="","",CHOOSE(WEEKDAY($A1367,2),"Lunes","Martes","Miércoles","Jueves","Viernes","Sábado","Domingo"))</f>
        <v/>
      </c>
      <c r="C1367" s="17" t="n"/>
      <c r="D1367" s="21">
        <f>IF($C1367="","",IFERROR(INDEX(Insumos!$B$2:$B$151,MATCH($C1367,Insumos!$A$2:$A$151,0)),"Código no cargado"))</f>
        <v/>
      </c>
      <c r="E1367" s="21">
        <f>IF($C1367="","",IFERROR(INDEX(Insumos!$C$2:$C$151,MATCH($C1367,Insumos!$A$2:$A$151,0)),""))</f>
        <v/>
      </c>
      <c r="F1367" s="21">
        <f>IF($C1367="","",IFERROR(INDEX(Insumos!$D$2:$D$151,MATCH($C1367,Insumos!$A$2:$A$151,0)),""))</f>
        <v/>
      </c>
      <c r="G1367" s="18" t="n"/>
      <c r="H1367" s="19">
        <f>IF(OR($A1367="",$C1367=""),"",IFERROR(INDEX(Insumos!$M$2:$S$151,MATCH($C1367,Insumos!$A$2:$A$151,0),WEEKDAY($A1367,2)),""))</f>
        <v/>
      </c>
      <c r="I1367" s="19">
        <f>IF(OR($G1367="",$H1367=""),"",MAX(0,$H1367-$G1367))</f>
        <v/>
      </c>
      <c r="J1367" s="21">
        <f>IF($I1367="","",IF($I1367=0,"OK",IF($G1367&lt;=0,"Sin stock: pedir ya","Pedir o producir")))</f>
        <v/>
      </c>
      <c r="K1367" s="17" t="n"/>
      <c r="L1367" s="17" t="n"/>
      <c r="M1367" s="21">
        <f>IF(OR($A1367="",$A1367&lt;&gt;'Lista para pedir'!$C$3,N($I1367)&lt;=0),"",COUNTIFS($A$2:$A1367,$A1367,$I$2:$I1367,"&gt;0"))</f>
        <v/>
      </c>
    </row>
    <row r="1368">
      <c r="A1368" s="20" t="n"/>
      <c r="B1368" s="21">
        <f>IF($A1368="","",CHOOSE(WEEKDAY($A1368,2),"Lunes","Martes","Miércoles","Jueves","Viernes","Sábado","Domingo"))</f>
        <v/>
      </c>
      <c r="C1368" s="17" t="n"/>
      <c r="D1368" s="21">
        <f>IF($C1368="","",IFERROR(INDEX(Insumos!$B$2:$B$151,MATCH($C1368,Insumos!$A$2:$A$151,0)),"Código no cargado"))</f>
        <v/>
      </c>
      <c r="E1368" s="21">
        <f>IF($C1368="","",IFERROR(INDEX(Insumos!$C$2:$C$151,MATCH($C1368,Insumos!$A$2:$A$151,0)),""))</f>
        <v/>
      </c>
      <c r="F1368" s="21">
        <f>IF($C1368="","",IFERROR(INDEX(Insumos!$D$2:$D$151,MATCH($C1368,Insumos!$A$2:$A$151,0)),""))</f>
        <v/>
      </c>
      <c r="G1368" s="18" t="n"/>
      <c r="H1368" s="19">
        <f>IF(OR($A1368="",$C1368=""),"",IFERROR(INDEX(Insumos!$M$2:$S$151,MATCH($C1368,Insumos!$A$2:$A$151,0),WEEKDAY($A1368,2)),""))</f>
        <v/>
      </c>
      <c r="I1368" s="19">
        <f>IF(OR($G1368="",$H1368=""),"",MAX(0,$H1368-$G1368))</f>
        <v/>
      </c>
      <c r="J1368" s="21">
        <f>IF($I1368="","",IF($I1368=0,"OK",IF($G1368&lt;=0,"Sin stock: pedir ya","Pedir o producir")))</f>
        <v/>
      </c>
      <c r="K1368" s="17" t="n"/>
      <c r="L1368" s="17" t="n"/>
      <c r="M1368" s="21">
        <f>IF(OR($A1368="",$A1368&lt;&gt;'Lista para pedir'!$C$3,N($I1368)&lt;=0),"",COUNTIFS($A$2:$A1368,$A1368,$I$2:$I1368,"&gt;0"))</f>
        <v/>
      </c>
    </row>
    <row r="1369">
      <c r="A1369" s="20" t="n"/>
      <c r="B1369" s="21">
        <f>IF($A1369="","",CHOOSE(WEEKDAY($A1369,2),"Lunes","Martes","Miércoles","Jueves","Viernes","Sábado","Domingo"))</f>
        <v/>
      </c>
      <c r="C1369" s="17" t="n"/>
      <c r="D1369" s="21">
        <f>IF($C1369="","",IFERROR(INDEX(Insumos!$B$2:$B$151,MATCH($C1369,Insumos!$A$2:$A$151,0)),"Código no cargado"))</f>
        <v/>
      </c>
      <c r="E1369" s="21">
        <f>IF($C1369="","",IFERROR(INDEX(Insumos!$C$2:$C$151,MATCH($C1369,Insumos!$A$2:$A$151,0)),""))</f>
        <v/>
      </c>
      <c r="F1369" s="21">
        <f>IF($C1369="","",IFERROR(INDEX(Insumos!$D$2:$D$151,MATCH($C1369,Insumos!$A$2:$A$151,0)),""))</f>
        <v/>
      </c>
      <c r="G1369" s="18" t="n"/>
      <c r="H1369" s="19">
        <f>IF(OR($A1369="",$C1369=""),"",IFERROR(INDEX(Insumos!$M$2:$S$151,MATCH($C1369,Insumos!$A$2:$A$151,0),WEEKDAY($A1369,2)),""))</f>
        <v/>
      </c>
      <c r="I1369" s="19">
        <f>IF(OR($G1369="",$H1369=""),"",MAX(0,$H1369-$G1369))</f>
        <v/>
      </c>
      <c r="J1369" s="21">
        <f>IF($I1369="","",IF($I1369=0,"OK",IF($G1369&lt;=0,"Sin stock: pedir ya","Pedir o producir")))</f>
        <v/>
      </c>
      <c r="K1369" s="17" t="n"/>
      <c r="L1369" s="17" t="n"/>
      <c r="M1369" s="21">
        <f>IF(OR($A1369="",$A1369&lt;&gt;'Lista para pedir'!$C$3,N($I1369)&lt;=0),"",COUNTIFS($A$2:$A1369,$A1369,$I$2:$I1369,"&gt;0"))</f>
        <v/>
      </c>
    </row>
    <row r="1370">
      <c r="A1370" s="20" t="n"/>
      <c r="B1370" s="21">
        <f>IF($A1370="","",CHOOSE(WEEKDAY($A1370,2),"Lunes","Martes","Miércoles","Jueves","Viernes","Sábado","Domingo"))</f>
        <v/>
      </c>
      <c r="C1370" s="17" t="n"/>
      <c r="D1370" s="21">
        <f>IF($C1370="","",IFERROR(INDEX(Insumos!$B$2:$B$151,MATCH($C1370,Insumos!$A$2:$A$151,0)),"Código no cargado"))</f>
        <v/>
      </c>
      <c r="E1370" s="21">
        <f>IF($C1370="","",IFERROR(INDEX(Insumos!$C$2:$C$151,MATCH($C1370,Insumos!$A$2:$A$151,0)),""))</f>
        <v/>
      </c>
      <c r="F1370" s="21">
        <f>IF($C1370="","",IFERROR(INDEX(Insumos!$D$2:$D$151,MATCH($C1370,Insumos!$A$2:$A$151,0)),""))</f>
        <v/>
      </c>
      <c r="G1370" s="18" t="n"/>
      <c r="H1370" s="19">
        <f>IF(OR($A1370="",$C1370=""),"",IFERROR(INDEX(Insumos!$M$2:$S$151,MATCH($C1370,Insumos!$A$2:$A$151,0),WEEKDAY($A1370,2)),""))</f>
        <v/>
      </c>
      <c r="I1370" s="19">
        <f>IF(OR($G1370="",$H1370=""),"",MAX(0,$H1370-$G1370))</f>
        <v/>
      </c>
      <c r="J1370" s="21">
        <f>IF($I1370="","",IF($I1370=0,"OK",IF($G1370&lt;=0,"Sin stock: pedir ya","Pedir o producir")))</f>
        <v/>
      </c>
      <c r="K1370" s="17" t="n"/>
      <c r="L1370" s="17" t="n"/>
      <c r="M1370" s="21">
        <f>IF(OR($A1370="",$A1370&lt;&gt;'Lista para pedir'!$C$3,N($I1370)&lt;=0),"",COUNTIFS($A$2:$A1370,$A1370,$I$2:$I1370,"&gt;0"))</f>
        <v/>
      </c>
    </row>
    <row r="1371">
      <c r="A1371" s="20" t="n"/>
      <c r="B1371" s="21">
        <f>IF($A1371="","",CHOOSE(WEEKDAY($A1371,2),"Lunes","Martes","Miércoles","Jueves","Viernes","Sábado","Domingo"))</f>
        <v/>
      </c>
      <c r="C1371" s="17" t="n"/>
      <c r="D1371" s="21">
        <f>IF($C1371="","",IFERROR(INDEX(Insumos!$B$2:$B$151,MATCH($C1371,Insumos!$A$2:$A$151,0)),"Código no cargado"))</f>
        <v/>
      </c>
      <c r="E1371" s="21">
        <f>IF($C1371="","",IFERROR(INDEX(Insumos!$C$2:$C$151,MATCH($C1371,Insumos!$A$2:$A$151,0)),""))</f>
        <v/>
      </c>
      <c r="F1371" s="21">
        <f>IF($C1371="","",IFERROR(INDEX(Insumos!$D$2:$D$151,MATCH($C1371,Insumos!$A$2:$A$151,0)),""))</f>
        <v/>
      </c>
      <c r="G1371" s="18" t="n"/>
      <c r="H1371" s="19">
        <f>IF(OR($A1371="",$C1371=""),"",IFERROR(INDEX(Insumos!$M$2:$S$151,MATCH($C1371,Insumos!$A$2:$A$151,0),WEEKDAY($A1371,2)),""))</f>
        <v/>
      </c>
      <c r="I1371" s="19">
        <f>IF(OR($G1371="",$H1371=""),"",MAX(0,$H1371-$G1371))</f>
        <v/>
      </c>
      <c r="J1371" s="21">
        <f>IF($I1371="","",IF($I1371=0,"OK",IF($G1371&lt;=0,"Sin stock: pedir ya","Pedir o producir")))</f>
        <v/>
      </c>
      <c r="K1371" s="17" t="n"/>
      <c r="L1371" s="17" t="n"/>
      <c r="M1371" s="21">
        <f>IF(OR($A1371="",$A1371&lt;&gt;'Lista para pedir'!$C$3,N($I1371)&lt;=0),"",COUNTIFS($A$2:$A1371,$A1371,$I$2:$I1371,"&gt;0"))</f>
        <v/>
      </c>
    </row>
    <row r="1372">
      <c r="A1372" s="20" t="n"/>
      <c r="B1372" s="21">
        <f>IF($A1372="","",CHOOSE(WEEKDAY($A1372,2),"Lunes","Martes","Miércoles","Jueves","Viernes","Sábado","Domingo"))</f>
        <v/>
      </c>
      <c r="C1372" s="17" t="n"/>
      <c r="D1372" s="21">
        <f>IF($C1372="","",IFERROR(INDEX(Insumos!$B$2:$B$151,MATCH($C1372,Insumos!$A$2:$A$151,0)),"Código no cargado"))</f>
        <v/>
      </c>
      <c r="E1372" s="21">
        <f>IF($C1372="","",IFERROR(INDEX(Insumos!$C$2:$C$151,MATCH($C1372,Insumos!$A$2:$A$151,0)),""))</f>
        <v/>
      </c>
      <c r="F1372" s="21">
        <f>IF($C1372="","",IFERROR(INDEX(Insumos!$D$2:$D$151,MATCH($C1372,Insumos!$A$2:$A$151,0)),""))</f>
        <v/>
      </c>
      <c r="G1372" s="18" t="n"/>
      <c r="H1372" s="19">
        <f>IF(OR($A1372="",$C1372=""),"",IFERROR(INDEX(Insumos!$M$2:$S$151,MATCH($C1372,Insumos!$A$2:$A$151,0),WEEKDAY($A1372,2)),""))</f>
        <v/>
      </c>
      <c r="I1372" s="19">
        <f>IF(OR($G1372="",$H1372=""),"",MAX(0,$H1372-$G1372))</f>
        <v/>
      </c>
      <c r="J1372" s="21">
        <f>IF($I1372="","",IF($I1372=0,"OK",IF($G1372&lt;=0,"Sin stock: pedir ya","Pedir o producir")))</f>
        <v/>
      </c>
      <c r="K1372" s="17" t="n"/>
      <c r="L1372" s="17" t="n"/>
      <c r="M1372" s="21">
        <f>IF(OR($A1372="",$A1372&lt;&gt;'Lista para pedir'!$C$3,N($I1372)&lt;=0),"",COUNTIFS($A$2:$A1372,$A1372,$I$2:$I1372,"&gt;0"))</f>
        <v/>
      </c>
    </row>
    <row r="1373">
      <c r="A1373" s="20" t="n"/>
      <c r="B1373" s="21">
        <f>IF($A1373="","",CHOOSE(WEEKDAY($A1373,2),"Lunes","Martes","Miércoles","Jueves","Viernes","Sábado","Domingo"))</f>
        <v/>
      </c>
      <c r="C1373" s="17" t="n"/>
      <c r="D1373" s="21">
        <f>IF($C1373="","",IFERROR(INDEX(Insumos!$B$2:$B$151,MATCH($C1373,Insumos!$A$2:$A$151,0)),"Código no cargado"))</f>
        <v/>
      </c>
      <c r="E1373" s="21">
        <f>IF($C1373="","",IFERROR(INDEX(Insumos!$C$2:$C$151,MATCH($C1373,Insumos!$A$2:$A$151,0)),""))</f>
        <v/>
      </c>
      <c r="F1373" s="21">
        <f>IF($C1373="","",IFERROR(INDEX(Insumos!$D$2:$D$151,MATCH($C1373,Insumos!$A$2:$A$151,0)),""))</f>
        <v/>
      </c>
      <c r="G1373" s="18" t="n"/>
      <c r="H1373" s="19">
        <f>IF(OR($A1373="",$C1373=""),"",IFERROR(INDEX(Insumos!$M$2:$S$151,MATCH($C1373,Insumos!$A$2:$A$151,0),WEEKDAY($A1373,2)),""))</f>
        <v/>
      </c>
      <c r="I1373" s="19">
        <f>IF(OR($G1373="",$H1373=""),"",MAX(0,$H1373-$G1373))</f>
        <v/>
      </c>
      <c r="J1373" s="21">
        <f>IF($I1373="","",IF($I1373=0,"OK",IF($G1373&lt;=0,"Sin stock: pedir ya","Pedir o producir")))</f>
        <v/>
      </c>
      <c r="K1373" s="17" t="n"/>
      <c r="L1373" s="17" t="n"/>
      <c r="M1373" s="21">
        <f>IF(OR($A1373="",$A1373&lt;&gt;'Lista para pedir'!$C$3,N($I1373)&lt;=0),"",COUNTIFS($A$2:$A1373,$A1373,$I$2:$I1373,"&gt;0"))</f>
        <v/>
      </c>
    </row>
    <row r="1374">
      <c r="A1374" s="20" t="n"/>
      <c r="B1374" s="21">
        <f>IF($A1374="","",CHOOSE(WEEKDAY($A1374,2),"Lunes","Martes","Miércoles","Jueves","Viernes","Sábado","Domingo"))</f>
        <v/>
      </c>
      <c r="C1374" s="17" t="n"/>
      <c r="D1374" s="21">
        <f>IF($C1374="","",IFERROR(INDEX(Insumos!$B$2:$B$151,MATCH($C1374,Insumos!$A$2:$A$151,0)),"Código no cargado"))</f>
        <v/>
      </c>
      <c r="E1374" s="21">
        <f>IF($C1374="","",IFERROR(INDEX(Insumos!$C$2:$C$151,MATCH($C1374,Insumos!$A$2:$A$151,0)),""))</f>
        <v/>
      </c>
      <c r="F1374" s="21">
        <f>IF($C1374="","",IFERROR(INDEX(Insumos!$D$2:$D$151,MATCH($C1374,Insumos!$A$2:$A$151,0)),""))</f>
        <v/>
      </c>
      <c r="G1374" s="18" t="n"/>
      <c r="H1374" s="19">
        <f>IF(OR($A1374="",$C1374=""),"",IFERROR(INDEX(Insumos!$M$2:$S$151,MATCH($C1374,Insumos!$A$2:$A$151,0),WEEKDAY($A1374,2)),""))</f>
        <v/>
      </c>
      <c r="I1374" s="19">
        <f>IF(OR($G1374="",$H1374=""),"",MAX(0,$H1374-$G1374))</f>
        <v/>
      </c>
      <c r="J1374" s="21">
        <f>IF($I1374="","",IF($I1374=0,"OK",IF($G1374&lt;=0,"Sin stock: pedir ya","Pedir o producir")))</f>
        <v/>
      </c>
      <c r="K1374" s="17" t="n"/>
      <c r="L1374" s="17" t="n"/>
      <c r="M1374" s="21">
        <f>IF(OR($A1374="",$A1374&lt;&gt;'Lista para pedir'!$C$3,N($I1374)&lt;=0),"",COUNTIFS($A$2:$A1374,$A1374,$I$2:$I1374,"&gt;0"))</f>
        <v/>
      </c>
    </row>
    <row r="1375">
      <c r="A1375" s="20" t="n"/>
      <c r="B1375" s="21">
        <f>IF($A1375="","",CHOOSE(WEEKDAY($A1375,2),"Lunes","Martes","Miércoles","Jueves","Viernes","Sábado","Domingo"))</f>
        <v/>
      </c>
      <c r="C1375" s="17" t="n"/>
      <c r="D1375" s="21">
        <f>IF($C1375="","",IFERROR(INDEX(Insumos!$B$2:$B$151,MATCH($C1375,Insumos!$A$2:$A$151,0)),"Código no cargado"))</f>
        <v/>
      </c>
      <c r="E1375" s="21">
        <f>IF($C1375="","",IFERROR(INDEX(Insumos!$C$2:$C$151,MATCH($C1375,Insumos!$A$2:$A$151,0)),""))</f>
        <v/>
      </c>
      <c r="F1375" s="21">
        <f>IF($C1375="","",IFERROR(INDEX(Insumos!$D$2:$D$151,MATCH($C1375,Insumos!$A$2:$A$151,0)),""))</f>
        <v/>
      </c>
      <c r="G1375" s="18" t="n"/>
      <c r="H1375" s="19">
        <f>IF(OR($A1375="",$C1375=""),"",IFERROR(INDEX(Insumos!$M$2:$S$151,MATCH($C1375,Insumos!$A$2:$A$151,0),WEEKDAY($A1375,2)),""))</f>
        <v/>
      </c>
      <c r="I1375" s="19">
        <f>IF(OR($G1375="",$H1375=""),"",MAX(0,$H1375-$G1375))</f>
        <v/>
      </c>
      <c r="J1375" s="21">
        <f>IF($I1375="","",IF($I1375=0,"OK",IF($G1375&lt;=0,"Sin stock: pedir ya","Pedir o producir")))</f>
        <v/>
      </c>
      <c r="K1375" s="17" t="n"/>
      <c r="L1375" s="17" t="n"/>
      <c r="M1375" s="21">
        <f>IF(OR($A1375="",$A1375&lt;&gt;'Lista para pedir'!$C$3,N($I1375)&lt;=0),"",COUNTIFS($A$2:$A1375,$A1375,$I$2:$I1375,"&gt;0"))</f>
        <v/>
      </c>
    </row>
    <row r="1376">
      <c r="A1376" s="20" t="n"/>
      <c r="B1376" s="21">
        <f>IF($A1376="","",CHOOSE(WEEKDAY($A1376,2),"Lunes","Martes","Miércoles","Jueves","Viernes","Sábado","Domingo"))</f>
        <v/>
      </c>
      <c r="C1376" s="17" t="n"/>
      <c r="D1376" s="21">
        <f>IF($C1376="","",IFERROR(INDEX(Insumos!$B$2:$B$151,MATCH($C1376,Insumos!$A$2:$A$151,0)),"Código no cargado"))</f>
        <v/>
      </c>
      <c r="E1376" s="21">
        <f>IF($C1376="","",IFERROR(INDEX(Insumos!$C$2:$C$151,MATCH($C1376,Insumos!$A$2:$A$151,0)),""))</f>
        <v/>
      </c>
      <c r="F1376" s="21">
        <f>IF($C1376="","",IFERROR(INDEX(Insumos!$D$2:$D$151,MATCH($C1376,Insumos!$A$2:$A$151,0)),""))</f>
        <v/>
      </c>
      <c r="G1376" s="18" t="n"/>
      <c r="H1376" s="19">
        <f>IF(OR($A1376="",$C1376=""),"",IFERROR(INDEX(Insumos!$M$2:$S$151,MATCH($C1376,Insumos!$A$2:$A$151,0),WEEKDAY($A1376,2)),""))</f>
        <v/>
      </c>
      <c r="I1376" s="19">
        <f>IF(OR($G1376="",$H1376=""),"",MAX(0,$H1376-$G1376))</f>
        <v/>
      </c>
      <c r="J1376" s="21">
        <f>IF($I1376="","",IF($I1376=0,"OK",IF($G1376&lt;=0,"Sin stock: pedir ya","Pedir o producir")))</f>
        <v/>
      </c>
      <c r="K1376" s="17" t="n"/>
      <c r="L1376" s="17" t="n"/>
      <c r="M1376" s="21">
        <f>IF(OR($A1376="",$A1376&lt;&gt;'Lista para pedir'!$C$3,N($I1376)&lt;=0),"",COUNTIFS($A$2:$A1376,$A1376,$I$2:$I1376,"&gt;0"))</f>
        <v/>
      </c>
    </row>
    <row r="1377">
      <c r="A1377" s="20" t="n"/>
      <c r="B1377" s="21">
        <f>IF($A1377="","",CHOOSE(WEEKDAY($A1377,2),"Lunes","Martes","Miércoles","Jueves","Viernes","Sábado","Domingo"))</f>
        <v/>
      </c>
      <c r="C1377" s="17" t="n"/>
      <c r="D1377" s="21">
        <f>IF($C1377="","",IFERROR(INDEX(Insumos!$B$2:$B$151,MATCH($C1377,Insumos!$A$2:$A$151,0)),"Código no cargado"))</f>
        <v/>
      </c>
      <c r="E1377" s="21">
        <f>IF($C1377="","",IFERROR(INDEX(Insumos!$C$2:$C$151,MATCH($C1377,Insumos!$A$2:$A$151,0)),""))</f>
        <v/>
      </c>
      <c r="F1377" s="21">
        <f>IF($C1377="","",IFERROR(INDEX(Insumos!$D$2:$D$151,MATCH($C1377,Insumos!$A$2:$A$151,0)),""))</f>
        <v/>
      </c>
      <c r="G1377" s="18" t="n"/>
      <c r="H1377" s="19">
        <f>IF(OR($A1377="",$C1377=""),"",IFERROR(INDEX(Insumos!$M$2:$S$151,MATCH($C1377,Insumos!$A$2:$A$151,0),WEEKDAY($A1377,2)),""))</f>
        <v/>
      </c>
      <c r="I1377" s="19">
        <f>IF(OR($G1377="",$H1377=""),"",MAX(0,$H1377-$G1377))</f>
        <v/>
      </c>
      <c r="J1377" s="21">
        <f>IF($I1377="","",IF($I1377=0,"OK",IF($G1377&lt;=0,"Sin stock: pedir ya","Pedir o producir")))</f>
        <v/>
      </c>
      <c r="K1377" s="17" t="n"/>
      <c r="L1377" s="17" t="n"/>
      <c r="M1377" s="21">
        <f>IF(OR($A1377="",$A1377&lt;&gt;'Lista para pedir'!$C$3,N($I1377)&lt;=0),"",COUNTIFS($A$2:$A1377,$A1377,$I$2:$I1377,"&gt;0"))</f>
        <v/>
      </c>
    </row>
    <row r="1378">
      <c r="A1378" s="20" t="n"/>
      <c r="B1378" s="21">
        <f>IF($A1378="","",CHOOSE(WEEKDAY($A1378,2),"Lunes","Martes","Miércoles","Jueves","Viernes","Sábado","Domingo"))</f>
        <v/>
      </c>
      <c r="C1378" s="17" t="n"/>
      <c r="D1378" s="21">
        <f>IF($C1378="","",IFERROR(INDEX(Insumos!$B$2:$B$151,MATCH($C1378,Insumos!$A$2:$A$151,0)),"Código no cargado"))</f>
        <v/>
      </c>
      <c r="E1378" s="21">
        <f>IF($C1378="","",IFERROR(INDEX(Insumos!$C$2:$C$151,MATCH($C1378,Insumos!$A$2:$A$151,0)),""))</f>
        <v/>
      </c>
      <c r="F1378" s="21">
        <f>IF($C1378="","",IFERROR(INDEX(Insumos!$D$2:$D$151,MATCH($C1378,Insumos!$A$2:$A$151,0)),""))</f>
        <v/>
      </c>
      <c r="G1378" s="18" t="n"/>
      <c r="H1378" s="19">
        <f>IF(OR($A1378="",$C1378=""),"",IFERROR(INDEX(Insumos!$M$2:$S$151,MATCH($C1378,Insumos!$A$2:$A$151,0),WEEKDAY($A1378,2)),""))</f>
        <v/>
      </c>
      <c r="I1378" s="19">
        <f>IF(OR($G1378="",$H1378=""),"",MAX(0,$H1378-$G1378))</f>
        <v/>
      </c>
      <c r="J1378" s="21">
        <f>IF($I1378="","",IF($I1378=0,"OK",IF($G1378&lt;=0,"Sin stock: pedir ya","Pedir o producir")))</f>
        <v/>
      </c>
      <c r="K1378" s="17" t="n"/>
      <c r="L1378" s="17" t="n"/>
      <c r="M1378" s="21">
        <f>IF(OR($A1378="",$A1378&lt;&gt;'Lista para pedir'!$C$3,N($I1378)&lt;=0),"",COUNTIFS($A$2:$A1378,$A1378,$I$2:$I1378,"&gt;0"))</f>
        <v/>
      </c>
    </row>
    <row r="1379">
      <c r="A1379" s="20" t="n"/>
      <c r="B1379" s="21">
        <f>IF($A1379="","",CHOOSE(WEEKDAY($A1379,2),"Lunes","Martes","Miércoles","Jueves","Viernes","Sábado","Domingo"))</f>
        <v/>
      </c>
      <c r="C1379" s="17" t="n"/>
      <c r="D1379" s="21">
        <f>IF($C1379="","",IFERROR(INDEX(Insumos!$B$2:$B$151,MATCH($C1379,Insumos!$A$2:$A$151,0)),"Código no cargado"))</f>
        <v/>
      </c>
      <c r="E1379" s="21">
        <f>IF($C1379="","",IFERROR(INDEX(Insumos!$C$2:$C$151,MATCH($C1379,Insumos!$A$2:$A$151,0)),""))</f>
        <v/>
      </c>
      <c r="F1379" s="21">
        <f>IF($C1379="","",IFERROR(INDEX(Insumos!$D$2:$D$151,MATCH($C1379,Insumos!$A$2:$A$151,0)),""))</f>
        <v/>
      </c>
      <c r="G1379" s="18" t="n"/>
      <c r="H1379" s="19">
        <f>IF(OR($A1379="",$C1379=""),"",IFERROR(INDEX(Insumos!$M$2:$S$151,MATCH($C1379,Insumos!$A$2:$A$151,0),WEEKDAY($A1379,2)),""))</f>
        <v/>
      </c>
      <c r="I1379" s="19">
        <f>IF(OR($G1379="",$H1379=""),"",MAX(0,$H1379-$G1379))</f>
        <v/>
      </c>
      <c r="J1379" s="21">
        <f>IF($I1379="","",IF($I1379=0,"OK",IF($G1379&lt;=0,"Sin stock: pedir ya","Pedir o producir")))</f>
        <v/>
      </c>
      <c r="K1379" s="17" t="n"/>
      <c r="L1379" s="17" t="n"/>
      <c r="M1379" s="21">
        <f>IF(OR($A1379="",$A1379&lt;&gt;'Lista para pedir'!$C$3,N($I1379)&lt;=0),"",COUNTIFS($A$2:$A1379,$A1379,$I$2:$I1379,"&gt;0"))</f>
        <v/>
      </c>
    </row>
    <row r="1380">
      <c r="A1380" s="20" t="n"/>
      <c r="B1380" s="21">
        <f>IF($A1380="","",CHOOSE(WEEKDAY($A1380,2),"Lunes","Martes","Miércoles","Jueves","Viernes","Sábado","Domingo"))</f>
        <v/>
      </c>
      <c r="C1380" s="17" t="n"/>
      <c r="D1380" s="21">
        <f>IF($C1380="","",IFERROR(INDEX(Insumos!$B$2:$B$151,MATCH($C1380,Insumos!$A$2:$A$151,0)),"Código no cargado"))</f>
        <v/>
      </c>
      <c r="E1380" s="21">
        <f>IF($C1380="","",IFERROR(INDEX(Insumos!$C$2:$C$151,MATCH($C1380,Insumos!$A$2:$A$151,0)),""))</f>
        <v/>
      </c>
      <c r="F1380" s="21">
        <f>IF($C1380="","",IFERROR(INDEX(Insumos!$D$2:$D$151,MATCH($C1380,Insumos!$A$2:$A$151,0)),""))</f>
        <v/>
      </c>
      <c r="G1380" s="18" t="n"/>
      <c r="H1380" s="19">
        <f>IF(OR($A1380="",$C1380=""),"",IFERROR(INDEX(Insumos!$M$2:$S$151,MATCH($C1380,Insumos!$A$2:$A$151,0),WEEKDAY($A1380,2)),""))</f>
        <v/>
      </c>
      <c r="I1380" s="19">
        <f>IF(OR($G1380="",$H1380=""),"",MAX(0,$H1380-$G1380))</f>
        <v/>
      </c>
      <c r="J1380" s="21">
        <f>IF($I1380="","",IF($I1380=0,"OK",IF($G1380&lt;=0,"Sin stock: pedir ya","Pedir o producir")))</f>
        <v/>
      </c>
      <c r="K1380" s="17" t="n"/>
      <c r="L1380" s="17" t="n"/>
      <c r="M1380" s="21">
        <f>IF(OR($A1380="",$A1380&lt;&gt;'Lista para pedir'!$C$3,N($I1380)&lt;=0),"",COUNTIFS($A$2:$A1380,$A1380,$I$2:$I1380,"&gt;0"))</f>
        <v/>
      </c>
    </row>
    <row r="1381">
      <c r="A1381" s="20" t="n"/>
      <c r="B1381" s="21">
        <f>IF($A1381="","",CHOOSE(WEEKDAY($A1381,2),"Lunes","Martes","Miércoles","Jueves","Viernes","Sábado","Domingo"))</f>
        <v/>
      </c>
      <c r="C1381" s="17" t="n"/>
      <c r="D1381" s="21">
        <f>IF($C1381="","",IFERROR(INDEX(Insumos!$B$2:$B$151,MATCH($C1381,Insumos!$A$2:$A$151,0)),"Código no cargado"))</f>
        <v/>
      </c>
      <c r="E1381" s="21">
        <f>IF($C1381="","",IFERROR(INDEX(Insumos!$C$2:$C$151,MATCH($C1381,Insumos!$A$2:$A$151,0)),""))</f>
        <v/>
      </c>
      <c r="F1381" s="21">
        <f>IF($C1381="","",IFERROR(INDEX(Insumos!$D$2:$D$151,MATCH($C1381,Insumos!$A$2:$A$151,0)),""))</f>
        <v/>
      </c>
      <c r="G1381" s="18" t="n"/>
      <c r="H1381" s="19">
        <f>IF(OR($A1381="",$C1381=""),"",IFERROR(INDEX(Insumos!$M$2:$S$151,MATCH($C1381,Insumos!$A$2:$A$151,0),WEEKDAY($A1381,2)),""))</f>
        <v/>
      </c>
      <c r="I1381" s="19">
        <f>IF(OR($G1381="",$H1381=""),"",MAX(0,$H1381-$G1381))</f>
        <v/>
      </c>
      <c r="J1381" s="21">
        <f>IF($I1381="","",IF($I1381=0,"OK",IF($G1381&lt;=0,"Sin stock: pedir ya","Pedir o producir")))</f>
        <v/>
      </c>
      <c r="K1381" s="17" t="n"/>
      <c r="L1381" s="17" t="n"/>
      <c r="M1381" s="21">
        <f>IF(OR($A1381="",$A1381&lt;&gt;'Lista para pedir'!$C$3,N($I1381)&lt;=0),"",COUNTIFS($A$2:$A1381,$A1381,$I$2:$I1381,"&gt;0"))</f>
        <v/>
      </c>
    </row>
    <row r="1382">
      <c r="A1382" s="20" t="n"/>
      <c r="B1382" s="21">
        <f>IF($A1382="","",CHOOSE(WEEKDAY($A1382,2),"Lunes","Martes","Miércoles","Jueves","Viernes","Sábado","Domingo"))</f>
        <v/>
      </c>
      <c r="C1382" s="17" t="n"/>
      <c r="D1382" s="21">
        <f>IF($C1382="","",IFERROR(INDEX(Insumos!$B$2:$B$151,MATCH($C1382,Insumos!$A$2:$A$151,0)),"Código no cargado"))</f>
        <v/>
      </c>
      <c r="E1382" s="21">
        <f>IF($C1382="","",IFERROR(INDEX(Insumos!$C$2:$C$151,MATCH($C1382,Insumos!$A$2:$A$151,0)),""))</f>
        <v/>
      </c>
      <c r="F1382" s="21">
        <f>IF($C1382="","",IFERROR(INDEX(Insumos!$D$2:$D$151,MATCH($C1382,Insumos!$A$2:$A$151,0)),""))</f>
        <v/>
      </c>
      <c r="G1382" s="18" t="n"/>
      <c r="H1382" s="19">
        <f>IF(OR($A1382="",$C1382=""),"",IFERROR(INDEX(Insumos!$M$2:$S$151,MATCH($C1382,Insumos!$A$2:$A$151,0),WEEKDAY($A1382,2)),""))</f>
        <v/>
      </c>
      <c r="I1382" s="19">
        <f>IF(OR($G1382="",$H1382=""),"",MAX(0,$H1382-$G1382))</f>
        <v/>
      </c>
      <c r="J1382" s="21">
        <f>IF($I1382="","",IF($I1382=0,"OK",IF($G1382&lt;=0,"Sin stock: pedir ya","Pedir o producir")))</f>
        <v/>
      </c>
      <c r="K1382" s="17" t="n"/>
      <c r="L1382" s="17" t="n"/>
      <c r="M1382" s="21">
        <f>IF(OR($A1382="",$A1382&lt;&gt;'Lista para pedir'!$C$3,N($I1382)&lt;=0),"",COUNTIFS($A$2:$A1382,$A1382,$I$2:$I1382,"&gt;0"))</f>
        <v/>
      </c>
    </row>
    <row r="1383">
      <c r="A1383" s="20" t="n"/>
      <c r="B1383" s="21">
        <f>IF($A1383="","",CHOOSE(WEEKDAY($A1383,2),"Lunes","Martes","Miércoles","Jueves","Viernes","Sábado","Domingo"))</f>
        <v/>
      </c>
      <c r="C1383" s="17" t="n"/>
      <c r="D1383" s="21">
        <f>IF($C1383="","",IFERROR(INDEX(Insumos!$B$2:$B$151,MATCH($C1383,Insumos!$A$2:$A$151,0)),"Código no cargado"))</f>
        <v/>
      </c>
      <c r="E1383" s="21">
        <f>IF($C1383="","",IFERROR(INDEX(Insumos!$C$2:$C$151,MATCH($C1383,Insumos!$A$2:$A$151,0)),""))</f>
        <v/>
      </c>
      <c r="F1383" s="21">
        <f>IF($C1383="","",IFERROR(INDEX(Insumos!$D$2:$D$151,MATCH($C1383,Insumos!$A$2:$A$151,0)),""))</f>
        <v/>
      </c>
      <c r="G1383" s="18" t="n"/>
      <c r="H1383" s="19">
        <f>IF(OR($A1383="",$C1383=""),"",IFERROR(INDEX(Insumos!$M$2:$S$151,MATCH($C1383,Insumos!$A$2:$A$151,0),WEEKDAY($A1383,2)),""))</f>
        <v/>
      </c>
      <c r="I1383" s="19">
        <f>IF(OR($G1383="",$H1383=""),"",MAX(0,$H1383-$G1383))</f>
        <v/>
      </c>
      <c r="J1383" s="21">
        <f>IF($I1383="","",IF($I1383=0,"OK",IF($G1383&lt;=0,"Sin stock: pedir ya","Pedir o producir")))</f>
        <v/>
      </c>
      <c r="K1383" s="17" t="n"/>
      <c r="L1383" s="17" t="n"/>
      <c r="M1383" s="21">
        <f>IF(OR($A1383="",$A1383&lt;&gt;'Lista para pedir'!$C$3,N($I1383)&lt;=0),"",COUNTIFS($A$2:$A1383,$A1383,$I$2:$I1383,"&gt;0"))</f>
        <v/>
      </c>
    </row>
    <row r="1384">
      <c r="A1384" s="20" t="n"/>
      <c r="B1384" s="21">
        <f>IF($A1384="","",CHOOSE(WEEKDAY($A1384,2),"Lunes","Martes","Miércoles","Jueves","Viernes","Sábado","Domingo"))</f>
        <v/>
      </c>
      <c r="C1384" s="17" t="n"/>
      <c r="D1384" s="21">
        <f>IF($C1384="","",IFERROR(INDEX(Insumos!$B$2:$B$151,MATCH($C1384,Insumos!$A$2:$A$151,0)),"Código no cargado"))</f>
        <v/>
      </c>
      <c r="E1384" s="21">
        <f>IF($C1384="","",IFERROR(INDEX(Insumos!$C$2:$C$151,MATCH($C1384,Insumos!$A$2:$A$151,0)),""))</f>
        <v/>
      </c>
      <c r="F1384" s="21">
        <f>IF($C1384="","",IFERROR(INDEX(Insumos!$D$2:$D$151,MATCH($C1384,Insumos!$A$2:$A$151,0)),""))</f>
        <v/>
      </c>
      <c r="G1384" s="18" t="n"/>
      <c r="H1384" s="19">
        <f>IF(OR($A1384="",$C1384=""),"",IFERROR(INDEX(Insumos!$M$2:$S$151,MATCH($C1384,Insumos!$A$2:$A$151,0),WEEKDAY($A1384,2)),""))</f>
        <v/>
      </c>
      <c r="I1384" s="19">
        <f>IF(OR($G1384="",$H1384=""),"",MAX(0,$H1384-$G1384))</f>
        <v/>
      </c>
      <c r="J1384" s="21">
        <f>IF($I1384="","",IF($I1384=0,"OK",IF($G1384&lt;=0,"Sin stock: pedir ya","Pedir o producir")))</f>
        <v/>
      </c>
      <c r="K1384" s="17" t="n"/>
      <c r="L1384" s="17" t="n"/>
      <c r="M1384" s="21">
        <f>IF(OR($A1384="",$A1384&lt;&gt;'Lista para pedir'!$C$3,N($I1384)&lt;=0),"",COUNTIFS($A$2:$A1384,$A1384,$I$2:$I1384,"&gt;0"))</f>
        <v/>
      </c>
    </row>
    <row r="1385">
      <c r="A1385" s="20" t="n"/>
      <c r="B1385" s="21">
        <f>IF($A1385="","",CHOOSE(WEEKDAY($A1385,2),"Lunes","Martes","Miércoles","Jueves","Viernes","Sábado","Domingo"))</f>
        <v/>
      </c>
      <c r="C1385" s="17" t="n"/>
      <c r="D1385" s="21">
        <f>IF($C1385="","",IFERROR(INDEX(Insumos!$B$2:$B$151,MATCH($C1385,Insumos!$A$2:$A$151,0)),"Código no cargado"))</f>
        <v/>
      </c>
      <c r="E1385" s="21">
        <f>IF($C1385="","",IFERROR(INDEX(Insumos!$C$2:$C$151,MATCH($C1385,Insumos!$A$2:$A$151,0)),""))</f>
        <v/>
      </c>
      <c r="F1385" s="21">
        <f>IF($C1385="","",IFERROR(INDEX(Insumos!$D$2:$D$151,MATCH($C1385,Insumos!$A$2:$A$151,0)),""))</f>
        <v/>
      </c>
      <c r="G1385" s="18" t="n"/>
      <c r="H1385" s="19">
        <f>IF(OR($A1385="",$C1385=""),"",IFERROR(INDEX(Insumos!$M$2:$S$151,MATCH($C1385,Insumos!$A$2:$A$151,0),WEEKDAY($A1385,2)),""))</f>
        <v/>
      </c>
      <c r="I1385" s="19">
        <f>IF(OR($G1385="",$H1385=""),"",MAX(0,$H1385-$G1385))</f>
        <v/>
      </c>
      <c r="J1385" s="21">
        <f>IF($I1385="","",IF($I1385=0,"OK",IF($G1385&lt;=0,"Sin stock: pedir ya","Pedir o producir")))</f>
        <v/>
      </c>
      <c r="K1385" s="17" t="n"/>
      <c r="L1385" s="17" t="n"/>
      <c r="M1385" s="21">
        <f>IF(OR($A1385="",$A1385&lt;&gt;'Lista para pedir'!$C$3,N($I1385)&lt;=0),"",COUNTIFS($A$2:$A1385,$A1385,$I$2:$I1385,"&gt;0"))</f>
        <v/>
      </c>
    </row>
    <row r="1386">
      <c r="A1386" s="20" t="n"/>
      <c r="B1386" s="21">
        <f>IF($A1386="","",CHOOSE(WEEKDAY($A1386,2),"Lunes","Martes","Miércoles","Jueves","Viernes","Sábado","Domingo"))</f>
        <v/>
      </c>
      <c r="C1386" s="17" t="n"/>
      <c r="D1386" s="21">
        <f>IF($C1386="","",IFERROR(INDEX(Insumos!$B$2:$B$151,MATCH($C1386,Insumos!$A$2:$A$151,0)),"Código no cargado"))</f>
        <v/>
      </c>
      <c r="E1386" s="21">
        <f>IF($C1386="","",IFERROR(INDEX(Insumos!$C$2:$C$151,MATCH($C1386,Insumos!$A$2:$A$151,0)),""))</f>
        <v/>
      </c>
      <c r="F1386" s="21">
        <f>IF($C1386="","",IFERROR(INDEX(Insumos!$D$2:$D$151,MATCH($C1386,Insumos!$A$2:$A$151,0)),""))</f>
        <v/>
      </c>
      <c r="G1386" s="18" t="n"/>
      <c r="H1386" s="19">
        <f>IF(OR($A1386="",$C1386=""),"",IFERROR(INDEX(Insumos!$M$2:$S$151,MATCH($C1386,Insumos!$A$2:$A$151,0),WEEKDAY($A1386,2)),""))</f>
        <v/>
      </c>
      <c r="I1386" s="19">
        <f>IF(OR($G1386="",$H1386=""),"",MAX(0,$H1386-$G1386))</f>
        <v/>
      </c>
      <c r="J1386" s="21">
        <f>IF($I1386="","",IF($I1386=0,"OK",IF($G1386&lt;=0,"Sin stock: pedir ya","Pedir o producir")))</f>
        <v/>
      </c>
      <c r="K1386" s="17" t="n"/>
      <c r="L1386" s="17" t="n"/>
      <c r="M1386" s="21">
        <f>IF(OR($A1386="",$A1386&lt;&gt;'Lista para pedir'!$C$3,N($I1386)&lt;=0),"",COUNTIFS($A$2:$A1386,$A1386,$I$2:$I1386,"&gt;0"))</f>
        <v/>
      </c>
    </row>
    <row r="1387">
      <c r="A1387" s="20" t="n"/>
      <c r="B1387" s="21">
        <f>IF($A1387="","",CHOOSE(WEEKDAY($A1387,2),"Lunes","Martes","Miércoles","Jueves","Viernes","Sábado","Domingo"))</f>
        <v/>
      </c>
      <c r="C1387" s="17" t="n"/>
      <c r="D1387" s="21">
        <f>IF($C1387="","",IFERROR(INDEX(Insumos!$B$2:$B$151,MATCH($C1387,Insumos!$A$2:$A$151,0)),"Código no cargado"))</f>
        <v/>
      </c>
      <c r="E1387" s="21">
        <f>IF($C1387="","",IFERROR(INDEX(Insumos!$C$2:$C$151,MATCH($C1387,Insumos!$A$2:$A$151,0)),""))</f>
        <v/>
      </c>
      <c r="F1387" s="21">
        <f>IF($C1387="","",IFERROR(INDEX(Insumos!$D$2:$D$151,MATCH($C1387,Insumos!$A$2:$A$151,0)),""))</f>
        <v/>
      </c>
      <c r="G1387" s="18" t="n"/>
      <c r="H1387" s="19">
        <f>IF(OR($A1387="",$C1387=""),"",IFERROR(INDEX(Insumos!$M$2:$S$151,MATCH($C1387,Insumos!$A$2:$A$151,0),WEEKDAY($A1387,2)),""))</f>
        <v/>
      </c>
      <c r="I1387" s="19">
        <f>IF(OR($G1387="",$H1387=""),"",MAX(0,$H1387-$G1387))</f>
        <v/>
      </c>
      <c r="J1387" s="21">
        <f>IF($I1387="","",IF($I1387=0,"OK",IF($G1387&lt;=0,"Sin stock: pedir ya","Pedir o producir")))</f>
        <v/>
      </c>
      <c r="K1387" s="17" t="n"/>
      <c r="L1387" s="17" t="n"/>
      <c r="M1387" s="21">
        <f>IF(OR($A1387="",$A1387&lt;&gt;'Lista para pedir'!$C$3,N($I1387)&lt;=0),"",COUNTIFS($A$2:$A1387,$A1387,$I$2:$I1387,"&gt;0"))</f>
        <v/>
      </c>
    </row>
    <row r="1388">
      <c r="A1388" s="20" t="n"/>
      <c r="B1388" s="21">
        <f>IF($A1388="","",CHOOSE(WEEKDAY($A1388,2),"Lunes","Martes","Miércoles","Jueves","Viernes","Sábado","Domingo"))</f>
        <v/>
      </c>
      <c r="C1388" s="17" t="n"/>
      <c r="D1388" s="21">
        <f>IF($C1388="","",IFERROR(INDEX(Insumos!$B$2:$B$151,MATCH($C1388,Insumos!$A$2:$A$151,0)),"Código no cargado"))</f>
        <v/>
      </c>
      <c r="E1388" s="21">
        <f>IF($C1388="","",IFERROR(INDEX(Insumos!$C$2:$C$151,MATCH($C1388,Insumos!$A$2:$A$151,0)),""))</f>
        <v/>
      </c>
      <c r="F1388" s="21">
        <f>IF($C1388="","",IFERROR(INDEX(Insumos!$D$2:$D$151,MATCH($C1388,Insumos!$A$2:$A$151,0)),""))</f>
        <v/>
      </c>
      <c r="G1388" s="18" t="n"/>
      <c r="H1388" s="19">
        <f>IF(OR($A1388="",$C1388=""),"",IFERROR(INDEX(Insumos!$M$2:$S$151,MATCH($C1388,Insumos!$A$2:$A$151,0),WEEKDAY($A1388,2)),""))</f>
        <v/>
      </c>
      <c r="I1388" s="19">
        <f>IF(OR($G1388="",$H1388=""),"",MAX(0,$H1388-$G1388))</f>
        <v/>
      </c>
      <c r="J1388" s="21">
        <f>IF($I1388="","",IF($I1388=0,"OK",IF($G1388&lt;=0,"Sin stock: pedir ya","Pedir o producir")))</f>
        <v/>
      </c>
      <c r="K1388" s="17" t="n"/>
      <c r="L1388" s="17" t="n"/>
      <c r="M1388" s="21">
        <f>IF(OR($A1388="",$A1388&lt;&gt;'Lista para pedir'!$C$3,N($I1388)&lt;=0),"",COUNTIFS($A$2:$A1388,$A1388,$I$2:$I1388,"&gt;0"))</f>
        <v/>
      </c>
    </row>
    <row r="1389">
      <c r="A1389" s="20" t="n"/>
      <c r="B1389" s="21">
        <f>IF($A1389="","",CHOOSE(WEEKDAY($A1389,2),"Lunes","Martes","Miércoles","Jueves","Viernes","Sábado","Domingo"))</f>
        <v/>
      </c>
      <c r="C1389" s="17" t="n"/>
      <c r="D1389" s="21">
        <f>IF($C1389="","",IFERROR(INDEX(Insumos!$B$2:$B$151,MATCH($C1389,Insumos!$A$2:$A$151,0)),"Código no cargado"))</f>
        <v/>
      </c>
      <c r="E1389" s="21">
        <f>IF($C1389="","",IFERROR(INDEX(Insumos!$C$2:$C$151,MATCH($C1389,Insumos!$A$2:$A$151,0)),""))</f>
        <v/>
      </c>
      <c r="F1389" s="21">
        <f>IF($C1389="","",IFERROR(INDEX(Insumos!$D$2:$D$151,MATCH($C1389,Insumos!$A$2:$A$151,0)),""))</f>
        <v/>
      </c>
      <c r="G1389" s="18" t="n"/>
      <c r="H1389" s="19">
        <f>IF(OR($A1389="",$C1389=""),"",IFERROR(INDEX(Insumos!$M$2:$S$151,MATCH($C1389,Insumos!$A$2:$A$151,0),WEEKDAY($A1389,2)),""))</f>
        <v/>
      </c>
      <c r="I1389" s="19">
        <f>IF(OR($G1389="",$H1389=""),"",MAX(0,$H1389-$G1389))</f>
        <v/>
      </c>
      <c r="J1389" s="21">
        <f>IF($I1389="","",IF($I1389=0,"OK",IF($G1389&lt;=0,"Sin stock: pedir ya","Pedir o producir")))</f>
        <v/>
      </c>
      <c r="K1389" s="17" t="n"/>
      <c r="L1389" s="17" t="n"/>
      <c r="M1389" s="21">
        <f>IF(OR($A1389="",$A1389&lt;&gt;'Lista para pedir'!$C$3,N($I1389)&lt;=0),"",COUNTIFS($A$2:$A1389,$A1389,$I$2:$I1389,"&gt;0"))</f>
        <v/>
      </c>
    </row>
    <row r="1390">
      <c r="A1390" s="20" t="n"/>
      <c r="B1390" s="21">
        <f>IF($A1390="","",CHOOSE(WEEKDAY($A1390,2),"Lunes","Martes","Miércoles","Jueves","Viernes","Sábado","Domingo"))</f>
        <v/>
      </c>
      <c r="C1390" s="17" t="n"/>
      <c r="D1390" s="21">
        <f>IF($C1390="","",IFERROR(INDEX(Insumos!$B$2:$B$151,MATCH($C1390,Insumos!$A$2:$A$151,0)),"Código no cargado"))</f>
        <v/>
      </c>
      <c r="E1390" s="21">
        <f>IF($C1390="","",IFERROR(INDEX(Insumos!$C$2:$C$151,MATCH($C1390,Insumos!$A$2:$A$151,0)),""))</f>
        <v/>
      </c>
      <c r="F1390" s="21">
        <f>IF($C1390="","",IFERROR(INDEX(Insumos!$D$2:$D$151,MATCH($C1390,Insumos!$A$2:$A$151,0)),""))</f>
        <v/>
      </c>
      <c r="G1390" s="18" t="n"/>
      <c r="H1390" s="19">
        <f>IF(OR($A1390="",$C1390=""),"",IFERROR(INDEX(Insumos!$M$2:$S$151,MATCH($C1390,Insumos!$A$2:$A$151,0),WEEKDAY($A1390,2)),""))</f>
        <v/>
      </c>
      <c r="I1390" s="19">
        <f>IF(OR($G1390="",$H1390=""),"",MAX(0,$H1390-$G1390))</f>
        <v/>
      </c>
      <c r="J1390" s="21">
        <f>IF($I1390="","",IF($I1390=0,"OK",IF($G1390&lt;=0,"Sin stock: pedir ya","Pedir o producir")))</f>
        <v/>
      </c>
      <c r="K1390" s="17" t="n"/>
      <c r="L1390" s="17" t="n"/>
      <c r="M1390" s="21">
        <f>IF(OR($A1390="",$A1390&lt;&gt;'Lista para pedir'!$C$3,N($I1390)&lt;=0),"",COUNTIFS($A$2:$A1390,$A1390,$I$2:$I1390,"&gt;0"))</f>
        <v/>
      </c>
    </row>
    <row r="1391">
      <c r="A1391" s="20" t="n"/>
      <c r="B1391" s="21">
        <f>IF($A1391="","",CHOOSE(WEEKDAY($A1391,2),"Lunes","Martes","Miércoles","Jueves","Viernes","Sábado","Domingo"))</f>
        <v/>
      </c>
      <c r="C1391" s="17" t="n"/>
      <c r="D1391" s="21">
        <f>IF($C1391="","",IFERROR(INDEX(Insumos!$B$2:$B$151,MATCH($C1391,Insumos!$A$2:$A$151,0)),"Código no cargado"))</f>
        <v/>
      </c>
      <c r="E1391" s="21">
        <f>IF($C1391="","",IFERROR(INDEX(Insumos!$C$2:$C$151,MATCH($C1391,Insumos!$A$2:$A$151,0)),""))</f>
        <v/>
      </c>
      <c r="F1391" s="21">
        <f>IF($C1391="","",IFERROR(INDEX(Insumos!$D$2:$D$151,MATCH($C1391,Insumos!$A$2:$A$151,0)),""))</f>
        <v/>
      </c>
      <c r="G1391" s="18" t="n"/>
      <c r="H1391" s="19">
        <f>IF(OR($A1391="",$C1391=""),"",IFERROR(INDEX(Insumos!$M$2:$S$151,MATCH($C1391,Insumos!$A$2:$A$151,0),WEEKDAY($A1391,2)),""))</f>
        <v/>
      </c>
      <c r="I1391" s="19">
        <f>IF(OR($G1391="",$H1391=""),"",MAX(0,$H1391-$G1391))</f>
        <v/>
      </c>
      <c r="J1391" s="21">
        <f>IF($I1391="","",IF($I1391=0,"OK",IF($G1391&lt;=0,"Sin stock: pedir ya","Pedir o producir")))</f>
        <v/>
      </c>
      <c r="K1391" s="17" t="n"/>
      <c r="L1391" s="17" t="n"/>
      <c r="M1391" s="21">
        <f>IF(OR($A1391="",$A1391&lt;&gt;'Lista para pedir'!$C$3,N($I1391)&lt;=0),"",COUNTIFS($A$2:$A1391,$A1391,$I$2:$I1391,"&gt;0"))</f>
        <v/>
      </c>
    </row>
    <row r="1392">
      <c r="A1392" s="20" t="n"/>
      <c r="B1392" s="21">
        <f>IF($A1392="","",CHOOSE(WEEKDAY($A1392,2),"Lunes","Martes","Miércoles","Jueves","Viernes","Sábado","Domingo"))</f>
        <v/>
      </c>
      <c r="C1392" s="17" t="n"/>
      <c r="D1392" s="21">
        <f>IF($C1392="","",IFERROR(INDEX(Insumos!$B$2:$B$151,MATCH($C1392,Insumos!$A$2:$A$151,0)),"Código no cargado"))</f>
        <v/>
      </c>
      <c r="E1392" s="21">
        <f>IF($C1392="","",IFERROR(INDEX(Insumos!$C$2:$C$151,MATCH($C1392,Insumos!$A$2:$A$151,0)),""))</f>
        <v/>
      </c>
      <c r="F1392" s="21">
        <f>IF($C1392="","",IFERROR(INDEX(Insumos!$D$2:$D$151,MATCH($C1392,Insumos!$A$2:$A$151,0)),""))</f>
        <v/>
      </c>
      <c r="G1392" s="18" t="n"/>
      <c r="H1392" s="19">
        <f>IF(OR($A1392="",$C1392=""),"",IFERROR(INDEX(Insumos!$M$2:$S$151,MATCH($C1392,Insumos!$A$2:$A$151,0),WEEKDAY($A1392,2)),""))</f>
        <v/>
      </c>
      <c r="I1392" s="19">
        <f>IF(OR($G1392="",$H1392=""),"",MAX(0,$H1392-$G1392))</f>
        <v/>
      </c>
      <c r="J1392" s="21">
        <f>IF($I1392="","",IF($I1392=0,"OK",IF($G1392&lt;=0,"Sin stock: pedir ya","Pedir o producir")))</f>
        <v/>
      </c>
      <c r="K1392" s="17" t="n"/>
      <c r="L1392" s="17" t="n"/>
      <c r="M1392" s="21">
        <f>IF(OR($A1392="",$A1392&lt;&gt;'Lista para pedir'!$C$3,N($I1392)&lt;=0),"",COUNTIFS($A$2:$A1392,$A1392,$I$2:$I1392,"&gt;0"))</f>
        <v/>
      </c>
    </row>
    <row r="1393">
      <c r="A1393" s="20" t="n"/>
      <c r="B1393" s="21">
        <f>IF($A1393="","",CHOOSE(WEEKDAY($A1393,2),"Lunes","Martes","Miércoles","Jueves","Viernes","Sábado","Domingo"))</f>
        <v/>
      </c>
      <c r="C1393" s="17" t="n"/>
      <c r="D1393" s="21">
        <f>IF($C1393="","",IFERROR(INDEX(Insumos!$B$2:$B$151,MATCH($C1393,Insumos!$A$2:$A$151,0)),"Código no cargado"))</f>
        <v/>
      </c>
      <c r="E1393" s="21">
        <f>IF($C1393="","",IFERROR(INDEX(Insumos!$C$2:$C$151,MATCH($C1393,Insumos!$A$2:$A$151,0)),""))</f>
        <v/>
      </c>
      <c r="F1393" s="21">
        <f>IF($C1393="","",IFERROR(INDEX(Insumos!$D$2:$D$151,MATCH($C1393,Insumos!$A$2:$A$151,0)),""))</f>
        <v/>
      </c>
      <c r="G1393" s="18" t="n"/>
      <c r="H1393" s="19">
        <f>IF(OR($A1393="",$C1393=""),"",IFERROR(INDEX(Insumos!$M$2:$S$151,MATCH($C1393,Insumos!$A$2:$A$151,0),WEEKDAY($A1393,2)),""))</f>
        <v/>
      </c>
      <c r="I1393" s="19">
        <f>IF(OR($G1393="",$H1393=""),"",MAX(0,$H1393-$G1393))</f>
        <v/>
      </c>
      <c r="J1393" s="21">
        <f>IF($I1393="","",IF($I1393=0,"OK",IF($G1393&lt;=0,"Sin stock: pedir ya","Pedir o producir")))</f>
        <v/>
      </c>
      <c r="K1393" s="17" t="n"/>
      <c r="L1393" s="17" t="n"/>
      <c r="M1393" s="21">
        <f>IF(OR($A1393="",$A1393&lt;&gt;'Lista para pedir'!$C$3,N($I1393)&lt;=0),"",COUNTIFS($A$2:$A1393,$A1393,$I$2:$I1393,"&gt;0"))</f>
        <v/>
      </c>
    </row>
    <row r="1394">
      <c r="A1394" s="20" t="n"/>
      <c r="B1394" s="21">
        <f>IF($A1394="","",CHOOSE(WEEKDAY($A1394,2),"Lunes","Martes","Miércoles","Jueves","Viernes","Sábado","Domingo"))</f>
        <v/>
      </c>
      <c r="C1394" s="17" t="n"/>
      <c r="D1394" s="21">
        <f>IF($C1394="","",IFERROR(INDEX(Insumos!$B$2:$B$151,MATCH($C1394,Insumos!$A$2:$A$151,0)),"Código no cargado"))</f>
        <v/>
      </c>
      <c r="E1394" s="21">
        <f>IF($C1394="","",IFERROR(INDEX(Insumos!$C$2:$C$151,MATCH($C1394,Insumos!$A$2:$A$151,0)),""))</f>
        <v/>
      </c>
      <c r="F1394" s="21">
        <f>IF($C1394="","",IFERROR(INDEX(Insumos!$D$2:$D$151,MATCH($C1394,Insumos!$A$2:$A$151,0)),""))</f>
        <v/>
      </c>
      <c r="G1394" s="18" t="n"/>
      <c r="H1394" s="19">
        <f>IF(OR($A1394="",$C1394=""),"",IFERROR(INDEX(Insumos!$M$2:$S$151,MATCH($C1394,Insumos!$A$2:$A$151,0),WEEKDAY($A1394,2)),""))</f>
        <v/>
      </c>
      <c r="I1394" s="19">
        <f>IF(OR($G1394="",$H1394=""),"",MAX(0,$H1394-$G1394))</f>
        <v/>
      </c>
      <c r="J1394" s="21">
        <f>IF($I1394="","",IF($I1394=0,"OK",IF($G1394&lt;=0,"Sin stock: pedir ya","Pedir o producir")))</f>
        <v/>
      </c>
      <c r="K1394" s="17" t="n"/>
      <c r="L1394" s="17" t="n"/>
      <c r="M1394" s="21">
        <f>IF(OR($A1394="",$A1394&lt;&gt;'Lista para pedir'!$C$3,N($I1394)&lt;=0),"",COUNTIFS($A$2:$A1394,$A1394,$I$2:$I1394,"&gt;0"))</f>
        <v/>
      </c>
    </row>
    <row r="1395">
      <c r="A1395" s="20" t="n"/>
      <c r="B1395" s="21">
        <f>IF($A1395="","",CHOOSE(WEEKDAY($A1395,2),"Lunes","Martes","Miércoles","Jueves","Viernes","Sábado","Domingo"))</f>
        <v/>
      </c>
      <c r="C1395" s="17" t="n"/>
      <c r="D1395" s="21">
        <f>IF($C1395="","",IFERROR(INDEX(Insumos!$B$2:$B$151,MATCH($C1395,Insumos!$A$2:$A$151,0)),"Código no cargado"))</f>
        <v/>
      </c>
      <c r="E1395" s="21">
        <f>IF($C1395="","",IFERROR(INDEX(Insumos!$C$2:$C$151,MATCH($C1395,Insumos!$A$2:$A$151,0)),""))</f>
        <v/>
      </c>
      <c r="F1395" s="21">
        <f>IF($C1395="","",IFERROR(INDEX(Insumos!$D$2:$D$151,MATCH($C1395,Insumos!$A$2:$A$151,0)),""))</f>
        <v/>
      </c>
      <c r="G1395" s="18" t="n"/>
      <c r="H1395" s="19">
        <f>IF(OR($A1395="",$C1395=""),"",IFERROR(INDEX(Insumos!$M$2:$S$151,MATCH($C1395,Insumos!$A$2:$A$151,0),WEEKDAY($A1395,2)),""))</f>
        <v/>
      </c>
      <c r="I1395" s="19">
        <f>IF(OR($G1395="",$H1395=""),"",MAX(0,$H1395-$G1395))</f>
        <v/>
      </c>
      <c r="J1395" s="21">
        <f>IF($I1395="","",IF($I1395=0,"OK",IF($G1395&lt;=0,"Sin stock: pedir ya","Pedir o producir")))</f>
        <v/>
      </c>
      <c r="K1395" s="17" t="n"/>
      <c r="L1395" s="17" t="n"/>
      <c r="M1395" s="21">
        <f>IF(OR($A1395="",$A1395&lt;&gt;'Lista para pedir'!$C$3,N($I1395)&lt;=0),"",COUNTIFS($A$2:$A1395,$A1395,$I$2:$I1395,"&gt;0"))</f>
        <v/>
      </c>
    </row>
    <row r="1396">
      <c r="A1396" s="20" t="n"/>
      <c r="B1396" s="21">
        <f>IF($A1396="","",CHOOSE(WEEKDAY($A1396,2),"Lunes","Martes","Miércoles","Jueves","Viernes","Sábado","Domingo"))</f>
        <v/>
      </c>
      <c r="C1396" s="17" t="n"/>
      <c r="D1396" s="21">
        <f>IF($C1396="","",IFERROR(INDEX(Insumos!$B$2:$B$151,MATCH($C1396,Insumos!$A$2:$A$151,0)),"Código no cargado"))</f>
        <v/>
      </c>
      <c r="E1396" s="21">
        <f>IF($C1396="","",IFERROR(INDEX(Insumos!$C$2:$C$151,MATCH($C1396,Insumos!$A$2:$A$151,0)),""))</f>
        <v/>
      </c>
      <c r="F1396" s="21">
        <f>IF($C1396="","",IFERROR(INDEX(Insumos!$D$2:$D$151,MATCH($C1396,Insumos!$A$2:$A$151,0)),""))</f>
        <v/>
      </c>
      <c r="G1396" s="18" t="n"/>
      <c r="H1396" s="19">
        <f>IF(OR($A1396="",$C1396=""),"",IFERROR(INDEX(Insumos!$M$2:$S$151,MATCH($C1396,Insumos!$A$2:$A$151,0),WEEKDAY($A1396,2)),""))</f>
        <v/>
      </c>
      <c r="I1396" s="19">
        <f>IF(OR($G1396="",$H1396=""),"",MAX(0,$H1396-$G1396))</f>
        <v/>
      </c>
      <c r="J1396" s="21">
        <f>IF($I1396="","",IF($I1396=0,"OK",IF($G1396&lt;=0,"Sin stock: pedir ya","Pedir o producir")))</f>
        <v/>
      </c>
      <c r="K1396" s="17" t="n"/>
      <c r="L1396" s="17" t="n"/>
      <c r="M1396" s="21">
        <f>IF(OR($A1396="",$A1396&lt;&gt;'Lista para pedir'!$C$3,N($I1396)&lt;=0),"",COUNTIFS($A$2:$A1396,$A1396,$I$2:$I1396,"&gt;0"))</f>
        <v/>
      </c>
    </row>
    <row r="1397">
      <c r="A1397" s="20" t="n"/>
      <c r="B1397" s="21">
        <f>IF($A1397="","",CHOOSE(WEEKDAY($A1397,2),"Lunes","Martes","Miércoles","Jueves","Viernes","Sábado","Domingo"))</f>
        <v/>
      </c>
      <c r="C1397" s="17" t="n"/>
      <c r="D1397" s="21">
        <f>IF($C1397="","",IFERROR(INDEX(Insumos!$B$2:$B$151,MATCH($C1397,Insumos!$A$2:$A$151,0)),"Código no cargado"))</f>
        <v/>
      </c>
      <c r="E1397" s="21">
        <f>IF($C1397="","",IFERROR(INDEX(Insumos!$C$2:$C$151,MATCH($C1397,Insumos!$A$2:$A$151,0)),""))</f>
        <v/>
      </c>
      <c r="F1397" s="21">
        <f>IF($C1397="","",IFERROR(INDEX(Insumos!$D$2:$D$151,MATCH($C1397,Insumos!$A$2:$A$151,0)),""))</f>
        <v/>
      </c>
      <c r="G1397" s="18" t="n"/>
      <c r="H1397" s="19">
        <f>IF(OR($A1397="",$C1397=""),"",IFERROR(INDEX(Insumos!$M$2:$S$151,MATCH($C1397,Insumos!$A$2:$A$151,0),WEEKDAY($A1397,2)),""))</f>
        <v/>
      </c>
      <c r="I1397" s="19">
        <f>IF(OR($G1397="",$H1397=""),"",MAX(0,$H1397-$G1397))</f>
        <v/>
      </c>
      <c r="J1397" s="21">
        <f>IF($I1397="","",IF($I1397=0,"OK",IF($G1397&lt;=0,"Sin stock: pedir ya","Pedir o producir")))</f>
        <v/>
      </c>
      <c r="K1397" s="17" t="n"/>
      <c r="L1397" s="17" t="n"/>
      <c r="M1397" s="21">
        <f>IF(OR($A1397="",$A1397&lt;&gt;'Lista para pedir'!$C$3,N($I1397)&lt;=0),"",COUNTIFS($A$2:$A1397,$A1397,$I$2:$I1397,"&gt;0"))</f>
        <v/>
      </c>
    </row>
    <row r="1398">
      <c r="A1398" s="20" t="n"/>
      <c r="B1398" s="21">
        <f>IF($A1398="","",CHOOSE(WEEKDAY($A1398,2),"Lunes","Martes","Miércoles","Jueves","Viernes","Sábado","Domingo"))</f>
        <v/>
      </c>
      <c r="C1398" s="17" t="n"/>
      <c r="D1398" s="21">
        <f>IF($C1398="","",IFERROR(INDEX(Insumos!$B$2:$B$151,MATCH($C1398,Insumos!$A$2:$A$151,0)),"Código no cargado"))</f>
        <v/>
      </c>
      <c r="E1398" s="21">
        <f>IF($C1398="","",IFERROR(INDEX(Insumos!$C$2:$C$151,MATCH($C1398,Insumos!$A$2:$A$151,0)),""))</f>
        <v/>
      </c>
      <c r="F1398" s="21">
        <f>IF($C1398="","",IFERROR(INDEX(Insumos!$D$2:$D$151,MATCH($C1398,Insumos!$A$2:$A$151,0)),""))</f>
        <v/>
      </c>
      <c r="G1398" s="18" t="n"/>
      <c r="H1398" s="19">
        <f>IF(OR($A1398="",$C1398=""),"",IFERROR(INDEX(Insumos!$M$2:$S$151,MATCH($C1398,Insumos!$A$2:$A$151,0),WEEKDAY($A1398,2)),""))</f>
        <v/>
      </c>
      <c r="I1398" s="19">
        <f>IF(OR($G1398="",$H1398=""),"",MAX(0,$H1398-$G1398))</f>
        <v/>
      </c>
      <c r="J1398" s="21">
        <f>IF($I1398="","",IF($I1398=0,"OK",IF($G1398&lt;=0,"Sin stock: pedir ya","Pedir o producir")))</f>
        <v/>
      </c>
      <c r="K1398" s="17" t="n"/>
      <c r="L1398" s="17" t="n"/>
      <c r="M1398" s="21">
        <f>IF(OR($A1398="",$A1398&lt;&gt;'Lista para pedir'!$C$3,N($I1398)&lt;=0),"",COUNTIFS($A$2:$A1398,$A1398,$I$2:$I1398,"&gt;0"))</f>
        <v/>
      </c>
    </row>
    <row r="1399">
      <c r="A1399" s="20" t="n"/>
      <c r="B1399" s="21">
        <f>IF($A1399="","",CHOOSE(WEEKDAY($A1399,2),"Lunes","Martes","Miércoles","Jueves","Viernes","Sábado","Domingo"))</f>
        <v/>
      </c>
      <c r="C1399" s="17" t="n"/>
      <c r="D1399" s="21">
        <f>IF($C1399="","",IFERROR(INDEX(Insumos!$B$2:$B$151,MATCH($C1399,Insumos!$A$2:$A$151,0)),"Código no cargado"))</f>
        <v/>
      </c>
      <c r="E1399" s="21">
        <f>IF($C1399="","",IFERROR(INDEX(Insumos!$C$2:$C$151,MATCH($C1399,Insumos!$A$2:$A$151,0)),""))</f>
        <v/>
      </c>
      <c r="F1399" s="21">
        <f>IF($C1399="","",IFERROR(INDEX(Insumos!$D$2:$D$151,MATCH($C1399,Insumos!$A$2:$A$151,0)),""))</f>
        <v/>
      </c>
      <c r="G1399" s="18" t="n"/>
      <c r="H1399" s="19">
        <f>IF(OR($A1399="",$C1399=""),"",IFERROR(INDEX(Insumos!$M$2:$S$151,MATCH($C1399,Insumos!$A$2:$A$151,0),WEEKDAY($A1399,2)),""))</f>
        <v/>
      </c>
      <c r="I1399" s="19">
        <f>IF(OR($G1399="",$H1399=""),"",MAX(0,$H1399-$G1399))</f>
        <v/>
      </c>
      <c r="J1399" s="21">
        <f>IF($I1399="","",IF($I1399=0,"OK",IF($G1399&lt;=0,"Sin stock: pedir ya","Pedir o producir")))</f>
        <v/>
      </c>
      <c r="K1399" s="17" t="n"/>
      <c r="L1399" s="17" t="n"/>
      <c r="M1399" s="21">
        <f>IF(OR($A1399="",$A1399&lt;&gt;'Lista para pedir'!$C$3,N($I1399)&lt;=0),"",COUNTIFS($A$2:$A1399,$A1399,$I$2:$I1399,"&gt;0"))</f>
        <v/>
      </c>
    </row>
    <row r="1400">
      <c r="A1400" s="20" t="n"/>
      <c r="B1400" s="21">
        <f>IF($A1400="","",CHOOSE(WEEKDAY($A1400,2),"Lunes","Martes","Miércoles","Jueves","Viernes","Sábado","Domingo"))</f>
        <v/>
      </c>
      <c r="C1400" s="17" t="n"/>
      <c r="D1400" s="21">
        <f>IF($C1400="","",IFERROR(INDEX(Insumos!$B$2:$B$151,MATCH($C1400,Insumos!$A$2:$A$151,0)),"Código no cargado"))</f>
        <v/>
      </c>
      <c r="E1400" s="21">
        <f>IF($C1400="","",IFERROR(INDEX(Insumos!$C$2:$C$151,MATCH($C1400,Insumos!$A$2:$A$151,0)),""))</f>
        <v/>
      </c>
      <c r="F1400" s="21">
        <f>IF($C1400="","",IFERROR(INDEX(Insumos!$D$2:$D$151,MATCH($C1400,Insumos!$A$2:$A$151,0)),""))</f>
        <v/>
      </c>
      <c r="G1400" s="18" t="n"/>
      <c r="H1400" s="19">
        <f>IF(OR($A1400="",$C1400=""),"",IFERROR(INDEX(Insumos!$M$2:$S$151,MATCH($C1400,Insumos!$A$2:$A$151,0),WEEKDAY($A1400,2)),""))</f>
        <v/>
      </c>
      <c r="I1400" s="19">
        <f>IF(OR($G1400="",$H1400=""),"",MAX(0,$H1400-$G1400))</f>
        <v/>
      </c>
      <c r="J1400" s="21">
        <f>IF($I1400="","",IF($I1400=0,"OK",IF($G1400&lt;=0,"Sin stock: pedir ya","Pedir o producir")))</f>
        <v/>
      </c>
      <c r="K1400" s="17" t="n"/>
      <c r="L1400" s="17" t="n"/>
      <c r="M1400" s="21">
        <f>IF(OR($A1400="",$A1400&lt;&gt;'Lista para pedir'!$C$3,N($I1400)&lt;=0),"",COUNTIFS($A$2:$A1400,$A1400,$I$2:$I1400,"&gt;0"))</f>
        <v/>
      </c>
    </row>
    <row r="1401">
      <c r="A1401" s="20" t="n"/>
      <c r="B1401" s="21">
        <f>IF($A1401="","",CHOOSE(WEEKDAY($A1401,2),"Lunes","Martes","Miércoles","Jueves","Viernes","Sábado","Domingo"))</f>
        <v/>
      </c>
      <c r="C1401" s="17" t="n"/>
      <c r="D1401" s="21">
        <f>IF($C1401="","",IFERROR(INDEX(Insumos!$B$2:$B$151,MATCH($C1401,Insumos!$A$2:$A$151,0)),"Código no cargado"))</f>
        <v/>
      </c>
      <c r="E1401" s="21">
        <f>IF($C1401="","",IFERROR(INDEX(Insumos!$C$2:$C$151,MATCH($C1401,Insumos!$A$2:$A$151,0)),""))</f>
        <v/>
      </c>
      <c r="F1401" s="21">
        <f>IF($C1401="","",IFERROR(INDEX(Insumos!$D$2:$D$151,MATCH($C1401,Insumos!$A$2:$A$151,0)),""))</f>
        <v/>
      </c>
      <c r="G1401" s="18" t="n"/>
      <c r="H1401" s="19">
        <f>IF(OR($A1401="",$C1401=""),"",IFERROR(INDEX(Insumos!$M$2:$S$151,MATCH($C1401,Insumos!$A$2:$A$151,0),WEEKDAY($A1401,2)),""))</f>
        <v/>
      </c>
      <c r="I1401" s="19">
        <f>IF(OR($G1401="",$H1401=""),"",MAX(0,$H1401-$G1401))</f>
        <v/>
      </c>
      <c r="J1401" s="21">
        <f>IF($I1401="","",IF($I1401=0,"OK",IF($G1401&lt;=0,"Sin stock: pedir ya","Pedir o producir")))</f>
        <v/>
      </c>
      <c r="K1401" s="17" t="n"/>
      <c r="L1401" s="17" t="n"/>
      <c r="M1401" s="21">
        <f>IF(OR($A1401="",$A1401&lt;&gt;'Lista para pedir'!$C$3,N($I1401)&lt;=0),"",COUNTIFS($A$2:$A1401,$A1401,$I$2:$I1401,"&gt;0"))</f>
        <v/>
      </c>
    </row>
    <row r="1402">
      <c r="A1402" s="20" t="n"/>
      <c r="B1402" s="21">
        <f>IF($A1402="","",CHOOSE(WEEKDAY($A1402,2),"Lunes","Martes","Miércoles","Jueves","Viernes","Sábado","Domingo"))</f>
        <v/>
      </c>
      <c r="C1402" s="17" t="n"/>
      <c r="D1402" s="21">
        <f>IF($C1402="","",IFERROR(INDEX(Insumos!$B$2:$B$151,MATCH($C1402,Insumos!$A$2:$A$151,0)),"Código no cargado"))</f>
        <v/>
      </c>
      <c r="E1402" s="21">
        <f>IF($C1402="","",IFERROR(INDEX(Insumos!$C$2:$C$151,MATCH($C1402,Insumos!$A$2:$A$151,0)),""))</f>
        <v/>
      </c>
      <c r="F1402" s="21">
        <f>IF($C1402="","",IFERROR(INDEX(Insumos!$D$2:$D$151,MATCH($C1402,Insumos!$A$2:$A$151,0)),""))</f>
        <v/>
      </c>
      <c r="G1402" s="18" t="n"/>
      <c r="H1402" s="19">
        <f>IF(OR($A1402="",$C1402=""),"",IFERROR(INDEX(Insumos!$M$2:$S$151,MATCH($C1402,Insumos!$A$2:$A$151,0),WEEKDAY($A1402,2)),""))</f>
        <v/>
      </c>
      <c r="I1402" s="19">
        <f>IF(OR($G1402="",$H1402=""),"",MAX(0,$H1402-$G1402))</f>
        <v/>
      </c>
      <c r="J1402" s="21">
        <f>IF($I1402="","",IF($I1402=0,"OK",IF($G1402&lt;=0,"Sin stock: pedir ya","Pedir o producir")))</f>
        <v/>
      </c>
      <c r="K1402" s="17" t="n"/>
      <c r="L1402" s="17" t="n"/>
      <c r="M1402" s="21">
        <f>IF(OR($A1402="",$A1402&lt;&gt;'Lista para pedir'!$C$3,N($I1402)&lt;=0),"",COUNTIFS($A$2:$A1402,$A1402,$I$2:$I1402,"&gt;0"))</f>
        <v/>
      </c>
    </row>
    <row r="1403">
      <c r="A1403" s="20" t="n"/>
      <c r="B1403" s="21">
        <f>IF($A1403="","",CHOOSE(WEEKDAY($A1403,2),"Lunes","Martes","Miércoles","Jueves","Viernes","Sábado","Domingo"))</f>
        <v/>
      </c>
      <c r="C1403" s="17" t="n"/>
      <c r="D1403" s="21">
        <f>IF($C1403="","",IFERROR(INDEX(Insumos!$B$2:$B$151,MATCH($C1403,Insumos!$A$2:$A$151,0)),"Código no cargado"))</f>
        <v/>
      </c>
      <c r="E1403" s="21">
        <f>IF($C1403="","",IFERROR(INDEX(Insumos!$C$2:$C$151,MATCH($C1403,Insumos!$A$2:$A$151,0)),""))</f>
        <v/>
      </c>
      <c r="F1403" s="21">
        <f>IF($C1403="","",IFERROR(INDEX(Insumos!$D$2:$D$151,MATCH($C1403,Insumos!$A$2:$A$151,0)),""))</f>
        <v/>
      </c>
      <c r="G1403" s="18" t="n"/>
      <c r="H1403" s="19">
        <f>IF(OR($A1403="",$C1403=""),"",IFERROR(INDEX(Insumos!$M$2:$S$151,MATCH($C1403,Insumos!$A$2:$A$151,0),WEEKDAY($A1403,2)),""))</f>
        <v/>
      </c>
      <c r="I1403" s="19">
        <f>IF(OR($G1403="",$H1403=""),"",MAX(0,$H1403-$G1403))</f>
        <v/>
      </c>
      <c r="J1403" s="21">
        <f>IF($I1403="","",IF($I1403=0,"OK",IF($G1403&lt;=0,"Sin stock: pedir ya","Pedir o producir")))</f>
        <v/>
      </c>
      <c r="K1403" s="17" t="n"/>
      <c r="L1403" s="17" t="n"/>
      <c r="M1403" s="21">
        <f>IF(OR($A1403="",$A1403&lt;&gt;'Lista para pedir'!$C$3,N($I1403)&lt;=0),"",COUNTIFS($A$2:$A1403,$A1403,$I$2:$I1403,"&gt;0"))</f>
        <v/>
      </c>
    </row>
    <row r="1404">
      <c r="A1404" s="20" t="n"/>
      <c r="B1404" s="21">
        <f>IF($A1404="","",CHOOSE(WEEKDAY($A1404,2),"Lunes","Martes","Miércoles","Jueves","Viernes","Sábado","Domingo"))</f>
        <v/>
      </c>
      <c r="C1404" s="17" t="n"/>
      <c r="D1404" s="21">
        <f>IF($C1404="","",IFERROR(INDEX(Insumos!$B$2:$B$151,MATCH($C1404,Insumos!$A$2:$A$151,0)),"Código no cargado"))</f>
        <v/>
      </c>
      <c r="E1404" s="21">
        <f>IF($C1404="","",IFERROR(INDEX(Insumos!$C$2:$C$151,MATCH($C1404,Insumos!$A$2:$A$151,0)),""))</f>
        <v/>
      </c>
      <c r="F1404" s="21">
        <f>IF($C1404="","",IFERROR(INDEX(Insumos!$D$2:$D$151,MATCH($C1404,Insumos!$A$2:$A$151,0)),""))</f>
        <v/>
      </c>
      <c r="G1404" s="18" t="n"/>
      <c r="H1404" s="19">
        <f>IF(OR($A1404="",$C1404=""),"",IFERROR(INDEX(Insumos!$M$2:$S$151,MATCH($C1404,Insumos!$A$2:$A$151,0),WEEKDAY($A1404,2)),""))</f>
        <v/>
      </c>
      <c r="I1404" s="19">
        <f>IF(OR($G1404="",$H1404=""),"",MAX(0,$H1404-$G1404))</f>
        <v/>
      </c>
      <c r="J1404" s="21">
        <f>IF($I1404="","",IF($I1404=0,"OK",IF($G1404&lt;=0,"Sin stock: pedir ya","Pedir o producir")))</f>
        <v/>
      </c>
      <c r="K1404" s="17" t="n"/>
      <c r="L1404" s="17" t="n"/>
      <c r="M1404" s="21">
        <f>IF(OR($A1404="",$A1404&lt;&gt;'Lista para pedir'!$C$3,N($I1404)&lt;=0),"",COUNTIFS($A$2:$A1404,$A1404,$I$2:$I1404,"&gt;0"))</f>
        <v/>
      </c>
    </row>
    <row r="1405">
      <c r="A1405" s="20" t="n"/>
      <c r="B1405" s="21">
        <f>IF($A1405="","",CHOOSE(WEEKDAY($A1405,2),"Lunes","Martes","Miércoles","Jueves","Viernes","Sábado","Domingo"))</f>
        <v/>
      </c>
      <c r="C1405" s="17" t="n"/>
      <c r="D1405" s="21">
        <f>IF($C1405="","",IFERROR(INDEX(Insumos!$B$2:$B$151,MATCH($C1405,Insumos!$A$2:$A$151,0)),"Código no cargado"))</f>
        <v/>
      </c>
      <c r="E1405" s="21">
        <f>IF($C1405="","",IFERROR(INDEX(Insumos!$C$2:$C$151,MATCH($C1405,Insumos!$A$2:$A$151,0)),""))</f>
        <v/>
      </c>
      <c r="F1405" s="21">
        <f>IF($C1405="","",IFERROR(INDEX(Insumos!$D$2:$D$151,MATCH($C1405,Insumos!$A$2:$A$151,0)),""))</f>
        <v/>
      </c>
      <c r="G1405" s="18" t="n"/>
      <c r="H1405" s="19">
        <f>IF(OR($A1405="",$C1405=""),"",IFERROR(INDEX(Insumos!$M$2:$S$151,MATCH($C1405,Insumos!$A$2:$A$151,0),WEEKDAY($A1405,2)),""))</f>
        <v/>
      </c>
      <c r="I1405" s="19">
        <f>IF(OR($G1405="",$H1405=""),"",MAX(0,$H1405-$G1405))</f>
        <v/>
      </c>
      <c r="J1405" s="21">
        <f>IF($I1405="","",IF($I1405=0,"OK",IF($G1405&lt;=0,"Sin stock: pedir ya","Pedir o producir")))</f>
        <v/>
      </c>
      <c r="K1405" s="17" t="n"/>
      <c r="L1405" s="17" t="n"/>
      <c r="M1405" s="21">
        <f>IF(OR($A1405="",$A1405&lt;&gt;'Lista para pedir'!$C$3,N($I1405)&lt;=0),"",COUNTIFS($A$2:$A1405,$A1405,$I$2:$I1405,"&gt;0"))</f>
        <v/>
      </c>
    </row>
    <row r="1406">
      <c r="A1406" s="20" t="n"/>
      <c r="B1406" s="21">
        <f>IF($A1406="","",CHOOSE(WEEKDAY($A1406,2),"Lunes","Martes","Miércoles","Jueves","Viernes","Sábado","Domingo"))</f>
        <v/>
      </c>
      <c r="C1406" s="17" t="n"/>
      <c r="D1406" s="21">
        <f>IF($C1406="","",IFERROR(INDEX(Insumos!$B$2:$B$151,MATCH($C1406,Insumos!$A$2:$A$151,0)),"Código no cargado"))</f>
        <v/>
      </c>
      <c r="E1406" s="21">
        <f>IF($C1406="","",IFERROR(INDEX(Insumos!$C$2:$C$151,MATCH($C1406,Insumos!$A$2:$A$151,0)),""))</f>
        <v/>
      </c>
      <c r="F1406" s="21">
        <f>IF($C1406="","",IFERROR(INDEX(Insumos!$D$2:$D$151,MATCH($C1406,Insumos!$A$2:$A$151,0)),""))</f>
        <v/>
      </c>
      <c r="G1406" s="18" t="n"/>
      <c r="H1406" s="19">
        <f>IF(OR($A1406="",$C1406=""),"",IFERROR(INDEX(Insumos!$M$2:$S$151,MATCH($C1406,Insumos!$A$2:$A$151,0),WEEKDAY($A1406,2)),""))</f>
        <v/>
      </c>
      <c r="I1406" s="19">
        <f>IF(OR($G1406="",$H1406=""),"",MAX(0,$H1406-$G1406))</f>
        <v/>
      </c>
      <c r="J1406" s="21">
        <f>IF($I1406="","",IF($I1406=0,"OK",IF($G1406&lt;=0,"Sin stock: pedir ya","Pedir o producir")))</f>
        <v/>
      </c>
      <c r="K1406" s="17" t="n"/>
      <c r="L1406" s="17" t="n"/>
      <c r="M1406" s="21">
        <f>IF(OR($A1406="",$A1406&lt;&gt;'Lista para pedir'!$C$3,N($I1406)&lt;=0),"",COUNTIFS($A$2:$A1406,$A1406,$I$2:$I1406,"&gt;0"))</f>
        <v/>
      </c>
    </row>
    <row r="1407">
      <c r="A1407" s="20" t="n"/>
      <c r="B1407" s="21">
        <f>IF($A1407="","",CHOOSE(WEEKDAY($A1407,2),"Lunes","Martes","Miércoles","Jueves","Viernes","Sábado","Domingo"))</f>
        <v/>
      </c>
      <c r="C1407" s="17" t="n"/>
      <c r="D1407" s="21">
        <f>IF($C1407="","",IFERROR(INDEX(Insumos!$B$2:$B$151,MATCH($C1407,Insumos!$A$2:$A$151,0)),"Código no cargado"))</f>
        <v/>
      </c>
      <c r="E1407" s="21">
        <f>IF($C1407="","",IFERROR(INDEX(Insumos!$C$2:$C$151,MATCH($C1407,Insumos!$A$2:$A$151,0)),""))</f>
        <v/>
      </c>
      <c r="F1407" s="21">
        <f>IF($C1407="","",IFERROR(INDEX(Insumos!$D$2:$D$151,MATCH($C1407,Insumos!$A$2:$A$151,0)),""))</f>
        <v/>
      </c>
      <c r="G1407" s="18" t="n"/>
      <c r="H1407" s="19">
        <f>IF(OR($A1407="",$C1407=""),"",IFERROR(INDEX(Insumos!$M$2:$S$151,MATCH($C1407,Insumos!$A$2:$A$151,0),WEEKDAY($A1407,2)),""))</f>
        <v/>
      </c>
      <c r="I1407" s="19">
        <f>IF(OR($G1407="",$H1407=""),"",MAX(0,$H1407-$G1407))</f>
        <v/>
      </c>
      <c r="J1407" s="21">
        <f>IF($I1407="","",IF($I1407=0,"OK",IF($G1407&lt;=0,"Sin stock: pedir ya","Pedir o producir")))</f>
        <v/>
      </c>
      <c r="K1407" s="17" t="n"/>
      <c r="L1407" s="17" t="n"/>
      <c r="M1407" s="21">
        <f>IF(OR($A1407="",$A1407&lt;&gt;'Lista para pedir'!$C$3,N($I1407)&lt;=0),"",COUNTIFS($A$2:$A1407,$A1407,$I$2:$I1407,"&gt;0"))</f>
        <v/>
      </c>
    </row>
    <row r="1408">
      <c r="A1408" s="20" t="n"/>
      <c r="B1408" s="21">
        <f>IF($A1408="","",CHOOSE(WEEKDAY($A1408,2),"Lunes","Martes","Miércoles","Jueves","Viernes","Sábado","Domingo"))</f>
        <v/>
      </c>
      <c r="C1408" s="17" t="n"/>
      <c r="D1408" s="21">
        <f>IF($C1408="","",IFERROR(INDEX(Insumos!$B$2:$B$151,MATCH($C1408,Insumos!$A$2:$A$151,0)),"Código no cargado"))</f>
        <v/>
      </c>
      <c r="E1408" s="21">
        <f>IF($C1408="","",IFERROR(INDEX(Insumos!$C$2:$C$151,MATCH($C1408,Insumos!$A$2:$A$151,0)),""))</f>
        <v/>
      </c>
      <c r="F1408" s="21">
        <f>IF($C1408="","",IFERROR(INDEX(Insumos!$D$2:$D$151,MATCH($C1408,Insumos!$A$2:$A$151,0)),""))</f>
        <v/>
      </c>
      <c r="G1408" s="18" t="n"/>
      <c r="H1408" s="19">
        <f>IF(OR($A1408="",$C1408=""),"",IFERROR(INDEX(Insumos!$M$2:$S$151,MATCH($C1408,Insumos!$A$2:$A$151,0),WEEKDAY($A1408,2)),""))</f>
        <v/>
      </c>
      <c r="I1408" s="19">
        <f>IF(OR($G1408="",$H1408=""),"",MAX(0,$H1408-$G1408))</f>
        <v/>
      </c>
      <c r="J1408" s="21">
        <f>IF($I1408="","",IF($I1408=0,"OK",IF($G1408&lt;=0,"Sin stock: pedir ya","Pedir o producir")))</f>
        <v/>
      </c>
      <c r="K1408" s="17" t="n"/>
      <c r="L1408" s="17" t="n"/>
      <c r="M1408" s="21">
        <f>IF(OR($A1408="",$A1408&lt;&gt;'Lista para pedir'!$C$3,N($I1408)&lt;=0),"",COUNTIFS($A$2:$A1408,$A1408,$I$2:$I1408,"&gt;0"))</f>
        <v/>
      </c>
    </row>
    <row r="1409">
      <c r="A1409" s="20" t="n"/>
      <c r="B1409" s="21">
        <f>IF($A1409="","",CHOOSE(WEEKDAY($A1409,2),"Lunes","Martes","Miércoles","Jueves","Viernes","Sábado","Domingo"))</f>
        <v/>
      </c>
      <c r="C1409" s="17" t="n"/>
      <c r="D1409" s="21">
        <f>IF($C1409="","",IFERROR(INDEX(Insumos!$B$2:$B$151,MATCH($C1409,Insumos!$A$2:$A$151,0)),"Código no cargado"))</f>
        <v/>
      </c>
      <c r="E1409" s="21">
        <f>IF($C1409="","",IFERROR(INDEX(Insumos!$C$2:$C$151,MATCH($C1409,Insumos!$A$2:$A$151,0)),""))</f>
        <v/>
      </c>
      <c r="F1409" s="21">
        <f>IF($C1409="","",IFERROR(INDEX(Insumos!$D$2:$D$151,MATCH($C1409,Insumos!$A$2:$A$151,0)),""))</f>
        <v/>
      </c>
      <c r="G1409" s="18" t="n"/>
      <c r="H1409" s="19">
        <f>IF(OR($A1409="",$C1409=""),"",IFERROR(INDEX(Insumos!$M$2:$S$151,MATCH($C1409,Insumos!$A$2:$A$151,0),WEEKDAY($A1409,2)),""))</f>
        <v/>
      </c>
      <c r="I1409" s="19">
        <f>IF(OR($G1409="",$H1409=""),"",MAX(0,$H1409-$G1409))</f>
        <v/>
      </c>
      <c r="J1409" s="21">
        <f>IF($I1409="","",IF($I1409=0,"OK",IF($G1409&lt;=0,"Sin stock: pedir ya","Pedir o producir")))</f>
        <v/>
      </c>
      <c r="K1409" s="17" t="n"/>
      <c r="L1409" s="17" t="n"/>
      <c r="M1409" s="21">
        <f>IF(OR($A1409="",$A1409&lt;&gt;'Lista para pedir'!$C$3,N($I1409)&lt;=0),"",COUNTIFS($A$2:$A1409,$A1409,$I$2:$I1409,"&gt;0"))</f>
        <v/>
      </c>
    </row>
    <row r="1410">
      <c r="A1410" s="20" t="n"/>
      <c r="B1410" s="21">
        <f>IF($A1410="","",CHOOSE(WEEKDAY($A1410,2),"Lunes","Martes","Miércoles","Jueves","Viernes","Sábado","Domingo"))</f>
        <v/>
      </c>
      <c r="C1410" s="17" t="n"/>
      <c r="D1410" s="21">
        <f>IF($C1410="","",IFERROR(INDEX(Insumos!$B$2:$B$151,MATCH($C1410,Insumos!$A$2:$A$151,0)),"Código no cargado"))</f>
        <v/>
      </c>
      <c r="E1410" s="21">
        <f>IF($C1410="","",IFERROR(INDEX(Insumos!$C$2:$C$151,MATCH($C1410,Insumos!$A$2:$A$151,0)),""))</f>
        <v/>
      </c>
      <c r="F1410" s="21">
        <f>IF($C1410="","",IFERROR(INDEX(Insumos!$D$2:$D$151,MATCH($C1410,Insumos!$A$2:$A$151,0)),""))</f>
        <v/>
      </c>
      <c r="G1410" s="18" t="n"/>
      <c r="H1410" s="19">
        <f>IF(OR($A1410="",$C1410=""),"",IFERROR(INDEX(Insumos!$M$2:$S$151,MATCH($C1410,Insumos!$A$2:$A$151,0),WEEKDAY($A1410,2)),""))</f>
        <v/>
      </c>
      <c r="I1410" s="19">
        <f>IF(OR($G1410="",$H1410=""),"",MAX(0,$H1410-$G1410))</f>
        <v/>
      </c>
      <c r="J1410" s="21">
        <f>IF($I1410="","",IF($I1410=0,"OK",IF($G1410&lt;=0,"Sin stock: pedir ya","Pedir o producir")))</f>
        <v/>
      </c>
      <c r="K1410" s="17" t="n"/>
      <c r="L1410" s="17" t="n"/>
      <c r="M1410" s="21">
        <f>IF(OR($A1410="",$A1410&lt;&gt;'Lista para pedir'!$C$3,N($I1410)&lt;=0),"",COUNTIFS($A$2:$A1410,$A1410,$I$2:$I1410,"&gt;0"))</f>
        <v/>
      </c>
    </row>
    <row r="1411">
      <c r="A1411" s="20" t="n"/>
      <c r="B1411" s="21">
        <f>IF($A1411="","",CHOOSE(WEEKDAY($A1411,2),"Lunes","Martes","Miércoles","Jueves","Viernes","Sábado","Domingo"))</f>
        <v/>
      </c>
      <c r="C1411" s="17" t="n"/>
      <c r="D1411" s="21">
        <f>IF($C1411="","",IFERROR(INDEX(Insumos!$B$2:$B$151,MATCH($C1411,Insumos!$A$2:$A$151,0)),"Código no cargado"))</f>
        <v/>
      </c>
      <c r="E1411" s="21">
        <f>IF($C1411="","",IFERROR(INDEX(Insumos!$C$2:$C$151,MATCH($C1411,Insumos!$A$2:$A$151,0)),""))</f>
        <v/>
      </c>
      <c r="F1411" s="21">
        <f>IF($C1411="","",IFERROR(INDEX(Insumos!$D$2:$D$151,MATCH($C1411,Insumos!$A$2:$A$151,0)),""))</f>
        <v/>
      </c>
      <c r="G1411" s="18" t="n"/>
      <c r="H1411" s="19">
        <f>IF(OR($A1411="",$C1411=""),"",IFERROR(INDEX(Insumos!$M$2:$S$151,MATCH($C1411,Insumos!$A$2:$A$151,0),WEEKDAY($A1411,2)),""))</f>
        <v/>
      </c>
      <c r="I1411" s="19">
        <f>IF(OR($G1411="",$H1411=""),"",MAX(0,$H1411-$G1411))</f>
        <v/>
      </c>
      <c r="J1411" s="21">
        <f>IF($I1411="","",IF($I1411=0,"OK",IF($G1411&lt;=0,"Sin stock: pedir ya","Pedir o producir")))</f>
        <v/>
      </c>
      <c r="K1411" s="17" t="n"/>
      <c r="L1411" s="17" t="n"/>
      <c r="M1411" s="21">
        <f>IF(OR($A1411="",$A1411&lt;&gt;'Lista para pedir'!$C$3,N($I1411)&lt;=0),"",COUNTIFS($A$2:$A1411,$A1411,$I$2:$I1411,"&gt;0"))</f>
        <v/>
      </c>
    </row>
    <row r="1412">
      <c r="A1412" s="20" t="n"/>
      <c r="B1412" s="21">
        <f>IF($A1412="","",CHOOSE(WEEKDAY($A1412,2),"Lunes","Martes","Miércoles","Jueves","Viernes","Sábado","Domingo"))</f>
        <v/>
      </c>
      <c r="C1412" s="17" t="n"/>
      <c r="D1412" s="21">
        <f>IF($C1412="","",IFERROR(INDEX(Insumos!$B$2:$B$151,MATCH($C1412,Insumos!$A$2:$A$151,0)),"Código no cargado"))</f>
        <v/>
      </c>
      <c r="E1412" s="21">
        <f>IF($C1412="","",IFERROR(INDEX(Insumos!$C$2:$C$151,MATCH($C1412,Insumos!$A$2:$A$151,0)),""))</f>
        <v/>
      </c>
      <c r="F1412" s="21">
        <f>IF($C1412="","",IFERROR(INDEX(Insumos!$D$2:$D$151,MATCH($C1412,Insumos!$A$2:$A$151,0)),""))</f>
        <v/>
      </c>
      <c r="G1412" s="18" t="n"/>
      <c r="H1412" s="19">
        <f>IF(OR($A1412="",$C1412=""),"",IFERROR(INDEX(Insumos!$M$2:$S$151,MATCH($C1412,Insumos!$A$2:$A$151,0),WEEKDAY($A1412,2)),""))</f>
        <v/>
      </c>
      <c r="I1412" s="19">
        <f>IF(OR($G1412="",$H1412=""),"",MAX(0,$H1412-$G1412))</f>
        <v/>
      </c>
      <c r="J1412" s="21">
        <f>IF($I1412="","",IF($I1412=0,"OK",IF($G1412&lt;=0,"Sin stock: pedir ya","Pedir o producir")))</f>
        <v/>
      </c>
      <c r="K1412" s="17" t="n"/>
      <c r="L1412" s="17" t="n"/>
      <c r="M1412" s="21">
        <f>IF(OR($A1412="",$A1412&lt;&gt;'Lista para pedir'!$C$3,N($I1412)&lt;=0),"",COUNTIFS($A$2:$A1412,$A1412,$I$2:$I1412,"&gt;0"))</f>
        <v/>
      </c>
    </row>
    <row r="1413">
      <c r="A1413" s="20" t="n"/>
      <c r="B1413" s="21">
        <f>IF($A1413="","",CHOOSE(WEEKDAY($A1413,2),"Lunes","Martes","Miércoles","Jueves","Viernes","Sábado","Domingo"))</f>
        <v/>
      </c>
      <c r="C1413" s="17" t="n"/>
      <c r="D1413" s="21">
        <f>IF($C1413="","",IFERROR(INDEX(Insumos!$B$2:$B$151,MATCH($C1413,Insumos!$A$2:$A$151,0)),"Código no cargado"))</f>
        <v/>
      </c>
      <c r="E1413" s="21">
        <f>IF($C1413="","",IFERROR(INDEX(Insumos!$C$2:$C$151,MATCH($C1413,Insumos!$A$2:$A$151,0)),""))</f>
        <v/>
      </c>
      <c r="F1413" s="21">
        <f>IF($C1413="","",IFERROR(INDEX(Insumos!$D$2:$D$151,MATCH($C1413,Insumos!$A$2:$A$151,0)),""))</f>
        <v/>
      </c>
      <c r="G1413" s="18" t="n"/>
      <c r="H1413" s="19">
        <f>IF(OR($A1413="",$C1413=""),"",IFERROR(INDEX(Insumos!$M$2:$S$151,MATCH($C1413,Insumos!$A$2:$A$151,0),WEEKDAY($A1413,2)),""))</f>
        <v/>
      </c>
      <c r="I1413" s="19">
        <f>IF(OR($G1413="",$H1413=""),"",MAX(0,$H1413-$G1413))</f>
        <v/>
      </c>
      <c r="J1413" s="21">
        <f>IF($I1413="","",IF($I1413=0,"OK",IF($G1413&lt;=0,"Sin stock: pedir ya","Pedir o producir")))</f>
        <v/>
      </c>
      <c r="K1413" s="17" t="n"/>
      <c r="L1413" s="17" t="n"/>
      <c r="M1413" s="21">
        <f>IF(OR($A1413="",$A1413&lt;&gt;'Lista para pedir'!$C$3,N($I1413)&lt;=0),"",COUNTIFS($A$2:$A1413,$A1413,$I$2:$I1413,"&gt;0"))</f>
        <v/>
      </c>
    </row>
    <row r="1414">
      <c r="A1414" s="20" t="n"/>
      <c r="B1414" s="21">
        <f>IF($A1414="","",CHOOSE(WEEKDAY($A1414,2),"Lunes","Martes","Miércoles","Jueves","Viernes","Sábado","Domingo"))</f>
        <v/>
      </c>
      <c r="C1414" s="17" t="n"/>
      <c r="D1414" s="21">
        <f>IF($C1414="","",IFERROR(INDEX(Insumos!$B$2:$B$151,MATCH($C1414,Insumos!$A$2:$A$151,0)),"Código no cargado"))</f>
        <v/>
      </c>
      <c r="E1414" s="21">
        <f>IF($C1414="","",IFERROR(INDEX(Insumos!$C$2:$C$151,MATCH($C1414,Insumos!$A$2:$A$151,0)),""))</f>
        <v/>
      </c>
      <c r="F1414" s="21">
        <f>IF($C1414="","",IFERROR(INDEX(Insumos!$D$2:$D$151,MATCH($C1414,Insumos!$A$2:$A$151,0)),""))</f>
        <v/>
      </c>
      <c r="G1414" s="18" t="n"/>
      <c r="H1414" s="19">
        <f>IF(OR($A1414="",$C1414=""),"",IFERROR(INDEX(Insumos!$M$2:$S$151,MATCH($C1414,Insumos!$A$2:$A$151,0),WEEKDAY($A1414,2)),""))</f>
        <v/>
      </c>
      <c r="I1414" s="19">
        <f>IF(OR($G1414="",$H1414=""),"",MAX(0,$H1414-$G1414))</f>
        <v/>
      </c>
      <c r="J1414" s="21">
        <f>IF($I1414="","",IF($I1414=0,"OK",IF($G1414&lt;=0,"Sin stock: pedir ya","Pedir o producir")))</f>
        <v/>
      </c>
      <c r="K1414" s="17" t="n"/>
      <c r="L1414" s="17" t="n"/>
      <c r="M1414" s="21">
        <f>IF(OR($A1414="",$A1414&lt;&gt;'Lista para pedir'!$C$3,N($I1414)&lt;=0),"",COUNTIFS($A$2:$A1414,$A1414,$I$2:$I1414,"&gt;0"))</f>
        <v/>
      </c>
    </row>
    <row r="1415">
      <c r="A1415" s="20" t="n"/>
      <c r="B1415" s="21">
        <f>IF($A1415="","",CHOOSE(WEEKDAY($A1415,2),"Lunes","Martes","Miércoles","Jueves","Viernes","Sábado","Domingo"))</f>
        <v/>
      </c>
      <c r="C1415" s="17" t="n"/>
      <c r="D1415" s="21">
        <f>IF($C1415="","",IFERROR(INDEX(Insumos!$B$2:$B$151,MATCH($C1415,Insumos!$A$2:$A$151,0)),"Código no cargado"))</f>
        <v/>
      </c>
      <c r="E1415" s="21">
        <f>IF($C1415="","",IFERROR(INDEX(Insumos!$C$2:$C$151,MATCH($C1415,Insumos!$A$2:$A$151,0)),""))</f>
        <v/>
      </c>
      <c r="F1415" s="21">
        <f>IF($C1415="","",IFERROR(INDEX(Insumos!$D$2:$D$151,MATCH($C1415,Insumos!$A$2:$A$151,0)),""))</f>
        <v/>
      </c>
      <c r="G1415" s="18" t="n"/>
      <c r="H1415" s="19">
        <f>IF(OR($A1415="",$C1415=""),"",IFERROR(INDEX(Insumos!$M$2:$S$151,MATCH($C1415,Insumos!$A$2:$A$151,0),WEEKDAY($A1415,2)),""))</f>
        <v/>
      </c>
      <c r="I1415" s="19">
        <f>IF(OR($G1415="",$H1415=""),"",MAX(0,$H1415-$G1415))</f>
        <v/>
      </c>
      <c r="J1415" s="21">
        <f>IF($I1415="","",IF($I1415=0,"OK",IF($G1415&lt;=0,"Sin stock: pedir ya","Pedir o producir")))</f>
        <v/>
      </c>
      <c r="K1415" s="17" t="n"/>
      <c r="L1415" s="17" t="n"/>
      <c r="M1415" s="21">
        <f>IF(OR($A1415="",$A1415&lt;&gt;'Lista para pedir'!$C$3,N($I1415)&lt;=0),"",COUNTIFS($A$2:$A1415,$A1415,$I$2:$I1415,"&gt;0"))</f>
        <v/>
      </c>
    </row>
    <row r="1416">
      <c r="A1416" s="20" t="n"/>
      <c r="B1416" s="21">
        <f>IF($A1416="","",CHOOSE(WEEKDAY($A1416,2),"Lunes","Martes","Miércoles","Jueves","Viernes","Sábado","Domingo"))</f>
        <v/>
      </c>
      <c r="C1416" s="17" t="n"/>
      <c r="D1416" s="21">
        <f>IF($C1416="","",IFERROR(INDEX(Insumos!$B$2:$B$151,MATCH($C1416,Insumos!$A$2:$A$151,0)),"Código no cargado"))</f>
        <v/>
      </c>
      <c r="E1416" s="21">
        <f>IF($C1416="","",IFERROR(INDEX(Insumos!$C$2:$C$151,MATCH($C1416,Insumos!$A$2:$A$151,0)),""))</f>
        <v/>
      </c>
      <c r="F1416" s="21">
        <f>IF($C1416="","",IFERROR(INDEX(Insumos!$D$2:$D$151,MATCH($C1416,Insumos!$A$2:$A$151,0)),""))</f>
        <v/>
      </c>
      <c r="G1416" s="18" t="n"/>
      <c r="H1416" s="19">
        <f>IF(OR($A1416="",$C1416=""),"",IFERROR(INDEX(Insumos!$M$2:$S$151,MATCH($C1416,Insumos!$A$2:$A$151,0),WEEKDAY($A1416,2)),""))</f>
        <v/>
      </c>
      <c r="I1416" s="19">
        <f>IF(OR($G1416="",$H1416=""),"",MAX(0,$H1416-$G1416))</f>
        <v/>
      </c>
      <c r="J1416" s="21">
        <f>IF($I1416="","",IF($I1416=0,"OK",IF($G1416&lt;=0,"Sin stock: pedir ya","Pedir o producir")))</f>
        <v/>
      </c>
      <c r="K1416" s="17" t="n"/>
      <c r="L1416" s="17" t="n"/>
      <c r="M1416" s="21">
        <f>IF(OR($A1416="",$A1416&lt;&gt;'Lista para pedir'!$C$3,N($I1416)&lt;=0),"",COUNTIFS($A$2:$A1416,$A1416,$I$2:$I1416,"&gt;0"))</f>
        <v/>
      </c>
    </row>
    <row r="1417">
      <c r="A1417" s="20" t="n"/>
      <c r="B1417" s="21">
        <f>IF($A1417="","",CHOOSE(WEEKDAY($A1417,2),"Lunes","Martes","Miércoles","Jueves","Viernes","Sábado","Domingo"))</f>
        <v/>
      </c>
      <c r="C1417" s="17" t="n"/>
      <c r="D1417" s="21">
        <f>IF($C1417="","",IFERROR(INDEX(Insumos!$B$2:$B$151,MATCH($C1417,Insumos!$A$2:$A$151,0)),"Código no cargado"))</f>
        <v/>
      </c>
      <c r="E1417" s="21">
        <f>IF($C1417="","",IFERROR(INDEX(Insumos!$C$2:$C$151,MATCH($C1417,Insumos!$A$2:$A$151,0)),""))</f>
        <v/>
      </c>
      <c r="F1417" s="21">
        <f>IF($C1417="","",IFERROR(INDEX(Insumos!$D$2:$D$151,MATCH($C1417,Insumos!$A$2:$A$151,0)),""))</f>
        <v/>
      </c>
      <c r="G1417" s="18" t="n"/>
      <c r="H1417" s="19">
        <f>IF(OR($A1417="",$C1417=""),"",IFERROR(INDEX(Insumos!$M$2:$S$151,MATCH($C1417,Insumos!$A$2:$A$151,0),WEEKDAY($A1417,2)),""))</f>
        <v/>
      </c>
      <c r="I1417" s="19">
        <f>IF(OR($G1417="",$H1417=""),"",MAX(0,$H1417-$G1417))</f>
        <v/>
      </c>
      <c r="J1417" s="21">
        <f>IF($I1417="","",IF($I1417=0,"OK",IF($G1417&lt;=0,"Sin stock: pedir ya","Pedir o producir")))</f>
        <v/>
      </c>
      <c r="K1417" s="17" t="n"/>
      <c r="L1417" s="17" t="n"/>
      <c r="M1417" s="21">
        <f>IF(OR($A1417="",$A1417&lt;&gt;'Lista para pedir'!$C$3,N($I1417)&lt;=0),"",COUNTIFS($A$2:$A1417,$A1417,$I$2:$I1417,"&gt;0"))</f>
        <v/>
      </c>
    </row>
    <row r="1418">
      <c r="A1418" s="20" t="n"/>
      <c r="B1418" s="21">
        <f>IF($A1418="","",CHOOSE(WEEKDAY($A1418,2),"Lunes","Martes","Miércoles","Jueves","Viernes","Sábado","Domingo"))</f>
        <v/>
      </c>
      <c r="C1418" s="17" t="n"/>
      <c r="D1418" s="21">
        <f>IF($C1418="","",IFERROR(INDEX(Insumos!$B$2:$B$151,MATCH($C1418,Insumos!$A$2:$A$151,0)),"Código no cargado"))</f>
        <v/>
      </c>
      <c r="E1418" s="21">
        <f>IF($C1418="","",IFERROR(INDEX(Insumos!$C$2:$C$151,MATCH($C1418,Insumos!$A$2:$A$151,0)),""))</f>
        <v/>
      </c>
      <c r="F1418" s="21">
        <f>IF($C1418="","",IFERROR(INDEX(Insumos!$D$2:$D$151,MATCH($C1418,Insumos!$A$2:$A$151,0)),""))</f>
        <v/>
      </c>
      <c r="G1418" s="18" t="n"/>
      <c r="H1418" s="19">
        <f>IF(OR($A1418="",$C1418=""),"",IFERROR(INDEX(Insumos!$M$2:$S$151,MATCH($C1418,Insumos!$A$2:$A$151,0),WEEKDAY($A1418,2)),""))</f>
        <v/>
      </c>
      <c r="I1418" s="19">
        <f>IF(OR($G1418="",$H1418=""),"",MAX(0,$H1418-$G1418))</f>
        <v/>
      </c>
      <c r="J1418" s="21">
        <f>IF($I1418="","",IF($I1418=0,"OK",IF($G1418&lt;=0,"Sin stock: pedir ya","Pedir o producir")))</f>
        <v/>
      </c>
      <c r="K1418" s="17" t="n"/>
      <c r="L1418" s="17" t="n"/>
      <c r="M1418" s="21">
        <f>IF(OR($A1418="",$A1418&lt;&gt;'Lista para pedir'!$C$3,N($I1418)&lt;=0),"",COUNTIFS($A$2:$A1418,$A1418,$I$2:$I1418,"&gt;0"))</f>
        <v/>
      </c>
    </row>
    <row r="1419">
      <c r="A1419" s="20" t="n"/>
      <c r="B1419" s="21">
        <f>IF($A1419="","",CHOOSE(WEEKDAY($A1419,2),"Lunes","Martes","Miércoles","Jueves","Viernes","Sábado","Domingo"))</f>
        <v/>
      </c>
      <c r="C1419" s="17" t="n"/>
      <c r="D1419" s="21">
        <f>IF($C1419="","",IFERROR(INDEX(Insumos!$B$2:$B$151,MATCH($C1419,Insumos!$A$2:$A$151,0)),"Código no cargado"))</f>
        <v/>
      </c>
      <c r="E1419" s="21">
        <f>IF($C1419="","",IFERROR(INDEX(Insumos!$C$2:$C$151,MATCH($C1419,Insumos!$A$2:$A$151,0)),""))</f>
        <v/>
      </c>
      <c r="F1419" s="21">
        <f>IF($C1419="","",IFERROR(INDEX(Insumos!$D$2:$D$151,MATCH($C1419,Insumos!$A$2:$A$151,0)),""))</f>
        <v/>
      </c>
      <c r="G1419" s="18" t="n"/>
      <c r="H1419" s="19">
        <f>IF(OR($A1419="",$C1419=""),"",IFERROR(INDEX(Insumos!$M$2:$S$151,MATCH($C1419,Insumos!$A$2:$A$151,0),WEEKDAY($A1419,2)),""))</f>
        <v/>
      </c>
      <c r="I1419" s="19">
        <f>IF(OR($G1419="",$H1419=""),"",MAX(0,$H1419-$G1419))</f>
        <v/>
      </c>
      <c r="J1419" s="21">
        <f>IF($I1419="","",IF($I1419=0,"OK",IF($G1419&lt;=0,"Sin stock: pedir ya","Pedir o producir")))</f>
        <v/>
      </c>
      <c r="K1419" s="17" t="n"/>
      <c r="L1419" s="17" t="n"/>
      <c r="M1419" s="21">
        <f>IF(OR($A1419="",$A1419&lt;&gt;'Lista para pedir'!$C$3,N($I1419)&lt;=0),"",COUNTIFS($A$2:$A1419,$A1419,$I$2:$I1419,"&gt;0"))</f>
        <v/>
      </c>
    </row>
    <row r="1420">
      <c r="A1420" s="20" t="n"/>
      <c r="B1420" s="21">
        <f>IF($A1420="","",CHOOSE(WEEKDAY($A1420,2),"Lunes","Martes","Miércoles","Jueves","Viernes","Sábado","Domingo"))</f>
        <v/>
      </c>
      <c r="C1420" s="17" t="n"/>
      <c r="D1420" s="21">
        <f>IF($C1420="","",IFERROR(INDEX(Insumos!$B$2:$B$151,MATCH($C1420,Insumos!$A$2:$A$151,0)),"Código no cargado"))</f>
        <v/>
      </c>
      <c r="E1420" s="21">
        <f>IF($C1420="","",IFERROR(INDEX(Insumos!$C$2:$C$151,MATCH($C1420,Insumos!$A$2:$A$151,0)),""))</f>
        <v/>
      </c>
      <c r="F1420" s="21">
        <f>IF($C1420="","",IFERROR(INDEX(Insumos!$D$2:$D$151,MATCH($C1420,Insumos!$A$2:$A$151,0)),""))</f>
        <v/>
      </c>
      <c r="G1420" s="18" t="n"/>
      <c r="H1420" s="19">
        <f>IF(OR($A1420="",$C1420=""),"",IFERROR(INDEX(Insumos!$M$2:$S$151,MATCH($C1420,Insumos!$A$2:$A$151,0),WEEKDAY($A1420,2)),""))</f>
        <v/>
      </c>
      <c r="I1420" s="19">
        <f>IF(OR($G1420="",$H1420=""),"",MAX(0,$H1420-$G1420))</f>
        <v/>
      </c>
      <c r="J1420" s="21">
        <f>IF($I1420="","",IF($I1420=0,"OK",IF($G1420&lt;=0,"Sin stock: pedir ya","Pedir o producir")))</f>
        <v/>
      </c>
      <c r="K1420" s="17" t="n"/>
      <c r="L1420" s="17" t="n"/>
      <c r="M1420" s="21">
        <f>IF(OR($A1420="",$A1420&lt;&gt;'Lista para pedir'!$C$3,N($I1420)&lt;=0),"",COUNTIFS($A$2:$A1420,$A1420,$I$2:$I1420,"&gt;0"))</f>
        <v/>
      </c>
    </row>
    <row r="1421">
      <c r="A1421" s="20" t="n"/>
      <c r="B1421" s="21">
        <f>IF($A1421="","",CHOOSE(WEEKDAY($A1421,2),"Lunes","Martes","Miércoles","Jueves","Viernes","Sábado","Domingo"))</f>
        <v/>
      </c>
      <c r="C1421" s="17" t="n"/>
      <c r="D1421" s="21">
        <f>IF($C1421="","",IFERROR(INDEX(Insumos!$B$2:$B$151,MATCH($C1421,Insumos!$A$2:$A$151,0)),"Código no cargado"))</f>
        <v/>
      </c>
      <c r="E1421" s="21">
        <f>IF($C1421="","",IFERROR(INDEX(Insumos!$C$2:$C$151,MATCH($C1421,Insumos!$A$2:$A$151,0)),""))</f>
        <v/>
      </c>
      <c r="F1421" s="21">
        <f>IF($C1421="","",IFERROR(INDEX(Insumos!$D$2:$D$151,MATCH($C1421,Insumos!$A$2:$A$151,0)),""))</f>
        <v/>
      </c>
      <c r="G1421" s="18" t="n"/>
      <c r="H1421" s="19">
        <f>IF(OR($A1421="",$C1421=""),"",IFERROR(INDEX(Insumos!$M$2:$S$151,MATCH($C1421,Insumos!$A$2:$A$151,0),WEEKDAY($A1421,2)),""))</f>
        <v/>
      </c>
      <c r="I1421" s="19">
        <f>IF(OR($G1421="",$H1421=""),"",MAX(0,$H1421-$G1421))</f>
        <v/>
      </c>
      <c r="J1421" s="21">
        <f>IF($I1421="","",IF($I1421=0,"OK",IF($G1421&lt;=0,"Sin stock: pedir ya","Pedir o producir")))</f>
        <v/>
      </c>
      <c r="K1421" s="17" t="n"/>
      <c r="L1421" s="17" t="n"/>
      <c r="M1421" s="21">
        <f>IF(OR($A1421="",$A1421&lt;&gt;'Lista para pedir'!$C$3,N($I1421)&lt;=0),"",COUNTIFS($A$2:$A1421,$A1421,$I$2:$I1421,"&gt;0"))</f>
        <v/>
      </c>
    </row>
    <row r="1422">
      <c r="A1422" s="20" t="n"/>
      <c r="B1422" s="21">
        <f>IF($A1422="","",CHOOSE(WEEKDAY($A1422,2),"Lunes","Martes","Miércoles","Jueves","Viernes","Sábado","Domingo"))</f>
        <v/>
      </c>
      <c r="C1422" s="17" t="n"/>
      <c r="D1422" s="21">
        <f>IF($C1422="","",IFERROR(INDEX(Insumos!$B$2:$B$151,MATCH($C1422,Insumos!$A$2:$A$151,0)),"Código no cargado"))</f>
        <v/>
      </c>
      <c r="E1422" s="21">
        <f>IF($C1422="","",IFERROR(INDEX(Insumos!$C$2:$C$151,MATCH($C1422,Insumos!$A$2:$A$151,0)),""))</f>
        <v/>
      </c>
      <c r="F1422" s="21">
        <f>IF($C1422="","",IFERROR(INDEX(Insumos!$D$2:$D$151,MATCH($C1422,Insumos!$A$2:$A$151,0)),""))</f>
        <v/>
      </c>
      <c r="G1422" s="18" t="n"/>
      <c r="H1422" s="19">
        <f>IF(OR($A1422="",$C1422=""),"",IFERROR(INDEX(Insumos!$M$2:$S$151,MATCH($C1422,Insumos!$A$2:$A$151,0),WEEKDAY($A1422,2)),""))</f>
        <v/>
      </c>
      <c r="I1422" s="19">
        <f>IF(OR($G1422="",$H1422=""),"",MAX(0,$H1422-$G1422))</f>
        <v/>
      </c>
      <c r="J1422" s="21">
        <f>IF($I1422="","",IF($I1422=0,"OK",IF($G1422&lt;=0,"Sin stock: pedir ya","Pedir o producir")))</f>
        <v/>
      </c>
      <c r="K1422" s="17" t="n"/>
      <c r="L1422" s="17" t="n"/>
      <c r="M1422" s="21">
        <f>IF(OR($A1422="",$A1422&lt;&gt;'Lista para pedir'!$C$3,N($I1422)&lt;=0),"",COUNTIFS($A$2:$A1422,$A1422,$I$2:$I1422,"&gt;0"))</f>
        <v/>
      </c>
    </row>
    <row r="1423">
      <c r="A1423" s="20" t="n"/>
      <c r="B1423" s="21">
        <f>IF($A1423="","",CHOOSE(WEEKDAY($A1423,2),"Lunes","Martes","Miércoles","Jueves","Viernes","Sábado","Domingo"))</f>
        <v/>
      </c>
      <c r="C1423" s="17" t="n"/>
      <c r="D1423" s="21">
        <f>IF($C1423="","",IFERROR(INDEX(Insumos!$B$2:$B$151,MATCH($C1423,Insumos!$A$2:$A$151,0)),"Código no cargado"))</f>
        <v/>
      </c>
      <c r="E1423" s="21">
        <f>IF($C1423="","",IFERROR(INDEX(Insumos!$C$2:$C$151,MATCH($C1423,Insumos!$A$2:$A$151,0)),""))</f>
        <v/>
      </c>
      <c r="F1423" s="21">
        <f>IF($C1423="","",IFERROR(INDEX(Insumos!$D$2:$D$151,MATCH($C1423,Insumos!$A$2:$A$151,0)),""))</f>
        <v/>
      </c>
      <c r="G1423" s="18" t="n"/>
      <c r="H1423" s="19">
        <f>IF(OR($A1423="",$C1423=""),"",IFERROR(INDEX(Insumos!$M$2:$S$151,MATCH($C1423,Insumos!$A$2:$A$151,0),WEEKDAY($A1423,2)),""))</f>
        <v/>
      </c>
      <c r="I1423" s="19">
        <f>IF(OR($G1423="",$H1423=""),"",MAX(0,$H1423-$G1423))</f>
        <v/>
      </c>
      <c r="J1423" s="21">
        <f>IF($I1423="","",IF($I1423=0,"OK",IF($G1423&lt;=0,"Sin stock: pedir ya","Pedir o producir")))</f>
        <v/>
      </c>
      <c r="K1423" s="17" t="n"/>
      <c r="L1423" s="17" t="n"/>
      <c r="M1423" s="21">
        <f>IF(OR($A1423="",$A1423&lt;&gt;'Lista para pedir'!$C$3,N($I1423)&lt;=0),"",COUNTIFS($A$2:$A1423,$A1423,$I$2:$I1423,"&gt;0"))</f>
        <v/>
      </c>
    </row>
    <row r="1424">
      <c r="A1424" s="20" t="n"/>
      <c r="B1424" s="21">
        <f>IF($A1424="","",CHOOSE(WEEKDAY($A1424,2),"Lunes","Martes","Miércoles","Jueves","Viernes","Sábado","Domingo"))</f>
        <v/>
      </c>
      <c r="C1424" s="17" t="n"/>
      <c r="D1424" s="21">
        <f>IF($C1424="","",IFERROR(INDEX(Insumos!$B$2:$B$151,MATCH($C1424,Insumos!$A$2:$A$151,0)),"Código no cargado"))</f>
        <v/>
      </c>
      <c r="E1424" s="21">
        <f>IF($C1424="","",IFERROR(INDEX(Insumos!$C$2:$C$151,MATCH($C1424,Insumos!$A$2:$A$151,0)),""))</f>
        <v/>
      </c>
      <c r="F1424" s="21">
        <f>IF($C1424="","",IFERROR(INDEX(Insumos!$D$2:$D$151,MATCH($C1424,Insumos!$A$2:$A$151,0)),""))</f>
        <v/>
      </c>
      <c r="G1424" s="18" t="n"/>
      <c r="H1424" s="19">
        <f>IF(OR($A1424="",$C1424=""),"",IFERROR(INDEX(Insumos!$M$2:$S$151,MATCH($C1424,Insumos!$A$2:$A$151,0),WEEKDAY($A1424,2)),""))</f>
        <v/>
      </c>
      <c r="I1424" s="19">
        <f>IF(OR($G1424="",$H1424=""),"",MAX(0,$H1424-$G1424))</f>
        <v/>
      </c>
      <c r="J1424" s="21">
        <f>IF($I1424="","",IF($I1424=0,"OK",IF($G1424&lt;=0,"Sin stock: pedir ya","Pedir o producir")))</f>
        <v/>
      </c>
      <c r="K1424" s="17" t="n"/>
      <c r="L1424" s="17" t="n"/>
      <c r="M1424" s="21">
        <f>IF(OR($A1424="",$A1424&lt;&gt;'Lista para pedir'!$C$3,N($I1424)&lt;=0),"",COUNTIFS($A$2:$A1424,$A1424,$I$2:$I1424,"&gt;0"))</f>
        <v/>
      </c>
    </row>
    <row r="1425">
      <c r="A1425" s="20" t="n"/>
      <c r="B1425" s="21">
        <f>IF($A1425="","",CHOOSE(WEEKDAY($A1425,2),"Lunes","Martes","Miércoles","Jueves","Viernes","Sábado","Domingo"))</f>
        <v/>
      </c>
      <c r="C1425" s="17" t="n"/>
      <c r="D1425" s="21">
        <f>IF($C1425="","",IFERROR(INDEX(Insumos!$B$2:$B$151,MATCH($C1425,Insumos!$A$2:$A$151,0)),"Código no cargado"))</f>
        <v/>
      </c>
      <c r="E1425" s="21">
        <f>IF($C1425="","",IFERROR(INDEX(Insumos!$C$2:$C$151,MATCH($C1425,Insumos!$A$2:$A$151,0)),""))</f>
        <v/>
      </c>
      <c r="F1425" s="21">
        <f>IF($C1425="","",IFERROR(INDEX(Insumos!$D$2:$D$151,MATCH($C1425,Insumos!$A$2:$A$151,0)),""))</f>
        <v/>
      </c>
      <c r="G1425" s="18" t="n"/>
      <c r="H1425" s="19">
        <f>IF(OR($A1425="",$C1425=""),"",IFERROR(INDEX(Insumos!$M$2:$S$151,MATCH($C1425,Insumos!$A$2:$A$151,0),WEEKDAY($A1425,2)),""))</f>
        <v/>
      </c>
      <c r="I1425" s="19">
        <f>IF(OR($G1425="",$H1425=""),"",MAX(0,$H1425-$G1425))</f>
        <v/>
      </c>
      <c r="J1425" s="21">
        <f>IF($I1425="","",IF($I1425=0,"OK",IF($G1425&lt;=0,"Sin stock: pedir ya","Pedir o producir")))</f>
        <v/>
      </c>
      <c r="K1425" s="17" t="n"/>
      <c r="L1425" s="17" t="n"/>
      <c r="M1425" s="21">
        <f>IF(OR($A1425="",$A1425&lt;&gt;'Lista para pedir'!$C$3,N($I1425)&lt;=0),"",COUNTIFS($A$2:$A1425,$A1425,$I$2:$I1425,"&gt;0"))</f>
        <v/>
      </c>
    </row>
    <row r="1426">
      <c r="A1426" s="20" t="n"/>
      <c r="B1426" s="21">
        <f>IF($A1426="","",CHOOSE(WEEKDAY($A1426,2),"Lunes","Martes","Miércoles","Jueves","Viernes","Sábado","Domingo"))</f>
        <v/>
      </c>
      <c r="C1426" s="17" t="n"/>
      <c r="D1426" s="21">
        <f>IF($C1426="","",IFERROR(INDEX(Insumos!$B$2:$B$151,MATCH($C1426,Insumos!$A$2:$A$151,0)),"Código no cargado"))</f>
        <v/>
      </c>
      <c r="E1426" s="21">
        <f>IF($C1426="","",IFERROR(INDEX(Insumos!$C$2:$C$151,MATCH($C1426,Insumos!$A$2:$A$151,0)),""))</f>
        <v/>
      </c>
      <c r="F1426" s="21">
        <f>IF($C1426="","",IFERROR(INDEX(Insumos!$D$2:$D$151,MATCH($C1426,Insumos!$A$2:$A$151,0)),""))</f>
        <v/>
      </c>
      <c r="G1426" s="18" t="n"/>
      <c r="H1426" s="19">
        <f>IF(OR($A1426="",$C1426=""),"",IFERROR(INDEX(Insumos!$M$2:$S$151,MATCH($C1426,Insumos!$A$2:$A$151,0),WEEKDAY($A1426,2)),""))</f>
        <v/>
      </c>
      <c r="I1426" s="19">
        <f>IF(OR($G1426="",$H1426=""),"",MAX(0,$H1426-$G1426))</f>
        <v/>
      </c>
      <c r="J1426" s="21">
        <f>IF($I1426="","",IF($I1426=0,"OK",IF($G1426&lt;=0,"Sin stock: pedir ya","Pedir o producir")))</f>
        <v/>
      </c>
      <c r="K1426" s="17" t="n"/>
      <c r="L1426" s="17" t="n"/>
      <c r="M1426" s="21">
        <f>IF(OR($A1426="",$A1426&lt;&gt;'Lista para pedir'!$C$3,N($I1426)&lt;=0),"",COUNTIFS($A$2:$A1426,$A1426,$I$2:$I1426,"&gt;0"))</f>
        <v/>
      </c>
    </row>
    <row r="1427">
      <c r="A1427" s="20" t="n"/>
      <c r="B1427" s="21">
        <f>IF($A1427="","",CHOOSE(WEEKDAY($A1427,2),"Lunes","Martes","Miércoles","Jueves","Viernes","Sábado","Domingo"))</f>
        <v/>
      </c>
      <c r="C1427" s="17" t="n"/>
      <c r="D1427" s="21">
        <f>IF($C1427="","",IFERROR(INDEX(Insumos!$B$2:$B$151,MATCH($C1427,Insumos!$A$2:$A$151,0)),"Código no cargado"))</f>
        <v/>
      </c>
      <c r="E1427" s="21">
        <f>IF($C1427="","",IFERROR(INDEX(Insumos!$C$2:$C$151,MATCH($C1427,Insumos!$A$2:$A$151,0)),""))</f>
        <v/>
      </c>
      <c r="F1427" s="21">
        <f>IF($C1427="","",IFERROR(INDEX(Insumos!$D$2:$D$151,MATCH($C1427,Insumos!$A$2:$A$151,0)),""))</f>
        <v/>
      </c>
      <c r="G1427" s="18" t="n"/>
      <c r="H1427" s="19">
        <f>IF(OR($A1427="",$C1427=""),"",IFERROR(INDEX(Insumos!$M$2:$S$151,MATCH($C1427,Insumos!$A$2:$A$151,0),WEEKDAY($A1427,2)),""))</f>
        <v/>
      </c>
      <c r="I1427" s="19">
        <f>IF(OR($G1427="",$H1427=""),"",MAX(0,$H1427-$G1427))</f>
        <v/>
      </c>
      <c r="J1427" s="21">
        <f>IF($I1427="","",IF($I1427=0,"OK",IF($G1427&lt;=0,"Sin stock: pedir ya","Pedir o producir")))</f>
        <v/>
      </c>
      <c r="K1427" s="17" t="n"/>
      <c r="L1427" s="17" t="n"/>
      <c r="M1427" s="21">
        <f>IF(OR($A1427="",$A1427&lt;&gt;'Lista para pedir'!$C$3,N($I1427)&lt;=0),"",COUNTIFS($A$2:$A1427,$A1427,$I$2:$I1427,"&gt;0"))</f>
        <v/>
      </c>
    </row>
    <row r="1428">
      <c r="A1428" s="20" t="n"/>
      <c r="B1428" s="21">
        <f>IF($A1428="","",CHOOSE(WEEKDAY($A1428,2),"Lunes","Martes","Miércoles","Jueves","Viernes","Sábado","Domingo"))</f>
        <v/>
      </c>
      <c r="C1428" s="17" t="n"/>
      <c r="D1428" s="21">
        <f>IF($C1428="","",IFERROR(INDEX(Insumos!$B$2:$B$151,MATCH($C1428,Insumos!$A$2:$A$151,0)),"Código no cargado"))</f>
        <v/>
      </c>
      <c r="E1428" s="21">
        <f>IF($C1428="","",IFERROR(INDEX(Insumos!$C$2:$C$151,MATCH($C1428,Insumos!$A$2:$A$151,0)),""))</f>
        <v/>
      </c>
      <c r="F1428" s="21">
        <f>IF($C1428="","",IFERROR(INDEX(Insumos!$D$2:$D$151,MATCH($C1428,Insumos!$A$2:$A$151,0)),""))</f>
        <v/>
      </c>
      <c r="G1428" s="18" t="n"/>
      <c r="H1428" s="19">
        <f>IF(OR($A1428="",$C1428=""),"",IFERROR(INDEX(Insumos!$M$2:$S$151,MATCH($C1428,Insumos!$A$2:$A$151,0),WEEKDAY($A1428,2)),""))</f>
        <v/>
      </c>
      <c r="I1428" s="19">
        <f>IF(OR($G1428="",$H1428=""),"",MAX(0,$H1428-$G1428))</f>
        <v/>
      </c>
      <c r="J1428" s="21">
        <f>IF($I1428="","",IF($I1428=0,"OK",IF($G1428&lt;=0,"Sin stock: pedir ya","Pedir o producir")))</f>
        <v/>
      </c>
      <c r="K1428" s="17" t="n"/>
      <c r="L1428" s="17" t="n"/>
      <c r="M1428" s="21">
        <f>IF(OR($A1428="",$A1428&lt;&gt;'Lista para pedir'!$C$3,N($I1428)&lt;=0),"",COUNTIFS($A$2:$A1428,$A1428,$I$2:$I1428,"&gt;0"))</f>
        <v/>
      </c>
    </row>
    <row r="1429">
      <c r="A1429" s="20" t="n"/>
      <c r="B1429" s="21">
        <f>IF($A1429="","",CHOOSE(WEEKDAY($A1429,2),"Lunes","Martes","Miércoles","Jueves","Viernes","Sábado","Domingo"))</f>
        <v/>
      </c>
      <c r="C1429" s="17" t="n"/>
      <c r="D1429" s="21">
        <f>IF($C1429="","",IFERROR(INDEX(Insumos!$B$2:$B$151,MATCH($C1429,Insumos!$A$2:$A$151,0)),"Código no cargado"))</f>
        <v/>
      </c>
      <c r="E1429" s="21">
        <f>IF($C1429="","",IFERROR(INDEX(Insumos!$C$2:$C$151,MATCH($C1429,Insumos!$A$2:$A$151,0)),""))</f>
        <v/>
      </c>
      <c r="F1429" s="21">
        <f>IF($C1429="","",IFERROR(INDEX(Insumos!$D$2:$D$151,MATCH($C1429,Insumos!$A$2:$A$151,0)),""))</f>
        <v/>
      </c>
      <c r="G1429" s="18" t="n"/>
      <c r="H1429" s="19">
        <f>IF(OR($A1429="",$C1429=""),"",IFERROR(INDEX(Insumos!$M$2:$S$151,MATCH($C1429,Insumos!$A$2:$A$151,0),WEEKDAY($A1429,2)),""))</f>
        <v/>
      </c>
      <c r="I1429" s="19">
        <f>IF(OR($G1429="",$H1429=""),"",MAX(0,$H1429-$G1429))</f>
        <v/>
      </c>
      <c r="J1429" s="21">
        <f>IF($I1429="","",IF($I1429=0,"OK",IF($G1429&lt;=0,"Sin stock: pedir ya","Pedir o producir")))</f>
        <v/>
      </c>
      <c r="K1429" s="17" t="n"/>
      <c r="L1429" s="17" t="n"/>
      <c r="M1429" s="21">
        <f>IF(OR($A1429="",$A1429&lt;&gt;'Lista para pedir'!$C$3,N($I1429)&lt;=0),"",COUNTIFS($A$2:$A1429,$A1429,$I$2:$I1429,"&gt;0"))</f>
        <v/>
      </c>
    </row>
    <row r="1430">
      <c r="A1430" s="20" t="n"/>
      <c r="B1430" s="21">
        <f>IF($A1430="","",CHOOSE(WEEKDAY($A1430,2),"Lunes","Martes","Miércoles","Jueves","Viernes","Sábado","Domingo"))</f>
        <v/>
      </c>
      <c r="C1430" s="17" t="n"/>
      <c r="D1430" s="21">
        <f>IF($C1430="","",IFERROR(INDEX(Insumos!$B$2:$B$151,MATCH($C1430,Insumos!$A$2:$A$151,0)),"Código no cargado"))</f>
        <v/>
      </c>
      <c r="E1430" s="21">
        <f>IF($C1430="","",IFERROR(INDEX(Insumos!$C$2:$C$151,MATCH($C1430,Insumos!$A$2:$A$151,0)),""))</f>
        <v/>
      </c>
      <c r="F1430" s="21">
        <f>IF($C1430="","",IFERROR(INDEX(Insumos!$D$2:$D$151,MATCH($C1430,Insumos!$A$2:$A$151,0)),""))</f>
        <v/>
      </c>
      <c r="G1430" s="18" t="n"/>
      <c r="H1430" s="19">
        <f>IF(OR($A1430="",$C1430=""),"",IFERROR(INDEX(Insumos!$M$2:$S$151,MATCH($C1430,Insumos!$A$2:$A$151,0),WEEKDAY($A1430,2)),""))</f>
        <v/>
      </c>
      <c r="I1430" s="19">
        <f>IF(OR($G1430="",$H1430=""),"",MAX(0,$H1430-$G1430))</f>
        <v/>
      </c>
      <c r="J1430" s="21">
        <f>IF($I1430="","",IF($I1430=0,"OK",IF($G1430&lt;=0,"Sin stock: pedir ya","Pedir o producir")))</f>
        <v/>
      </c>
      <c r="K1430" s="17" t="n"/>
      <c r="L1430" s="17" t="n"/>
      <c r="M1430" s="21">
        <f>IF(OR($A1430="",$A1430&lt;&gt;'Lista para pedir'!$C$3,N($I1430)&lt;=0),"",COUNTIFS($A$2:$A1430,$A1430,$I$2:$I1430,"&gt;0"))</f>
        <v/>
      </c>
    </row>
    <row r="1431">
      <c r="A1431" s="20" t="n"/>
      <c r="B1431" s="21">
        <f>IF($A1431="","",CHOOSE(WEEKDAY($A1431,2),"Lunes","Martes","Miércoles","Jueves","Viernes","Sábado","Domingo"))</f>
        <v/>
      </c>
      <c r="C1431" s="17" t="n"/>
      <c r="D1431" s="21">
        <f>IF($C1431="","",IFERROR(INDEX(Insumos!$B$2:$B$151,MATCH($C1431,Insumos!$A$2:$A$151,0)),"Código no cargado"))</f>
        <v/>
      </c>
      <c r="E1431" s="21">
        <f>IF($C1431="","",IFERROR(INDEX(Insumos!$C$2:$C$151,MATCH($C1431,Insumos!$A$2:$A$151,0)),""))</f>
        <v/>
      </c>
      <c r="F1431" s="21">
        <f>IF($C1431="","",IFERROR(INDEX(Insumos!$D$2:$D$151,MATCH($C1431,Insumos!$A$2:$A$151,0)),""))</f>
        <v/>
      </c>
      <c r="G1431" s="18" t="n"/>
      <c r="H1431" s="19">
        <f>IF(OR($A1431="",$C1431=""),"",IFERROR(INDEX(Insumos!$M$2:$S$151,MATCH($C1431,Insumos!$A$2:$A$151,0),WEEKDAY($A1431,2)),""))</f>
        <v/>
      </c>
      <c r="I1431" s="19">
        <f>IF(OR($G1431="",$H1431=""),"",MAX(0,$H1431-$G1431))</f>
        <v/>
      </c>
      <c r="J1431" s="21">
        <f>IF($I1431="","",IF($I1431=0,"OK",IF($G1431&lt;=0,"Sin stock: pedir ya","Pedir o producir")))</f>
        <v/>
      </c>
      <c r="K1431" s="17" t="n"/>
      <c r="L1431" s="17" t="n"/>
      <c r="M1431" s="21">
        <f>IF(OR($A1431="",$A1431&lt;&gt;'Lista para pedir'!$C$3,N($I1431)&lt;=0),"",COUNTIFS($A$2:$A1431,$A1431,$I$2:$I1431,"&gt;0"))</f>
        <v/>
      </c>
    </row>
    <row r="1432">
      <c r="A1432" s="20" t="n"/>
      <c r="B1432" s="21">
        <f>IF($A1432="","",CHOOSE(WEEKDAY($A1432,2),"Lunes","Martes","Miércoles","Jueves","Viernes","Sábado","Domingo"))</f>
        <v/>
      </c>
      <c r="C1432" s="17" t="n"/>
      <c r="D1432" s="21">
        <f>IF($C1432="","",IFERROR(INDEX(Insumos!$B$2:$B$151,MATCH($C1432,Insumos!$A$2:$A$151,0)),"Código no cargado"))</f>
        <v/>
      </c>
      <c r="E1432" s="21">
        <f>IF($C1432="","",IFERROR(INDEX(Insumos!$C$2:$C$151,MATCH($C1432,Insumos!$A$2:$A$151,0)),""))</f>
        <v/>
      </c>
      <c r="F1432" s="21">
        <f>IF($C1432="","",IFERROR(INDEX(Insumos!$D$2:$D$151,MATCH($C1432,Insumos!$A$2:$A$151,0)),""))</f>
        <v/>
      </c>
      <c r="G1432" s="18" t="n"/>
      <c r="H1432" s="19">
        <f>IF(OR($A1432="",$C1432=""),"",IFERROR(INDEX(Insumos!$M$2:$S$151,MATCH($C1432,Insumos!$A$2:$A$151,0),WEEKDAY($A1432,2)),""))</f>
        <v/>
      </c>
      <c r="I1432" s="19">
        <f>IF(OR($G1432="",$H1432=""),"",MAX(0,$H1432-$G1432))</f>
        <v/>
      </c>
      <c r="J1432" s="21">
        <f>IF($I1432="","",IF($I1432=0,"OK",IF($G1432&lt;=0,"Sin stock: pedir ya","Pedir o producir")))</f>
        <v/>
      </c>
      <c r="K1432" s="17" t="n"/>
      <c r="L1432" s="17" t="n"/>
      <c r="M1432" s="21">
        <f>IF(OR($A1432="",$A1432&lt;&gt;'Lista para pedir'!$C$3,N($I1432)&lt;=0),"",COUNTIFS($A$2:$A1432,$A1432,$I$2:$I1432,"&gt;0"))</f>
        <v/>
      </c>
    </row>
    <row r="1433">
      <c r="A1433" s="20" t="n"/>
      <c r="B1433" s="21">
        <f>IF($A1433="","",CHOOSE(WEEKDAY($A1433,2),"Lunes","Martes","Miércoles","Jueves","Viernes","Sábado","Domingo"))</f>
        <v/>
      </c>
      <c r="C1433" s="17" t="n"/>
      <c r="D1433" s="21">
        <f>IF($C1433="","",IFERROR(INDEX(Insumos!$B$2:$B$151,MATCH($C1433,Insumos!$A$2:$A$151,0)),"Código no cargado"))</f>
        <v/>
      </c>
      <c r="E1433" s="21">
        <f>IF($C1433="","",IFERROR(INDEX(Insumos!$C$2:$C$151,MATCH($C1433,Insumos!$A$2:$A$151,0)),""))</f>
        <v/>
      </c>
      <c r="F1433" s="21">
        <f>IF($C1433="","",IFERROR(INDEX(Insumos!$D$2:$D$151,MATCH($C1433,Insumos!$A$2:$A$151,0)),""))</f>
        <v/>
      </c>
      <c r="G1433" s="18" t="n"/>
      <c r="H1433" s="19">
        <f>IF(OR($A1433="",$C1433=""),"",IFERROR(INDEX(Insumos!$M$2:$S$151,MATCH($C1433,Insumos!$A$2:$A$151,0),WEEKDAY($A1433,2)),""))</f>
        <v/>
      </c>
      <c r="I1433" s="19">
        <f>IF(OR($G1433="",$H1433=""),"",MAX(0,$H1433-$G1433))</f>
        <v/>
      </c>
      <c r="J1433" s="21">
        <f>IF($I1433="","",IF($I1433=0,"OK",IF($G1433&lt;=0,"Sin stock: pedir ya","Pedir o producir")))</f>
        <v/>
      </c>
      <c r="K1433" s="17" t="n"/>
      <c r="L1433" s="17" t="n"/>
      <c r="M1433" s="21">
        <f>IF(OR($A1433="",$A1433&lt;&gt;'Lista para pedir'!$C$3,N($I1433)&lt;=0),"",COUNTIFS($A$2:$A1433,$A1433,$I$2:$I1433,"&gt;0"))</f>
        <v/>
      </c>
    </row>
    <row r="1434">
      <c r="A1434" s="20" t="n"/>
      <c r="B1434" s="21">
        <f>IF($A1434="","",CHOOSE(WEEKDAY($A1434,2),"Lunes","Martes","Miércoles","Jueves","Viernes","Sábado","Domingo"))</f>
        <v/>
      </c>
      <c r="C1434" s="17" t="n"/>
      <c r="D1434" s="21">
        <f>IF($C1434="","",IFERROR(INDEX(Insumos!$B$2:$B$151,MATCH($C1434,Insumos!$A$2:$A$151,0)),"Código no cargado"))</f>
        <v/>
      </c>
      <c r="E1434" s="21">
        <f>IF($C1434="","",IFERROR(INDEX(Insumos!$C$2:$C$151,MATCH($C1434,Insumos!$A$2:$A$151,0)),""))</f>
        <v/>
      </c>
      <c r="F1434" s="21">
        <f>IF($C1434="","",IFERROR(INDEX(Insumos!$D$2:$D$151,MATCH($C1434,Insumos!$A$2:$A$151,0)),""))</f>
        <v/>
      </c>
      <c r="G1434" s="18" t="n"/>
      <c r="H1434" s="19">
        <f>IF(OR($A1434="",$C1434=""),"",IFERROR(INDEX(Insumos!$M$2:$S$151,MATCH($C1434,Insumos!$A$2:$A$151,0),WEEKDAY($A1434,2)),""))</f>
        <v/>
      </c>
      <c r="I1434" s="19">
        <f>IF(OR($G1434="",$H1434=""),"",MAX(0,$H1434-$G1434))</f>
        <v/>
      </c>
      <c r="J1434" s="21">
        <f>IF($I1434="","",IF($I1434=0,"OK",IF($G1434&lt;=0,"Sin stock: pedir ya","Pedir o producir")))</f>
        <v/>
      </c>
      <c r="K1434" s="17" t="n"/>
      <c r="L1434" s="17" t="n"/>
      <c r="M1434" s="21">
        <f>IF(OR($A1434="",$A1434&lt;&gt;'Lista para pedir'!$C$3,N($I1434)&lt;=0),"",COUNTIFS($A$2:$A1434,$A1434,$I$2:$I1434,"&gt;0"))</f>
        <v/>
      </c>
    </row>
    <row r="1435">
      <c r="A1435" s="20" t="n"/>
      <c r="B1435" s="21">
        <f>IF($A1435="","",CHOOSE(WEEKDAY($A1435,2),"Lunes","Martes","Miércoles","Jueves","Viernes","Sábado","Domingo"))</f>
        <v/>
      </c>
      <c r="C1435" s="17" t="n"/>
      <c r="D1435" s="21">
        <f>IF($C1435="","",IFERROR(INDEX(Insumos!$B$2:$B$151,MATCH($C1435,Insumos!$A$2:$A$151,0)),"Código no cargado"))</f>
        <v/>
      </c>
      <c r="E1435" s="21">
        <f>IF($C1435="","",IFERROR(INDEX(Insumos!$C$2:$C$151,MATCH($C1435,Insumos!$A$2:$A$151,0)),""))</f>
        <v/>
      </c>
      <c r="F1435" s="21">
        <f>IF($C1435="","",IFERROR(INDEX(Insumos!$D$2:$D$151,MATCH($C1435,Insumos!$A$2:$A$151,0)),""))</f>
        <v/>
      </c>
      <c r="G1435" s="18" t="n"/>
      <c r="H1435" s="19">
        <f>IF(OR($A1435="",$C1435=""),"",IFERROR(INDEX(Insumos!$M$2:$S$151,MATCH($C1435,Insumos!$A$2:$A$151,0),WEEKDAY($A1435,2)),""))</f>
        <v/>
      </c>
      <c r="I1435" s="19">
        <f>IF(OR($G1435="",$H1435=""),"",MAX(0,$H1435-$G1435))</f>
        <v/>
      </c>
      <c r="J1435" s="21">
        <f>IF($I1435="","",IF($I1435=0,"OK",IF($G1435&lt;=0,"Sin stock: pedir ya","Pedir o producir")))</f>
        <v/>
      </c>
      <c r="K1435" s="17" t="n"/>
      <c r="L1435" s="17" t="n"/>
      <c r="M1435" s="21">
        <f>IF(OR($A1435="",$A1435&lt;&gt;'Lista para pedir'!$C$3,N($I1435)&lt;=0),"",COUNTIFS($A$2:$A1435,$A1435,$I$2:$I1435,"&gt;0"))</f>
        <v/>
      </c>
    </row>
    <row r="1436">
      <c r="A1436" s="20" t="n"/>
      <c r="B1436" s="21">
        <f>IF($A1436="","",CHOOSE(WEEKDAY($A1436,2),"Lunes","Martes","Miércoles","Jueves","Viernes","Sábado","Domingo"))</f>
        <v/>
      </c>
      <c r="C1436" s="17" t="n"/>
      <c r="D1436" s="21">
        <f>IF($C1436="","",IFERROR(INDEX(Insumos!$B$2:$B$151,MATCH($C1436,Insumos!$A$2:$A$151,0)),"Código no cargado"))</f>
        <v/>
      </c>
      <c r="E1436" s="21">
        <f>IF($C1436="","",IFERROR(INDEX(Insumos!$C$2:$C$151,MATCH($C1436,Insumos!$A$2:$A$151,0)),""))</f>
        <v/>
      </c>
      <c r="F1436" s="21">
        <f>IF($C1436="","",IFERROR(INDEX(Insumos!$D$2:$D$151,MATCH($C1436,Insumos!$A$2:$A$151,0)),""))</f>
        <v/>
      </c>
      <c r="G1436" s="18" t="n"/>
      <c r="H1436" s="19">
        <f>IF(OR($A1436="",$C1436=""),"",IFERROR(INDEX(Insumos!$M$2:$S$151,MATCH($C1436,Insumos!$A$2:$A$151,0),WEEKDAY($A1436,2)),""))</f>
        <v/>
      </c>
      <c r="I1436" s="19">
        <f>IF(OR($G1436="",$H1436=""),"",MAX(0,$H1436-$G1436))</f>
        <v/>
      </c>
      <c r="J1436" s="21">
        <f>IF($I1436="","",IF($I1436=0,"OK",IF($G1436&lt;=0,"Sin stock: pedir ya","Pedir o producir")))</f>
        <v/>
      </c>
      <c r="K1436" s="17" t="n"/>
      <c r="L1436" s="17" t="n"/>
      <c r="M1436" s="21">
        <f>IF(OR($A1436="",$A1436&lt;&gt;'Lista para pedir'!$C$3,N($I1436)&lt;=0),"",COUNTIFS($A$2:$A1436,$A1436,$I$2:$I1436,"&gt;0"))</f>
        <v/>
      </c>
    </row>
    <row r="1437">
      <c r="A1437" s="20" t="n"/>
      <c r="B1437" s="21">
        <f>IF($A1437="","",CHOOSE(WEEKDAY($A1437,2),"Lunes","Martes","Miércoles","Jueves","Viernes","Sábado","Domingo"))</f>
        <v/>
      </c>
      <c r="C1437" s="17" t="n"/>
      <c r="D1437" s="21">
        <f>IF($C1437="","",IFERROR(INDEX(Insumos!$B$2:$B$151,MATCH($C1437,Insumos!$A$2:$A$151,0)),"Código no cargado"))</f>
        <v/>
      </c>
      <c r="E1437" s="21">
        <f>IF($C1437="","",IFERROR(INDEX(Insumos!$C$2:$C$151,MATCH($C1437,Insumos!$A$2:$A$151,0)),""))</f>
        <v/>
      </c>
      <c r="F1437" s="21">
        <f>IF($C1437="","",IFERROR(INDEX(Insumos!$D$2:$D$151,MATCH($C1437,Insumos!$A$2:$A$151,0)),""))</f>
        <v/>
      </c>
      <c r="G1437" s="18" t="n"/>
      <c r="H1437" s="19">
        <f>IF(OR($A1437="",$C1437=""),"",IFERROR(INDEX(Insumos!$M$2:$S$151,MATCH($C1437,Insumos!$A$2:$A$151,0),WEEKDAY($A1437,2)),""))</f>
        <v/>
      </c>
      <c r="I1437" s="19">
        <f>IF(OR($G1437="",$H1437=""),"",MAX(0,$H1437-$G1437))</f>
        <v/>
      </c>
      <c r="J1437" s="21">
        <f>IF($I1437="","",IF($I1437=0,"OK",IF($G1437&lt;=0,"Sin stock: pedir ya","Pedir o producir")))</f>
        <v/>
      </c>
      <c r="K1437" s="17" t="n"/>
      <c r="L1437" s="17" t="n"/>
      <c r="M1437" s="21">
        <f>IF(OR($A1437="",$A1437&lt;&gt;'Lista para pedir'!$C$3,N($I1437)&lt;=0),"",COUNTIFS($A$2:$A1437,$A1437,$I$2:$I1437,"&gt;0"))</f>
        <v/>
      </c>
    </row>
    <row r="1438">
      <c r="A1438" s="20" t="n"/>
      <c r="B1438" s="21">
        <f>IF($A1438="","",CHOOSE(WEEKDAY($A1438,2),"Lunes","Martes","Miércoles","Jueves","Viernes","Sábado","Domingo"))</f>
        <v/>
      </c>
      <c r="C1438" s="17" t="n"/>
      <c r="D1438" s="21">
        <f>IF($C1438="","",IFERROR(INDEX(Insumos!$B$2:$B$151,MATCH($C1438,Insumos!$A$2:$A$151,0)),"Código no cargado"))</f>
        <v/>
      </c>
      <c r="E1438" s="21">
        <f>IF($C1438="","",IFERROR(INDEX(Insumos!$C$2:$C$151,MATCH($C1438,Insumos!$A$2:$A$151,0)),""))</f>
        <v/>
      </c>
      <c r="F1438" s="21">
        <f>IF($C1438="","",IFERROR(INDEX(Insumos!$D$2:$D$151,MATCH($C1438,Insumos!$A$2:$A$151,0)),""))</f>
        <v/>
      </c>
      <c r="G1438" s="18" t="n"/>
      <c r="H1438" s="19">
        <f>IF(OR($A1438="",$C1438=""),"",IFERROR(INDEX(Insumos!$M$2:$S$151,MATCH($C1438,Insumos!$A$2:$A$151,0),WEEKDAY($A1438,2)),""))</f>
        <v/>
      </c>
      <c r="I1438" s="19">
        <f>IF(OR($G1438="",$H1438=""),"",MAX(0,$H1438-$G1438))</f>
        <v/>
      </c>
      <c r="J1438" s="21">
        <f>IF($I1438="","",IF($I1438=0,"OK",IF($G1438&lt;=0,"Sin stock: pedir ya","Pedir o producir")))</f>
        <v/>
      </c>
      <c r="K1438" s="17" t="n"/>
      <c r="L1438" s="17" t="n"/>
      <c r="M1438" s="21">
        <f>IF(OR($A1438="",$A1438&lt;&gt;'Lista para pedir'!$C$3,N($I1438)&lt;=0),"",COUNTIFS($A$2:$A1438,$A1438,$I$2:$I1438,"&gt;0"))</f>
        <v/>
      </c>
    </row>
    <row r="1439">
      <c r="A1439" s="20" t="n"/>
      <c r="B1439" s="21">
        <f>IF($A1439="","",CHOOSE(WEEKDAY($A1439,2),"Lunes","Martes","Miércoles","Jueves","Viernes","Sábado","Domingo"))</f>
        <v/>
      </c>
      <c r="C1439" s="17" t="n"/>
      <c r="D1439" s="21">
        <f>IF($C1439="","",IFERROR(INDEX(Insumos!$B$2:$B$151,MATCH($C1439,Insumos!$A$2:$A$151,0)),"Código no cargado"))</f>
        <v/>
      </c>
      <c r="E1439" s="21">
        <f>IF($C1439="","",IFERROR(INDEX(Insumos!$C$2:$C$151,MATCH($C1439,Insumos!$A$2:$A$151,0)),""))</f>
        <v/>
      </c>
      <c r="F1439" s="21">
        <f>IF($C1439="","",IFERROR(INDEX(Insumos!$D$2:$D$151,MATCH($C1439,Insumos!$A$2:$A$151,0)),""))</f>
        <v/>
      </c>
      <c r="G1439" s="18" t="n"/>
      <c r="H1439" s="19">
        <f>IF(OR($A1439="",$C1439=""),"",IFERROR(INDEX(Insumos!$M$2:$S$151,MATCH($C1439,Insumos!$A$2:$A$151,0),WEEKDAY($A1439,2)),""))</f>
        <v/>
      </c>
      <c r="I1439" s="19">
        <f>IF(OR($G1439="",$H1439=""),"",MAX(0,$H1439-$G1439))</f>
        <v/>
      </c>
      <c r="J1439" s="21">
        <f>IF($I1439="","",IF($I1439=0,"OK",IF($G1439&lt;=0,"Sin stock: pedir ya","Pedir o producir")))</f>
        <v/>
      </c>
      <c r="K1439" s="17" t="n"/>
      <c r="L1439" s="17" t="n"/>
      <c r="M1439" s="21">
        <f>IF(OR($A1439="",$A1439&lt;&gt;'Lista para pedir'!$C$3,N($I1439)&lt;=0),"",COUNTIFS($A$2:$A1439,$A1439,$I$2:$I1439,"&gt;0"))</f>
        <v/>
      </c>
    </row>
    <row r="1440">
      <c r="A1440" s="20" t="n"/>
      <c r="B1440" s="21">
        <f>IF($A1440="","",CHOOSE(WEEKDAY($A1440,2),"Lunes","Martes","Miércoles","Jueves","Viernes","Sábado","Domingo"))</f>
        <v/>
      </c>
      <c r="C1440" s="17" t="n"/>
      <c r="D1440" s="21">
        <f>IF($C1440="","",IFERROR(INDEX(Insumos!$B$2:$B$151,MATCH($C1440,Insumos!$A$2:$A$151,0)),"Código no cargado"))</f>
        <v/>
      </c>
      <c r="E1440" s="21">
        <f>IF($C1440="","",IFERROR(INDEX(Insumos!$C$2:$C$151,MATCH($C1440,Insumos!$A$2:$A$151,0)),""))</f>
        <v/>
      </c>
      <c r="F1440" s="21">
        <f>IF($C1440="","",IFERROR(INDEX(Insumos!$D$2:$D$151,MATCH($C1440,Insumos!$A$2:$A$151,0)),""))</f>
        <v/>
      </c>
      <c r="G1440" s="18" t="n"/>
      <c r="H1440" s="19">
        <f>IF(OR($A1440="",$C1440=""),"",IFERROR(INDEX(Insumos!$M$2:$S$151,MATCH($C1440,Insumos!$A$2:$A$151,0),WEEKDAY($A1440,2)),""))</f>
        <v/>
      </c>
      <c r="I1440" s="19">
        <f>IF(OR($G1440="",$H1440=""),"",MAX(0,$H1440-$G1440))</f>
        <v/>
      </c>
      <c r="J1440" s="21">
        <f>IF($I1440="","",IF($I1440=0,"OK",IF($G1440&lt;=0,"Sin stock: pedir ya","Pedir o producir")))</f>
        <v/>
      </c>
      <c r="K1440" s="17" t="n"/>
      <c r="L1440" s="17" t="n"/>
      <c r="M1440" s="21">
        <f>IF(OR($A1440="",$A1440&lt;&gt;'Lista para pedir'!$C$3,N($I1440)&lt;=0),"",COUNTIFS($A$2:$A1440,$A1440,$I$2:$I1440,"&gt;0"))</f>
        <v/>
      </c>
    </row>
    <row r="1441">
      <c r="A1441" s="20" t="n"/>
      <c r="B1441" s="21">
        <f>IF($A1441="","",CHOOSE(WEEKDAY($A1441,2),"Lunes","Martes","Miércoles","Jueves","Viernes","Sábado","Domingo"))</f>
        <v/>
      </c>
      <c r="C1441" s="17" t="n"/>
      <c r="D1441" s="21">
        <f>IF($C1441="","",IFERROR(INDEX(Insumos!$B$2:$B$151,MATCH($C1441,Insumos!$A$2:$A$151,0)),"Código no cargado"))</f>
        <v/>
      </c>
      <c r="E1441" s="21">
        <f>IF($C1441="","",IFERROR(INDEX(Insumos!$C$2:$C$151,MATCH($C1441,Insumos!$A$2:$A$151,0)),""))</f>
        <v/>
      </c>
      <c r="F1441" s="21">
        <f>IF($C1441="","",IFERROR(INDEX(Insumos!$D$2:$D$151,MATCH($C1441,Insumos!$A$2:$A$151,0)),""))</f>
        <v/>
      </c>
      <c r="G1441" s="18" t="n"/>
      <c r="H1441" s="19">
        <f>IF(OR($A1441="",$C1441=""),"",IFERROR(INDEX(Insumos!$M$2:$S$151,MATCH($C1441,Insumos!$A$2:$A$151,0),WEEKDAY($A1441,2)),""))</f>
        <v/>
      </c>
      <c r="I1441" s="19">
        <f>IF(OR($G1441="",$H1441=""),"",MAX(0,$H1441-$G1441))</f>
        <v/>
      </c>
      <c r="J1441" s="21">
        <f>IF($I1441="","",IF($I1441=0,"OK",IF($G1441&lt;=0,"Sin stock: pedir ya","Pedir o producir")))</f>
        <v/>
      </c>
      <c r="K1441" s="17" t="n"/>
      <c r="L1441" s="17" t="n"/>
      <c r="M1441" s="21">
        <f>IF(OR($A1441="",$A1441&lt;&gt;'Lista para pedir'!$C$3,N($I1441)&lt;=0),"",COUNTIFS($A$2:$A1441,$A1441,$I$2:$I1441,"&gt;0"))</f>
        <v/>
      </c>
    </row>
    <row r="1442">
      <c r="A1442" s="20" t="n"/>
      <c r="B1442" s="21">
        <f>IF($A1442="","",CHOOSE(WEEKDAY($A1442,2),"Lunes","Martes","Miércoles","Jueves","Viernes","Sábado","Domingo"))</f>
        <v/>
      </c>
      <c r="C1442" s="17" t="n"/>
      <c r="D1442" s="21">
        <f>IF($C1442="","",IFERROR(INDEX(Insumos!$B$2:$B$151,MATCH($C1442,Insumos!$A$2:$A$151,0)),"Código no cargado"))</f>
        <v/>
      </c>
      <c r="E1442" s="21">
        <f>IF($C1442="","",IFERROR(INDEX(Insumos!$C$2:$C$151,MATCH($C1442,Insumos!$A$2:$A$151,0)),""))</f>
        <v/>
      </c>
      <c r="F1442" s="21">
        <f>IF($C1442="","",IFERROR(INDEX(Insumos!$D$2:$D$151,MATCH($C1442,Insumos!$A$2:$A$151,0)),""))</f>
        <v/>
      </c>
      <c r="G1442" s="18" t="n"/>
      <c r="H1442" s="19">
        <f>IF(OR($A1442="",$C1442=""),"",IFERROR(INDEX(Insumos!$M$2:$S$151,MATCH($C1442,Insumos!$A$2:$A$151,0),WEEKDAY($A1442,2)),""))</f>
        <v/>
      </c>
      <c r="I1442" s="19">
        <f>IF(OR($G1442="",$H1442=""),"",MAX(0,$H1442-$G1442))</f>
        <v/>
      </c>
      <c r="J1442" s="21">
        <f>IF($I1442="","",IF($I1442=0,"OK",IF($G1442&lt;=0,"Sin stock: pedir ya","Pedir o producir")))</f>
        <v/>
      </c>
      <c r="K1442" s="17" t="n"/>
      <c r="L1442" s="17" t="n"/>
      <c r="M1442" s="21">
        <f>IF(OR($A1442="",$A1442&lt;&gt;'Lista para pedir'!$C$3,N($I1442)&lt;=0),"",COUNTIFS($A$2:$A1442,$A1442,$I$2:$I1442,"&gt;0"))</f>
        <v/>
      </c>
    </row>
    <row r="1443">
      <c r="A1443" s="20" t="n"/>
      <c r="B1443" s="21">
        <f>IF($A1443="","",CHOOSE(WEEKDAY($A1443,2),"Lunes","Martes","Miércoles","Jueves","Viernes","Sábado","Domingo"))</f>
        <v/>
      </c>
      <c r="C1443" s="17" t="n"/>
      <c r="D1443" s="21">
        <f>IF($C1443="","",IFERROR(INDEX(Insumos!$B$2:$B$151,MATCH($C1443,Insumos!$A$2:$A$151,0)),"Código no cargado"))</f>
        <v/>
      </c>
      <c r="E1443" s="21">
        <f>IF($C1443="","",IFERROR(INDEX(Insumos!$C$2:$C$151,MATCH($C1443,Insumos!$A$2:$A$151,0)),""))</f>
        <v/>
      </c>
      <c r="F1443" s="21">
        <f>IF($C1443="","",IFERROR(INDEX(Insumos!$D$2:$D$151,MATCH($C1443,Insumos!$A$2:$A$151,0)),""))</f>
        <v/>
      </c>
      <c r="G1443" s="18" t="n"/>
      <c r="H1443" s="19">
        <f>IF(OR($A1443="",$C1443=""),"",IFERROR(INDEX(Insumos!$M$2:$S$151,MATCH($C1443,Insumos!$A$2:$A$151,0),WEEKDAY($A1443,2)),""))</f>
        <v/>
      </c>
      <c r="I1443" s="19">
        <f>IF(OR($G1443="",$H1443=""),"",MAX(0,$H1443-$G1443))</f>
        <v/>
      </c>
      <c r="J1443" s="21">
        <f>IF($I1443="","",IF($I1443=0,"OK",IF($G1443&lt;=0,"Sin stock: pedir ya","Pedir o producir")))</f>
        <v/>
      </c>
      <c r="K1443" s="17" t="n"/>
      <c r="L1443" s="17" t="n"/>
      <c r="M1443" s="21">
        <f>IF(OR($A1443="",$A1443&lt;&gt;'Lista para pedir'!$C$3,N($I1443)&lt;=0),"",COUNTIFS($A$2:$A1443,$A1443,$I$2:$I1443,"&gt;0"))</f>
        <v/>
      </c>
    </row>
    <row r="1444">
      <c r="A1444" s="20" t="n"/>
      <c r="B1444" s="21">
        <f>IF($A1444="","",CHOOSE(WEEKDAY($A1444,2),"Lunes","Martes","Miércoles","Jueves","Viernes","Sábado","Domingo"))</f>
        <v/>
      </c>
      <c r="C1444" s="17" t="n"/>
      <c r="D1444" s="21">
        <f>IF($C1444="","",IFERROR(INDEX(Insumos!$B$2:$B$151,MATCH($C1444,Insumos!$A$2:$A$151,0)),"Código no cargado"))</f>
        <v/>
      </c>
      <c r="E1444" s="21">
        <f>IF($C1444="","",IFERROR(INDEX(Insumos!$C$2:$C$151,MATCH($C1444,Insumos!$A$2:$A$151,0)),""))</f>
        <v/>
      </c>
      <c r="F1444" s="21">
        <f>IF($C1444="","",IFERROR(INDEX(Insumos!$D$2:$D$151,MATCH($C1444,Insumos!$A$2:$A$151,0)),""))</f>
        <v/>
      </c>
      <c r="G1444" s="18" t="n"/>
      <c r="H1444" s="19">
        <f>IF(OR($A1444="",$C1444=""),"",IFERROR(INDEX(Insumos!$M$2:$S$151,MATCH($C1444,Insumos!$A$2:$A$151,0),WEEKDAY($A1444,2)),""))</f>
        <v/>
      </c>
      <c r="I1444" s="19">
        <f>IF(OR($G1444="",$H1444=""),"",MAX(0,$H1444-$G1444))</f>
        <v/>
      </c>
      <c r="J1444" s="21">
        <f>IF($I1444="","",IF($I1444=0,"OK",IF($G1444&lt;=0,"Sin stock: pedir ya","Pedir o producir")))</f>
        <v/>
      </c>
      <c r="K1444" s="17" t="n"/>
      <c r="L1444" s="17" t="n"/>
      <c r="M1444" s="21">
        <f>IF(OR($A1444="",$A1444&lt;&gt;'Lista para pedir'!$C$3,N($I1444)&lt;=0),"",COUNTIFS($A$2:$A1444,$A1444,$I$2:$I1444,"&gt;0"))</f>
        <v/>
      </c>
    </row>
    <row r="1445">
      <c r="A1445" s="20" t="n"/>
      <c r="B1445" s="21">
        <f>IF($A1445="","",CHOOSE(WEEKDAY($A1445,2),"Lunes","Martes","Miércoles","Jueves","Viernes","Sábado","Domingo"))</f>
        <v/>
      </c>
      <c r="C1445" s="17" t="n"/>
      <c r="D1445" s="21">
        <f>IF($C1445="","",IFERROR(INDEX(Insumos!$B$2:$B$151,MATCH($C1445,Insumos!$A$2:$A$151,0)),"Código no cargado"))</f>
        <v/>
      </c>
      <c r="E1445" s="21">
        <f>IF($C1445="","",IFERROR(INDEX(Insumos!$C$2:$C$151,MATCH($C1445,Insumos!$A$2:$A$151,0)),""))</f>
        <v/>
      </c>
      <c r="F1445" s="21">
        <f>IF($C1445="","",IFERROR(INDEX(Insumos!$D$2:$D$151,MATCH($C1445,Insumos!$A$2:$A$151,0)),""))</f>
        <v/>
      </c>
      <c r="G1445" s="18" t="n"/>
      <c r="H1445" s="19">
        <f>IF(OR($A1445="",$C1445=""),"",IFERROR(INDEX(Insumos!$M$2:$S$151,MATCH($C1445,Insumos!$A$2:$A$151,0),WEEKDAY($A1445,2)),""))</f>
        <v/>
      </c>
      <c r="I1445" s="19">
        <f>IF(OR($G1445="",$H1445=""),"",MAX(0,$H1445-$G1445))</f>
        <v/>
      </c>
      <c r="J1445" s="21">
        <f>IF($I1445="","",IF($I1445=0,"OK",IF($G1445&lt;=0,"Sin stock: pedir ya","Pedir o producir")))</f>
        <v/>
      </c>
      <c r="K1445" s="17" t="n"/>
      <c r="L1445" s="17" t="n"/>
      <c r="M1445" s="21">
        <f>IF(OR($A1445="",$A1445&lt;&gt;'Lista para pedir'!$C$3,N($I1445)&lt;=0),"",COUNTIFS($A$2:$A1445,$A1445,$I$2:$I1445,"&gt;0"))</f>
        <v/>
      </c>
    </row>
    <row r="1446">
      <c r="A1446" s="20" t="n"/>
      <c r="B1446" s="21">
        <f>IF($A1446="","",CHOOSE(WEEKDAY($A1446,2),"Lunes","Martes","Miércoles","Jueves","Viernes","Sábado","Domingo"))</f>
        <v/>
      </c>
      <c r="C1446" s="17" t="n"/>
      <c r="D1446" s="21">
        <f>IF($C1446="","",IFERROR(INDEX(Insumos!$B$2:$B$151,MATCH($C1446,Insumos!$A$2:$A$151,0)),"Código no cargado"))</f>
        <v/>
      </c>
      <c r="E1446" s="21">
        <f>IF($C1446="","",IFERROR(INDEX(Insumos!$C$2:$C$151,MATCH($C1446,Insumos!$A$2:$A$151,0)),""))</f>
        <v/>
      </c>
      <c r="F1446" s="21">
        <f>IF($C1446="","",IFERROR(INDEX(Insumos!$D$2:$D$151,MATCH($C1446,Insumos!$A$2:$A$151,0)),""))</f>
        <v/>
      </c>
      <c r="G1446" s="18" t="n"/>
      <c r="H1446" s="19">
        <f>IF(OR($A1446="",$C1446=""),"",IFERROR(INDEX(Insumos!$M$2:$S$151,MATCH($C1446,Insumos!$A$2:$A$151,0),WEEKDAY($A1446,2)),""))</f>
        <v/>
      </c>
      <c r="I1446" s="19">
        <f>IF(OR($G1446="",$H1446=""),"",MAX(0,$H1446-$G1446))</f>
        <v/>
      </c>
      <c r="J1446" s="21">
        <f>IF($I1446="","",IF($I1446=0,"OK",IF($G1446&lt;=0,"Sin stock: pedir ya","Pedir o producir")))</f>
        <v/>
      </c>
      <c r="K1446" s="17" t="n"/>
      <c r="L1446" s="17" t="n"/>
      <c r="M1446" s="21">
        <f>IF(OR($A1446="",$A1446&lt;&gt;'Lista para pedir'!$C$3,N($I1446)&lt;=0),"",COUNTIFS($A$2:$A1446,$A1446,$I$2:$I1446,"&gt;0"))</f>
        <v/>
      </c>
    </row>
    <row r="1447">
      <c r="A1447" s="20" t="n"/>
      <c r="B1447" s="21">
        <f>IF($A1447="","",CHOOSE(WEEKDAY($A1447,2),"Lunes","Martes","Miércoles","Jueves","Viernes","Sábado","Domingo"))</f>
        <v/>
      </c>
      <c r="C1447" s="17" t="n"/>
      <c r="D1447" s="21">
        <f>IF($C1447="","",IFERROR(INDEX(Insumos!$B$2:$B$151,MATCH($C1447,Insumos!$A$2:$A$151,0)),"Código no cargado"))</f>
        <v/>
      </c>
      <c r="E1447" s="21">
        <f>IF($C1447="","",IFERROR(INDEX(Insumos!$C$2:$C$151,MATCH($C1447,Insumos!$A$2:$A$151,0)),""))</f>
        <v/>
      </c>
      <c r="F1447" s="21">
        <f>IF($C1447="","",IFERROR(INDEX(Insumos!$D$2:$D$151,MATCH($C1447,Insumos!$A$2:$A$151,0)),""))</f>
        <v/>
      </c>
      <c r="G1447" s="18" t="n"/>
      <c r="H1447" s="19">
        <f>IF(OR($A1447="",$C1447=""),"",IFERROR(INDEX(Insumos!$M$2:$S$151,MATCH($C1447,Insumos!$A$2:$A$151,0),WEEKDAY($A1447,2)),""))</f>
        <v/>
      </c>
      <c r="I1447" s="19">
        <f>IF(OR($G1447="",$H1447=""),"",MAX(0,$H1447-$G1447))</f>
        <v/>
      </c>
      <c r="J1447" s="21">
        <f>IF($I1447="","",IF($I1447=0,"OK",IF($G1447&lt;=0,"Sin stock: pedir ya","Pedir o producir")))</f>
        <v/>
      </c>
      <c r="K1447" s="17" t="n"/>
      <c r="L1447" s="17" t="n"/>
      <c r="M1447" s="21">
        <f>IF(OR($A1447="",$A1447&lt;&gt;'Lista para pedir'!$C$3,N($I1447)&lt;=0),"",COUNTIFS($A$2:$A1447,$A1447,$I$2:$I1447,"&gt;0"))</f>
        <v/>
      </c>
    </row>
    <row r="1448">
      <c r="A1448" s="20" t="n"/>
      <c r="B1448" s="21">
        <f>IF($A1448="","",CHOOSE(WEEKDAY($A1448,2),"Lunes","Martes","Miércoles","Jueves","Viernes","Sábado","Domingo"))</f>
        <v/>
      </c>
      <c r="C1448" s="17" t="n"/>
      <c r="D1448" s="21">
        <f>IF($C1448="","",IFERROR(INDEX(Insumos!$B$2:$B$151,MATCH($C1448,Insumos!$A$2:$A$151,0)),"Código no cargado"))</f>
        <v/>
      </c>
      <c r="E1448" s="21">
        <f>IF($C1448="","",IFERROR(INDEX(Insumos!$C$2:$C$151,MATCH($C1448,Insumos!$A$2:$A$151,0)),""))</f>
        <v/>
      </c>
      <c r="F1448" s="21">
        <f>IF($C1448="","",IFERROR(INDEX(Insumos!$D$2:$D$151,MATCH($C1448,Insumos!$A$2:$A$151,0)),""))</f>
        <v/>
      </c>
      <c r="G1448" s="18" t="n"/>
      <c r="H1448" s="19">
        <f>IF(OR($A1448="",$C1448=""),"",IFERROR(INDEX(Insumos!$M$2:$S$151,MATCH($C1448,Insumos!$A$2:$A$151,0),WEEKDAY($A1448,2)),""))</f>
        <v/>
      </c>
      <c r="I1448" s="19">
        <f>IF(OR($G1448="",$H1448=""),"",MAX(0,$H1448-$G1448))</f>
        <v/>
      </c>
      <c r="J1448" s="21">
        <f>IF($I1448="","",IF($I1448=0,"OK",IF($G1448&lt;=0,"Sin stock: pedir ya","Pedir o producir")))</f>
        <v/>
      </c>
      <c r="K1448" s="17" t="n"/>
      <c r="L1448" s="17" t="n"/>
      <c r="M1448" s="21">
        <f>IF(OR($A1448="",$A1448&lt;&gt;'Lista para pedir'!$C$3,N($I1448)&lt;=0),"",COUNTIFS($A$2:$A1448,$A1448,$I$2:$I1448,"&gt;0"))</f>
        <v/>
      </c>
    </row>
    <row r="1449">
      <c r="A1449" s="20" t="n"/>
      <c r="B1449" s="21">
        <f>IF($A1449="","",CHOOSE(WEEKDAY($A1449,2),"Lunes","Martes","Miércoles","Jueves","Viernes","Sábado","Domingo"))</f>
        <v/>
      </c>
      <c r="C1449" s="17" t="n"/>
      <c r="D1449" s="21">
        <f>IF($C1449="","",IFERROR(INDEX(Insumos!$B$2:$B$151,MATCH($C1449,Insumos!$A$2:$A$151,0)),"Código no cargado"))</f>
        <v/>
      </c>
      <c r="E1449" s="21">
        <f>IF($C1449="","",IFERROR(INDEX(Insumos!$C$2:$C$151,MATCH($C1449,Insumos!$A$2:$A$151,0)),""))</f>
        <v/>
      </c>
      <c r="F1449" s="21">
        <f>IF($C1449="","",IFERROR(INDEX(Insumos!$D$2:$D$151,MATCH($C1449,Insumos!$A$2:$A$151,0)),""))</f>
        <v/>
      </c>
      <c r="G1449" s="18" t="n"/>
      <c r="H1449" s="19">
        <f>IF(OR($A1449="",$C1449=""),"",IFERROR(INDEX(Insumos!$M$2:$S$151,MATCH($C1449,Insumos!$A$2:$A$151,0),WEEKDAY($A1449,2)),""))</f>
        <v/>
      </c>
      <c r="I1449" s="19">
        <f>IF(OR($G1449="",$H1449=""),"",MAX(0,$H1449-$G1449))</f>
        <v/>
      </c>
      <c r="J1449" s="21">
        <f>IF($I1449="","",IF($I1449=0,"OK",IF($G1449&lt;=0,"Sin stock: pedir ya","Pedir o producir")))</f>
        <v/>
      </c>
      <c r="K1449" s="17" t="n"/>
      <c r="L1449" s="17" t="n"/>
      <c r="M1449" s="21">
        <f>IF(OR($A1449="",$A1449&lt;&gt;'Lista para pedir'!$C$3,N($I1449)&lt;=0),"",COUNTIFS($A$2:$A1449,$A1449,$I$2:$I1449,"&gt;0"))</f>
        <v/>
      </c>
    </row>
    <row r="1450">
      <c r="A1450" s="20" t="n"/>
      <c r="B1450" s="21">
        <f>IF($A1450="","",CHOOSE(WEEKDAY($A1450,2),"Lunes","Martes","Miércoles","Jueves","Viernes","Sábado","Domingo"))</f>
        <v/>
      </c>
      <c r="C1450" s="17" t="n"/>
      <c r="D1450" s="21">
        <f>IF($C1450="","",IFERROR(INDEX(Insumos!$B$2:$B$151,MATCH($C1450,Insumos!$A$2:$A$151,0)),"Código no cargado"))</f>
        <v/>
      </c>
      <c r="E1450" s="21">
        <f>IF($C1450="","",IFERROR(INDEX(Insumos!$C$2:$C$151,MATCH($C1450,Insumos!$A$2:$A$151,0)),""))</f>
        <v/>
      </c>
      <c r="F1450" s="21">
        <f>IF($C1450="","",IFERROR(INDEX(Insumos!$D$2:$D$151,MATCH($C1450,Insumos!$A$2:$A$151,0)),""))</f>
        <v/>
      </c>
      <c r="G1450" s="18" t="n"/>
      <c r="H1450" s="19">
        <f>IF(OR($A1450="",$C1450=""),"",IFERROR(INDEX(Insumos!$M$2:$S$151,MATCH($C1450,Insumos!$A$2:$A$151,0),WEEKDAY($A1450,2)),""))</f>
        <v/>
      </c>
      <c r="I1450" s="19">
        <f>IF(OR($G1450="",$H1450=""),"",MAX(0,$H1450-$G1450))</f>
        <v/>
      </c>
      <c r="J1450" s="21">
        <f>IF($I1450="","",IF($I1450=0,"OK",IF($G1450&lt;=0,"Sin stock: pedir ya","Pedir o producir")))</f>
        <v/>
      </c>
      <c r="K1450" s="17" t="n"/>
      <c r="L1450" s="17" t="n"/>
      <c r="M1450" s="21">
        <f>IF(OR($A1450="",$A1450&lt;&gt;'Lista para pedir'!$C$3,N($I1450)&lt;=0),"",COUNTIFS($A$2:$A1450,$A1450,$I$2:$I1450,"&gt;0"))</f>
        <v/>
      </c>
    </row>
    <row r="1451">
      <c r="A1451" s="20" t="n"/>
      <c r="B1451" s="21">
        <f>IF($A1451="","",CHOOSE(WEEKDAY($A1451,2),"Lunes","Martes","Miércoles","Jueves","Viernes","Sábado","Domingo"))</f>
        <v/>
      </c>
      <c r="C1451" s="17" t="n"/>
      <c r="D1451" s="21">
        <f>IF($C1451="","",IFERROR(INDEX(Insumos!$B$2:$B$151,MATCH($C1451,Insumos!$A$2:$A$151,0)),"Código no cargado"))</f>
        <v/>
      </c>
      <c r="E1451" s="21">
        <f>IF($C1451="","",IFERROR(INDEX(Insumos!$C$2:$C$151,MATCH($C1451,Insumos!$A$2:$A$151,0)),""))</f>
        <v/>
      </c>
      <c r="F1451" s="21">
        <f>IF($C1451="","",IFERROR(INDEX(Insumos!$D$2:$D$151,MATCH($C1451,Insumos!$A$2:$A$151,0)),""))</f>
        <v/>
      </c>
      <c r="G1451" s="18" t="n"/>
      <c r="H1451" s="19">
        <f>IF(OR($A1451="",$C1451=""),"",IFERROR(INDEX(Insumos!$M$2:$S$151,MATCH($C1451,Insumos!$A$2:$A$151,0),WEEKDAY($A1451,2)),""))</f>
        <v/>
      </c>
      <c r="I1451" s="19">
        <f>IF(OR($G1451="",$H1451=""),"",MAX(0,$H1451-$G1451))</f>
        <v/>
      </c>
      <c r="J1451" s="21">
        <f>IF($I1451="","",IF($I1451=0,"OK",IF($G1451&lt;=0,"Sin stock: pedir ya","Pedir o producir")))</f>
        <v/>
      </c>
      <c r="K1451" s="17" t="n"/>
      <c r="L1451" s="17" t="n"/>
      <c r="M1451" s="21">
        <f>IF(OR($A1451="",$A1451&lt;&gt;'Lista para pedir'!$C$3,N($I1451)&lt;=0),"",COUNTIFS($A$2:$A1451,$A1451,$I$2:$I1451,"&gt;0"))</f>
        <v/>
      </c>
    </row>
    <row r="1452">
      <c r="A1452" s="20" t="n"/>
      <c r="B1452" s="21">
        <f>IF($A1452="","",CHOOSE(WEEKDAY($A1452,2),"Lunes","Martes","Miércoles","Jueves","Viernes","Sábado","Domingo"))</f>
        <v/>
      </c>
      <c r="C1452" s="17" t="n"/>
      <c r="D1452" s="21">
        <f>IF($C1452="","",IFERROR(INDEX(Insumos!$B$2:$B$151,MATCH($C1452,Insumos!$A$2:$A$151,0)),"Código no cargado"))</f>
        <v/>
      </c>
      <c r="E1452" s="21">
        <f>IF($C1452="","",IFERROR(INDEX(Insumos!$C$2:$C$151,MATCH($C1452,Insumos!$A$2:$A$151,0)),""))</f>
        <v/>
      </c>
      <c r="F1452" s="21">
        <f>IF($C1452="","",IFERROR(INDEX(Insumos!$D$2:$D$151,MATCH($C1452,Insumos!$A$2:$A$151,0)),""))</f>
        <v/>
      </c>
      <c r="G1452" s="18" t="n"/>
      <c r="H1452" s="19">
        <f>IF(OR($A1452="",$C1452=""),"",IFERROR(INDEX(Insumos!$M$2:$S$151,MATCH($C1452,Insumos!$A$2:$A$151,0),WEEKDAY($A1452,2)),""))</f>
        <v/>
      </c>
      <c r="I1452" s="19">
        <f>IF(OR($G1452="",$H1452=""),"",MAX(0,$H1452-$G1452))</f>
        <v/>
      </c>
      <c r="J1452" s="21">
        <f>IF($I1452="","",IF($I1452=0,"OK",IF($G1452&lt;=0,"Sin stock: pedir ya","Pedir o producir")))</f>
        <v/>
      </c>
      <c r="K1452" s="17" t="n"/>
      <c r="L1452" s="17" t="n"/>
      <c r="M1452" s="21">
        <f>IF(OR($A1452="",$A1452&lt;&gt;'Lista para pedir'!$C$3,N($I1452)&lt;=0),"",COUNTIFS($A$2:$A1452,$A1452,$I$2:$I1452,"&gt;0"))</f>
        <v/>
      </c>
    </row>
    <row r="1453">
      <c r="A1453" s="20" t="n"/>
      <c r="B1453" s="21">
        <f>IF($A1453="","",CHOOSE(WEEKDAY($A1453,2),"Lunes","Martes","Miércoles","Jueves","Viernes","Sábado","Domingo"))</f>
        <v/>
      </c>
      <c r="C1453" s="17" t="n"/>
      <c r="D1453" s="21">
        <f>IF($C1453="","",IFERROR(INDEX(Insumos!$B$2:$B$151,MATCH($C1453,Insumos!$A$2:$A$151,0)),"Código no cargado"))</f>
        <v/>
      </c>
      <c r="E1453" s="21">
        <f>IF($C1453="","",IFERROR(INDEX(Insumos!$C$2:$C$151,MATCH($C1453,Insumos!$A$2:$A$151,0)),""))</f>
        <v/>
      </c>
      <c r="F1453" s="21">
        <f>IF($C1453="","",IFERROR(INDEX(Insumos!$D$2:$D$151,MATCH($C1453,Insumos!$A$2:$A$151,0)),""))</f>
        <v/>
      </c>
      <c r="G1453" s="18" t="n"/>
      <c r="H1453" s="19">
        <f>IF(OR($A1453="",$C1453=""),"",IFERROR(INDEX(Insumos!$M$2:$S$151,MATCH($C1453,Insumos!$A$2:$A$151,0),WEEKDAY($A1453,2)),""))</f>
        <v/>
      </c>
      <c r="I1453" s="19">
        <f>IF(OR($G1453="",$H1453=""),"",MAX(0,$H1453-$G1453))</f>
        <v/>
      </c>
      <c r="J1453" s="21">
        <f>IF($I1453="","",IF($I1453=0,"OK",IF($G1453&lt;=0,"Sin stock: pedir ya","Pedir o producir")))</f>
        <v/>
      </c>
      <c r="K1453" s="17" t="n"/>
      <c r="L1453" s="17" t="n"/>
      <c r="M1453" s="21">
        <f>IF(OR($A1453="",$A1453&lt;&gt;'Lista para pedir'!$C$3,N($I1453)&lt;=0),"",COUNTIFS($A$2:$A1453,$A1453,$I$2:$I1453,"&gt;0"))</f>
        <v/>
      </c>
    </row>
    <row r="1454">
      <c r="A1454" s="20" t="n"/>
      <c r="B1454" s="21">
        <f>IF($A1454="","",CHOOSE(WEEKDAY($A1454,2),"Lunes","Martes","Miércoles","Jueves","Viernes","Sábado","Domingo"))</f>
        <v/>
      </c>
      <c r="C1454" s="17" t="n"/>
      <c r="D1454" s="21">
        <f>IF($C1454="","",IFERROR(INDEX(Insumos!$B$2:$B$151,MATCH($C1454,Insumos!$A$2:$A$151,0)),"Código no cargado"))</f>
        <v/>
      </c>
      <c r="E1454" s="21">
        <f>IF($C1454="","",IFERROR(INDEX(Insumos!$C$2:$C$151,MATCH($C1454,Insumos!$A$2:$A$151,0)),""))</f>
        <v/>
      </c>
      <c r="F1454" s="21">
        <f>IF($C1454="","",IFERROR(INDEX(Insumos!$D$2:$D$151,MATCH($C1454,Insumos!$A$2:$A$151,0)),""))</f>
        <v/>
      </c>
      <c r="G1454" s="18" t="n"/>
      <c r="H1454" s="19">
        <f>IF(OR($A1454="",$C1454=""),"",IFERROR(INDEX(Insumos!$M$2:$S$151,MATCH($C1454,Insumos!$A$2:$A$151,0),WEEKDAY($A1454,2)),""))</f>
        <v/>
      </c>
      <c r="I1454" s="19">
        <f>IF(OR($G1454="",$H1454=""),"",MAX(0,$H1454-$G1454))</f>
        <v/>
      </c>
      <c r="J1454" s="21">
        <f>IF($I1454="","",IF($I1454=0,"OK",IF($G1454&lt;=0,"Sin stock: pedir ya","Pedir o producir")))</f>
        <v/>
      </c>
      <c r="K1454" s="17" t="n"/>
      <c r="L1454" s="17" t="n"/>
      <c r="M1454" s="21">
        <f>IF(OR($A1454="",$A1454&lt;&gt;'Lista para pedir'!$C$3,N($I1454)&lt;=0),"",COUNTIFS($A$2:$A1454,$A1454,$I$2:$I1454,"&gt;0"))</f>
        <v/>
      </c>
    </row>
    <row r="1455">
      <c r="A1455" s="20" t="n"/>
      <c r="B1455" s="21">
        <f>IF($A1455="","",CHOOSE(WEEKDAY($A1455,2),"Lunes","Martes","Miércoles","Jueves","Viernes","Sábado","Domingo"))</f>
        <v/>
      </c>
      <c r="C1455" s="17" t="n"/>
      <c r="D1455" s="21">
        <f>IF($C1455="","",IFERROR(INDEX(Insumos!$B$2:$B$151,MATCH($C1455,Insumos!$A$2:$A$151,0)),"Código no cargado"))</f>
        <v/>
      </c>
      <c r="E1455" s="21">
        <f>IF($C1455="","",IFERROR(INDEX(Insumos!$C$2:$C$151,MATCH($C1455,Insumos!$A$2:$A$151,0)),""))</f>
        <v/>
      </c>
      <c r="F1455" s="21">
        <f>IF($C1455="","",IFERROR(INDEX(Insumos!$D$2:$D$151,MATCH($C1455,Insumos!$A$2:$A$151,0)),""))</f>
        <v/>
      </c>
      <c r="G1455" s="18" t="n"/>
      <c r="H1455" s="19">
        <f>IF(OR($A1455="",$C1455=""),"",IFERROR(INDEX(Insumos!$M$2:$S$151,MATCH($C1455,Insumos!$A$2:$A$151,0),WEEKDAY($A1455,2)),""))</f>
        <v/>
      </c>
      <c r="I1455" s="19">
        <f>IF(OR($G1455="",$H1455=""),"",MAX(0,$H1455-$G1455))</f>
        <v/>
      </c>
      <c r="J1455" s="21">
        <f>IF($I1455="","",IF($I1455=0,"OK",IF($G1455&lt;=0,"Sin stock: pedir ya","Pedir o producir")))</f>
        <v/>
      </c>
      <c r="K1455" s="17" t="n"/>
      <c r="L1455" s="17" t="n"/>
      <c r="M1455" s="21">
        <f>IF(OR($A1455="",$A1455&lt;&gt;'Lista para pedir'!$C$3,N($I1455)&lt;=0),"",COUNTIFS($A$2:$A1455,$A1455,$I$2:$I1455,"&gt;0"))</f>
        <v/>
      </c>
    </row>
    <row r="1456">
      <c r="A1456" s="20" t="n"/>
      <c r="B1456" s="21">
        <f>IF($A1456="","",CHOOSE(WEEKDAY($A1456,2),"Lunes","Martes","Miércoles","Jueves","Viernes","Sábado","Domingo"))</f>
        <v/>
      </c>
      <c r="C1456" s="17" t="n"/>
      <c r="D1456" s="21">
        <f>IF($C1456="","",IFERROR(INDEX(Insumos!$B$2:$B$151,MATCH($C1456,Insumos!$A$2:$A$151,0)),"Código no cargado"))</f>
        <v/>
      </c>
      <c r="E1456" s="21">
        <f>IF($C1456="","",IFERROR(INDEX(Insumos!$C$2:$C$151,MATCH($C1456,Insumos!$A$2:$A$151,0)),""))</f>
        <v/>
      </c>
      <c r="F1456" s="21">
        <f>IF($C1456="","",IFERROR(INDEX(Insumos!$D$2:$D$151,MATCH($C1456,Insumos!$A$2:$A$151,0)),""))</f>
        <v/>
      </c>
      <c r="G1456" s="18" t="n"/>
      <c r="H1456" s="19">
        <f>IF(OR($A1456="",$C1456=""),"",IFERROR(INDEX(Insumos!$M$2:$S$151,MATCH($C1456,Insumos!$A$2:$A$151,0),WEEKDAY($A1456,2)),""))</f>
        <v/>
      </c>
      <c r="I1456" s="19">
        <f>IF(OR($G1456="",$H1456=""),"",MAX(0,$H1456-$G1456))</f>
        <v/>
      </c>
      <c r="J1456" s="21">
        <f>IF($I1456="","",IF($I1456=0,"OK",IF($G1456&lt;=0,"Sin stock: pedir ya","Pedir o producir")))</f>
        <v/>
      </c>
      <c r="K1456" s="17" t="n"/>
      <c r="L1456" s="17" t="n"/>
      <c r="M1456" s="21">
        <f>IF(OR($A1456="",$A1456&lt;&gt;'Lista para pedir'!$C$3,N($I1456)&lt;=0),"",COUNTIFS($A$2:$A1456,$A1456,$I$2:$I1456,"&gt;0"))</f>
        <v/>
      </c>
    </row>
    <row r="1457">
      <c r="A1457" s="20" t="n"/>
      <c r="B1457" s="21">
        <f>IF($A1457="","",CHOOSE(WEEKDAY($A1457,2),"Lunes","Martes","Miércoles","Jueves","Viernes","Sábado","Domingo"))</f>
        <v/>
      </c>
      <c r="C1457" s="17" t="n"/>
      <c r="D1457" s="21">
        <f>IF($C1457="","",IFERROR(INDEX(Insumos!$B$2:$B$151,MATCH($C1457,Insumos!$A$2:$A$151,0)),"Código no cargado"))</f>
        <v/>
      </c>
      <c r="E1457" s="21">
        <f>IF($C1457="","",IFERROR(INDEX(Insumos!$C$2:$C$151,MATCH($C1457,Insumos!$A$2:$A$151,0)),""))</f>
        <v/>
      </c>
      <c r="F1457" s="21">
        <f>IF($C1457="","",IFERROR(INDEX(Insumos!$D$2:$D$151,MATCH($C1457,Insumos!$A$2:$A$151,0)),""))</f>
        <v/>
      </c>
      <c r="G1457" s="18" t="n"/>
      <c r="H1457" s="19">
        <f>IF(OR($A1457="",$C1457=""),"",IFERROR(INDEX(Insumos!$M$2:$S$151,MATCH($C1457,Insumos!$A$2:$A$151,0),WEEKDAY($A1457,2)),""))</f>
        <v/>
      </c>
      <c r="I1457" s="19">
        <f>IF(OR($G1457="",$H1457=""),"",MAX(0,$H1457-$G1457))</f>
        <v/>
      </c>
      <c r="J1457" s="21">
        <f>IF($I1457="","",IF($I1457=0,"OK",IF($G1457&lt;=0,"Sin stock: pedir ya","Pedir o producir")))</f>
        <v/>
      </c>
      <c r="K1457" s="17" t="n"/>
      <c r="L1457" s="17" t="n"/>
      <c r="M1457" s="21">
        <f>IF(OR($A1457="",$A1457&lt;&gt;'Lista para pedir'!$C$3,N($I1457)&lt;=0),"",COUNTIFS($A$2:$A1457,$A1457,$I$2:$I1457,"&gt;0"))</f>
        <v/>
      </c>
    </row>
    <row r="1458">
      <c r="A1458" s="20" t="n"/>
      <c r="B1458" s="21">
        <f>IF($A1458="","",CHOOSE(WEEKDAY($A1458,2),"Lunes","Martes","Miércoles","Jueves","Viernes","Sábado","Domingo"))</f>
        <v/>
      </c>
      <c r="C1458" s="17" t="n"/>
      <c r="D1458" s="21">
        <f>IF($C1458="","",IFERROR(INDEX(Insumos!$B$2:$B$151,MATCH($C1458,Insumos!$A$2:$A$151,0)),"Código no cargado"))</f>
        <v/>
      </c>
      <c r="E1458" s="21">
        <f>IF($C1458="","",IFERROR(INDEX(Insumos!$C$2:$C$151,MATCH($C1458,Insumos!$A$2:$A$151,0)),""))</f>
        <v/>
      </c>
      <c r="F1458" s="21">
        <f>IF($C1458="","",IFERROR(INDEX(Insumos!$D$2:$D$151,MATCH($C1458,Insumos!$A$2:$A$151,0)),""))</f>
        <v/>
      </c>
      <c r="G1458" s="18" t="n"/>
      <c r="H1458" s="19">
        <f>IF(OR($A1458="",$C1458=""),"",IFERROR(INDEX(Insumos!$M$2:$S$151,MATCH($C1458,Insumos!$A$2:$A$151,0),WEEKDAY($A1458,2)),""))</f>
        <v/>
      </c>
      <c r="I1458" s="19">
        <f>IF(OR($G1458="",$H1458=""),"",MAX(0,$H1458-$G1458))</f>
        <v/>
      </c>
      <c r="J1458" s="21">
        <f>IF($I1458="","",IF($I1458=0,"OK",IF($G1458&lt;=0,"Sin stock: pedir ya","Pedir o producir")))</f>
        <v/>
      </c>
      <c r="K1458" s="17" t="n"/>
      <c r="L1458" s="17" t="n"/>
      <c r="M1458" s="21">
        <f>IF(OR($A1458="",$A1458&lt;&gt;'Lista para pedir'!$C$3,N($I1458)&lt;=0),"",COUNTIFS($A$2:$A1458,$A1458,$I$2:$I1458,"&gt;0"))</f>
        <v/>
      </c>
    </row>
    <row r="1459">
      <c r="A1459" s="20" t="n"/>
      <c r="B1459" s="21">
        <f>IF($A1459="","",CHOOSE(WEEKDAY($A1459,2),"Lunes","Martes","Miércoles","Jueves","Viernes","Sábado","Domingo"))</f>
        <v/>
      </c>
      <c r="C1459" s="17" t="n"/>
      <c r="D1459" s="21">
        <f>IF($C1459="","",IFERROR(INDEX(Insumos!$B$2:$B$151,MATCH($C1459,Insumos!$A$2:$A$151,0)),"Código no cargado"))</f>
        <v/>
      </c>
      <c r="E1459" s="21">
        <f>IF($C1459="","",IFERROR(INDEX(Insumos!$C$2:$C$151,MATCH($C1459,Insumos!$A$2:$A$151,0)),""))</f>
        <v/>
      </c>
      <c r="F1459" s="21">
        <f>IF($C1459="","",IFERROR(INDEX(Insumos!$D$2:$D$151,MATCH($C1459,Insumos!$A$2:$A$151,0)),""))</f>
        <v/>
      </c>
      <c r="G1459" s="18" t="n"/>
      <c r="H1459" s="19">
        <f>IF(OR($A1459="",$C1459=""),"",IFERROR(INDEX(Insumos!$M$2:$S$151,MATCH($C1459,Insumos!$A$2:$A$151,0),WEEKDAY($A1459,2)),""))</f>
        <v/>
      </c>
      <c r="I1459" s="19">
        <f>IF(OR($G1459="",$H1459=""),"",MAX(0,$H1459-$G1459))</f>
        <v/>
      </c>
      <c r="J1459" s="21">
        <f>IF($I1459="","",IF($I1459=0,"OK",IF($G1459&lt;=0,"Sin stock: pedir ya","Pedir o producir")))</f>
        <v/>
      </c>
      <c r="K1459" s="17" t="n"/>
      <c r="L1459" s="17" t="n"/>
      <c r="M1459" s="21">
        <f>IF(OR($A1459="",$A1459&lt;&gt;'Lista para pedir'!$C$3,N($I1459)&lt;=0),"",COUNTIFS($A$2:$A1459,$A1459,$I$2:$I1459,"&gt;0"))</f>
        <v/>
      </c>
    </row>
    <row r="1460">
      <c r="A1460" s="20" t="n"/>
      <c r="B1460" s="21">
        <f>IF($A1460="","",CHOOSE(WEEKDAY($A1460,2),"Lunes","Martes","Miércoles","Jueves","Viernes","Sábado","Domingo"))</f>
        <v/>
      </c>
      <c r="C1460" s="17" t="n"/>
      <c r="D1460" s="21">
        <f>IF($C1460="","",IFERROR(INDEX(Insumos!$B$2:$B$151,MATCH($C1460,Insumos!$A$2:$A$151,0)),"Código no cargado"))</f>
        <v/>
      </c>
      <c r="E1460" s="21">
        <f>IF($C1460="","",IFERROR(INDEX(Insumos!$C$2:$C$151,MATCH($C1460,Insumos!$A$2:$A$151,0)),""))</f>
        <v/>
      </c>
      <c r="F1460" s="21">
        <f>IF($C1460="","",IFERROR(INDEX(Insumos!$D$2:$D$151,MATCH($C1460,Insumos!$A$2:$A$151,0)),""))</f>
        <v/>
      </c>
      <c r="G1460" s="18" t="n"/>
      <c r="H1460" s="19">
        <f>IF(OR($A1460="",$C1460=""),"",IFERROR(INDEX(Insumos!$M$2:$S$151,MATCH($C1460,Insumos!$A$2:$A$151,0),WEEKDAY($A1460,2)),""))</f>
        <v/>
      </c>
      <c r="I1460" s="19">
        <f>IF(OR($G1460="",$H1460=""),"",MAX(0,$H1460-$G1460))</f>
        <v/>
      </c>
      <c r="J1460" s="21">
        <f>IF($I1460="","",IF($I1460=0,"OK",IF($G1460&lt;=0,"Sin stock: pedir ya","Pedir o producir")))</f>
        <v/>
      </c>
      <c r="K1460" s="17" t="n"/>
      <c r="L1460" s="17" t="n"/>
      <c r="M1460" s="21">
        <f>IF(OR($A1460="",$A1460&lt;&gt;'Lista para pedir'!$C$3,N($I1460)&lt;=0),"",COUNTIFS($A$2:$A1460,$A1460,$I$2:$I1460,"&gt;0"))</f>
        <v/>
      </c>
    </row>
    <row r="1461">
      <c r="A1461" s="20" t="n"/>
      <c r="B1461" s="21">
        <f>IF($A1461="","",CHOOSE(WEEKDAY($A1461,2),"Lunes","Martes","Miércoles","Jueves","Viernes","Sábado","Domingo"))</f>
        <v/>
      </c>
      <c r="C1461" s="17" t="n"/>
      <c r="D1461" s="21">
        <f>IF($C1461="","",IFERROR(INDEX(Insumos!$B$2:$B$151,MATCH($C1461,Insumos!$A$2:$A$151,0)),"Código no cargado"))</f>
        <v/>
      </c>
      <c r="E1461" s="21">
        <f>IF($C1461="","",IFERROR(INDEX(Insumos!$C$2:$C$151,MATCH($C1461,Insumos!$A$2:$A$151,0)),""))</f>
        <v/>
      </c>
      <c r="F1461" s="21">
        <f>IF($C1461="","",IFERROR(INDEX(Insumos!$D$2:$D$151,MATCH($C1461,Insumos!$A$2:$A$151,0)),""))</f>
        <v/>
      </c>
      <c r="G1461" s="18" t="n"/>
      <c r="H1461" s="19">
        <f>IF(OR($A1461="",$C1461=""),"",IFERROR(INDEX(Insumos!$M$2:$S$151,MATCH($C1461,Insumos!$A$2:$A$151,0),WEEKDAY($A1461,2)),""))</f>
        <v/>
      </c>
      <c r="I1461" s="19">
        <f>IF(OR($G1461="",$H1461=""),"",MAX(0,$H1461-$G1461))</f>
        <v/>
      </c>
      <c r="J1461" s="21">
        <f>IF($I1461="","",IF($I1461=0,"OK",IF($G1461&lt;=0,"Sin stock: pedir ya","Pedir o producir")))</f>
        <v/>
      </c>
      <c r="K1461" s="17" t="n"/>
      <c r="L1461" s="17" t="n"/>
      <c r="M1461" s="21">
        <f>IF(OR($A1461="",$A1461&lt;&gt;'Lista para pedir'!$C$3,N($I1461)&lt;=0),"",COUNTIFS($A$2:$A1461,$A1461,$I$2:$I1461,"&gt;0"))</f>
        <v/>
      </c>
    </row>
    <row r="1462">
      <c r="A1462" s="20" t="n"/>
      <c r="B1462" s="21">
        <f>IF($A1462="","",CHOOSE(WEEKDAY($A1462,2),"Lunes","Martes","Miércoles","Jueves","Viernes","Sábado","Domingo"))</f>
        <v/>
      </c>
      <c r="C1462" s="17" t="n"/>
      <c r="D1462" s="21">
        <f>IF($C1462="","",IFERROR(INDEX(Insumos!$B$2:$B$151,MATCH($C1462,Insumos!$A$2:$A$151,0)),"Código no cargado"))</f>
        <v/>
      </c>
      <c r="E1462" s="21">
        <f>IF($C1462="","",IFERROR(INDEX(Insumos!$C$2:$C$151,MATCH($C1462,Insumos!$A$2:$A$151,0)),""))</f>
        <v/>
      </c>
      <c r="F1462" s="21">
        <f>IF($C1462="","",IFERROR(INDEX(Insumos!$D$2:$D$151,MATCH($C1462,Insumos!$A$2:$A$151,0)),""))</f>
        <v/>
      </c>
      <c r="G1462" s="18" t="n"/>
      <c r="H1462" s="19">
        <f>IF(OR($A1462="",$C1462=""),"",IFERROR(INDEX(Insumos!$M$2:$S$151,MATCH($C1462,Insumos!$A$2:$A$151,0),WEEKDAY($A1462,2)),""))</f>
        <v/>
      </c>
      <c r="I1462" s="19">
        <f>IF(OR($G1462="",$H1462=""),"",MAX(0,$H1462-$G1462))</f>
        <v/>
      </c>
      <c r="J1462" s="21">
        <f>IF($I1462="","",IF($I1462=0,"OK",IF($G1462&lt;=0,"Sin stock: pedir ya","Pedir o producir")))</f>
        <v/>
      </c>
      <c r="K1462" s="17" t="n"/>
      <c r="L1462" s="17" t="n"/>
      <c r="M1462" s="21">
        <f>IF(OR($A1462="",$A1462&lt;&gt;'Lista para pedir'!$C$3,N($I1462)&lt;=0),"",COUNTIFS($A$2:$A1462,$A1462,$I$2:$I1462,"&gt;0"))</f>
        <v/>
      </c>
    </row>
    <row r="1463">
      <c r="A1463" s="20" t="n"/>
      <c r="B1463" s="21">
        <f>IF($A1463="","",CHOOSE(WEEKDAY($A1463,2),"Lunes","Martes","Miércoles","Jueves","Viernes","Sábado","Domingo"))</f>
        <v/>
      </c>
      <c r="C1463" s="17" t="n"/>
      <c r="D1463" s="21">
        <f>IF($C1463="","",IFERROR(INDEX(Insumos!$B$2:$B$151,MATCH($C1463,Insumos!$A$2:$A$151,0)),"Código no cargado"))</f>
        <v/>
      </c>
      <c r="E1463" s="21">
        <f>IF($C1463="","",IFERROR(INDEX(Insumos!$C$2:$C$151,MATCH($C1463,Insumos!$A$2:$A$151,0)),""))</f>
        <v/>
      </c>
      <c r="F1463" s="21">
        <f>IF($C1463="","",IFERROR(INDEX(Insumos!$D$2:$D$151,MATCH($C1463,Insumos!$A$2:$A$151,0)),""))</f>
        <v/>
      </c>
      <c r="G1463" s="18" t="n"/>
      <c r="H1463" s="19">
        <f>IF(OR($A1463="",$C1463=""),"",IFERROR(INDEX(Insumos!$M$2:$S$151,MATCH($C1463,Insumos!$A$2:$A$151,0),WEEKDAY($A1463,2)),""))</f>
        <v/>
      </c>
      <c r="I1463" s="19">
        <f>IF(OR($G1463="",$H1463=""),"",MAX(0,$H1463-$G1463))</f>
        <v/>
      </c>
      <c r="J1463" s="21">
        <f>IF($I1463="","",IF($I1463=0,"OK",IF($G1463&lt;=0,"Sin stock: pedir ya","Pedir o producir")))</f>
        <v/>
      </c>
      <c r="K1463" s="17" t="n"/>
      <c r="L1463" s="17" t="n"/>
      <c r="M1463" s="21">
        <f>IF(OR($A1463="",$A1463&lt;&gt;'Lista para pedir'!$C$3,N($I1463)&lt;=0),"",COUNTIFS($A$2:$A1463,$A1463,$I$2:$I1463,"&gt;0"))</f>
        <v/>
      </c>
    </row>
    <row r="1464">
      <c r="A1464" s="20" t="n"/>
      <c r="B1464" s="21">
        <f>IF($A1464="","",CHOOSE(WEEKDAY($A1464,2),"Lunes","Martes","Miércoles","Jueves","Viernes","Sábado","Domingo"))</f>
        <v/>
      </c>
      <c r="C1464" s="17" t="n"/>
      <c r="D1464" s="21">
        <f>IF($C1464="","",IFERROR(INDEX(Insumos!$B$2:$B$151,MATCH($C1464,Insumos!$A$2:$A$151,0)),"Código no cargado"))</f>
        <v/>
      </c>
      <c r="E1464" s="21">
        <f>IF($C1464="","",IFERROR(INDEX(Insumos!$C$2:$C$151,MATCH($C1464,Insumos!$A$2:$A$151,0)),""))</f>
        <v/>
      </c>
      <c r="F1464" s="21">
        <f>IF($C1464="","",IFERROR(INDEX(Insumos!$D$2:$D$151,MATCH($C1464,Insumos!$A$2:$A$151,0)),""))</f>
        <v/>
      </c>
      <c r="G1464" s="18" t="n"/>
      <c r="H1464" s="19">
        <f>IF(OR($A1464="",$C1464=""),"",IFERROR(INDEX(Insumos!$M$2:$S$151,MATCH($C1464,Insumos!$A$2:$A$151,0),WEEKDAY($A1464,2)),""))</f>
        <v/>
      </c>
      <c r="I1464" s="19">
        <f>IF(OR($G1464="",$H1464=""),"",MAX(0,$H1464-$G1464))</f>
        <v/>
      </c>
      <c r="J1464" s="21">
        <f>IF($I1464="","",IF($I1464=0,"OK",IF($G1464&lt;=0,"Sin stock: pedir ya","Pedir o producir")))</f>
        <v/>
      </c>
      <c r="K1464" s="17" t="n"/>
      <c r="L1464" s="17" t="n"/>
      <c r="M1464" s="21">
        <f>IF(OR($A1464="",$A1464&lt;&gt;'Lista para pedir'!$C$3,N($I1464)&lt;=0),"",COUNTIFS($A$2:$A1464,$A1464,$I$2:$I1464,"&gt;0"))</f>
        <v/>
      </c>
    </row>
    <row r="1465">
      <c r="A1465" s="20" t="n"/>
      <c r="B1465" s="21">
        <f>IF($A1465="","",CHOOSE(WEEKDAY($A1465,2),"Lunes","Martes","Miércoles","Jueves","Viernes","Sábado","Domingo"))</f>
        <v/>
      </c>
      <c r="C1465" s="17" t="n"/>
      <c r="D1465" s="21">
        <f>IF($C1465="","",IFERROR(INDEX(Insumos!$B$2:$B$151,MATCH($C1465,Insumos!$A$2:$A$151,0)),"Código no cargado"))</f>
        <v/>
      </c>
      <c r="E1465" s="21">
        <f>IF($C1465="","",IFERROR(INDEX(Insumos!$C$2:$C$151,MATCH($C1465,Insumos!$A$2:$A$151,0)),""))</f>
        <v/>
      </c>
      <c r="F1465" s="21">
        <f>IF($C1465="","",IFERROR(INDEX(Insumos!$D$2:$D$151,MATCH($C1465,Insumos!$A$2:$A$151,0)),""))</f>
        <v/>
      </c>
      <c r="G1465" s="18" t="n"/>
      <c r="H1465" s="19">
        <f>IF(OR($A1465="",$C1465=""),"",IFERROR(INDEX(Insumos!$M$2:$S$151,MATCH($C1465,Insumos!$A$2:$A$151,0),WEEKDAY($A1465,2)),""))</f>
        <v/>
      </c>
      <c r="I1465" s="19">
        <f>IF(OR($G1465="",$H1465=""),"",MAX(0,$H1465-$G1465))</f>
        <v/>
      </c>
      <c r="J1465" s="21">
        <f>IF($I1465="","",IF($I1465=0,"OK",IF($G1465&lt;=0,"Sin stock: pedir ya","Pedir o producir")))</f>
        <v/>
      </c>
      <c r="K1465" s="17" t="n"/>
      <c r="L1465" s="17" t="n"/>
      <c r="M1465" s="21">
        <f>IF(OR($A1465="",$A1465&lt;&gt;'Lista para pedir'!$C$3,N($I1465)&lt;=0),"",COUNTIFS($A$2:$A1465,$A1465,$I$2:$I1465,"&gt;0"))</f>
        <v/>
      </c>
    </row>
    <row r="1466">
      <c r="A1466" s="20" t="n"/>
      <c r="B1466" s="21">
        <f>IF($A1466="","",CHOOSE(WEEKDAY($A1466,2),"Lunes","Martes","Miércoles","Jueves","Viernes","Sábado","Domingo"))</f>
        <v/>
      </c>
      <c r="C1466" s="17" t="n"/>
      <c r="D1466" s="21">
        <f>IF($C1466="","",IFERROR(INDEX(Insumos!$B$2:$B$151,MATCH($C1466,Insumos!$A$2:$A$151,0)),"Código no cargado"))</f>
        <v/>
      </c>
      <c r="E1466" s="21">
        <f>IF($C1466="","",IFERROR(INDEX(Insumos!$C$2:$C$151,MATCH($C1466,Insumos!$A$2:$A$151,0)),""))</f>
        <v/>
      </c>
      <c r="F1466" s="21">
        <f>IF($C1466="","",IFERROR(INDEX(Insumos!$D$2:$D$151,MATCH($C1466,Insumos!$A$2:$A$151,0)),""))</f>
        <v/>
      </c>
      <c r="G1466" s="18" t="n"/>
      <c r="H1466" s="19">
        <f>IF(OR($A1466="",$C1466=""),"",IFERROR(INDEX(Insumos!$M$2:$S$151,MATCH($C1466,Insumos!$A$2:$A$151,0),WEEKDAY($A1466,2)),""))</f>
        <v/>
      </c>
      <c r="I1466" s="19">
        <f>IF(OR($G1466="",$H1466=""),"",MAX(0,$H1466-$G1466))</f>
        <v/>
      </c>
      <c r="J1466" s="21">
        <f>IF($I1466="","",IF($I1466=0,"OK",IF($G1466&lt;=0,"Sin stock: pedir ya","Pedir o producir")))</f>
        <v/>
      </c>
      <c r="K1466" s="17" t="n"/>
      <c r="L1466" s="17" t="n"/>
      <c r="M1466" s="21">
        <f>IF(OR($A1466="",$A1466&lt;&gt;'Lista para pedir'!$C$3,N($I1466)&lt;=0),"",COUNTIFS($A$2:$A1466,$A1466,$I$2:$I1466,"&gt;0"))</f>
        <v/>
      </c>
    </row>
    <row r="1467">
      <c r="A1467" s="20" t="n"/>
      <c r="B1467" s="21">
        <f>IF($A1467="","",CHOOSE(WEEKDAY($A1467,2),"Lunes","Martes","Miércoles","Jueves","Viernes","Sábado","Domingo"))</f>
        <v/>
      </c>
      <c r="C1467" s="17" t="n"/>
      <c r="D1467" s="21">
        <f>IF($C1467="","",IFERROR(INDEX(Insumos!$B$2:$B$151,MATCH($C1467,Insumos!$A$2:$A$151,0)),"Código no cargado"))</f>
        <v/>
      </c>
      <c r="E1467" s="21">
        <f>IF($C1467="","",IFERROR(INDEX(Insumos!$C$2:$C$151,MATCH($C1467,Insumos!$A$2:$A$151,0)),""))</f>
        <v/>
      </c>
      <c r="F1467" s="21">
        <f>IF($C1467="","",IFERROR(INDEX(Insumos!$D$2:$D$151,MATCH($C1467,Insumos!$A$2:$A$151,0)),""))</f>
        <v/>
      </c>
      <c r="G1467" s="18" t="n"/>
      <c r="H1467" s="19">
        <f>IF(OR($A1467="",$C1467=""),"",IFERROR(INDEX(Insumos!$M$2:$S$151,MATCH($C1467,Insumos!$A$2:$A$151,0),WEEKDAY($A1467,2)),""))</f>
        <v/>
      </c>
      <c r="I1467" s="19">
        <f>IF(OR($G1467="",$H1467=""),"",MAX(0,$H1467-$G1467))</f>
        <v/>
      </c>
      <c r="J1467" s="21">
        <f>IF($I1467="","",IF($I1467=0,"OK",IF($G1467&lt;=0,"Sin stock: pedir ya","Pedir o producir")))</f>
        <v/>
      </c>
      <c r="K1467" s="17" t="n"/>
      <c r="L1467" s="17" t="n"/>
      <c r="M1467" s="21">
        <f>IF(OR($A1467="",$A1467&lt;&gt;'Lista para pedir'!$C$3,N($I1467)&lt;=0),"",COUNTIFS($A$2:$A1467,$A1467,$I$2:$I1467,"&gt;0"))</f>
        <v/>
      </c>
    </row>
    <row r="1468">
      <c r="A1468" s="20" t="n"/>
      <c r="B1468" s="21">
        <f>IF($A1468="","",CHOOSE(WEEKDAY($A1468,2),"Lunes","Martes","Miércoles","Jueves","Viernes","Sábado","Domingo"))</f>
        <v/>
      </c>
      <c r="C1468" s="17" t="n"/>
      <c r="D1468" s="21">
        <f>IF($C1468="","",IFERROR(INDEX(Insumos!$B$2:$B$151,MATCH($C1468,Insumos!$A$2:$A$151,0)),"Código no cargado"))</f>
        <v/>
      </c>
      <c r="E1468" s="21">
        <f>IF($C1468="","",IFERROR(INDEX(Insumos!$C$2:$C$151,MATCH($C1468,Insumos!$A$2:$A$151,0)),""))</f>
        <v/>
      </c>
      <c r="F1468" s="21">
        <f>IF($C1468="","",IFERROR(INDEX(Insumos!$D$2:$D$151,MATCH($C1468,Insumos!$A$2:$A$151,0)),""))</f>
        <v/>
      </c>
      <c r="G1468" s="18" t="n"/>
      <c r="H1468" s="19">
        <f>IF(OR($A1468="",$C1468=""),"",IFERROR(INDEX(Insumos!$M$2:$S$151,MATCH($C1468,Insumos!$A$2:$A$151,0),WEEKDAY($A1468,2)),""))</f>
        <v/>
      </c>
      <c r="I1468" s="19">
        <f>IF(OR($G1468="",$H1468=""),"",MAX(0,$H1468-$G1468))</f>
        <v/>
      </c>
      <c r="J1468" s="21">
        <f>IF($I1468="","",IF($I1468=0,"OK",IF($G1468&lt;=0,"Sin stock: pedir ya","Pedir o producir")))</f>
        <v/>
      </c>
      <c r="K1468" s="17" t="n"/>
      <c r="L1468" s="17" t="n"/>
      <c r="M1468" s="21">
        <f>IF(OR($A1468="",$A1468&lt;&gt;'Lista para pedir'!$C$3,N($I1468)&lt;=0),"",COUNTIFS($A$2:$A1468,$A1468,$I$2:$I1468,"&gt;0"))</f>
        <v/>
      </c>
    </row>
    <row r="1469">
      <c r="A1469" s="20" t="n"/>
      <c r="B1469" s="21">
        <f>IF($A1469="","",CHOOSE(WEEKDAY($A1469,2),"Lunes","Martes","Miércoles","Jueves","Viernes","Sábado","Domingo"))</f>
        <v/>
      </c>
      <c r="C1469" s="17" t="n"/>
      <c r="D1469" s="21">
        <f>IF($C1469="","",IFERROR(INDEX(Insumos!$B$2:$B$151,MATCH($C1469,Insumos!$A$2:$A$151,0)),"Código no cargado"))</f>
        <v/>
      </c>
      <c r="E1469" s="21">
        <f>IF($C1469="","",IFERROR(INDEX(Insumos!$C$2:$C$151,MATCH($C1469,Insumos!$A$2:$A$151,0)),""))</f>
        <v/>
      </c>
      <c r="F1469" s="21">
        <f>IF($C1469="","",IFERROR(INDEX(Insumos!$D$2:$D$151,MATCH($C1469,Insumos!$A$2:$A$151,0)),""))</f>
        <v/>
      </c>
      <c r="G1469" s="18" t="n"/>
      <c r="H1469" s="19">
        <f>IF(OR($A1469="",$C1469=""),"",IFERROR(INDEX(Insumos!$M$2:$S$151,MATCH($C1469,Insumos!$A$2:$A$151,0),WEEKDAY($A1469,2)),""))</f>
        <v/>
      </c>
      <c r="I1469" s="19">
        <f>IF(OR($G1469="",$H1469=""),"",MAX(0,$H1469-$G1469))</f>
        <v/>
      </c>
      <c r="J1469" s="21">
        <f>IF($I1469="","",IF($I1469=0,"OK",IF($G1469&lt;=0,"Sin stock: pedir ya","Pedir o producir")))</f>
        <v/>
      </c>
      <c r="K1469" s="17" t="n"/>
      <c r="L1469" s="17" t="n"/>
      <c r="M1469" s="21">
        <f>IF(OR($A1469="",$A1469&lt;&gt;'Lista para pedir'!$C$3,N($I1469)&lt;=0),"",COUNTIFS($A$2:$A1469,$A1469,$I$2:$I1469,"&gt;0"))</f>
        <v/>
      </c>
    </row>
    <row r="1470">
      <c r="A1470" s="20" t="n"/>
      <c r="B1470" s="21">
        <f>IF($A1470="","",CHOOSE(WEEKDAY($A1470,2),"Lunes","Martes","Miércoles","Jueves","Viernes","Sábado","Domingo"))</f>
        <v/>
      </c>
      <c r="C1470" s="17" t="n"/>
      <c r="D1470" s="21">
        <f>IF($C1470="","",IFERROR(INDEX(Insumos!$B$2:$B$151,MATCH($C1470,Insumos!$A$2:$A$151,0)),"Código no cargado"))</f>
        <v/>
      </c>
      <c r="E1470" s="21">
        <f>IF($C1470="","",IFERROR(INDEX(Insumos!$C$2:$C$151,MATCH($C1470,Insumos!$A$2:$A$151,0)),""))</f>
        <v/>
      </c>
      <c r="F1470" s="21">
        <f>IF($C1470="","",IFERROR(INDEX(Insumos!$D$2:$D$151,MATCH($C1470,Insumos!$A$2:$A$151,0)),""))</f>
        <v/>
      </c>
      <c r="G1470" s="18" t="n"/>
      <c r="H1470" s="19">
        <f>IF(OR($A1470="",$C1470=""),"",IFERROR(INDEX(Insumos!$M$2:$S$151,MATCH($C1470,Insumos!$A$2:$A$151,0),WEEKDAY($A1470,2)),""))</f>
        <v/>
      </c>
      <c r="I1470" s="19">
        <f>IF(OR($G1470="",$H1470=""),"",MAX(0,$H1470-$G1470))</f>
        <v/>
      </c>
      <c r="J1470" s="21">
        <f>IF($I1470="","",IF($I1470=0,"OK",IF($G1470&lt;=0,"Sin stock: pedir ya","Pedir o producir")))</f>
        <v/>
      </c>
      <c r="K1470" s="17" t="n"/>
      <c r="L1470" s="17" t="n"/>
      <c r="M1470" s="21">
        <f>IF(OR($A1470="",$A1470&lt;&gt;'Lista para pedir'!$C$3,N($I1470)&lt;=0),"",COUNTIFS($A$2:$A1470,$A1470,$I$2:$I1470,"&gt;0"))</f>
        <v/>
      </c>
    </row>
    <row r="1471">
      <c r="A1471" s="20" t="n"/>
      <c r="B1471" s="21">
        <f>IF($A1471="","",CHOOSE(WEEKDAY($A1471,2),"Lunes","Martes","Miércoles","Jueves","Viernes","Sábado","Domingo"))</f>
        <v/>
      </c>
      <c r="C1471" s="17" t="n"/>
      <c r="D1471" s="21">
        <f>IF($C1471="","",IFERROR(INDEX(Insumos!$B$2:$B$151,MATCH($C1471,Insumos!$A$2:$A$151,0)),"Código no cargado"))</f>
        <v/>
      </c>
      <c r="E1471" s="21">
        <f>IF($C1471="","",IFERROR(INDEX(Insumos!$C$2:$C$151,MATCH($C1471,Insumos!$A$2:$A$151,0)),""))</f>
        <v/>
      </c>
      <c r="F1471" s="21">
        <f>IF($C1471="","",IFERROR(INDEX(Insumos!$D$2:$D$151,MATCH($C1471,Insumos!$A$2:$A$151,0)),""))</f>
        <v/>
      </c>
      <c r="G1471" s="18" t="n"/>
      <c r="H1471" s="19">
        <f>IF(OR($A1471="",$C1471=""),"",IFERROR(INDEX(Insumos!$M$2:$S$151,MATCH($C1471,Insumos!$A$2:$A$151,0),WEEKDAY($A1471,2)),""))</f>
        <v/>
      </c>
      <c r="I1471" s="19">
        <f>IF(OR($G1471="",$H1471=""),"",MAX(0,$H1471-$G1471))</f>
        <v/>
      </c>
      <c r="J1471" s="21">
        <f>IF($I1471="","",IF($I1471=0,"OK",IF($G1471&lt;=0,"Sin stock: pedir ya","Pedir o producir")))</f>
        <v/>
      </c>
      <c r="K1471" s="17" t="n"/>
      <c r="L1471" s="17" t="n"/>
      <c r="M1471" s="21">
        <f>IF(OR($A1471="",$A1471&lt;&gt;'Lista para pedir'!$C$3,N($I1471)&lt;=0),"",COUNTIFS($A$2:$A1471,$A1471,$I$2:$I1471,"&gt;0"))</f>
        <v/>
      </c>
    </row>
    <row r="1472">
      <c r="A1472" s="20" t="n"/>
      <c r="B1472" s="21">
        <f>IF($A1472="","",CHOOSE(WEEKDAY($A1472,2),"Lunes","Martes","Miércoles","Jueves","Viernes","Sábado","Domingo"))</f>
        <v/>
      </c>
      <c r="C1472" s="17" t="n"/>
      <c r="D1472" s="21">
        <f>IF($C1472="","",IFERROR(INDEX(Insumos!$B$2:$B$151,MATCH($C1472,Insumos!$A$2:$A$151,0)),"Código no cargado"))</f>
        <v/>
      </c>
      <c r="E1472" s="21">
        <f>IF($C1472="","",IFERROR(INDEX(Insumos!$C$2:$C$151,MATCH($C1472,Insumos!$A$2:$A$151,0)),""))</f>
        <v/>
      </c>
      <c r="F1472" s="21">
        <f>IF($C1472="","",IFERROR(INDEX(Insumos!$D$2:$D$151,MATCH($C1472,Insumos!$A$2:$A$151,0)),""))</f>
        <v/>
      </c>
      <c r="G1472" s="18" t="n"/>
      <c r="H1472" s="19">
        <f>IF(OR($A1472="",$C1472=""),"",IFERROR(INDEX(Insumos!$M$2:$S$151,MATCH($C1472,Insumos!$A$2:$A$151,0),WEEKDAY($A1472,2)),""))</f>
        <v/>
      </c>
      <c r="I1472" s="19">
        <f>IF(OR($G1472="",$H1472=""),"",MAX(0,$H1472-$G1472))</f>
        <v/>
      </c>
      <c r="J1472" s="21">
        <f>IF($I1472="","",IF($I1472=0,"OK",IF($G1472&lt;=0,"Sin stock: pedir ya","Pedir o producir")))</f>
        <v/>
      </c>
      <c r="K1472" s="17" t="n"/>
      <c r="L1472" s="17" t="n"/>
      <c r="M1472" s="21">
        <f>IF(OR($A1472="",$A1472&lt;&gt;'Lista para pedir'!$C$3,N($I1472)&lt;=0),"",COUNTIFS($A$2:$A1472,$A1472,$I$2:$I1472,"&gt;0"))</f>
        <v/>
      </c>
    </row>
    <row r="1473">
      <c r="A1473" s="20" t="n"/>
      <c r="B1473" s="21">
        <f>IF($A1473="","",CHOOSE(WEEKDAY($A1473,2),"Lunes","Martes","Miércoles","Jueves","Viernes","Sábado","Domingo"))</f>
        <v/>
      </c>
      <c r="C1473" s="17" t="n"/>
      <c r="D1473" s="21">
        <f>IF($C1473="","",IFERROR(INDEX(Insumos!$B$2:$B$151,MATCH($C1473,Insumos!$A$2:$A$151,0)),"Código no cargado"))</f>
        <v/>
      </c>
      <c r="E1473" s="21">
        <f>IF($C1473="","",IFERROR(INDEX(Insumos!$C$2:$C$151,MATCH($C1473,Insumos!$A$2:$A$151,0)),""))</f>
        <v/>
      </c>
      <c r="F1473" s="21">
        <f>IF($C1473="","",IFERROR(INDEX(Insumos!$D$2:$D$151,MATCH($C1473,Insumos!$A$2:$A$151,0)),""))</f>
        <v/>
      </c>
      <c r="G1473" s="18" t="n"/>
      <c r="H1473" s="19">
        <f>IF(OR($A1473="",$C1473=""),"",IFERROR(INDEX(Insumos!$M$2:$S$151,MATCH($C1473,Insumos!$A$2:$A$151,0),WEEKDAY($A1473,2)),""))</f>
        <v/>
      </c>
      <c r="I1473" s="19">
        <f>IF(OR($G1473="",$H1473=""),"",MAX(0,$H1473-$G1473))</f>
        <v/>
      </c>
      <c r="J1473" s="21">
        <f>IF($I1473="","",IF($I1473=0,"OK",IF($G1473&lt;=0,"Sin stock: pedir ya","Pedir o producir")))</f>
        <v/>
      </c>
      <c r="K1473" s="17" t="n"/>
      <c r="L1473" s="17" t="n"/>
      <c r="M1473" s="21">
        <f>IF(OR($A1473="",$A1473&lt;&gt;'Lista para pedir'!$C$3,N($I1473)&lt;=0),"",COUNTIFS($A$2:$A1473,$A1473,$I$2:$I1473,"&gt;0"))</f>
        <v/>
      </c>
    </row>
    <row r="1474">
      <c r="A1474" s="20" t="n"/>
      <c r="B1474" s="21">
        <f>IF($A1474="","",CHOOSE(WEEKDAY($A1474,2),"Lunes","Martes","Miércoles","Jueves","Viernes","Sábado","Domingo"))</f>
        <v/>
      </c>
      <c r="C1474" s="17" t="n"/>
      <c r="D1474" s="21">
        <f>IF($C1474="","",IFERROR(INDEX(Insumos!$B$2:$B$151,MATCH($C1474,Insumos!$A$2:$A$151,0)),"Código no cargado"))</f>
        <v/>
      </c>
      <c r="E1474" s="21">
        <f>IF($C1474="","",IFERROR(INDEX(Insumos!$C$2:$C$151,MATCH($C1474,Insumos!$A$2:$A$151,0)),""))</f>
        <v/>
      </c>
      <c r="F1474" s="21">
        <f>IF($C1474="","",IFERROR(INDEX(Insumos!$D$2:$D$151,MATCH($C1474,Insumos!$A$2:$A$151,0)),""))</f>
        <v/>
      </c>
      <c r="G1474" s="18" t="n"/>
      <c r="H1474" s="19">
        <f>IF(OR($A1474="",$C1474=""),"",IFERROR(INDEX(Insumos!$M$2:$S$151,MATCH($C1474,Insumos!$A$2:$A$151,0),WEEKDAY($A1474,2)),""))</f>
        <v/>
      </c>
      <c r="I1474" s="19">
        <f>IF(OR($G1474="",$H1474=""),"",MAX(0,$H1474-$G1474))</f>
        <v/>
      </c>
      <c r="J1474" s="21">
        <f>IF($I1474="","",IF($I1474=0,"OK",IF($G1474&lt;=0,"Sin stock: pedir ya","Pedir o producir")))</f>
        <v/>
      </c>
      <c r="K1474" s="17" t="n"/>
      <c r="L1474" s="17" t="n"/>
      <c r="M1474" s="21">
        <f>IF(OR($A1474="",$A1474&lt;&gt;'Lista para pedir'!$C$3,N($I1474)&lt;=0),"",COUNTIFS($A$2:$A1474,$A1474,$I$2:$I1474,"&gt;0"))</f>
        <v/>
      </c>
    </row>
    <row r="1475">
      <c r="A1475" s="20" t="n"/>
      <c r="B1475" s="21">
        <f>IF($A1475="","",CHOOSE(WEEKDAY($A1475,2),"Lunes","Martes","Miércoles","Jueves","Viernes","Sábado","Domingo"))</f>
        <v/>
      </c>
      <c r="C1475" s="17" t="n"/>
      <c r="D1475" s="21">
        <f>IF($C1475="","",IFERROR(INDEX(Insumos!$B$2:$B$151,MATCH($C1475,Insumos!$A$2:$A$151,0)),"Código no cargado"))</f>
        <v/>
      </c>
      <c r="E1475" s="21">
        <f>IF($C1475="","",IFERROR(INDEX(Insumos!$C$2:$C$151,MATCH($C1475,Insumos!$A$2:$A$151,0)),""))</f>
        <v/>
      </c>
      <c r="F1475" s="21">
        <f>IF($C1475="","",IFERROR(INDEX(Insumos!$D$2:$D$151,MATCH($C1475,Insumos!$A$2:$A$151,0)),""))</f>
        <v/>
      </c>
      <c r="G1475" s="18" t="n"/>
      <c r="H1475" s="19">
        <f>IF(OR($A1475="",$C1475=""),"",IFERROR(INDEX(Insumos!$M$2:$S$151,MATCH($C1475,Insumos!$A$2:$A$151,0),WEEKDAY($A1475,2)),""))</f>
        <v/>
      </c>
      <c r="I1475" s="19">
        <f>IF(OR($G1475="",$H1475=""),"",MAX(0,$H1475-$G1475))</f>
        <v/>
      </c>
      <c r="J1475" s="21">
        <f>IF($I1475="","",IF($I1475=0,"OK",IF($G1475&lt;=0,"Sin stock: pedir ya","Pedir o producir")))</f>
        <v/>
      </c>
      <c r="K1475" s="17" t="n"/>
      <c r="L1475" s="17" t="n"/>
      <c r="M1475" s="21">
        <f>IF(OR($A1475="",$A1475&lt;&gt;'Lista para pedir'!$C$3,N($I1475)&lt;=0),"",COUNTIFS($A$2:$A1475,$A1475,$I$2:$I1475,"&gt;0"))</f>
        <v/>
      </c>
    </row>
    <row r="1476">
      <c r="A1476" s="20" t="n"/>
      <c r="B1476" s="21">
        <f>IF($A1476="","",CHOOSE(WEEKDAY($A1476,2),"Lunes","Martes","Miércoles","Jueves","Viernes","Sábado","Domingo"))</f>
        <v/>
      </c>
      <c r="C1476" s="17" t="n"/>
      <c r="D1476" s="21">
        <f>IF($C1476="","",IFERROR(INDEX(Insumos!$B$2:$B$151,MATCH($C1476,Insumos!$A$2:$A$151,0)),"Código no cargado"))</f>
        <v/>
      </c>
      <c r="E1476" s="21">
        <f>IF($C1476="","",IFERROR(INDEX(Insumos!$C$2:$C$151,MATCH($C1476,Insumos!$A$2:$A$151,0)),""))</f>
        <v/>
      </c>
      <c r="F1476" s="21">
        <f>IF($C1476="","",IFERROR(INDEX(Insumos!$D$2:$D$151,MATCH($C1476,Insumos!$A$2:$A$151,0)),""))</f>
        <v/>
      </c>
      <c r="G1476" s="18" t="n"/>
      <c r="H1476" s="19">
        <f>IF(OR($A1476="",$C1476=""),"",IFERROR(INDEX(Insumos!$M$2:$S$151,MATCH($C1476,Insumos!$A$2:$A$151,0),WEEKDAY($A1476,2)),""))</f>
        <v/>
      </c>
      <c r="I1476" s="19">
        <f>IF(OR($G1476="",$H1476=""),"",MAX(0,$H1476-$G1476))</f>
        <v/>
      </c>
      <c r="J1476" s="21">
        <f>IF($I1476="","",IF($I1476=0,"OK",IF($G1476&lt;=0,"Sin stock: pedir ya","Pedir o producir")))</f>
        <v/>
      </c>
      <c r="K1476" s="17" t="n"/>
      <c r="L1476" s="17" t="n"/>
      <c r="M1476" s="21">
        <f>IF(OR($A1476="",$A1476&lt;&gt;'Lista para pedir'!$C$3,N($I1476)&lt;=0),"",COUNTIFS($A$2:$A1476,$A1476,$I$2:$I1476,"&gt;0"))</f>
        <v/>
      </c>
    </row>
    <row r="1477">
      <c r="A1477" s="20" t="n"/>
      <c r="B1477" s="21">
        <f>IF($A1477="","",CHOOSE(WEEKDAY($A1477,2),"Lunes","Martes","Miércoles","Jueves","Viernes","Sábado","Domingo"))</f>
        <v/>
      </c>
      <c r="C1477" s="17" t="n"/>
      <c r="D1477" s="21">
        <f>IF($C1477="","",IFERROR(INDEX(Insumos!$B$2:$B$151,MATCH($C1477,Insumos!$A$2:$A$151,0)),"Código no cargado"))</f>
        <v/>
      </c>
      <c r="E1477" s="21">
        <f>IF($C1477="","",IFERROR(INDEX(Insumos!$C$2:$C$151,MATCH($C1477,Insumos!$A$2:$A$151,0)),""))</f>
        <v/>
      </c>
      <c r="F1477" s="21">
        <f>IF($C1477="","",IFERROR(INDEX(Insumos!$D$2:$D$151,MATCH($C1477,Insumos!$A$2:$A$151,0)),""))</f>
        <v/>
      </c>
      <c r="G1477" s="18" t="n"/>
      <c r="H1477" s="19">
        <f>IF(OR($A1477="",$C1477=""),"",IFERROR(INDEX(Insumos!$M$2:$S$151,MATCH($C1477,Insumos!$A$2:$A$151,0),WEEKDAY($A1477,2)),""))</f>
        <v/>
      </c>
      <c r="I1477" s="19">
        <f>IF(OR($G1477="",$H1477=""),"",MAX(0,$H1477-$G1477))</f>
        <v/>
      </c>
      <c r="J1477" s="21">
        <f>IF($I1477="","",IF($I1477=0,"OK",IF($G1477&lt;=0,"Sin stock: pedir ya","Pedir o producir")))</f>
        <v/>
      </c>
      <c r="K1477" s="17" t="n"/>
      <c r="L1477" s="17" t="n"/>
      <c r="M1477" s="21">
        <f>IF(OR($A1477="",$A1477&lt;&gt;'Lista para pedir'!$C$3,N($I1477)&lt;=0),"",COUNTIFS($A$2:$A1477,$A1477,$I$2:$I1477,"&gt;0"))</f>
        <v/>
      </c>
    </row>
    <row r="1478">
      <c r="A1478" s="20" t="n"/>
      <c r="B1478" s="21">
        <f>IF($A1478="","",CHOOSE(WEEKDAY($A1478,2),"Lunes","Martes","Miércoles","Jueves","Viernes","Sábado","Domingo"))</f>
        <v/>
      </c>
      <c r="C1478" s="17" t="n"/>
      <c r="D1478" s="21">
        <f>IF($C1478="","",IFERROR(INDEX(Insumos!$B$2:$B$151,MATCH($C1478,Insumos!$A$2:$A$151,0)),"Código no cargado"))</f>
        <v/>
      </c>
      <c r="E1478" s="21">
        <f>IF($C1478="","",IFERROR(INDEX(Insumos!$C$2:$C$151,MATCH($C1478,Insumos!$A$2:$A$151,0)),""))</f>
        <v/>
      </c>
      <c r="F1478" s="21">
        <f>IF($C1478="","",IFERROR(INDEX(Insumos!$D$2:$D$151,MATCH($C1478,Insumos!$A$2:$A$151,0)),""))</f>
        <v/>
      </c>
      <c r="G1478" s="18" t="n"/>
      <c r="H1478" s="19">
        <f>IF(OR($A1478="",$C1478=""),"",IFERROR(INDEX(Insumos!$M$2:$S$151,MATCH($C1478,Insumos!$A$2:$A$151,0),WEEKDAY($A1478,2)),""))</f>
        <v/>
      </c>
      <c r="I1478" s="19">
        <f>IF(OR($G1478="",$H1478=""),"",MAX(0,$H1478-$G1478))</f>
        <v/>
      </c>
      <c r="J1478" s="21">
        <f>IF($I1478="","",IF($I1478=0,"OK",IF($G1478&lt;=0,"Sin stock: pedir ya","Pedir o producir")))</f>
        <v/>
      </c>
      <c r="K1478" s="17" t="n"/>
      <c r="L1478" s="17" t="n"/>
      <c r="M1478" s="21">
        <f>IF(OR($A1478="",$A1478&lt;&gt;'Lista para pedir'!$C$3,N($I1478)&lt;=0),"",COUNTIFS($A$2:$A1478,$A1478,$I$2:$I1478,"&gt;0"))</f>
        <v/>
      </c>
    </row>
    <row r="1479">
      <c r="A1479" s="20" t="n"/>
      <c r="B1479" s="21">
        <f>IF($A1479="","",CHOOSE(WEEKDAY($A1479,2),"Lunes","Martes","Miércoles","Jueves","Viernes","Sábado","Domingo"))</f>
        <v/>
      </c>
      <c r="C1479" s="17" t="n"/>
      <c r="D1479" s="21">
        <f>IF($C1479="","",IFERROR(INDEX(Insumos!$B$2:$B$151,MATCH($C1479,Insumos!$A$2:$A$151,0)),"Código no cargado"))</f>
        <v/>
      </c>
      <c r="E1479" s="21">
        <f>IF($C1479="","",IFERROR(INDEX(Insumos!$C$2:$C$151,MATCH($C1479,Insumos!$A$2:$A$151,0)),""))</f>
        <v/>
      </c>
      <c r="F1479" s="21">
        <f>IF($C1479="","",IFERROR(INDEX(Insumos!$D$2:$D$151,MATCH($C1479,Insumos!$A$2:$A$151,0)),""))</f>
        <v/>
      </c>
      <c r="G1479" s="18" t="n"/>
      <c r="H1479" s="19">
        <f>IF(OR($A1479="",$C1479=""),"",IFERROR(INDEX(Insumos!$M$2:$S$151,MATCH($C1479,Insumos!$A$2:$A$151,0),WEEKDAY($A1479,2)),""))</f>
        <v/>
      </c>
      <c r="I1479" s="19">
        <f>IF(OR($G1479="",$H1479=""),"",MAX(0,$H1479-$G1479))</f>
        <v/>
      </c>
      <c r="J1479" s="21">
        <f>IF($I1479="","",IF($I1479=0,"OK",IF($G1479&lt;=0,"Sin stock: pedir ya","Pedir o producir")))</f>
        <v/>
      </c>
      <c r="K1479" s="17" t="n"/>
      <c r="L1479" s="17" t="n"/>
      <c r="M1479" s="21">
        <f>IF(OR($A1479="",$A1479&lt;&gt;'Lista para pedir'!$C$3,N($I1479)&lt;=0),"",COUNTIFS($A$2:$A1479,$A1479,$I$2:$I1479,"&gt;0"))</f>
        <v/>
      </c>
    </row>
    <row r="1480">
      <c r="A1480" s="20" t="n"/>
      <c r="B1480" s="21">
        <f>IF($A1480="","",CHOOSE(WEEKDAY($A1480,2),"Lunes","Martes","Miércoles","Jueves","Viernes","Sábado","Domingo"))</f>
        <v/>
      </c>
      <c r="C1480" s="17" t="n"/>
      <c r="D1480" s="21">
        <f>IF($C1480="","",IFERROR(INDEX(Insumos!$B$2:$B$151,MATCH($C1480,Insumos!$A$2:$A$151,0)),"Código no cargado"))</f>
        <v/>
      </c>
      <c r="E1480" s="21">
        <f>IF($C1480="","",IFERROR(INDEX(Insumos!$C$2:$C$151,MATCH($C1480,Insumos!$A$2:$A$151,0)),""))</f>
        <v/>
      </c>
      <c r="F1480" s="21">
        <f>IF($C1480="","",IFERROR(INDEX(Insumos!$D$2:$D$151,MATCH($C1480,Insumos!$A$2:$A$151,0)),""))</f>
        <v/>
      </c>
      <c r="G1480" s="18" t="n"/>
      <c r="H1480" s="19">
        <f>IF(OR($A1480="",$C1480=""),"",IFERROR(INDEX(Insumos!$M$2:$S$151,MATCH($C1480,Insumos!$A$2:$A$151,0),WEEKDAY($A1480,2)),""))</f>
        <v/>
      </c>
      <c r="I1480" s="19">
        <f>IF(OR($G1480="",$H1480=""),"",MAX(0,$H1480-$G1480))</f>
        <v/>
      </c>
      <c r="J1480" s="21">
        <f>IF($I1480="","",IF($I1480=0,"OK",IF($G1480&lt;=0,"Sin stock: pedir ya","Pedir o producir")))</f>
        <v/>
      </c>
      <c r="K1480" s="17" t="n"/>
      <c r="L1480" s="17" t="n"/>
      <c r="M1480" s="21">
        <f>IF(OR($A1480="",$A1480&lt;&gt;'Lista para pedir'!$C$3,N($I1480)&lt;=0),"",COUNTIFS($A$2:$A1480,$A1480,$I$2:$I1480,"&gt;0"))</f>
        <v/>
      </c>
    </row>
    <row r="1481">
      <c r="A1481" s="20" t="n"/>
      <c r="B1481" s="21">
        <f>IF($A1481="","",CHOOSE(WEEKDAY($A1481,2),"Lunes","Martes","Miércoles","Jueves","Viernes","Sábado","Domingo"))</f>
        <v/>
      </c>
      <c r="C1481" s="17" t="n"/>
      <c r="D1481" s="21">
        <f>IF($C1481="","",IFERROR(INDEX(Insumos!$B$2:$B$151,MATCH($C1481,Insumos!$A$2:$A$151,0)),"Código no cargado"))</f>
        <v/>
      </c>
      <c r="E1481" s="21">
        <f>IF($C1481="","",IFERROR(INDEX(Insumos!$C$2:$C$151,MATCH($C1481,Insumos!$A$2:$A$151,0)),""))</f>
        <v/>
      </c>
      <c r="F1481" s="21">
        <f>IF($C1481="","",IFERROR(INDEX(Insumos!$D$2:$D$151,MATCH($C1481,Insumos!$A$2:$A$151,0)),""))</f>
        <v/>
      </c>
      <c r="G1481" s="18" t="n"/>
      <c r="H1481" s="19">
        <f>IF(OR($A1481="",$C1481=""),"",IFERROR(INDEX(Insumos!$M$2:$S$151,MATCH($C1481,Insumos!$A$2:$A$151,0),WEEKDAY($A1481,2)),""))</f>
        <v/>
      </c>
      <c r="I1481" s="19">
        <f>IF(OR($G1481="",$H1481=""),"",MAX(0,$H1481-$G1481))</f>
        <v/>
      </c>
      <c r="J1481" s="21">
        <f>IF($I1481="","",IF($I1481=0,"OK",IF($G1481&lt;=0,"Sin stock: pedir ya","Pedir o producir")))</f>
        <v/>
      </c>
      <c r="K1481" s="17" t="n"/>
      <c r="L1481" s="17" t="n"/>
      <c r="M1481" s="21">
        <f>IF(OR($A1481="",$A1481&lt;&gt;'Lista para pedir'!$C$3,N($I1481)&lt;=0),"",COUNTIFS($A$2:$A1481,$A1481,$I$2:$I1481,"&gt;0"))</f>
        <v/>
      </c>
    </row>
    <row r="1482">
      <c r="A1482" s="20" t="n"/>
      <c r="B1482" s="21">
        <f>IF($A1482="","",CHOOSE(WEEKDAY($A1482,2),"Lunes","Martes","Miércoles","Jueves","Viernes","Sábado","Domingo"))</f>
        <v/>
      </c>
      <c r="C1482" s="17" t="n"/>
      <c r="D1482" s="21">
        <f>IF($C1482="","",IFERROR(INDEX(Insumos!$B$2:$B$151,MATCH($C1482,Insumos!$A$2:$A$151,0)),"Código no cargado"))</f>
        <v/>
      </c>
      <c r="E1482" s="21">
        <f>IF($C1482="","",IFERROR(INDEX(Insumos!$C$2:$C$151,MATCH($C1482,Insumos!$A$2:$A$151,0)),""))</f>
        <v/>
      </c>
      <c r="F1482" s="21">
        <f>IF($C1482="","",IFERROR(INDEX(Insumos!$D$2:$D$151,MATCH($C1482,Insumos!$A$2:$A$151,0)),""))</f>
        <v/>
      </c>
      <c r="G1482" s="18" t="n"/>
      <c r="H1482" s="19">
        <f>IF(OR($A1482="",$C1482=""),"",IFERROR(INDEX(Insumos!$M$2:$S$151,MATCH($C1482,Insumos!$A$2:$A$151,0),WEEKDAY($A1482,2)),""))</f>
        <v/>
      </c>
      <c r="I1482" s="19">
        <f>IF(OR($G1482="",$H1482=""),"",MAX(0,$H1482-$G1482))</f>
        <v/>
      </c>
      <c r="J1482" s="21">
        <f>IF($I1482="","",IF($I1482=0,"OK",IF($G1482&lt;=0,"Sin stock: pedir ya","Pedir o producir")))</f>
        <v/>
      </c>
      <c r="K1482" s="17" t="n"/>
      <c r="L1482" s="17" t="n"/>
      <c r="M1482" s="21">
        <f>IF(OR($A1482="",$A1482&lt;&gt;'Lista para pedir'!$C$3,N($I1482)&lt;=0),"",COUNTIFS($A$2:$A1482,$A1482,$I$2:$I1482,"&gt;0"))</f>
        <v/>
      </c>
    </row>
    <row r="1483">
      <c r="A1483" s="20" t="n"/>
      <c r="B1483" s="21">
        <f>IF($A1483="","",CHOOSE(WEEKDAY($A1483,2),"Lunes","Martes","Miércoles","Jueves","Viernes","Sábado","Domingo"))</f>
        <v/>
      </c>
      <c r="C1483" s="17" t="n"/>
      <c r="D1483" s="21">
        <f>IF($C1483="","",IFERROR(INDEX(Insumos!$B$2:$B$151,MATCH($C1483,Insumos!$A$2:$A$151,0)),"Código no cargado"))</f>
        <v/>
      </c>
      <c r="E1483" s="21">
        <f>IF($C1483="","",IFERROR(INDEX(Insumos!$C$2:$C$151,MATCH($C1483,Insumos!$A$2:$A$151,0)),""))</f>
        <v/>
      </c>
      <c r="F1483" s="21">
        <f>IF($C1483="","",IFERROR(INDEX(Insumos!$D$2:$D$151,MATCH($C1483,Insumos!$A$2:$A$151,0)),""))</f>
        <v/>
      </c>
      <c r="G1483" s="18" t="n"/>
      <c r="H1483" s="19">
        <f>IF(OR($A1483="",$C1483=""),"",IFERROR(INDEX(Insumos!$M$2:$S$151,MATCH($C1483,Insumos!$A$2:$A$151,0),WEEKDAY($A1483,2)),""))</f>
        <v/>
      </c>
      <c r="I1483" s="19">
        <f>IF(OR($G1483="",$H1483=""),"",MAX(0,$H1483-$G1483))</f>
        <v/>
      </c>
      <c r="J1483" s="21">
        <f>IF($I1483="","",IF($I1483=0,"OK",IF($G1483&lt;=0,"Sin stock: pedir ya","Pedir o producir")))</f>
        <v/>
      </c>
      <c r="K1483" s="17" t="n"/>
      <c r="L1483" s="17" t="n"/>
      <c r="M1483" s="21">
        <f>IF(OR($A1483="",$A1483&lt;&gt;'Lista para pedir'!$C$3,N($I1483)&lt;=0),"",COUNTIFS($A$2:$A1483,$A1483,$I$2:$I1483,"&gt;0"))</f>
        <v/>
      </c>
    </row>
    <row r="1484">
      <c r="A1484" s="20" t="n"/>
      <c r="B1484" s="21">
        <f>IF($A1484="","",CHOOSE(WEEKDAY($A1484,2),"Lunes","Martes","Miércoles","Jueves","Viernes","Sábado","Domingo"))</f>
        <v/>
      </c>
      <c r="C1484" s="17" t="n"/>
      <c r="D1484" s="21">
        <f>IF($C1484="","",IFERROR(INDEX(Insumos!$B$2:$B$151,MATCH($C1484,Insumos!$A$2:$A$151,0)),"Código no cargado"))</f>
        <v/>
      </c>
      <c r="E1484" s="21">
        <f>IF($C1484="","",IFERROR(INDEX(Insumos!$C$2:$C$151,MATCH($C1484,Insumos!$A$2:$A$151,0)),""))</f>
        <v/>
      </c>
      <c r="F1484" s="21">
        <f>IF($C1484="","",IFERROR(INDEX(Insumos!$D$2:$D$151,MATCH($C1484,Insumos!$A$2:$A$151,0)),""))</f>
        <v/>
      </c>
      <c r="G1484" s="18" t="n"/>
      <c r="H1484" s="19">
        <f>IF(OR($A1484="",$C1484=""),"",IFERROR(INDEX(Insumos!$M$2:$S$151,MATCH($C1484,Insumos!$A$2:$A$151,0),WEEKDAY($A1484,2)),""))</f>
        <v/>
      </c>
      <c r="I1484" s="19">
        <f>IF(OR($G1484="",$H1484=""),"",MAX(0,$H1484-$G1484))</f>
        <v/>
      </c>
      <c r="J1484" s="21">
        <f>IF($I1484="","",IF($I1484=0,"OK",IF($G1484&lt;=0,"Sin stock: pedir ya","Pedir o producir")))</f>
        <v/>
      </c>
      <c r="K1484" s="17" t="n"/>
      <c r="L1484" s="17" t="n"/>
      <c r="M1484" s="21">
        <f>IF(OR($A1484="",$A1484&lt;&gt;'Lista para pedir'!$C$3,N($I1484)&lt;=0),"",COUNTIFS($A$2:$A1484,$A1484,$I$2:$I1484,"&gt;0"))</f>
        <v/>
      </c>
    </row>
    <row r="1485">
      <c r="A1485" s="20" t="n"/>
      <c r="B1485" s="21">
        <f>IF($A1485="","",CHOOSE(WEEKDAY($A1485,2),"Lunes","Martes","Miércoles","Jueves","Viernes","Sábado","Domingo"))</f>
        <v/>
      </c>
      <c r="C1485" s="17" t="n"/>
      <c r="D1485" s="21">
        <f>IF($C1485="","",IFERROR(INDEX(Insumos!$B$2:$B$151,MATCH($C1485,Insumos!$A$2:$A$151,0)),"Código no cargado"))</f>
        <v/>
      </c>
      <c r="E1485" s="21">
        <f>IF($C1485="","",IFERROR(INDEX(Insumos!$C$2:$C$151,MATCH($C1485,Insumos!$A$2:$A$151,0)),""))</f>
        <v/>
      </c>
      <c r="F1485" s="21">
        <f>IF($C1485="","",IFERROR(INDEX(Insumos!$D$2:$D$151,MATCH($C1485,Insumos!$A$2:$A$151,0)),""))</f>
        <v/>
      </c>
      <c r="G1485" s="18" t="n"/>
      <c r="H1485" s="19">
        <f>IF(OR($A1485="",$C1485=""),"",IFERROR(INDEX(Insumos!$M$2:$S$151,MATCH($C1485,Insumos!$A$2:$A$151,0),WEEKDAY($A1485,2)),""))</f>
        <v/>
      </c>
      <c r="I1485" s="19">
        <f>IF(OR($G1485="",$H1485=""),"",MAX(0,$H1485-$G1485))</f>
        <v/>
      </c>
      <c r="J1485" s="21">
        <f>IF($I1485="","",IF($I1485=0,"OK",IF($G1485&lt;=0,"Sin stock: pedir ya","Pedir o producir")))</f>
        <v/>
      </c>
      <c r="K1485" s="17" t="n"/>
      <c r="L1485" s="17" t="n"/>
      <c r="M1485" s="21">
        <f>IF(OR($A1485="",$A1485&lt;&gt;'Lista para pedir'!$C$3,N($I1485)&lt;=0),"",COUNTIFS($A$2:$A1485,$A1485,$I$2:$I1485,"&gt;0"))</f>
        <v/>
      </c>
    </row>
    <row r="1486">
      <c r="A1486" s="20" t="n"/>
      <c r="B1486" s="21">
        <f>IF($A1486="","",CHOOSE(WEEKDAY($A1486,2),"Lunes","Martes","Miércoles","Jueves","Viernes","Sábado","Domingo"))</f>
        <v/>
      </c>
      <c r="C1486" s="17" t="n"/>
      <c r="D1486" s="21">
        <f>IF($C1486="","",IFERROR(INDEX(Insumos!$B$2:$B$151,MATCH($C1486,Insumos!$A$2:$A$151,0)),"Código no cargado"))</f>
        <v/>
      </c>
      <c r="E1486" s="21">
        <f>IF($C1486="","",IFERROR(INDEX(Insumos!$C$2:$C$151,MATCH($C1486,Insumos!$A$2:$A$151,0)),""))</f>
        <v/>
      </c>
      <c r="F1486" s="21">
        <f>IF($C1486="","",IFERROR(INDEX(Insumos!$D$2:$D$151,MATCH($C1486,Insumos!$A$2:$A$151,0)),""))</f>
        <v/>
      </c>
      <c r="G1486" s="18" t="n"/>
      <c r="H1486" s="19">
        <f>IF(OR($A1486="",$C1486=""),"",IFERROR(INDEX(Insumos!$M$2:$S$151,MATCH($C1486,Insumos!$A$2:$A$151,0),WEEKDAY($A1486,2)),""))</f>
        <v/>
      </c>
      <c r="I1486" s="19">
        <f>IF(OR($G1486="",$H1486=""),"",MAX(0,$H1486-$G1486))</f>
        <v/>
      </c>
      <c r="J1486" s="21">
        <f>IF($I1486="","",IF($I1486=0,"OK",IF($G1486&lt;=0,"Sin stock: pedir ya","Pedir o producir")))</f>
        <v/>
      </c>
      <c r="K1486" s="17" t="n"/>
      <c r="L1486" s="17" t="n"/>
      <c r="M1486" s="21">
        <f>IF(OR($A1486="",$A1486&lt;&gt;'Lista para pedir'!$C$3,N($I1486)&lt;=0),"",COUNTIFS($A$2:$A1486,$A1486,$I$2:$I1486,"&gt;0"))</f>
        <v/>
      </c>
    </row>
    <row r="1487">
      <c r="A1487" s="20" t="n"/>
      <c r="B1487" s="21">
        <f>IF($A1487="","",CHOOSE(WEEKDAY($A1487,2),"Lunes","Martes","Miércoles","Jueves","Viernes","Sábado","Domingo"))</f>
        <v/>
      </c>
      <c r="C1487" s="17" t="n"/>
      <c r="D1487" s="21">
        <f>IF($C1487="","",IFERROR(INDEX(Insumos!$B$2:$B$151,MATCH($C1487,Insumos!$A$2:$A$151,0)),"Código no cargado"))</f>
        <v/>
      </c>
      <c r="E1487" s="21">
        <f>IF($C1487="","",IFERROR(INDEX(Insumos!$C$2:$C$151,MATCH($C1487,Insumos!$A$2:$A$151,0)),""))</f>
        <v/>
      </c>
      <c r="F1487" s="21">
        <f>IF($C1487="","",IFERROR(INDEX(Insumos!$D$2:$D$151,MATCH($C1487,Insumos!$A$2:$A$151,0)),""))</f>
        <v/>
      </c>
      <c r="G1487" s="18" t="n"/>
      <c r="H1487" s="19">
        <f>IF(OR($A1487="",$C1487=""),"",IFERROR(INDEX(Insumos!$M$2:$S$151,MATCH($C1487,Insumos!$A$2:$A$151,0),WEEKDAY($A1487,2)),""))</f>
        <v/>
      </c>
      <c r="I1487" s="19">
        <f>IF(OR($G1487="",$H1487=""),"",MAX(0,$H1487-$G1487))</f>
        <v/>
      </c>
      <c r="J1487" s="21">
        <f>IF($I1487="","",IF($I1487=0,"OK",IF($G1487&lt;=0,"Sin stock: pedir ya","Pedir o producir")))</f>
        <v/>
      </c>
      <c r="K1487" s="17" t="n"/>
      <c r="L1487" s="17" t="n"/>
      <c r="M1487" s="21">
        <f>IF(OR($A1487="",$A1487&lt;&gt;'Lista para pedir'!$C$3,N($I1487)&lt;=0),"",COUNTIFS($A$2:$A1487,$A1487,$I$2:$I1487,"&gt;0"))</f>
        <v/>
      </c>
    </row>
    <row r="1488">
      <c r="A1488" s="20" t="n"/>
      <c r="B1488" s="21">
        <f>IF($A1488="","",CHOOSE(WEEKDAY($A1488,2),"Lunes","Martes","Miércoles","Jueves","Viernes","Sábado","Domingo"))</f>
        <v/>
      </c>
      <c r="C1488" s="17" t="n"/>
      <c r="D1488" s="21">
        <f>IF($C1488="","",IFERROR(INDEX(Insumos!$B$2:$B$151,MATCH($C1488,Insumos!$A$2:$A$151,0)),"Código no cargado"))</f>
        <v/>
      </c>
      <c r="E1488" s="21">
        <f>IF($C1488="","",IFERROR(INDEX(Insumos!$C$2:$C$151,MATCH($C1488,Insumos!$A$2:$A$151,0)),""))</f>
        <v/>
      </c>
      <c r="F1488" s="21">
        <f>IF($C1488="","",IFERROR(INDEX(Insumos!$D$2:$D$151,MATCH($C1488,Insumos!$A$2:$A$151,0)),""))</f>
        <v/>
      </c>
      <c r="G1488" s="18" t="n"/>
      <c r="H1488" s="19">
        <f>IF(OR($A1488="",$C1488=""),"",IFERROR(INDEX(Insumos!$M$2:$S$151,MATCH($C1488,Insumos!$A$2:$A$151,0),WEEKDAY($A1488,2)),""))</f>
        <v/>
      </c>
      <c r="I1488" s="19">
        <f>IF(OR($G1488="",$H1488=""),"",MAX(0,$H1488-$G1488))</f>
        <v/>
      </c>
      <c r="J1488" s="21">
        <f>IF($I1488="","",IF($I1488=0,"OK",IF($G1488&lt;=0,"Sin stock: pedir ya","Pedir o producir")))</f>
        <v/>
      </c>
      <c r="K1488" s="17" t="n"/>
      <c r="L1488" s="17" t="n"/>
      <c r="M1488" s="21">
        <f>IF(OR($A1488="",$A1488&lt;&gt;'Lista para pedir'!$C$3,N($I1488)&lt;=0),"",COUNTIFS($A$2:$A1488,$A1488,$I$2:$I1488,"&gt;0"))</f>
        <v/>
      </c>
    </row>
    <row r="1489">
      <c r="A1489" s="20" t="n"/>
      <c r="B1489" s="21">
        <f>IF($A1489="","",CHOOSE(WEEKDAY($A1489,2),"Lunes","Martes","Miércoles","Jueves","Viernes","Sábado","Domingo"))</f>
        <v/>
      </c>
      <c r="C1489" s="17" t="n"/>
      <c r="D1489" s="21">
        <f>IF($C1489="","",IFERROR(INDEX(Insumos!$B$2:$B$151,MATCH($C1489,Insumos!$A$2:$A$151,0)),"Código no cargado"))</f>
        <v/>
      </c>
      <c r="E1489" s="21">
        <f>IF($C1489="","",IFERROR(INDEX(Insumos!$C$2:$C$151,MATCH($C1489,Insumos!$A$2:$A$151,0)),""))</f>
        <v/>
      </c>
      <c r="F1489" s="21">
        <f>IF($C1489="","",IFERROR(INDEX(Insumos!$D$2:$D$151,MATCH($C1489,Insumos!$A$2:$A$151,0)),""))</f>
        <v/>
      </c>
      <c r="G1489" s="18" t="n"/>
      <c r="H1489" s="19">
        <f>IF(OR($A1489="",$C1489=""),"",IFERROR(INDEX(Insumos!$M$2:$S$151,MATCH($C1489,Insumos!$A$2:$A$151,0),WEEKDAY($A1489,2)),""))</f>
        <v/>
      </c>
      <c r="I1489" s="19">
        <f>IF(OR($G1489="",$H1489=""),"",MAX(0,$H1489-$G1489))</f>
        <v/>
      </c>
      <c r="J1489" s="21">
        <f>IF($I1489="","",IF($I1489=0,"OK",IF($G1489&lt;=0,"Sin stock: pedir ya","Pedir o producir")))</f>
        <v/>
      </c>
      <c r="K1489" s="17" t="n"/>
      <c r="L1489" s="17" t="n"/>
      <c r="M1489" s="21">
        <f>IF(OR($A1489="",$A1489&lt;&gt;'Lista para pedir'!$C$3,N($I1489)&lt;=0),"",COUNTIFS($A$2:$A1489,$A1489,$I$2:$I1489,"&gt;0"))</f>
        <v/>
      </c>
    </row>
    <row r="1490">
      <c r="A1490" s="20" t="n"/>
      <c r="B1490" s="21">
        <f>IF($A1490="","",CHOOSE(WEEKDAY($A1490,2),"Lunes","Martes","Miércoles","Jueves","Viernes","Sábado","Domingo"))</f>
        <v/>
      </c>
      <c r="C1490" s="17" t="n"/>
      <c r="D1490" s="21">
        <f>IF($C1490="","",IFERROR(INDEX(Insumos!$B$2:$B$151,MATCH($C1490,Insumos!$A$2:$A$151,0)),"Código no cargado"))</f>
        <v/>
      </c>
      <c r="E1490" s="21">
        <f>IF($C1490="","",IFERROR(INDEX(Insumos!$C$2:$C$151,MATCH($C1490,Insumos!$A$2:$A$151,0)),""))</f>
        <v/>
      </c>
      <c r="F1490" s="21">
        <f>IF($C1490="","",IFERROR(INDEX(Insumos!$D$2:$D$151,MATCH($C1490,Insumos!$A$2:$A$151,0)),""))</f>
        <v/>
      </c>
      <c r="G1490" s="18" t="n"/>
      <c r="H1490" s="19">
        <f>IF(OR($A1490="",$C1490=""),"",IFERROR(INDEX(Insumos!$M$2:$S$151,MATCH($C1490,Insumos!$A$2:$A$151,0),WEEKDAY($A1490,2)),""))</f>
        <v/>
      </c>
      <c r="I1490" s="19">
        <f>IF(OR($G1490="",$H1490=""),"",MAX(0,$H1490-$G1490))</f>
        <v/>
      </c>
      <c r="J1490" s="21">
        <f>IF($I1490="","",IF($I1490=0,"OK",IF($G1490&lt;=0,"Sin stock: pedir ya","Pedir o producir")))</f>
        <v/>
      </c>
      <c r="K1490" s="17" t="n"/>
      <c r="L1490" s="17" t="n"/>
      <c r="M1490" s="21">
        <f>IF(OR($A1490="",$A1490&lt;&gt;'Lista para pedir'!$C$3,N($I1490)&lt;=0),"",COUNTIFS($A$2:$A1490,$A1490,$I$2:$I1490,"&gt;0"))</f>
        <v/>
      </c>
    </row>
    <row r="1491">
      <c r="A1491" s="20" t="n"/>
      <c r="B1491" s="21">
        <f>IF($A1491="","",CHOOSE(WEEKDAY($A1491,2),"Lunes","Martes","Miércoles","Jueves","Viernes","Sábado","Domingo"))</f>
        <v/>
      </c>
      <c r="C1491" s="17" t="n"/>
      <c r="D1491" s="21">
        <f>IF($C1491="","",IFERROR(INDEX(Insumos!$B$2:$B$151,MATCH($C1491,Insumos!$A$2:$A$151,0)),"Código no cargado"))</f>
        <v/>
      </c>
      <c r="E1491" s="21">
        <f>IF($C1491="","",IFERROR(INDEX(Insumos!$C$2:$C$151,MATCH($C1491,Insumos!$A$2:$A$151,0)),""))</f>
        <v/>
      </c>
      <c r="F1491" s="21">
        <f>IF($C1491="","",IFERROR(INDEX(Insumos!$D$2:$D$151,MATCH($C1491,Insumos!$A$2:$A$151,0)),""))</f>
        <v/>
      </c>
      <c r="G1491" s="18" t="n"/>
      <c r="H1491" s="19">
        <f>IF(OR($A1491="",$C1491=""),"",IFERROR(INDEX(Insumos!$M$2:$S$151,MATCH($C1491,Insumos!$A$2:$A$151,0),WEEKDAY($A1491,2)),""))</f>
        <v/>
      </c>
      <c r="I1491" s="19">
        <f>IF(OR($G1491="",$H1491=""),"",MAX(0,$H1491-$G1491))</f>
        <v/>
      </c>
      <c r="J1491" s="21">
        <f>IF($I1491="","",IF($I1491=0,"OK",IF($G1491&lt;=0,"Sin stock: pedir ya","Pedir o producir")))</f>
        <v/>
      </c>
      <c r="K1491" s="17" t="n"/>
      <c r="L1491" s="17" t="n"/>
      <c r="M1491" s="21">
        <f>IF(OR($A1491="",$A1491&lt;&gt;'Lista para pedir'!$C$3,N($I1491)&lt;=0),"",COUNTIFS($A$2:$A1491,$A1491,$I$2:$I1491,"&gt;0"))</f>
        <v/>
      </c>
    </row>
    <row r="1492">
      <c r="A1492" s="20" t="n"/>
      <c r="B1492" s="21">
        <f>IF($A1492="","",CHOOSE(WEEKDAY($A1492,2),"Lunes","Martes","Miércoles","Jueves","Viernes","Sábado","Domingo"))</f>
        <v/>
      </c>
      <c r="C1492" s="17" t="n"/>
      <c r="D1492" s="21">
        <f>IF($C1492="","",IFERROR(INDEX(Insumos!$B$2:$B$151,MATCH($C1492,Insumos!$A$2:$A$151,0)),"Código no cargado"))</f>
        <v/>
      </c>
      <c r="E1492" s="21">
        <f>IF($C1492="","",IFERROR(INDEX(Insumos!$C$2:$C$151,MATCH($C1492,Insumos!$A$2:$A$151,0)),""))</f>
        <v/>
      </c>
      <c r="F1492" s="21">
        <f>IF($C1492="","",IFERROR(INDEX(Insumos!$D$2:$D$151,MATCH($C1492,Insumos!$A$2:$A$151,0)),""))</f>
        <v/>
      </c>
      <c r="G1492" s="18" t="n"/>
      <c r="H1492" s="19">
        <f>IF(OR($A1492="",$C1492=""),"",IFERROR(INDEX(Insumos!$M$2:$S$151,MATCH($C1492,Insumos!$A$2:$A$151,0),WEEKDAY($A1492,2)),""))</f>
        <v/>
      </c>
      <c r="I1492" s="19">
        <f>IF(OR($G1492="",$H1492=""),"",MAX(0,$H1492-$G1492))</f>
        <v/>
      </c>
      <c r="J1492" s="21">
        <f>IF($I1492="","",IF($I1492=0,"OK",IF($G1492&lt;=0,"Sin stock: pedir ya","Pedir o producir")))</f>
        <v/>
      </c>
      <c r="K1492" s="17" t="n"/>
      <c r="L1492" s="17" t="n"/>
      <c r="M1492" s="21">
        <f>IF(OR($A1492="",$A1492&lt;&gt;'Lista para pedir'!$C$3,N($I1492)&lt;=0),"",COUNTIFS($A$2:$A1492,$A1492,$I$2:$I1492,"&gt;0"))</f>
        <v/>
      </c>
    </row>
    <row r="1493">
      <c r="A1493" s="20" t="n"/>
      <c r="B1493" s="21">
        <f>IF($A1493="","",CHOOSE(WEEKDAY($A1493,2),"Lunes","Martes","Miércoles","Jueves","Viernes","Sábado","Domingo"))</f>
        <v/>
      </c>
      <c r="C1493" s="17" t="n"/>
      <c r="D1493" s="21">
        <f>IF($C1493="","",IFERROR(INDEX(Insumos!$B$2:$B$151,MATCH($C1493,Insumos!$A$2:$A$151,0)),"Código no cargado"))</f>
        <v/>
      </c>
      <c r="E1493" s="21">
        <f>IF($C1493="","",IFERROR(INDEX(Insumos!$C$2:$C$151,MATCH($C1493,Insumos!$A$2:$A$151,0)),""))</f>
        <v/>
      </c>
      <c r="F1493" s="21">
        <f>IF($C1493="","",IFERROR(INDEX(Insumos!$D$2:$D$151,MATCH($C1493,Insumos!$A$2:$A$151,0)),""))</f>
        <v/>
      </c>
      <c r="G1493" s="18" t="n"/>
      <c r="H1493" s="19">
        <f>IF(OR($A1493="",$C1493=""),"",IFERROR(INDEX(Insumos!$M$2:$S$151,MATCH($C1493,Insumos!$A$2:$A$151,0),WEEKDAY($A1493,2)),""))</f>
        <v/>
      </c>
      <c r="I1493" s="19">
        <f>IF(OR($G1493="",$H1493=""),"",MAX(0,$H1493-$G1493))</f>
        <v/>
      </c>
      <c r="J1493" s="21">
        <f>IF($I1493="","",IF($I1493=0,"OK",IF($G1493&lt;=0,"Sin stock: pedir ya","Pedir o producir")))</f>
        <v/>
      </c>
      <c r="K1493" s="17" t="n"/>
      <c r="L1493" s="17" t="n"/>
      <c r="M1493" s="21">
        <f>IF(OR($A1493="",$A1493&lt;&gt;'Lista para pedir'!$C$3,N($I1493)&lt;=0),"",COUNTIFS($A$2:$A1493,$A1493,$I$2:$I1493,"&gt;0"))</f>
        <v/>
      </c>
    </row>
    <row r="1494">
      <c r="A1494" s="20" t="n"/>
      <c r="B1494" s="21">
        <f>IF($A1494="","",CHOOSE(WEEKDAY($A1494,2),"Lunes","Martes","Miércoles","Jueves","Viernes","Sábado","Domingo"))</f>
        <v/>
      </c>
      <c r="C1494" s="17" t="n"/>
      <c r="D1494" s="21">
        <f>IF($C1494="","",IFERROR(INDEX(Insumos!$B$2:$B$151,MATCH($C1494,Insumos!$A$2:$A$151,0)),"Código no cargado"))</f>
        <v/>
      </c>
      <c r="E1494" s="21">
        <f>IF($C1494="","",IFERROR(INDEX(Insumos!$C$2:$C$151,MATCH($C1494,Insumos!$A$2:$A$151,0)),""))</f>
        <v/>
      </c>
      <c r="F1494" s="21">
        <f>IF($C1494="","",IFERROR(INDEX(Insumos!$D$2:$D$151,MATCH($C1494,Insumos!$A$2:$A$151,0)),""))</f>
        <v/>
      </c>
      <c r="G1494" s="18" t="n"/>
      <c r="H1494" s="19">
        <f>IF(OR($A1494="",$C1494=""),"",IFERROR(INDEX(Insumos!$M$2:$S$151,MATCH($C1494,Insumos!$A$2:$A$151,0),WEEKDAY($A1494,2)),""))</f>
        <v/>
      </c>
      <c r="I1494" s="19">
        <f>IF(OR($G1494="",$H1494=""),"",MAX(0,$H1494-$G1494))</f>
        <v/>
      </c>
      <c r="J1494" s="21">
        <f>IF($I1494="","",IF($I1494=0,"OK",IF($G1494&lt;=0,"Sin stock: pedir ya","Pedir o producir")))</f>
        <v/>
      </c>
      <c r="K1494" s="17" t="n"/>
      <c r="L1494" s="17" t="n"/>
      <c r="M1494" s="21">
        <f>IF(OR($A1494="",$A1494&lt;&gt;'Lista para pedir'!$C$3,N($I1494)&lt;=0),"",COUNTIFS($A$2:$A1494,$A1494,$I$2:$I1494,"&gt;0"))</f>
        <v/>
      </c>
    </row>
    <row r="1495">
      <c r="A1495" s="20" t="n"/>
      <c r="B1495" s="21">
        <f>IF($A1495="","",CHOOSE(WEEKDAY($A1495,2),"Lunes","Martes","Miércoles","Jueves","Viernes","Sábado","Domingo"))</f>
        <v/>
      </c>
      <c r="C1495" s="17" t="n"/>
      <c r="D1495" s="21">
        <f>IF($C1495="","",IFERROR(INDEX(Insumos!$B$2:$B$151,MATCH($C1495,Insumos!$A$2:$A$151,0)),"Código no cargado"))</f>
        <v/>
      </c>
      <c r="E1495" s="21">
        <f>IF($C1495="","",IFERROR(INDEX(Insumos!$C$2:$C$151,MATCH($C1495,Insumos!$A$2:$A$151,0)),""))</f>
        <v/>
      </c>
      <c r="F1495" s="21">
        <f>IF($C1495="","",IFERROR(INDEX(Insumos!$D$2:$D$151,MATCH($C1495,Insumos!$A$2:$A$151,0)),""))</f>
        <v/>
      </c>
      <c r="G1495" s="18" t="n"/>
      <c r="H1495" s="19">
        <f>IF(OR($A1495="",$C1495=""),"",IFERROR(INDEX(Insumos!$M$2:$S$151,MATCH($C1495,Insumos!$A$2:$A$151,0),WEEKDAY($A1495,2)),""))</f>
        <v/>
      </c>
      <c r="I1495" s="19">
        <f>IF(OR($G1495="",$H1495=""),"",MAX(0,$H1495-$G1495))</f>
        <v/>
      </c>
      <c r="J1495" s="21">
        <f>IF($I1495="","",IF($I1495=0,"OK",IF($G1495&lt;=0,"Sin stock: pedir ya","Pedir o producir")))</f>
        <v/>
      </c>
      <c r="K1495" s="17" t="n"/>
      <c r="L1495" s="17" t="n"/>
      <c r="M1495" s="21">
        <f>IF(OR($A1495="",$A1495&lt;&gt;'Lista para pedir'!$C$3,N($I1495)&lt;=0),"",COUNTIFS($A$2:$A1495,$A1495,$I$2:$I1495,"&gt;0"))</f>
        <v/>
      </c>
    </row>
    <row r="1496">
      <c r="A1496" s="20" t="n"/>
      <c r="B1496" s="21">
        <f>IF($A1496="","",CHOOSE(WEEKDAY($A1496,2),"Lunes","Martes","Miércoles","Jueves","Viernes","Sábado","Domingo"))</f>
        <v/>
      </c>
      <c r="C1496" s="17" t="n"/>
      <c r="D1496" s="21">
        <f>IF($C1496="","",IFERROR(INDEX(Insumos!$B$2:$B$151,MATCH($C1496,Insumos!$A$2:$A$151,0)),"Código no cargado"))</f>
        <v/>
      </c>
      <c r="E1496" s="21">
        <f>IF($C1496="","",IFERROR(INDEX(Insumos!$C$2:$C$151,MATCH($C1496,Insumos!$A$2:$A$151,0)),""))</f>
        <v/>
      </c>
      <c r="F1496" s="21">
        <f>IF($C1496="","",IFERROR(INDEX(Insumos!$D$2:$D$151,MATCH($C1496,Insumos!$A$2:$A$151,0)),""))</f>
        <v/>
      </c>
      <c r="G1496" s="18" t="n"/>
      <c r="H1496" s="19">
        <f>IF(OR($A1496="",$C1496=""),"",IFERROR(INDEX(Insumos!$M$2:$S$151,MATCH($C1496,Insumos!$A$2:$A$151,0),WEEKDAY($A1496,2)),""))</f>
        <v/>
      </c>
      <c r="I1496" s="19">
        <f>IF(OR($G1496="",$H1496=""),"",MAX(0,$H1496-$G1496))</f>
        <v/>
      </c>
      <c r="J1496" s="21">
        <f>IF($I1496="","",IF($I1496=0,"OK",IF($G1496&lt;=0,"Sin stock: pedir ya","Pedir o producir")))</f>
        <v/>
      </c>
      <c r="K1496" s="17" t="n"/>
      <c r="L1496" s="17" t="n"/>
      <c r="M1496" s="21">
        <f>IF(OR($A1496="",$A1496&lt;&gt;'Lista para pedir'!$C$3,N($I1496)&lt;=0),"",COUNTIFS($A$2:$A1496,$A1496,$I$2:$I1496,"&gt;0"))</f>
        <v/>
      </c>
    </row>
    <row r="1497">
      <c r="A1497" s="20" t="n"/>
      <c r="B1497" s="21">
        <f>IF($A1497="","",CHOOSE(WEEKDAY($A1497,2),"Lunes","Martes","Miércoles","Jueves","Viernes","Sábado","Domingo"))</f>
        <v/>
      </c>
      <c r="C1497" s="17" t="n"/>
      <c r="D1497" s="21">
        <f>IF($C1497="","",IFERROR(INDEX(Insumos!$B$2:$B$151,MATCH($C1497,Insumos!$A$2:$A$151,0)),"Código no cargado"))</f>
        <v/>
      </c>
      <c r="E1497" s="21">
        <f>IF($C1497="","",IFERROR(INDEX(Insumos!$C$2:$C$151,MATCH($C1497,Insumos!$A$2:$A$151,0)),""))</f>
        <v/>
      </c>
      <c r="F1497" s="21">
        <f>IF($C1497="","",IFERROR(INDEX(Insumos!$D$2:$D$151,MATCH($C1497,Insumos!$A$2:$A$151,0)),""))</f>
        <v/>
      </c>
      <c r="G1497" s="18" t="n"/>
      <c r="H1497" s="19">
        <f>IF(OR($A1497="",$C1497=""),"",IFERROR(INDEX(Insumos!$M$2:$S$151,MATCH($C1497,Insumos!$A$2:$A$151,0),WEEKDAY($A1497,2)),""))</f>
        <v/>
      </c>
      <c r="I1497" s="19">
        <f>IF(OR($G1497="",$H1497=""),"",MAX(0,$H1497-$G1497))</f>
        <v/>
      </c>
      <c r="J1497" s="21">
        <f>IF($I1497="","",IF($I1497=0,"OK",IF($G1497&lt;=0,"Sin stock: pedir ya","Pedir o producir")))</f>
        <v/>
      </c>
      <c r="K1497" s="17" t="n"/>
      <c r="L1497" s="17" t="n"/>
      <c r="M1497" s="21">
        <f>IF(OR($A1497="",$A1497&lt;&gt;'Lista para pedir'!$C$3,N($I1497)&lt;=0),"",COUNTIFS($A$2:$A1497,$A1497,$I$2:$I1497,"&gt;0"))</f>
        <v/>
      </c>
    </row>
    <row r="1498">
      <c r="A1498" s="20" t="n"/>
      <c r="B1498" s="21">
        <f>IF($A1498="","",CHOOSE(WEEKDAY($A1498,2),"Lunes","Martes","Miércoles","Jueves","Viernes","Sábado","Domingo"))</f>
        <v/>
      </c>
      <c r="C1498" s="17" t="n"/>
      <c r="D1498" s="21">
        <f>IF($C1498="","",IFERROR(INDEX(Insumos!$B$2:$B$151,MATCH($C1498,Insumos!$A$2:$A$151,0)),"Código no cargado"))</f>
        <v/>
      </c>
      <c r="E1498" s="21">
        <f>IF($C1498="","",IFERROR(INDEX(Insumos!$C$2:$C$151,MATCH($C1498,Insumos!$A$2:$A$151,0)),""))</f>
        <v/>
      </c>
      <c r="F1498" s="21">
        <f>IF($C1498="","",IFERROR(INDEX(Insumos!$D$2:$D$151,MATCH($C1498,Insumos!$A$2:$A$151,0)),""))</f>
        <v/>
      </c>
      <c r="G1498" s="18" t="n"/>
      <c r="H1498" s="19">
        <f>IF(OR($A1498="",$C1498=""),"",IFERROR(INDEX(Insumos!$M$2:$S$151,MATCH($C1498,Insumos!$A$2:$A$151,0),WEEKDAY($A1498,2)),""))</f>
        <v/>
      </c>
      <c r="I1498" s="19">
        <f>IF(OR($G1498="",$H1498=""),"",MAX(0,$H1498-$G1498))</f>
        <v/>
      </c>
      <c r="J1498" s="21">
        <f>IF($I1498="","",IF($I1498=0,"OK",IF($G1498&lt;=0,"Sin stock: pedir ya","Pedir o producir")))</f>
        <v/>
      </c>
      <c r="K1498" s="17" t="n"/>
      <c r="L1498" s="17" t="n"/>
      <c r="M1498" s="21">
        <f>IF(OR($A1498="",$A1498&lt;&gt;'Lista para pedir'!$C$3,N($I1498)&lt;=0),"",COUNTIFS($A$2:$A1498,$A1498,$I$2:$I1498,"&gt;0"))</f>
        <v/>
      </c>
    </row>
    <row r="1499">
      <c r="A1499" s="20" t="n"/>
      <c r="B1499" s="21">
        <f>IF($A1499="","",CHOOSE(WEEKDAY($A1499,2),"Lunes","Martes","Miércoles","Jueves","Viernes","Sábado","Domingo"))</f>
        <v/>
      </c>
      <c r="C1499" s="17" t="n"/>
      <c r="D1499" s="21">
        <f>IF($C1499="","",IFERROR(INDEX(Insumos!$B$2:$B$151,MATCH($C1499,Insumos!$A$2:$A$151,0)),"Código no cargado"))</f>
        <v/>
      </c>
      <c r="E1499" s="21">
        <f>IF($C1499="","",IFERROR(INDEX(Insumos!$C$2:$C$151,MATCH($C1499,Insumos!$A$2:$A$151,0)),""))</f>
        <v/>
      </c>
      <c r="F1499" s="21">
        <f>IF($C1499="","",IFERROR(INDEX(Insumos!$D$2:$D$151,MATCH($C1499,Insumos!$A$2:$A$151,0)),""))</f>
        <v/>
      </c>
      <c r="G1499" s="18" t="n"/>
      <c r="H1499" s="19">
        <f>IF(OR($A1499="",$C1499=""),"",IFERROR(INDEX(Insumos!$M$2:$S$151,MATCH($C1499,Insumos!$A$2:$A$151,0),WEEKDAY($A1499,2)),""))</f>
        <v/>
      </c>
      <c r="I1499" s="19">
        <f>IF(OR($G1499="",$H1499=""),"",MAX(0,$H1499-$G1499))</f>
        <v/>
      </c>
      <c r="J1499" s="21">
        <f>IF($I1499="","",IF($I1499=0,"OK",IF($G1499&lt;=0,"Sin stock: pedir ya","Pedir o producir")))</f>
        <v/>
      </c>
      <c r="K1499" s="17" t="n"/>
      <c r="L1499" s="17" t="n"/>
      <c r="M1499" s="21">
        <f>IF(OR($A1499="",$A1499&lt;&gt;'Lista para pedir'!$C$3,N($I1499)&lt;=0),"",COUNTIFS($A$2:$A1499,$A1499,$I$2:$I1499,"&gt;0"))</f>
        <v/>
      </c>
    </row>
    <row r="1500">
      <c r="A1500" s="20" t="n"/>
      <c r="B1500" s="21">
        <f>IF($A1500="","",CHOOSE(WEEKDAY($A1500,2),"Lunes","Martes","Miércoles","Jueves","Viernes","Sábado","Domingo"))</f>
        <v/>
      </c>
      <c r="C1500" s="17" t="n"/>
      <c r="D1500" s="21">
        <f>IF($C1500="","",IFERROR(INDEX(Insumos!$B$2:$B$151,MATCH($C1500,Insumos!$A$2:$A$151,0)),"Código no cargado"))</f>
        <v/>
      </c>
      <c r="E1500" s="21">
        <f>IF($C1500="","",IFERROR(INDEX(Insumos!$C$2:$C$151,MATCH($C1500,Insumos!$A$2:$A$151,0)),""))</f>
        <v/>
      </c>
      <c r="F1500" s="21">
        <f>IF($C1500="","",IFERROR(INDEX(Insumos!$D$2:$D$151,MATCH($C1500,Insumos!$A$2:$A$151,0)),""))</f>
        <v/>
      </c>
      <c r="G1500" s="18" t="n"/>
      <c r="H1500" s="19">
        <f>IF(OR($A1500="",$C1500=""),"",IFERROR(INDEX(Insumos!$M$2:$S$151,MATCH($C1500,Insumos!$A$2:$A$151,0),WEEKDAY($A1500,2)),""))</f>
        <v/>
      </c>
      <c r="I1500" s="19">
        <f>IF(OR($G1500="",$H1500=""),"",MAX(0,$H1500-$G1500))</f>
        <v/>
      </c>
      <c r="J1500" s="21">
        <f>IF($I1500="","",IF($I1500=0,"OK",IF($G1500&lt;=0,"Sin stock: pedir ya","Pedir o producir")))</f>
        <v/>
      </c>
      <c r="K1500" s="17" t="n"/>
      <c r="L1500" s="17" t="n"/>
      <c r="M1500" s="21">
        <f>IF(OR($A1500="",$A1500&lt;&gt;'Lista para pedir'!$C$3,N($I1500)&lt;=0),"",COUNTIFS($A$2:$A1500,$A1500,$I$2:$I1500,"&gt;0"))</f>
        <v/>
      </c>
    </row>
    <row r="1501">
      <c r="A1501" s="20" t="n"/>
      <c r="B1501" s="21">
        <f>IF($A1501="","",CHOOSE(WEEKDAY($A1501,2),"Lunes","Martes","Miércoles","Jueves","Viernes","Sábado","Domingo"))</f>
        <v/>
      </c>
      <c r="C1501" s="17" t="n"/>
      <c r="D1501" s="21">
        <f>IF($C1501="","",IFERROR(INDEX(Insumos!$B$2:$B$151,MATCH($C1501,Insumos!$A$2:$A$151,0)),"Código no cargado"))</f>
        <v/>
      </c>
      <c r="E1501" s="21">
        <f>IF($C1501="","",IFERROR(INDEX(Insumos!$C$2:$C$151,MATCH($C1501,Insumos!$A$2:$A$151,0)),""))</f>
        <v/>
      </c>
      <c r="F1501" s="21">
        <f>IF($C1501="","",IFERROR(INDEX(Insumos!$D$2:$D$151,MATCH($C1501,Insumos!$A$2:$A$151,0)),""))</f>
        <v/>
      </c>
      <c r="G1501" s="18" t="n"/>
      <c r="H1501" s="19">
        <f>IF(OR($A1501="",$C1501=""),"",IFERROR(INDEX(Insumos!$M$2:$S$151,MATCH($C1501,Insumos!$A$2:$A$151,0),WEEKDAY($A1501,2)),""))</f>
        <v/>
      </c>
      <c r="I1501" s="19">
        <f>IF(OR($G1501="",$H1501=""),"",MAX(0,$H1501-$G1501))</f>
        <v/>
      </c>
      <c r="J1501" s="21">
        <f>IF($I1501="","",IF($I1501=0,"OK",IF($G1501&lt;=0,"Sin stock: pedir ya","Pedir o producir")))</f>
        <v/>
      </c>
      <c r="K1501" s="17" t="n"/>
      <c r="L1501" s="17" t="n"/>
      <c r="M1501" s="21">
        <f>IF(OR($A1501="",$A1501&lt;&gt;'Lista para pedir'!$C$3,N($I1501)&lt;=0),"",COUNTIFS($A$2:$A1501,$A1501,$I$2:$I1501,"&gt;0"))</f>
        <v/>
      </c>
    </row>
  </sheetData>
  <conditionalFormatting sqref="J2:J1501">
    <cfRule type="expression" priority="1" dxfId="0">
      <formula>$J2="OK"</formula>
    </cfRule>
    <cfRule type="expression" priority="2" dxfId="1">
      <formula>$J2="Pedir o producir"</formula>
    </cfRule>
    <cfRule type="expression" priority="3" dxfId="2">
      <formula>$J2="Sin stock: pedir ya"</formula>
    </cfRule>
  </conditionalFormatting>
  <dataValidations count="1">
    <dataValidation sqref="C2:C1501" showDropDown="0" showInputMessage="0" showErrorMessage="0" allowBlank="1" type="list">
      <formula1>=Insumos!$A$2:$A$151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FAF22"/>
    <outlinePr summaryBelow="1" summaryRight="1"/>
    <pageSetUpPr fitToPage="1"/>
  </sheetPr>
  <dimension ref="B1:H6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24" customWidth="1" min="3" max="3"/>
    <col width="12" customWidth="1" min="4" max="4"/>
    <col width="10" customWidth="1" min="5" max="5"/>
    <col width="12" customWidth="1" min="6" max="6"/>
    <col width="14" customWidth="1" min="7" max="7"/>
    <col width="24" customWidth="1" min="8" max="8"/>
  </cols>
  <sheetData>
    <row r="1">
      <c r="B1" s="9" t="inlineStr">
        <is>
          <t>Lista para pedir o producir</t>
        </is>
      </c>
    </row>
    <row r="3">
      <c r="B3" s="10" t="inlineStr">
        <is>
          <t>Fecha</t>
        </is>
      </c>
      <c r="C3" s="22" t="n">
        <v>46318</v>
      </c>
      <c r="D3" s="23">
        <f>IF($C$3="","",CHOOSE(WEEKDAY($C$3,2),"Lunes","Martes","Miércoles","Jueves","Viernes","Sábado","Domingo"))</f>
        <v/>
      </c>
    </row>
    <row r="4">
      <c r="B4" s="10" t="inlineStr">
        <is>
          <t>Filtrar sector (vacío = todos)</t>
        </is>
      </c>
      <c r="E4" s="14" t="n"/>
    </row>
    <row r="6">
      <c r="B6" s="24" t="inlineStr">
        <is>
          <t>N°</t>
        </is>
      </c>
      <c r="C6" s="24" t="inlineStr">
        <is>
          <t>Insumo</t>
        </is>
      </c>
      <c r="D6" s="24" t="inlineStr">
        <is>
          <t>Sector</t>
        </is>
      </c>
      <c r="E6" s="24" t="inlineStr">
        <is>
          <t>Unidad</t>
        </is>
      </c>
      <c r="F6" s="24" t="inlineStr">
        <is>
          <t>Contado</t>
        </is>
      </c>
      <c r="G6" s="24" t="inlineStr">
        <is>
          <t>Pedir / producir</t>
        </is>
      </c>
      <c r="H6" s="24" t="inlineStr">
        <is>
          <t>Observaciones</t>
        </is>
      </c>
    </row>
    <row r="7">
      <c r="B7" s="17">
        <f>IF(COUNTIF('Conteo diario'!$M$2:$M$1501,1)=0,"",IF(OR($E$4="",INDEX('Conteo diario'!$E$2:$E$1501,MATCH(1,'Conteo diario'!$M$2:$M$1501,0))=$E$4),1,""))</f>
        <v/>
      </c>
      <c r="C7" s="17">
        <f>IF($B7="","",IF(INDEX('Conteo diario'!$D$2:$D$1501,MATCH(1,'Conteo diario'!$M$2:$M$1501,0))="","",INDEX('Conteo diario'!$D$2:$D$1501,MATCH(1,'Conteo diario'!$M$2:$M$1501,0))))</f>
        <v/>
      </c>
      <c r="D7" s="17">
        <f>IF($B7="","",IF(INDEX('Conteo diario'!$E$2:$E$1501,MATCH(1,'Conteo diario'!$M$2:$M$1501,0))="","",INDEX('Conteo diario'!$E$2:$E$1501,MATCH(1,'Conteo diario'!$M$2:$M$1501,0))))</f>
        <v/>
      </c>
      <c r="E7" s="17">
        <f>IF($B7="","",IF(INDEX('Conteo diario'!$F$2:$F$1501,MATCH(1,'Conteo diario'!$M$2:$M$1501,0))="","",INDEX('Conteo diario'!$F$2:$F$1501,MATCH(1,'Conteo diario'!$M$2:$M$1501,0))))</f>
        <v/>
      </c>
      <c r="F7" s="18">
        <f>IF($B7="","",IF(INDEX('Conteo diario'!$G$2:$G$1501,MATCH(1,'Conteo diario'!$M$2:$M$1501,0))="","",INDEX('Conteo diario'!$G$2:$G$1501,MATCH(1,'Conteo diario'!$M$2:$M$1501,0))))</f>
        <v/>
      </c>
      <c r="G7" s="18">
        <f>IF($B7="","",IF(INDEX('Conteo diario'!$I$2:$I$1501,MATCH(1,'Conteo diario'!$M$2:$M$1501,0))="","",INDEX('Conteo diario'!$I$2:$I$1501,MATCH(1,'Conteo diario'!$M$2:$M$1501,0))))</f>
        <v/>
      </c>
      <c r="H7" s="17">
        <f>IF($B7="","",IF(INDEX('Conteo diario'!$L$2:$L$1501,MATCH(1,'Conteo diario'!$M$2:$M$1501,0))="","",INDEX('Conteo diario'!$L$2:$L$1501,MATCH(1,'Conteo diario'!$M$2:$M$1501,0))))</f>
        <v/>
      </c>
    </row>
    <row r="8">
      <c r="B8" s="17">
        <f>IF(COUNTIF('Conteo diario'!$M$2:$M$1501,2)=0,"",IF(OR($E$4="",INDEX('Conteo diario'!$E$2:$E$1501,MATCH(2,'Conteo diario'!$M$2:$M$1501,0))=$E$4),2,""))</f>
        <v/>
      </c>
      <c r="C8" s="17">
        <f>IF($B8="","",IF(INDEX('Conteo diario'!$D$2:$D$1501,MATCH(2,'Conteo diario'!$M$2:$M$1501,0))="","",INDEX('Conteo diario'!$D$2:$D$1501,MATCH(2,'Conteo diario'!$M$2:$M$1501,0))))</f>
        <v/>
      </c>
      <c r="D8" s="17">
        <f>IF($B8="","",IF(INDEX('Conteo diario'!$E$2:$E$1501,MATCH(2,'Conteo diario'!$M$2:$M$1501,0))="","",INDEX('Conteo diario'!$E$2:$E$1501,MATCH(2,'Conteo diario'!$M$2:$M$1501,0))))</f>
        <v/>
      </c>
      <c r="E8" s="17">
        <f>IF($B8="","",IF(INDEX('Conteo diario'!$F$2:$F$1501,MATCH(2,'Conteo diario'!$M$2:$M$1501,0))="","",INDEX('Conteo diario'!$F$2:$F$1501,MATCH(2,'Conteo diario'!$M$2:$M$1501,0))))</f>
        <v/>
      </c>
      <c r="F8" s="18">
        <f>IF($B8="","",IF(INDEX('Conteo diario'!$G$2:$G$1501,MATCH(2,'Conteo diario'!$M$2:$M$1501,0))="","",INDEX('Conteo diario'!$G$2:$G$1501,MATCH(2,'Conteo diario'!$M$2:$M$1501,0))))</f>
        <v/>
      </c>
      <c r="G8" s="18">
        <f>IF($B8="","",IF(INDEX('Conteo diario'!$I$2:$I$1501,MATCH(2,'Conteo diario'!$M$2:$M$1501,0))="","",INDEX('Conteo diario'!$I$2:$I$1501,MATCH(2,'Conteo diario'!$M$2:$M$1501,0))))</f>
        <v/>
      </c>
      <c r="H8" s="17">
        <f>IF($B8="","",IF(INDEX('Conteo diario'!$L$2:$L$1501,MATCH(2,'Conteo diario'!$M$2:$M$1501,0))="","",INDEX('Conteo diario'!$L$2:$L$1501,MATCH(2,'Conteo diario'!$M$2:$M$1501,0))))</f>
        <v/>
      </c>
    </row>
    <row r="9">
      <c r="B9" s="17">
        <f>IF(COUNTIF('Conteo diario'!$M$2:$M$1501,3)=0,"",IF(OR($E$4="",INDEX('Conteo diario'!$E$2:$E$1501,MATCH(3,'Conteo diario'!$M$2:$M$1501,0))=$E$4),3,""))</f>
        <v/>
      </c>
      <c r="C9" s="17">
        <f>IF($B9="","",IF(INDEX('Conteo diario'!$D$2:$D$1501,MATCH(3,'Conteo diario'!$M$2:$M$1501,0))="","",INDEX('Conteo diario'!$D$2:$D$1501,MATCH(3,'Conteo diario'!$M$2:$M$1501,0))))</f>
        <v/>
      </c>
      <c r="D9" s="17">
        <f>IF($B9="","",IF(INDEX('Conteo diario'!$E$2:$E$1501,MATCH(3,'Conteo diario'!$M$2:$M$1501,0))="","",INDEX('Conteo diario'!$E$2:$E$1501,MATCH(3,'Conteo diario'!$M$2:$M$1501,0))))</f>
        <v/>
      </c>
      <c r="E9" s="17">
        <f>IF($B9="","",IF(INDEX('Conteo diario'!$F$2:$F$1501,MATCH(3,'Conteo diario'!$M$2:$M$1501,0))="","",INDEX('Conteo diario'!$F$2:$F$1501,MATCH(3,'Conteo diario'!$M$2:$M$1501,0))))</f>
        <v/>
      </c>
      <c r="F9" s="18">
        <f>IF($B9="","",IF(INDEX('Conteo diario'!$G$2:$G$1501,MATCH(3,'Conteo diario'!$M$2:$M$1501,0))="","",INDEX('Conteo diario'!$G$2:$G$1501,MATCH(3,'Conteo diario'!$M$2:$M$1501,0))))</f>
        <v/>
      </c>
      <c r="G9" s="18">
        <f>IF($B9="","",IF(INDEX('Conteo diario'!$I$2:$I$1501,MATCH(3,'Conteo diario'!$M$2:$M$1501,0))="","",INDEX('Conteo diario'!$I$2:$I$1501,MATCH(3,'Conteo diario'!$M$2:$M$1501,0))))</f>
        <v/>
      </c>
      <c r="H9" s="17">
        <f>IF($B9="","",IF(INDEX('Conteo diario'!$L$2:$L$1501,MATCH(3,'Conteo diario'!$M$2:$M$1501,0))="","",INDEX('Conteo diario'!$L$2:$L$1501,MATCH(3,'Conteo diario'!$M$2:$M$1501,0))))</f>
        <v/>
      </c>
    </row>
    <row r="10">
      <c r="B10" s="17">
        <f>IF(COUNTIF('Conteo diario'!$M$2:$M$1501,4)=0,"",IF(OR($E$4="",INDEX('Conteo diario'!$E$2:$E$1501,MATCH(4,'Conteo diario'!$M$2:$M$1501,0))=$E$4),4,""))</f>
        <v/>
      </c>
      <c r="C10" s="17">
        <f>IF($B10="","",IF(INDEX('Conteo diario'!$D$2:$D$1501,MATCH(4,'Conteo diario'!$M$2:$M$1501,0))="","",INDEX('Conteo diario'!$D$2:$D$1501,MATCH(4,'Conteo diario'!$M$2:$M$1501,0))))</f>
        <v/>
      </c>
      <c r="D10" s="17">
        <f>IF($B10="","",IF(INDEX('Conteo diario'!$E$2:$E$1501,MATCH(4,'Conteo diario'!$M$2:$M$1501,0))="","",INDEX('Conteo diario'!$E$2:$E$1501,MATCH(4,'Conteo diario'!$M$2:$M$1501,0))))</f>
        <v/>
      </c>
      <c r="E10" s="17">
        <f>IF($B10="","",IF(INDEX('Conteo diario'!$F$2:$F$1501,MATCH(4,'Conteo diario'!$M$2:$M$1501,0))="","",INDEX('Conteo diario'!$F$2:$F$1501,MATCH(4,'Conteo diario'!$M$2:$M$1501,0))))</f>
        <v/>
      </c>
      <c r="F10" s="18">
        <f>IF($B10="","",IF(INDEX('Conteo diario'!$G$2:$G$1501,MATCH(4,'Conteo diario'!$M$2:$M$1501,0))="","",INDEX('Conteo diario'!$G$2:$G$1501,MATCH(4,'Conteo diario'!$M$2:$M$1501,0))))</f>
        <v/>
      </c>
      <c r="G10" s="18">
        <f>IF($B10="","",IF(INDEX('Conteo diario'!$I$2:$I$1501,MATCH(4,'Conteo diario'!$M$2:$M$1501,0))="","",INDEX('Conteo diario'!$I$2:$I$1501,MATCH(4,'Conteo diario'!$M$2:$M$1501,0))))</f>
        <v/>
      </c>
      <c r="H10" s="17">
        <f>IF($B10="","",IF(INDEX('Conteo diario'!$L$2:$L$1501,MATCH(4,'Conteo diario'!$M$2:$M$1501,0))="","",INDEX('Conteo diario'!$L$2:$L$1501,MATCH(4,'Conteo diario'!$M$2:$M$1501,0))))</f>
        <v/>
      </c>
    </row>
    <row r="11">
      <c r="B11" s="17">
        <f>IF(COUNTIF('Conteo diario'!$M$2:$M$1501,5)=0,"",IF(OR($E$4="",INDEX('Conteo diario'!$E$2:$E$1501,MATCH(5,'Conteo diario'!$M$2:$M$1501,0))=$E$4),5,""))</f>
        <v/>
      </c>
      <c r="C11" s="17">
        <f>IF($B11="","",IF(INDEX('Conteo diario'!$D$2:$D$1501,MATCH(5,'Conteo diario'!$M$2:$M$1501,0))="","",INDEX('Conteo diario'!$D$2:$D$1501,MATCH(5,'Conteo diario'!$M$2:$M$1501,0))))</f>
        <v/>
      </c>
      <c r="D11" s="17">
        <f>IF($B11="","",IF(INDEX('Conteo diario'!$E$2:$E$1501,MATCH(5,'Conteo diario'!$M$2:$M$1501,0))="","",INDEX('Conteo diario'!$E$2:$E$1501,MATCH(5,'Conteo diario'!$M$2:$M$1501,0))))</f>
        <v/>
      </c>
      <c r="E11" s="17">
        <f>IF($B11="","",IF(INDEX('Conteo diario'!$F$2:$F$1501,MATCH(5,'Conteo diario'!$M$2:$M$1501,0))="","",INDEX('Conteo diario'!$F$2:$F$1501,MATCH(5,'Conteo diario'!$M$2:$M$1501,0))))</f>
        <v/>
      </c>
      <c r="F11" s="18">
        <f>IF($B11="","",IF(INDEX('Conteo diario'!$G$2:$G$1501,MATCH(5,'Conteo diario'!$M$2:$M$1501,0))="","",INDEX('Conteo diario'!$G$2:$G$1501,MATCH(5,'Conteo diario'!$M$2:$M$1501,0))))</f>
        <v/>
      </c>
      <c r="G11" s="18">
        <f>IF($B11="","",IF(INDEX('Conteo diario'!$I$2:$I$1501,MATCH(5,'Conteo diario'!$M$2:$M$1501,0))="","",INDEX('Conteo diario'!$I$2:$I$1501,MATCH(5,'Conteo diario'!$M$2:$M$1501,0))))</f>
        <v/>
      </c>
      <c r="H11" s="17">
        <f>IF($B11="","",IF(INDEX('Conteo diario'!$L$2:$L$1501,MATCH(5,'Conteo diario'!$M$2:$M$1501,0))="","",INDEX('Conteo diario'!$L$2:$L$1501,MATCH(5,'Conteo diario'!$M$2:$M$1501,0))))</f>
        <v/>
      </c>
    </row>
    <row r="12">
      <c r="B12" s="17">
        <f>IF(COUNTIF('Conteo diario'!$M$2:$M$1501,6)=0,"",IF(OR($E$4="",INDEX('Conteo diario'!$E$2:$E$1501,MATCH(6,'Conteo diario'!$M$2:$M$1501,0))=$E$4),6,""))</f>
        <v/>
      </c>
      <c r="C12" s="17">
        <f>IF($B12="","",IF(INDEX('Conteo diario'!$D$2:$D$1501,MATCH(6,'Conteo diario'!$M$2:$M$1501,0))="","",INDEX('Conteo diario'!$D$2:$D$1501,MATCH(6,'Conteo diario'!$M$2:$M$1501,0))))</f>
        <v/>
      </c>
      <c r="D12" s="17">
        <f>IF($B12="","",IF(INDEX('Conteo diario'!$E$2:$E$1501,MATCH(6,'Conteo diario'!$M$2:$M$1501,0))="","",INDEX('Conteo diario'!$E$2:$E$1501,MATCH(6,'Conteo diario'!$M$2:$M$1501,0))))</f>
        <v/>
      </c>
      <c r="E12" s="17">
        <f>IF($B12="","",IF(INDEX('Conteo diario'!$F$2:$F$1501,MATCH(6,'Conteo diario'!$M$2:$M$1501,0))="","",INDEX('Conteo diario'!$F$2:$F$1501,MATCH(6,'Conteo diario'!$M$2:$M$1501,0))))</f>
        <v/>
      </c>
      <c r="F12" s="18">
        <f>IF($B12="","",IF(INDEX('Conteo diario'!$G$2:$G$1501,MATCH(6,'Conteo diario'!$M$2:$M$1501,0))="","",INDEX('Conteo diario'!$G$2:$G$1501,MATCH(6,'Conteo diario'!$M$2:$M$1501,0))))</f>
        <v/>
      </c>
      <c r="G12" s="18">
        <f>IF($B12="","",IF(INDEX('Conteo diario'!$I$2:$I$1501,MATCH(6,'Conteo diario'!$M$2:$M$1501,0))="","",INDEX('Conteo diario'!$I$2:$I$1501,MATCH(6,'Conteo diario'!$M$2:$M$1501,0))))</f>
        <v/>
      </c>
      <c r="H12" s="17">
        <f>IF($B12="","",IF(INDEX('Conteo diario'!$L$2:$L$1501,MATCH(6,'Conteo diario'!$M$2:$M$1501,0))="","",INDEX('Conteo diario'!$L$2:$L$1501,MATCH(6,'Conteo diario'!$M$2:$M$1501,0))))</f>
        <v/>
      </c>
    </row>
    <row r="13">
      <c r="B13" s="17">
        <f>IF(COUNTIF('Conteo diario'!$M$2:$M$1501,7)=0,"",IF(OR($E$4="",INDEX('Conteo diario'!$E$2:$E$1501,MATCH(7,'Conteo diario'!$M$2:$M$1501,0))=$E$4),7,""))</f>
        <v/>
      </c>
      <c r="C13" s="17">
        <f>IF($B13="","",IF(INDEX('Conteo diario'!$D$2:$D$1501,MATCH(7,'Conteo diario'!$M$2:$M$1501,0))="","",INDEX('Conteo diario'!$D$2:$D$1501,MATCH(7,'Conteo diario'!$M$2:$M$1501,0))))</f>
        <v/>
      </c>
      <c r="D13" s="17">
        <f>IF($B13="","",IF(INDEX('Conteo diario'!$E$2:$E$1501,MATCH(7,'Conteo diario'!$M$2:$M$1501,0))="","",INDEX('Conteo diario'!$E$2:$E$1501,MATCH(7,'Conteo diario'!$M$2:$M$1501,0))))</f>
        <v/>
      </c>
      <c r="E13" s="17">
        <f>IF($B13="","",IF(INDEX('Conteo diario'!$F$2:$F$1501,MATCH(7,'Conteo diario'!$M$2:$M$1501,0))="","",INDEX('Conteo diario'!$F$2:$F$1501,MATCH(7,'Conteo diario'!$M$2:$M$1501,0))))</f>
        <v/>
      </c>
      <c r="F13" s="18">
        <f>IF($B13="","",IF(INDEX('Conteo diario'!$G$2:$G$1501,MATCH(7,'Conteo diario'!$M$2:$M$1501,0))="","",INDEX('Conteo diario'!$G$2:$G$1501,MATCH(7,'Conteo diario'!$M$2:$M$1501,0))))</f>
        <v/>
      </c>
      <c r="G13" s="18">
        <f>IF($B13="","",IF(INDEX('Conteo diario'!$I$2:$I$1501,MATCH(7,'Conteo diario'!$M$2:$M$1501,0))="","",INDEX('Conteo diario'!$I$2:$I$1501,MATCH(7,'Conteo diario'!$M$2:$M$1501,0))))</f>
        <v/>
      </c>
      <c r="H13" s="17">
        <f>IF($B13="","",IF(INDEX('Conteo diario'!$L$2:$L$1501,MATCH(7,'Conteo diario'!$M$2:$M$1501,0))="","",INDEX('Conteo diario'!$L$2:$L$1501,MATCH(7,'Conteo diario'!$M$2:$M$1501,0))))</f>
        <v/>
      </c>
    </row>
    <row r="14">
      <c r="B14" s="17">
        <f>IF(COUNTIF('Conteo diario'!$M$2:$M$1501,8)=0,"",IF(OR($E$4="",INDEX('Conteo diario'!$E$2:$E$1501,MATCH(8,'Conteo diario'!$M$2:$M$1501,0))=$E$4),8,""))</f>
        <v/>
      </c>
      <c r="C14" s="17">
        <f>IF($B14="","",IF(INDEX('Conteo diario'!$D$2:$D$1501,MATCH(8,'Conteo diario'!$M$2:$M$1501,0))="","",INDEX('Conteo diario'!$D$2:$D$1501,MATCH(8,'Conteo diario'!$M$2:$M$1501,0))))</f>
        <v/>
      </c>
      <c r="D14" s="17">
        <f>IF($B14="","",IF(INDEX('Conteo diario'!$E$2:$E$1501,MATCH(8,'Conteo diario'!$M$2:$M$1501,0))="","",INDEX('Conteo diario'!$E$2:$E$1501,MATCH(8,'Conteo diario'!$M$2:$M$1501,0))))</f>
        <v/>
      </c>
      <c r="E14" s="17">
        <f>IF($B14="","",IF(INDEX('Conteo diario'!$F$2:$F$1501,MATCH(8,'Conteo diario'!$M$2:$M$1501,0))="","",INDEX('Conteo diario'!$F$2:$F$1501,MATCH(8,'Conteo diario'!$M$2:$M$1501,0))))</f>
        <v/>
      </c>
      <c r="F14" s="18">
        <f>IF($B14="","",IF(INDEX('Conteo diario'!$G$2:$G$1501,MATCH(8,'Conteo diario'!$M$2:$M$1501,0))="","",INDEX('Conteo diario'!$G$2:$G$1501,MATCH(8,'Conteo diario'!$M$2:$M$1501,0))))</f>
        <v/>
      </c>
      <c r="G14" s="18">
        <f>IF($B14="","",IF(INDEX('Conteo diario'!$I$2:$I$1501,MATCH(8,'Conteo diario'!$M$2:$M$1501,0))="","",INDEX('Conteo diario'!$I$2:$I$1501,MATCH(8,'Conteo diario'!$M$2:$M$1501,0))))</f>
        <v/>
      </c>
      <c r="H14" s="17">
        <f>IF($B14="","",IF(INDEX('Conteo diario'!$L$2:$L$1501,MATCH(8,'Conteo diario'!$M$2:$M$1501,0))="","",INDEX('Conteo diario'!$L$2:$L$1501,MATCH(8,'Conteo diario'!$M$2:$M$1501,0))))</f>
        <v/>
      </c>
    </row>
    <row r="15">
      <c r="B15" s="17">
        <f>IF(COUNTIF('Conteo diario'!$M$2:$M$1501,9)=0,"",IF(OR($E$4="",INDEX('Conteo diario'!$E$2:$E$1501,MATCH(9,'Conteo diario'!$M$2:$M$1501,0))=$E$4),9,""))</f>
        <v/>
      </c>
      <c r="C15" s="17">
        <f>IF($B15="","",IF(INDEX('Conteo diario'!$D$2:$D$1501,MATCH(9,'Conteo diario'!$M$2:$M$1501,0))="","",INDEX('Conteo diario'!$D$2:$D$1501,MATCH(9,'Conteo diario'!$M$2:$M$1501,0))))</f>
        <v/>
      </c>
      <c r="D15" s="17">
        <f>IF($B15="","",IF(INDEX('Conteo diario'!$E$2:$E$1501,MATCH(9,'Conteo diario'!$M$2:$M$1501,0))="","",INDEX('Conteo diario'!$E$2:$E$1501,MATCH(9,'Conteo diario'!$M$2:$M$1501,0))))</f>
        <v/>
      </c>
      <c r="E15" s="17">
        <f>IF($B15="","",IF(INDEX('Conteo diario'!$F$2:$F$1501,MATCH(9,'Conteo diario'!$M$2:$M$1501,0))="","",INDEX('Conteo diario'!$F$2:$F$1501,MATCH(9,'Conteo diario'!$M$2:$M$1501,0))))</f>
        <v/>
      </c>
      <c r="F15" s="18">
        <f>IF($B15="","",IF(INDEX('Conteo diario'!$G$2:$G$1501,MATCH(9,'Conteo diario'!$M$2:$M$1501,0))="","",INDEX('Conteo diario'!$G$2:$G$1501,MATCH(9,'Conteo diario'!$M$2:$M$1501,0))))</f>
        <v/>
      </c>
      <c r="G15" s="18">
        <f>IF($B15="","",IF(INDEX('Conteo diario'!$I$2:$I$1501,MATCH(9,'Conteo diario'!$M$2:$M$1501,0))="","",INDEX('Conteo diario'!$I$2:$I$1501,MATCH(9,'Conteo diario'!$M$2:$M$1501,0))))</f>
        <v/>
      </c>
      <c r="H15" s="17">
        <f>IF($B15="","",IF(INDEX('Conteo diario'!$L$2:$L$1501,MATCH(9,'Conteo diario'!$M$2:$M$1501,0))="","",INDEX('Conteo diario'!$L$2:$L$1501,MATCH(9,'Conteo diario'!$M$2:$M$1501,0))))</f>
        <v/>
      </c>
    </row>
    <row r="16">
      <c r="B16" s="17">
        <f>IF(COUNTIF('Conteo diario'!$M$2:$M$1501,10)=0,"",IF(OR($E$4="",INDEX('Conteo diario'!$E$2:$E$1501,MATCH(10,'Conteo diario'!$M$2:$M$1501,0))=$E$4),10,""))</f>
        <v/>
      </c>
      <c r="C16" s="17">
        <f>IF($B16="","",IF(INDEX('Conteo diario'!$D$2:$D$1501,MATCH(10,'Conteo diario'!$M$2:$M$1501,0))="","",INDEX('Conteo diario'!$D$2:$D$1501,MATCH(10,'Conteo diario'!$M$2:$M$1501,0))))</f>
        <v/>
      </c>
      <c r="D16" s="17">
        <f>IF($B16="","",IF(INDEX('Conteo diario'!$E$2:$E$1501,MATCH(10,'Conteo diario'!$M$2:$M$1501,0))="","",INDEX('Conteo diario'!$E$2:$E$1501,MATCH(10,'Conteo diario'!$M$2:$M$1501,0))))</f>
        <v/>
      </c>
      <c r="E16" s="17">
        <f>IF($B16="","",IF(INDEX('Conteo diario'!$F$2:$F$1501,MATCH(10,'Conteo diario'!$M$2:$M$1501,0))="","",INDEX('Conteo diario'!$F$2:$F$1501,MATCH(10,'Conteo diario'!$M$2:$M$1501,0))))</f>
        <v/>
      </c>
      <c r="F16" s="18">
        <f>IF($B16="","",IF(INDEX('Conteo diario'!$G$2:$G$1501,MATCH(10,'Conteo diario'!$M$2:$M$1501,0))="","",INDEX('Conteo diario'!$G$2:$G$1501,MATCH(10,'Conteo diario'!$M$2:$M$1501,0))))</f>
        <v/>
      </c>
      <c r="G16" s="18">
        <f>IF($B16="","",IF(INDEX('Conteo diario'!$I$2:$I$1501,MATCH(10,'Conteo diario'!$M$2:$M$1501,0))="","",INDEX('Conteo diario'!$I$2:$I$1501,MATCH(10,'Conteo diario'!$M$2:$M$1501,0))))</f>
        <v/>
      </c>
      <c r="H16" s="17">
        <f>IF($B16="","",IF(INDEX('Conteo diario'!$L$2:$L$1501,MATCH(10,'Conteo diario'!$M$2:$M$1501,0))="","",INDEX('Conteo diario'!$L$2:$L$1501,MATCH(10,'Conteo diario'!$M$2:$M$1501,0))))</f>
        <v/>
      </c>
    </row>
    <row r="17">
      <c r="B17" s="17">
        <f>IF(COUNTIF('Conteo diario'!$M$2:$M$1501,11)=0,"",IF(OR($E$4="",INDEX('Conteo diario'!$E$2:$E$1501,MATCH(11,'Conteo diario'!$M$2:$M$1501,0))=$E$4),11,""))</f>
        <v/>
      </c>
      <c r="C17" s="17">
        <f>IF($B17="","",IF(INDEX('Conteo diario'!$D$2:$D$1501,MATCH(11,'Conteo diario'!$M$2:$M$1501,0))="","",INDEX('Conteo diario'!$D$2:$D$1501,MATCH(11,'Conteo diario'!$M$2:$M$1501,0))))</f>
        <v/>
      </c>
      <c r="D17" s="17">
        <f>IF($B17="","",IF(INDEX('Conteo diario'!$E$2:$E$1501,MATCH(11,'Conteo diario'!$M$2:$M$1501,0))="","",INDEX('Conteo diario'!$E$2:$E$1501,MATCH(11,'Conteo diario'!$M$2:$M$1501,0))))</f>
        <v/>
      </c>
      <c r="E17" s="17">
        <f>IF($B17="","",IF(INDEX('Conteo diario'!$F$2:$F$1501,MATCH(11,'Conteo diario'!$M$2:$M$1501,0))="","",INDEX('Conteo diario'!$F$2:$F$1501,MATCH(11,'Conteo diario'!$M$2:$M$1501,0))))</f>
        <v/>
      </c>
      <c r="F17" s="18">
        <f>IF($B17="","",IF(INDEX('Conteo diario'!$G$2:$G$1501,MATCH(11,'Conteo diario'!$M$2:$M$1501,0))="","",INDEX('Conteo diario'!$G$2:$G$1501,MATCH(11,'Conteo diario'!$M$2:$M$1501,0))))</f>
        <v/>
      </c>
      <c r="G17" s="18">
        <f>IF($B17="","",IF(INDEX('Conteo diario'!$I$2:$I$1501,MATCH(11,'Conteo diario'!$M$2:$M$1501,0))="","",INDEX('Conteo diario'!$I$2:$I$1501,MATCH(11,'Conteo diario'!$M$2:$M$1501,0))))</f>
        <v/>
      </c>
      <c r="H17" s="17">
        <f>IF($B17="","",IF(INDEX('Conteo diario'!$L$2:$L$1501,MATCH(11,'Conteo diario'!$M$2:$M$1501,0))="","",INDEX('Conteo diario'!$L$2:$L$1501,MATCH(11,'Conteo diario'!$M$2:$M$1501,0))))</f>
        <v/>
      </c>
    </row>
    <row r="18">
      <c r="B18" s="17">
        <f>IF(COUNTIF('Conteo diario'!$M$2:$M$1501,12)=0,"",IF(OR($E$4="",INDEX('Conteo diario'!$E$2:$E$1501,MATCH(12,'Conteo diario'!$M$2:$M$1501,0))=$E$4),12,""))</f>
        <v/>
      </c>
      <c r="C18" s="17">
        <f>IF($B18="","",IF(INDEX('Conteo diario'!$D$2:$D$1501,MATCH(12,'Conteo diario'!$M$2:$M$1501,0))="","",INDEX('Conteo diario'!$D$2:$D$1501,MATCH(12,'Conteo diario'!$M$2:$M$1501,0))))</f>
        <v/>
      </c>
      <c r="D18" s="17">
        <f>IF($B18="","",IF(INDEX('Conteo diario'!$E$2:$E$1501,MATCH(12,'Conteo diario'!$M$2:$M$1501,0))="","",INDEX('Conteo diario'!$E$2:$E$1501,MATCH(12,'Conteo diario'!$M$2:$M$1501,0))))</f>
        <v/>
      </c>
      <c r="E18" s="17">
        <f>IF($B18="","",IF(INDEX('Conteo diario'!$F$2:$F$1501,MATCH(12,'Conteo diario'!$M$2:$M$1501,0))="","",INDEX('Conteo diario'!$F$2:$F$1501,MATCH(12,'Conteo diario'!$M$2:$M$1501,0))))</f>
        <v/>
      </c>
      <c r="F18" s="18">
        <f>IF($B18="","",IF(INDEX('Conteo diario'!$G$2:$G$1501,MATCH(12,'Conteo diario'!$M$2:$M$1501,0))="","",INDEX('Conteo diario'!$G$2:$G$1501,MATCH(12,'Conteo diario'!$M$2:$M$1501,0))))</f>
        <v/>
      </c>
      <c r="G18" s="18">
        <f>IF($B18="","",IF(INDEX('Conteo diario'!$I$2:$I$1501,MATCH(12,'Conteo diario'!$M$2:$M$1501,0))="","",INDEX('Conteo diario'!$I$2:$I$1501,MATCH(12,'Conteo diario'!$M$2:$M$1501,0))))</f>
        <v/>
      </c>
      <c r="H18" s="17">
        <f>IF($B18="","",IF(INDEX('Conteo diario'!$L$2:$L$1501,MATCH(12,'Conteo diario'!$M$2:$M$1501,0))="","",INDEX('Conteo diario'!$L$2:$L$1501,MATCH(12,'Conteo diario'!$M$2:$M$1501,0))))</f>
        <v/>
      </c>
    </row>
    <row r="19">
      <c r="B19" s="17">
        <f>IF(COUNTIF('Conteo diario'!$M$2:$M$1501,13)=0,"",IF(OR($E$4="",INDEX('Conteo diario'!$E$2:$E$1501,MATCH(13,'Conteo diario'!$M$2:$M$1501,0))=$E$4),13,""))</f>
        <v/>
      </c>
      <c r="C19" s="17">
        <f>IF($B19="","",IF(INDEX('Conteo diario'!$D$2:$D$1501,MATCH(13,'Conteo diario'!$M$2:$M$1501,0))="","",INDEX('Conteo diario'!$D$2:$D$1501,MATCH(13,'Conteo diario'!$M$2:$M$1501,0))))</f>
        <v/>
      </c>
      <c r="D19" s="17">
        <f>IF($B19="","",IF(INDEX('Conteo diario'!$E$2:$E$1501,MATCH(13,'Conteo diario'!$M$2:$M$1501,0))="","",INDEX('Conteo diario'!$E$2:$E$1501,MATCH(13,'Conteo diario'!$M$2:$M$1501,0))))</f>
        <v/>
      </c>
      <c r="E19" s="17">
        <f>IF($B19="","",IF(INDEX('Conteo diario'!$F$2:$F$1501,MATCH(13,'Conteo diario'!$M$2:$M$1501,0))="","",INDEX('Conteo diario'!$F$2:$F$1501,MATCH(13,'Conteo diario'!$M$2:$M$1501,0))))</f>
        <v/>
      </c>
      <c r="F19" s="18">
        <f>IF($B19="","",IF(INDEX('Conteo diario'!$G$2:$G$1501,MATCH(13,'Conteo diario'!$M$2:$M$1501,0))="","",INDEX('Conteo diario'!$G$2:$G$1501,MATCH(13,'Conteo diario'!$M$2:$M$1501,0))))</f>
        <v/>
      </c>
      <c r="G19" s="18">
        <f>IF($B19="","",IF(INDEX('Conteo diario'!$I$2:$I$1501,MATCH(13,'Conteo diario'!$M$2:$M$1501,0))="","",INDEX('Conteo diario'!$I$2:$I$1501,MATCH(13,'Conteo diario'!$M$2:$M$1501,0))))</f>
        <v/>
      </c>
      <c r="H19" s="17">
        <f>IF($B19="","",IF(INDEX('Conteo diario'!$L$2:$L$1501,MATCH(13,'Conteo diario'!$M$2:$M$1501,0))="","",INDEX('Conteo diario'!$L$2:$L$1501,MATCH(13,'Conteo diario'!$M$2:$M$1501,0))))</f>
        <v/>
      </c>
    </row>
    <row r="20">
      <c r="B20" s="17">
        <f>IF(COUNTIF('Conteo diario'!$M$2:$M$1501,14)=0,"",IF(OR($E$4="",INDEX('Conteo diario'!$E$2:$E$1501,MATCH(14,'Conteo diario'!$M$2:$M$1501,0))=$E$4),14,""))</f>
        <v/>
      </c>
      <c r="C20" s="17">
        <f>IF($B20="","",IF(INDEX('Conteo diario'!$D$2:$D$1501,MATCH(14,'Conteo diario'!$M$2:$M$1501,0))="","",INDEX('Conteo diario'!$D$2:$D$1501,MATCH(14,'Conteo diario'!$M$2:$M$1501,0))))</f>
        <v/>
      </c>
      <c r="D20" s="17">
        <f>IF($B20="","",IF(INDEX('Conteo diario'!$E$2:$E$1501,MATCH(14,'Conteo diario'!$M$2:$M$1501,0))="","",INDEX('Conteo diario'!$E$2:$E$1501,MATCH(14,'Conteo diario'!$M$2:$M$1501,0))))</f>
        <v/>
      </c>
      <c r="E20" s="17">
        <f>IF($B20="","",IF(INDEX('Conteo diario'!$F$2:$F$1501,MATCH(14,'Conteo diario'!$M$2:$M$1501,0))="","",INDEX('Conteo diario'!$F$2:$F$1501,MATCH(14,'Conteo diario'!$M$2:$M$1501,0))))</f>
        <v/>
      </c>
      <c r="F20" s="18">
        <f>IF($B20="","",IF(INDEX('Conteo diario'!$G$2:$G$1501,MATCH(14,'Conteo diario'!$M$2:$M$1501,0))="","",INDEX('Conteo diario'!$G$2:$G$1501,MATCH(14,'Conteo diario'!$M$2:$M$1501,0))))</f>
        <v/>
      </c>
      <c r="G20" s="18">
        <f>IF($B20="","",IF(INDEX('Conteo diario'!$I$2:$I$1501,MATCH(14,'Conteo diario'!$M$2:$M$1501,0))="","",INDEX('Conteo diario'!$I$2:$I$1501,MATCH(14,'Conteo diario'!$M$2:$M$1501,0))))</f>
        <v/>
      </c>
      <c r="H20" s="17">
        <f>IF($B20="","",IF(INDEX('Conteo diario'!$L$2:$L$1501,MATCH(14,'Conteo diario'!$M$2:$M$1501,0))="","",INDEX('Conteo diario'!$L$2:$L$1501,MATCH(14,'Conteo diario'!$M$2:$M$1501,0))))</f>
        <v/>
      </c>
    </row>
    <row r="21">
      <c r="B21" s="17">
        <f>IF(COUNTIF('Conteo diario'!$M$2:$M$1501,15)=0,"",IF(OR($E$4="",INDEX('Conteo diario'!$E$2:$E$1501,MATCH(15,'Conteo diario'!$M$2:$M$1501,0))=$E$4),15,""))</f>
        <v/>
      </c>
      <c r="C21" s="17">
        <f>IF($B21="","",IF(INDEX('Conteo diario'!$D$2:$D$1501,MATCH(15,'Conteo diario'!$M$2:$M$1501,0))="","",INDEX('Conteo diario'!$D$2:$D$1501,MATCH(15,'Conteo diario'!$M$2:$M$1501,0))))</f>
        <v/>
      </c>
      <c r="D21" s="17">
        <f>IF($B21="","",IF(INDEX('Conteo diario'!$E$2:$E$1501,MATCH(15,'Conteo diario'!$M$2:$M$1501,0))="","",INDEX('Conteo diario'!$E$2:$E$1501,MATCH(15,'Conteo diario'!$M$2:$M$1501,0))))</f>
        <v/>
      </c>
      <c r="E21" s="17">
        <f>IF($B21="","",IF(INDEX('Conteo diario'!$F$2:$F$1501,MATCH(15,'Conteo diario'!$M$2:$M$1501,0))="","",INDEX('Conteo diario'!$F$2:$F$1501,MATCH(15,'Conteo diario'!$M$2:$M$1501,0))))</f>
        <v/>
      </c>
      <c r="F21" s="18">
        <f>IF($B21="","",IF(INDEX('Conteo diario'!$G$2:$G$1501,MATCH(15,'Conteo diario'!$M$2:$M$1501,0))="","",INDEX('Conteo diario'!$G$2:$G$1501,MATCH(15,'Conteo diario'!$M$2:$M$1501,0))))</f>
        <v/>
      </c>
      <c r="G21" s="18">
        <f>IF($B21="","",IF(INDEX('Conteo diario'!$I$2:$I$1501,MATCH(15,'Conteo diario'!$M$2:$M$1501,0))="","",INDEX('Conteo diario'!$I$2:$I$1501,MATCH(15,'Conteo diario'!$M$2:$M$1501,0))))</f>
        <v/>
      </c>
      <c r="H21" s="17">
        <f>IF($B21="","",IF(INDEX('Conteo diario'!$L$2:$L$1501,MATCH(15,'Conteo diario'!$M$2:$M$1501,0))="","",INDEX('Conteo diario'!$L$2:$L$1501,MATCH(15,'Conteo diario'!$M$2:$M$1501,0))))</f>
        <v/>
      </c>
    </row>
    <row r="22">
      <c r="B22" s="17">
        <f>IF(COUNTIF('Conteo diario'!$M$2:$M$1501,16)=0,"",IF(OR($E$4="",INDEX('Conteo diario'!$E$2:$E$1501,MATCH(16,'Conteo diario'!$M$2:$M$1501,0))=$E$4),16,""))</f>
        <v/>
      </c>
      <c r="C22" s="17">
        <f>IF($B22="","",IF(INDEX('Conteo diario'!$D$2:$D$1501,MATCH(16,'Conteo diario'!$M$2:$M$1501,0))="","",INDEX('Conteo diario'!$D$2:$D$1501,MATCH(16,'Conteo diario'!$M$2:$M$1501,0))))</f>
        <v/>
      </c>
      <c r="D22" s="17">
        <f>IF($B22="","",IF(INDEX('Conteo diario'!$E$2:$E$1501,MATCH(16,'Conteo diario'!$M$2:$M$1501,0))="","",INDEX('Conteo diario'!$E$2:$E$1501,MATCH(16,'Conteo diario'!$M$2:$M$1501,0))))</f>
        <v/>
      </c>
      <c r="E22" s="17">
        <f>IF($B22="","",IF(INDEX('Conteo diario'!$F$2:$F$1501,MATCH(16,'Conteo diario'!$M$2:$M$1501,0))="","",INDEX('Conteo diario'!$F$2:$F$1501,MATCH(16,'Conteo diario'!$M$2:$M$1501,0))))</f>
        <v/>
      </c>
      <c r="F22" s="18">
        <f>IF($B22="","",IF(INDEX('Conteo diario'!$G$2:$G$1501,MATCH(16,'Conteo diario'!$M$2:$M$1501,0))="","",INDEX('Conteo diario'!$G$2:$G$1501,MATCH(16,'Conteo diario'!$M$2:$M$1501,0))))</f>
        <v/>
      </c>
      <c r="G22" s="18">
        <f>IF($B22="","",IF(INDEX('Conteo diario'!$I$2:$I$1501,MATCH(16,'Conteo diario'!$M$2:$M$1501,0))="","",INDEX('Conteo diario'!$I$2:$I$1501,MATCH(16,'Conteo diario'!$M$2:$M$1501,0))))</f>
        <v/>
      </c>
      <c r="H22" s="17">
        <f>IF($B22="","",IF(INDEX('Conteo diario'!$L$2:$L$1501,MATCH(16,'Conteo diario'!$M$2:$M$1501,0))="","",INDEX('Conteo diario'!$L$2:$L$1501,MATCH(16,'Conteo diario'!$M$2:$M$1501,0))))</f>
        <v/>
      </c>
    </row>
    <row r="23">
      <c r="B23" s="17">
        <f>IF(COUNTIF('Conteo diario'!$M$2:$M$1501,17)=0,"",IF(OR($E$4="",INDEX('Conteo diario'!$E$2:$E$1501,MATCH(17,'Conteo diario'!$M$2:$M$1501,0))=$E$4),17,""))</f>
        <v/>
      </c>
      <c r="C23" s="17">
        <f>IF($B23="","",IF(INDEX('Conteo diario'!$D$2:$D$1501,MATCH(17,'Conteo diario'!$M$2:$M$1501,0))="","",INDEX('Conteo diario'!$D$2:$D$1501,MATCH(17,'Conteo diario'!$M$2:$M$1501,0))))</f>
        <v/>
      </c>
      <c r="D23" s="17">
        <f>IF($B23="","",IF(INDEX('Conteo diario'!$E$2:$E$1501,MATCH(17,'Conteo diario'!$M$2:$M$1501,0))="","",INDEX('Conteo diario'!$E$2:$E$1501,MATCH(17,'Conteo diario'!$M$2:$M$1501,0))))</f>
        <v/>
      </c>
      <c r="E23" s="17">
        <f>IF($B23="","",IF(INDEX('Conteo diario'!$F$2:$F$1501,MATCH(17,'Conteo diario'!$M$2:$M$1501,0))="","",INDEX('Conteo diario'!$F$2:$F$1501,MATCH(17,'Conteo diario'!$M$2:$M$1501,0))))</f>
        <v/>
      </c>
      <c r="F23" s="18">
        <f>IF($B23="","",IF(INDEX('Conteo diario'!$G$2:$G$1501,MATCH(17,'Conteo diario'!$M$2:$M$1501,0))="","",INDEX('Conteo diario'!$G$2:$G$1501,MATCH(17,'Conteo diario'!$M$2:$M$1501,0))))</f>
        <v/>
      </c>
      <c r="G23" s="18">
        <f>IF($B23="","",IF(INDEX('Conteo diario'!$I$2:$I$1501,MATCH(17,'Conteo diario'!$M$2:$M$1501,0))="","",INDEX('Conteo diario'!$I$2:$I$1501,MATCH(17,'Conteo diario'!$M$2:$M$1501,0))))</f>
        <v/>
      </c>
      <c r="H23" s="17">
        <f>IF($B23="","",IF(INDEX('Conteo diario'!$L$2:$L$1501,MATCH(17,'Conteo diario'!$M$2:$M$1501,0))="","",INDEX('Conteo diario'!$L$2:$L$1501,MATCH(17,'Conteo diario'!$M$2:$M$1501,0))))</f>
        <v/>
      </c>
    </row>
    <row r="24">
      <c r="B24" s="17">
        <f>IF(COUNTIF('Conteo diario'!$M$2:$M$1501,18)=0,"",IF(OR($E$4="",INDEX('Conteo diario'!$E$2:$E$1501,MATCH(18,'Conteo diario'!$M$2:$M$1501,0))=$E$4),18,""))</f>
        <v/>
      </c>
      <c r="C24" s="17">
        <f>IF($B24="","",IF(INDEX('Conteo diario'!$D$2:$D$1501,MATCH(18,'Conteo diario'!$M$2:$M$1501,0))="","",INDEX('Conteo diario'!$D$2:$D$1501,MATCH(18,'Conteo diario'!$M$2:$M$1501,0))))</f>
        <v/>
      </c>
      <c r="D24" s="17">
        <f>IF($B24="","",IF(INDEX('Conteo diario'!$E$2:$E$1501,MATCH(18,'Conteo diario'!$M$2:$M$1501,0))="","",INDEX('Conteo diario'!$E$2:$E$1501,MATCH(18,'Conteo diario'!$M$2:$M$1501,0))))</f>
        <v/>
      </c>
      <c r="E24" s="17">
        <f>IF($B24="","",IF(INDEX('Conteo diario'!$F$2:$F$1501,MATCH(18,'Conteo diario'!$M$2:$M$1501,0))="","",INDEX('Conteo diario'!$F$2:$F$1501,MATCH(18,'Conteo diario'!$M$2:$M$1501,0))))</f>
        <v/>
      </c>
      <c r="F24" s="18">
        <f>IF($B24="","",IF(INDEX('Conteo diario'!$G$2:$G$1501,MATCH(18,'Conteo diario'!$M$2:$M$1501,0))="","",INDEX('Conteo diario'!$G$2:$G$1501,MATCH(18,'Conteo diario'!$M$2:$M$1501,0))))</f>
        <v/>
      </c>
      <c r="G24" s="18">
        <f>IF($B24="","",IF(INDEX('Conteo diario'!$I$2:$I$1501,MATCH(18,'Conteo diario'!$M$2:$M$1501,0))="","",INDEX('Conteo diario'!$I$2:$I$1501,MATCH(18,'Conteo diario'!$M$2:$M$1501,0))))</f>
        <v/>
      </c>
      <c r="H24" s="17">
        <f>IF($B24="","",IF(INDEX('Conteo diario'!$L$2:$L$1501,MATCH(18,'Conteo diario'!$M$2:$M$1501,0))="","",INDEX('Conteo diario'!$L$2:$L$1501,MATCH(18,'Conteo diario'!$M$2:$M$1501,0))))</f>
        <v/>
      </c>
    </row>
    <row r="25">
      <c r="B25" s="17">
        <f>IF(COUNTIF('Conteo diario'!$M$2:$M$1501,19)=0,"",IF(OR($E$4="",INDEX('Conteo diario'!$E$2:$E$1501,MATCH(19,'Conteo diario'!$M$2:$M$1501,0))=$E$4),19,""))</f>
        <v/>
      </c>
      <c r="C25" s="17">
        <f>IF($B25="","",IF(INDEX('Conteo diario'!$D$2:$D$1501,MATCH(19,'Conteo diario'!$M$2:$M$1501,0))="","",INDEX('Conteo diario'!$D$2:$D$1501,MATCH(19,'Conteo diario'!$M$2:$M$1501,0))))</f>
        <v/>
      </c>
      <c r="D25" s="17">
        <f>IF($B25="","",IF(INDEX('Conteo diario'!$E$2:$E$1501,MATCH(19,'Conteo diario'!$M$2:$M$1501,0))="","",INDEX('Conteo diario'!$E$2:$E$1501,MATCH(19,'Conteo diario'!$M$2:$M$1501,0))))</f>
        <v/>
      </c>
      <c r="E25" s="17">
        <f>IF($B25="","",IF(INDEX('Conteo diario'!$F$2:$F$1501,MATCH(19,'Conteo diario'!$M$2:$M$1501,0))="","",INDEX('Conteo diario'!$F$2:$F$1501,MATCH(19,'Conteo diario'!$M$2:$M$1501,0))))</f>
        <v/>
      </c>
      <c r="F25" s="18">
        <f>IF($B25="","",IF(INDEX('Conteo diario'!$G$2:$G$1501,MATCH(19,'Conteo diario'!$M$2:$M$1501,0))="","",INDEX('Conteo diario'!$G$2:$G$1501,MATCH(19,'Conteo diario'!$M$2:$M$1501,0))))</f>
        <v/>
      </c>
      <c r="G25" s="18">
        <f>IF($B25="","",IF(INDEX('Conteo diario'!$I$2:$I$1501,MATCH(19,'Conteo diario'!$M$2:$M$1501,0))="","",INDEX('Conteo diario'!$I$2:$I$1501,MATCH(19,'Conteo diario'!$M$2:$M$1501,0))))</f>
        <v/>
      </c>
      <c r="H25" s="17">
        <f>IF($B25="","",IF(INDEX('Conteo diario'!$L$2:$L$1501,MATCH(19,'Conteo diario'!$M$2:$M$1501,0))="","",INDEX('Conteo diario'!$L$2:$L$1501,MATCH(19,'Conteo diario'!$M$2:$M$1501,0))))</f>
        <v/>
      </c>
    </row>
    <row r="26">
      <c r="B26" s="17">
        <f>IF(COUNTIF('Conteo diario'!$M$2:$M$1501,20)=0,"",IF(OR($E$4="",INDEX('Conteo diario'!$E$2:$E$1501,MATCH(20,'Conteo diario'!$M$2:$M$1501,0))=$E$4),20,""))</f>
        <v/>
      </c>
      <c r="C26" s="17">
        <f>IF($B26="","",IF(INDEX('Conteo diario'!$D$2:$D$1501,MATCH(20,'Conteo diario'!$M$2:$M$1501,0))="","",INDEX('Conteo diario'!$D$2:$D$1501,MATCH(20,'Conteo diario'!$M$2:$M$1501,0))))</f>
        <v/>
      </c>
      <c r="D26" s="17">
        <f>IF($B26="","",IF(INDEX('Conteo diario'!$E$2:$E$1501,MATCH(20,'Conteo diario'!$M$2:$M$1501,0))="","",INDEX('Conteo diario'!$E$2:$E$1501,MATCH(20,'Conteo diario'!$M$2:$M$1501,0))))</f>
        <v/>
      </c>
      <c r="E26" s="17">
        <f>IF($B26="","",IF(INDEX('Conteo diario'!$F$2:$F$1501,MATCH(20,'Conteo diario'!$M$2:$M$1501,0))="","",INDEX('Conteo diario'!$F$2:$F$1501,MATCH(20,'Conteo diario'!$M$2:$M$1501,0))))</f>
        <v/>
      </c>
      <c r="F26" s="18">
        <f>IF($B26="","",IF(INDEX('Conteo diario'!$G$2:$G$1501,MATCH(20,'Conteo diario'!$M$2:$M$1501,0))="","",INDEX('Conteo diario'!$G$2:$G$1501,MATCH(20,'Conteo diario'!$M$2:$M$1501,0))))</f>
        <v/>
      </c>
      <c r="G26" s="18">
        <f>IF($B26="","",IF(INDEX('Conteo diario'!$I$2:$I$1501,MATCH(20,'Conteo diario'!$M$2:$M$1501,0))="","",INDEX('Conteo diario'!$I$2:$I$1501,MATCH(20,'Conteo diario'!$M$2:$M$1501,0))))</f>
        <v/>
      </c>
      <c r="H26" s="17">
        <f>IF($B26="","",IF(INDEX('Conteo diario'!$L$2:$L$1501,MATCH(20,'Conteo diario'!$M$2:$M$1501,0))="","",INDEX('Conteo diario'!$L$2:$L$1501,MATCH(20,'Conteo diario'!$M$2:$M$1501,0))))</f>
        <v/>
      </c>
    </row>
    <row r="27">
      <c r="B27" s="17">
        <f>IF(COUNTIF('Conteo diario'!$M$2:$M$1501,21)=0,"",IF(OR($E$4="",INDEX('Conteo diario'!$E$2:$E$1501,MATCH(21,'Conteo diario'!$M$2:$M$1501,0))=$E$4),21,""))</f>
        <v/>
      </c>
      <c r="C27" s="17">
        <f>IF($B27="","",IF(INDEX('Conteo diario'!$D$2:$D$1501,MATCH(21,'Conteo diario'!$M$2:$M$1501,0))="","",INDEX('Conteo diario'!$D$2:$D$1501,MATCH(21,'Conteo diario'!$M$2:$M$1501,0))))</f>
        <v/>
      </c>
      <c r="D27" s="17">
        <f>IF($B27="","",IF(INDEX('Conteo diario'!$E$2:$E$1501,MATCH(21,'Conteo diario'!$M$2:$M$1501,0))="","",INDEX('Conteo diario'!$E$2:$E$1501,MATCH(21,'Conteo diario'!$M$2:$M$1501,0))))</f>
        <v/>
      </c>
      <c r="E27" s="17">
        <f>IF($B27="","",IF(INDEX('Conteo diario'!$F$2:$F$1501,MATCH(21,'Conteo diario'!$M$2:$M$1501,0))="","",INDEX('Conteo diario'!$F$2:$F$1501,MATCH(21,'Conteo diario'!$M$2:$M$1501,0))))</f>
        <v/>
      </c>
      <c r="F27" s="18">
        <f>IF($B27="","",IF(INDEX('Conteo diario'!$G$2:$G$1501,MATCH(21,'Conteo diario'!$M$2:$M$1501,0))="","",INDEX('Conteo diario'!$G$2:$G$1501,MATCH(21,'Conteo diario'!$M$2:$M$1501,0))))</f>
        <v/>
      </c>
      <c r="G27" s="18">
        <f>IF($B27="","",IF(INDEX('Conteo diario'!$I$2:$I$1501,MATCH(21,'Conteo diario'!$M$2:$M$1501,0))="","",INDEX('Conteo diario'!$I$2:$I$1501,MATCH(21,'Conteo diario'!$M$2:$M$1501,0))))</f>
        <v/>
      </c>
      <c r="H27" s="17">
        <f>IF($B27="","",IF(INDEX('Conteo diario'!$L$2:$L$1501,MATCH(21,'Conteo diario'!$M$2:$M$1501,0))="","",INDEX('Conteo diario'!$L$2:$L$1501,MATCH(21,'Conteo diario'!$M$2:$M$1501,0))))</f>
        <v/>
      </c>
    </row>
    <row r="28">
      <c r="B28" s="17">
        <f>IF(COUNTIF('Conteo diario'!$M$2:$M$1501,22)=0,"",IF(OR($E$4="",INDEX('Conteo diario'!$E$2:$E$1501,MATCH(22,'Conteo diario'!$M$2:$M$1501,0))=$E$4),22,""))</f>
        <v/>
      </c>
      <c r="C28" s="17">
        <f>IF($B28="","",IF(INDEX('Conteo diario'!$D$2:$D$1501,MATCH(22,'Conteo diario'!$M$2:$M$1501,0))="","",INDEX('Conteo diario'!$D$2:$D$1501,MATCH(22,'Conteo diario'!$M$2:$M$1501,0))))</f>
        <v/>
      </c>
      <c r="D28" s="17">
        <f>IF($B28="","",IF(INDEX('Conteo diario'!$E$2:$E$1501,MATCH(22,'Conteo diario'!$M$2:$M$1501,0))="","",INDEX('Conteo diario'!$E$2:$E$1501,MATCH(22,'Conteo diario'!$M$2:$M$1501,0))))</f>
        <v/>
      </c>
      <c r="E28" s="17">
        <f>IF($B28="","",IF(INDEX('Conteo diario'!$F$2:$F$1501,MATCH(22,'Conteo diario'!$M$2:$M$1501,0))="","",INDEX('Conteo diario'!$F$2:$F$1501,MATCH(22,'Conteo diario'!$M$2:$M$1501,0))))</f>
        <v/>
      </c>
      <c r="F28" s="18">
        <f>IF($B28="","",IF(INDEX('Conteo diario'!$G$2:$G$1501,MATCH(22,'Conteo diario'!$M$2:$M$1501,0))="","",INDEX('Conteo diario'!$G$2:$G$1501,MATCH(22,'Conteo diario'!$M$2:$M$1501,0))))</f>
        <v/>
      </c>
      <c r="G28" s="18">
        <f>IF($B28="","",IF(INDEX('Conteo diario'!$I$2:$I$1501,MATCH(22,'Conteo diario'!$M$2:$M$1501,0))="","",INDEX('Conteo diario'!$I$2:$I$1501,MATCH(22,'Conteo diario'!$M$2:$M$1501,0))))</f>
        <v/>
      </c>
      <c r="H28" s="17">
        <f>IF($B28="","",IF(INDEX('Conteo diario'!$L$2:$L$1501,MATCH(22,'Conteo diario'!$M$2:$M$1501,0))="","",INDEX('Conteo diario'!$L$2:$L$1501,MATCH(22,'Conteo diario'!$M$2:$M$1501,0))))</f>
        <v/>
      </c>
    </row>
    <row r="29">
      <c r="B29" s="17">
        <f>IF(COUNTIF('Conteo diario'!$M$2:$M$1501,23)=0,"",IF(OR($E$4="",INDEX('Conteo diario'!$E$2:$E$1501,MATCH(23,'Conteo diario'!$M$2:$M$1501,0))=$E$4),23,""))</f>
        <v/>
      </c>
      <c r="C29" s="17">
        <f>IF($B29="","",IF(INDEX('Conteo diario'!$D$2:$D$1501,MATCH(23,'Conteo diario'!$M$2:$M$1501,0))="","",INDEX('Conteo diario'!$D$2:$D$1501,MATCH(23,'Conteo diario'!$M$2:$M$1501,0))))</f>
        <v/>
      </c>
      <c r="D29" s="17">
        <f>IF($B29="","",IF(INDEX('Conteo diario'!$E$2:$E$1501,MATCH(23,'Conteo diario'!$M$2:$M$1501,0))="","",INDEX('Conteo diario'!$E$2:$E$1501,MATCH(23,'Conteo diario'!$M$2:$M$1501,0))))</f>
        <v/>
      </c>
      <c r="E29" s="17">
        <f>IF($B29="","",IF(INDEX('Conteo diario'!$F$2:$F$1501,MATCH(23,'Conteo diario'!$M$2:$M$1501,0))="","",INDEX('Conteo diario'!$F$2:$F$1501,MATCH(23,'Conteo diario'!$M$2:$M$1501,0))))</f>
        <v/>
      </c>
      <c r="F29" s="18">
        <f>IF($B29="","",IF(INDEX('Conteo diario'!$G$2:$G$1501,MATCH(23,'Conteo diario'!$M$2:$M$1501,0))="","",INDEX('Conteo diario'!$G$2:$G$1501,MATCH(23,'Conteo diario'!$M$2:$M$1501,0))))</f>
        <v/>
      </c>
      <c r="G29" s="18">
        <f>IF($B29="","",IF(INDEX('Conteo diario'!$I$2:$I$1501,MATCH(23,'Conteo diario'!$M$2:$M$1501,0))="","",INDEX('Conteo diario'!$I$2:$I$1501,MATCH(23,'Conteo diario'!$M$2:$M$1501,0))))</f>
        <v/>
      </c>
      <c r="H29" s="17">
        <f>IF($B29="","",IF(INDEX('Conteo diario'!$L$2:$L$1501,MATCH(23,'Conteo diario'!$M$2:$M$1501,0))="","",INDEX('Conteo diario'!$L$2:$L$1501,MATCH(23,'Conteo diario'!$M$2:$M$1501,0))))</f>
        <v/>
      </c>
    </row>
    <row r="30">
      <c r="B30" s="17">
        <f>IF(COUNTIF('Conteo diario'!$M$2:$M$1501,24)=0,"",IF(OR($E$4="",INDEX('Conteo diario'!$E$2:$E$1501,MATCH(24,'Conteo diario'!$M$2:$M$1501,0))=$E$4),24,""))</f>
        <v/>
      </c>
      <c r="C30" s="17">
        <f>IF($B30="","",IF(INDEX('Conteo diario'!$D$2:$D$1501,MATCH(24,'Conteo diario'!$M$2:$M$1501,0))="","",INDEX('Conteo diario'!$D$2:$D$1501,MATCH(24,'Conteo diario'!$M$2:$M$1501,0))))</f>
        <v/>
      </c>
      <c r="D30" s="17">
        <f>IF($B30="","",IF(INDEX('Conteo diario'!$E$2:$E$1501,MATCH(24,'Conteo diario'!$M$2:$M$1501,0))="","",INDEX('Conteo diario'!$E$2:$E$1501,MATCH(24,'Conteo diario'!$M$2:$M$1501,0))))</f>
        <v/>
      </c>
      <c r="E30" s="17">
        <f>IF($B30="","",IF(INDEX('Conteo diario'!$F$2:$F$1501,MATCH(24,'Conteo diario'!$M$2:$M$1501,0))="","",INDEX('Conteo diario'!$F$2:$F$1501,MATCH(24,'Conteo diario'!$M$2:$M$1501,0))))</f>
        <v/>
      </c>
      <c r="F30" s="18">
        <f>IF($B30="","",IF(INDEX('Conteo diario'!$G$2:$G$1501,MATCH(24,'Conteo diario'!$M$2:$M$1501,0))="","",INDEX('Conteo diario'!$G$2:$G$1501,MATCH(24,'Conteo diario'!$M$2:$M$1501,0))))</f>
        <v/>
      </c>
      <c r="G30" s="18">
        <f>IF($B30="","",IF(INDEX('Conteo diario'!$I$2:$I$1501,MATCH(24,'Conteo diario'!$M$2:$M$1501,0))="","",INDEX('Conteo diario'!$I$2:$I$1501,MATCH(24,'Conteo diario'!$M$2:$M$1501,0))))</f>
        <v/>
      </c>
      <c r="H30" s="17">
        <f>IF($B30="","",IF(INDEX('Conteo diario'!$L$2:$L$1501,MATCH(24,'Conteo diario'!$M$2:$M$1501,0))="","",INDEX('Conteo diario'!$L$2:$L$1501,MATCH(24,'Conteo diario'!$M$2:$M$1501,0))))</f>
        <v/>
      </c>
    </row>
    <row r="31">
      <c r="B31" s="17">
        <f>IF(COUNTIF('Conteo diario'!$M$2:$M$1501,25)=0,"",IF(OR($E$4="",INDEX('Conteo diario'!$E$2:$E$1501,MATCH(25,'Conteo diario'!$M$2:$M$1501,0))=$E$4),25,""))</f>
        <v/>
      </c>
      <c r="C31" s="17">
        <f>IF($B31="","",IF(INDEX('Conteo diario'!$D$2:$D$1501,MATCH(25,'Conteo diario'!$M$2:$M$1501,0))="","",INDEX('Conteo diario'!$D$2:$D$1501,MATCH(25,'Conteo diario'!$M$2:$M$1501,0))))</f>
        <v/>
      </c>
      <c r="D31" s="17">
        <f>IF($B31="","",IF(INDEX('Conteo diario'!$E$2:$E$1501,MATCH(25,'Conteo diario'!$M$2:$M$1501,0))="","",INDEX('Conteo diario'!$E$2:$E$1501,MATCH(25,'Conteo diario'!$M$2:$M$1501,0))))</f>
        <v/>
      </c>
      <c r="E31" s="17">
        <f>IF($B31="","",IF(INDEX('Conteo diario'!$F$2:$F$1501,MATCH(25,'Conteo diario'!$M$2:$M$1501,0))="","",INDEX('Conteo diario'!$F$2:$F$1501,MATCH(25,'Conteo diario'!$M$2:$M$1501,0))))</f>
        <v/>
      </c>
      <c r="F31" s="18">
        <f>IF($B31="","",IF(INDEX('Conteo diario'!$G$2:$G$1501,MATCH(25,'Conteo diario'!$M$2:$M$1501,0))="","",INDEX('Conteo diario'!$G$2:$G$1501,MATCH(25,'Conteo diario'!$M$2:$M$1501,0))))</f>
        <v/>
      </c>
      <c r="G31" s="18">
        <f>IF($B31="","",IF(INDEX('Conteo diario'!$I$2:$I$1501,MATCH(25,'Conteo diario'!$M$2:$M$1501,0))="","",INDEX('Conteo diario'!$I$2:$I$1501,MATCH(25,'Conteo diario'!$M$2:$M$1501,0))))</f>
        <v/>
      </c>
      <c r="H31" s="17">
        <f>IF($B31="","",IF(INDEX('Conteo diario'!$L$2:$L$1501,MATCH(25,'Conteo diario'!$M$2:$M$1501,0))="","",INDEX('Conteo diario'!$L$2:$L$1501,MATCH(25,'Conteo diario'!$M$2:$M$1501,0))))</f>
        <v/>
      </c>
    </row>
    <row r="32">
      <c r="B32" s="17">
        <f>IF(COUNTIF('Conteo diario'!$M$2:$M$1501,26)=0,"",IF(OR($E$4="",INDEX('Conteo diario'!$E$2:$E$1501,MATCH(26,'Conteo diario'!$M$2:$M$1501,0))=$E$4),26,""))</f>
        <v/>
      </c>
      <c r="C32" s="17">
        <f>IF($B32="","",IF(INDEX('Conteo diario'!$D$2:$D$1501,MATCH(26,'Conteo diario'!$M$2:$M$1501,0))="","",INDEX('Conteo diario'!$D$2:$D$1501,MATCH(26,'Conteo diario'!$M$2:$M$1501,0))))</f>
        <v/>
      </c>
      <c r="D32" s="17">
        <f>IF($B32="","",IF(INDEX('Conteo diario'!$E$2:$E$1501,MATCH(26,'Conteo diario'!$M$2:$M$1501,0))="","",INDEX('Conteo diario'!$E$2:$E$1501,MATCH(26,'Conteo diario'!$M$2:$M$1501,0))))</f>
        <v/>
      </c>
      <c r="E32" s="17">
        <f>IF($B32="","",IF(INDEX('Conteo diario'!$F$2:$F$1501,MATCH(26,'Conteo diario'!$M$2:$M$1501,0))="","",INDEX('Conteo diario'!$F$2:$F$1501,MATCH(26,'Conteo diario'!$M$2:$M$1501,0))))</f>
        <v/>
      </c>
      <c r="F32" s="18">
        <f>IF($B32="","",IF(INDEX('Conteo diario'!$G$2:$G$1501,MATCH(26,'Conteo diario'!$M$2:$M$1501,0))="","",INDEX('Conteo diario'!$G$2:$G$1501,MATCH(26,'Conteo diario'!$M$2:$M$1501,0))))</f>
        <v/>
      </c>
      <c r="G32" s="18">
        <f>IF($B32="","",IF(INDEX('Conteo diario'!$I$2:$I$1501,MATCH(26,'Conteo diario'!$M$2:$M$1501,0))="","",INDEX('Conteo diario'!$I$2:$I$1501,MATCH(26,'Conteo diario'!$M$2:$M$1501,0))))</f>
        <v/>
      </c>
      <c r="H32" s="17">
        <f>IF($B32="","",IF(INDEX('Conteo diario'!$L$2:$L$1501,MATCH(26,'Conteo diario'!$M$2:$M$1501,0))="","",INDEX('Conteo diario'!$L$2:$L$1501,MATCH(26,'Conteo diario'!$M$2:$M$1501,0))))</f>
        <v/>
      </c>
    </row>
    <row r="33">
      <c r="B33" s="17">
        <f>IF(COUNTIF('Conteo diario'!$M$2:$M$1501,27)=0,"",IF(OR($E$4="",INDEX('Conteo diario'!$E$2:$E$1501,MATCH(27,'Conteo diario'!$M$2:$M$1501,0))=$E$4),27,""))</f>
        <v/>
      </c>
      <c r="C33" s="17">
        <f>IF($B33="","",IF(INDEX('Conteo diario'!$D$2:$D$1501,MATCH(27,'Conteo diario'!$M$2:$M$1501,0))="","",INDEX('Conteo diario'!$D$2:$D$1501,MATCH(27,'Conteo diario'!$M$2:$M$1501,0))))</f>
        <v/>
      </c>
      <c r="D33" s="17">
        <f>IF($B33="","",IF(INDEX('Conteo diario'!$E$2:$E$1501,MATCH(27,'Conteo diario'!$M$2:$M$1501,0))="","",INDEX('Conteo diario'!$E$2:$E$1501,MATCH(27,'Conteo diario'!$M$2:$M$1501,0))))</f>
        <v/>
      </c>
      <c r="E33" s="17">
        <f>IF($B33="","",IF(INDEX('Conteo diario'!$F$2:$F$1501,MATCH(27,'Conteo diario'!$M$2:$M$1501,0))="","",INDEX('Conteo diario'!$F$2:$F$1501,MATCH(27,'Conteo diario'!$M$2:$M$1501,0))))</f>
        <v/>
      </c>
      <c r="F33" s="18">
        <f>IF($B33="","",IF(INDEX('Conteo diario'!$G$2:$G$1501,MATCH(27,'Conteo diario'!$M$2:$M$1501,0))="","",INDEX('Conteo diario'!$G$2:$G$1501,MATCH(27,'Conteo diario'!$M$2:$M$1501,0))))</f>
        <v/>
      </c>
      <c r="G33" s="18">
        <f>IF($B33="","",IF(INDEX('Conteo diario'!$I$2:$I$1501,MATCH(27,'Conteo diario'!$M$2:$M$1501,0))="","",INDEX('Conteo diario'!$I$2:$I$1501,MATCH(27,'Conteo diario'!$M$2:$M$1501,0))))</f>
        <v/>
      </c>
      <c r="H33" s="17">
        <f>IF($B33="","",IF(INDEX('Conteo diario'!$L$2:$L$1501,MATCH(27,'Conteo diario'!$M$2:$M$1501,0))="","",INDEX('Conteo diario'!$L$2:$L$1501,MATCH(27,'Conteo diario'!$M$2:$M$1501,0))))</f>
        <v/>
      </c>
    </row>
    <row r="34">
      <c r="B34" s="17">
        <f>IF(COUNTIF('Conteo diario'!$M$2:$M$1501,28)=0,"",IF(OR($E$4="",INDEX('Conteo diario'!$E$2:$E$1501,MATCH(28,'Conteo diario'!$M$2:$M$1501,0))=$E$4),28,""))</f>
        <v/>
      </c>
      <c r="C34" s="17">
        <f>IF($B34="","",IF(INDEX('Conteo diario'!$D$2:$D$1501,MATCH(28,'Conteo diario'!$M$2:$M$1501,0))="","",INDEX('Conteo diario'!$D$2:$D$1501,MATCH(28,'Conteo diario'!$M$2:$M$1501,0))))</f>
        <v/>
      </c>
      <c r="D34" s="17">
        <f>IF($B34="","",IF(INDEX('Conteo diario'!$E$2:$E$1501,MATCH(28,'Conteo diario'!$M$2:$M$1501,0))="","",INDEX('Conteo diario'!$E$2:$E$1501,MATCH(28,'Conteo diario'!$M$2:$M$1501,0))))</f>
        <v/>
      </c>
      <c r="E34" s="17">
        <f>IF($B34="","",IF(INDEX('Conteo diario'!$F$2:$F$1501,MATCH(28,'Conteo diario'!$M$2:$M$1501,0))="","",INDEX('Conteo diario'!$F$2:$F$1501,MATCH(28,'Conteo diario'!$M$2:$M$1501,0))))</f>
        <v/>
      </c>
      <c r="F34" s="18">
        <f>IF($B34="","",IF(INDEX('Conteo diario'!$G$2:$G$1501,MATCH(28,'Conteo diario'!$M$2:$M$1501,0))="","",INDEX('Conteo diario'!$G$2:$G$1501,MATCH(28,'Conteo diario'!$M$2:$M$1501,0))))</f>
        <v/>
      </c>
      <c r="G34" s="18">
        <f>IF($B34="","",IF(INDEX('Conteo diario'!$I$2:$I$1501,MATCH(28,'Conteo diario'!$M$2:$M$1501,0))="","",INDEX('Conteo diario'!$I$2:$I$1501,MATCH(28,'Conteo diario'!$M$2:$M$1501,0))))</f>
        <v/>
      </c>
      <c r="H34" s="17">
        <f>IF($B34="","",IF(INDEX('Conteo diario'!$L$2:$L$1501,MATCH(28,'Conteo diario'!$M$2:$M$1501,0))="","",INDEX('Conteo diario'!$L$2:$L$1501,MATCH(28,'Conteo diario'!$M$2:$M$1501,0))))</f>
        <v/>
      </c>
    </row>
    <row r="35">
      <c r="B35" s="17">
        <f>IF(COUNTIF('Conteo diario'!$M$2:$M$1501,29)=0,"",IF(OR($E$4="",INDEX('Conteo diario'!$E$2:$E$1501,MATCH(29,'Conteo diario'!$M$2:$M$1501,0))=$E$4),29,""))</f>
        <v/>
      </c>
      <c r="C35" s="17">
        <f>IF($B35="","",IF(INDEX('Conteo diario'!$D$2:$D$1501,MATCH(29,'Conteo diario'!$M$2:$M$1501,0))="","",INDEX('Conteo diario'!$D$2:$D$1501,MATCH(29,'Conteo diario'!$M$2:$M$1501,0))))</f>
        <v/>
      </c>
      <c r="D35" s="17">
        <f>IF($B35="","",IF(INDEX('Conteo diario'!$E$2:$E$1501,MATCH(29,'Conteo diario'!$M$2:$M$1501,0))="","",INDEX('Conteo diario'!$E$2:$E$1501,MATCH(29,'Conteo diario'!$M$2:$M$1501,0))))</f>
        <v/>
      </c>
      <c r="E35" s="17">
        <f>IF($B35="","",IF(INDEX('Conteo diario'!$F$2:$F$1501,MATCH(29,'Conteo diario'!$M$2:$M$1501,0))="","",INDEX('Conteo diario'!$F$2:$F$1501,MATCH(29,'Conteo diario'!$M$2:$M$1501,0))))</f>
        <v/>
      </c>
      <c r="F35" s="18">
        <f>IF($B35="","",IF(INDEX('Conteo diario'!$G$2:$G$1501,MATCH(29,'Conteo diario'!$M$2:$M$1501,0))="","",INDEX('Conteo diario'!$G$2:$G$1501,MATCH(29,'Conteo diario'!$M$2:$M$1501,0))))</f>
        <v/>
      </c>
      <c r="G35" s="18">
        <f>IF($B35="","",IF(INDEX('Conteo diario'!$I$2:$I$1501,MATCH(29,'Conteo diario'!$M$2:$M$1501,0))="","",INDEX('Conteo diario'!$I$2:$I$1501,MATCH(29,'Conteo diario'!$M$2:$M$1501,0))))</f>
        <v/>
      </c>
      <c r="H35" s="17">
        <f>IF($B35="","",IF(INDEX('Conteo diario'!$L$2:$L$1501,MATCH(29,'Conteo diario'!$M$2:$M$1501,0))="","",INDEX('Conteo diario'!$L$2:$L$1501,MATCH(29,'Conteo diario'!$M$2:$M$1501,0))))</f>
        <v/>
      </c>
    </row>
    <row r="36">
      <c r="B36" s="17">
        <f>IF(COUNTIF('Conteo diario'!$M$2:$M$1501,30)=0,"",IF(OR($E$4="",INDEX('Conteo diario'!$E$2:$E$1501,MATCH(30,'Conteo diario'!$M$2:$M$1501,0))=$E$4),30,""))</f>
        <v/>
      </c>
      <c r="C36" s="17">
        <f>IF($B36="","",IF(INDEX('Conteo diario'!$D$2:$D$1501,MATCH(30,'Conteo diario'!$M$2:$M$1501,0))="","",INDEX('Conteo diario'!$D$2:$D$1501,MATCH(30,'Conteo diario'!$M$2:$M$1501,0))))</f>
        <v/>
      </c>
      <c r="D36" s="17">
        <f>IF($B36="","",IF(INDEX('Conteo diario'!$E$2:$E$1501,MATCH(30,'Conteo diario'!$M$2:$M$1501,0))="","",INDEX('Conteo diario'!$E$2:$E$1501,MATCH(30,'Conteo diario'!$M$2:$M$1501,0))))</f>
        <v/>
      </c>
      <c r="E36" s="17">
        <f>IF($B36="","",IF(INDEX('Conteo diario'!$F$2:$F$1501,MATCH(30,'Conteo diario'!$M$2:$M$1501,0))="","",INDEX('Conteo diario'!$F$2:$F$1501,MATCH(30,'Conteo diario'!$M$2:$M$1501,0))))</f>
        <v/>
      </c>
      <c r="F36" s="18">
        <f>IF($B36="","",IF(INDEX('Conteo diario'!$G$2:$G$1501,MATCH(30,'Conteo diario'!$M$2:$M$1501,0))="","",INDEX('Conteo diario'!$G$2:$G$1501,MATCH(30,'Conteo diario'!$M$2:$M$1501,0))))</f>
        <v/>
      </c>
      <c r="G36" s="18">
        <f>IF($B36="","",IF(INDEX('Conteo diario'!$I$2:$I$1501,MATCH(30,'Conteo diario'!$M$2:$M$1501,0))="","",INDEX('Conteo diario'!$I$2:$I$1501,MATCH(30,'Conteo diario'!$M$2:$M$1501,0))))</f>
        <v/>
      </c>
      <c r="H36" s="17">
        <f>IF($B36="","",IF(INDEX('Conteo diario'!$L$2:$L$1501,MATCH(30,'Conteo diario'!$M$2:$M$1501,0))="","",INDEX('Conteo diario'!$L$2:$L$1501,MATCH(30,'Conteo diario'!$M$2:$M$1501,0))))</f>
        <v/>
      </c>
    </row>
    <row r="37">
      <c r="B37" s="17">
        <f>IF(COUNTIF('Conteo diario'!$M$2:$M$1501,31)=0,"",IF(OR($E$4="",INDEX('Conteo diario'!$E$2:$E$1501,MATCH(31,'Conteo diario'!$M$2:$M$1501,0))=$E$4),31,""))</f>
        <v/>
      </c>
      <c r="C37" s="17">
        <f>IF($B37="","",IF(INDEX('Conteo diario'!$D$2:$D$1501,MATCH(31,'Conteo diario'!$M$2:$M$1501,0))="","",INDEX('Conteo diario'!$D$2:$D$1501,MATCH(31,'Conteo diario'!$M$2:$M$1501,0))))</f>
        <v/>
      </c>
      <c r="D37" s="17">
        <f>IF($B37="","",IF(INDEX('Conteo diario'!$E$2:$E$1501,MATCH(31,'Conteo diario'!$M$2:$M$1501,0))="","",INDEX('Conteo diario'!$E$2:$E$1501,MATCH(31,'Conteo diario'!$M$2:$M$1501,0))))</f>
        <v/>
      </c>
      <c r="E37" s="17">
        <f>IF($B37="","",IF(INDEX('Conteo diario'!$F$2:$F$1501,MATCH(31,'Conteo diario'!$M$2:$M$1501,0))="","",INDEX('Conteo diario'!$F$2:$F$1501,MATCH(31,'Conteo diario'!$M$2:$M$1501,0))))</f>
        <v/>
      </c>
      <c r="F37" s="18">
        <f>IF($B37="","",IF(INDEX('Conteo diario'!$G$2:$G$1501,MATCH(31,'Conteo diario'!$M$2:$M$1501,0))="","",INDEX('Conteo diario'!$G$2:$G$1501,MATCH(31,'Conteo diario'!$M$2:$M$1501,0))))</f>
        <v/>
      </c>
      <c r="G37" s="18">
        <f>IF($B37="","",IF(INDEX('Conteo diario'!$I$2:$I$1501,MATCH(31,'Conteo diario'!$M$2:$M$1501,0))="","",INDEX('Conteo diario'!$I$2:$I$1501,MATCH(31,'Conteo diario'!$M$2:$M$1501,0))))</f>
        <v/>
      </c>
      <c r="H37" s="17">
        <f>IF($B37="","",IF(INDEX('Conteo diario'!$L$2:$L$1501,MATCH(31,'Conteo diario'!$M$2:$M$1501,0))="","",INDEX('Conteo diario'!$L$2:$L$1501,MATCH(31,'Conteo diario'!$M$2:$M$1501,0))))</f>
        <v/>
      </c>
    </row>
    <row r="38">
      <c r="B38" s="17">
        <f>IF(COUNTIF('Conteo diario'!$M$2:$M$1501,32)=0,"",IF(OR($E$4="",INDEX('Conteo diario'!$E$2:$E$1501,MATCH(32,'Conteo diario'!$M$2:$M$1501,0))=$E$4),32,""))</f>
        <v/>
      </c>
      <c r="C38" s="17">
        <f>IF($B38="","",IF(INDEX('Conteo diario'!$D$2:$D$1501,MATCH(32,'Conteo diario'!$M$2:$M$1501,0))="","",INDEX('Conteo diario'!$D$2:$D$1501,MATCH(32,'Conteo diario'!$M$2:$M$1501,0))))</f>
        <v/>
      </c>
      <c r="D38" s="17">
        <f>IF($B38="","",IF(INDEX('Conteo diario'!$E$2:$E$1501,MATCH(32,'Conteo diario'!$M$2:$M$1501,0))="","",INDEX('Conteo diario'!$E$2:$E$1501,MATCH(32,'Conteo diario'!$M$2:$M$1501,0))))</f>
        <v/>
      </c>
      <c r="E38" s="17">
        <f>IF($B38="","",IF(INDEX('Conteo diario'!$F$2:$F$1501,MATCH(32,'Conteo diario'!$M$2:$M$1501,0))="","",INDEX('Conteo diario'!$F$2:$F$1501,MATCH(32,'Conteo diario'!$M$2:$M$1501,0))))</f>
        <v/>
      </c>
      <c r="F38" s="18">
        <f>IF($B38="","",IF(INDEX('Conteo diario'!$G$2:$G$1501,MATCH(32,'Conteo diario'!$M$2:$M$1501,0))="","",INDEX('Conteo diario'!$G$2:$G$1501,MATCH(32,'Conteo diario'!$M$2:$M$1501,0))))</f>
        <v/>
      </c>
      <c r="G38" s="18">
        <f>IF($B38="","",IF(INDEX('Conteo diario'!$I$2:$I$1501,MATCH(32,'Conteo diario'!$M$2:$M$1501,0))="","",INDEX('Conteo diario'!$I$2:$I$1501,MATCH(32,'Conteo diario'!$M$2:$M$1501,0))))</f>
        <v/>
      </c>
      <c r="H38" s="17">
        <f>IF($B38="","",IF(INDEX('Conteo diario'!$L$2:$L$1501,MATCH(32,'Conteo diario'!$M$2:$M$1501,0))="","",INDEX('Conteo diario'!$L$2:$L$1501,MATCH(32,'Conteo diario'!$M$2:$M$1501,0))))</f>
        <v/>
      </c>
    </row>
    <row r="39">
      <c r="B39" s="17">
        <f>IF(COUNTIF('Conteo diario'!$M$2:$M$1501,33)=0,"",IF(OR($E$4="",INDEX('Conteo diario'!$E$2:$E$1501,MATCH(33,'Conteo diario'!$M$2:$M$1501,0))=$E$4),33,""))</f>
        <v/>
      </c>
      <c r="C39" s="17">
        <f>IF($B39="","",IF(INDEX('Conteo diario'!$D$2:$D$1501,MATCH(33,'Conteo diario'!$M$2:$M$1501,0))="","",INDEX('Conteo diario'!$D$2:$D$1501,MATCH(33,'Conteo diario'!$M$2:$M$1501,0))))</f>
        <v/>
      </c>
      <c r="D39" s="17">
        <f>IF($B39="","",IF(INDEX('Conteo diario'!$E$2:$E$1501,MATCH(33,'Conteo diario'!$M$2:$M$1501,0))="","",INDEX('Conteo diario'!$E$2:$E$1501,MATCH(33,'Conteo diario'!$M$2:$M$1501,0))))</f>
        <v/>
      </c>
      <c r="E39" s="17">
        <f>IF($B39="","",IF(INDEX('Conteo diario'!$F$2:$F$1501,MATCH(33,'Conteo diario'!$M$2:$M$1501,0))="","",INDEX('Conteo diario'!$F$2:$F$1501,MATCH(33,'Conteo diario'!$M$2:$M$1501,0))))</f>
        <v/>
      </c>
      <c r="F39" s="18">
        <f>IF($B39="","",IF(INDEX('Conteo diario'!$G$2:$G$1501,MATCH(33,'Conteo diario'!$M$2:$M$1501,0))="","",INDEX('Conteo diario'!$G$2:$G$1501,MATCH(33,'Conteo diario'!$M$2:$M$1501,0))))</f>
        <v/>
      </c>
      <c r="G39" s="18">
        <f>IF($B39="","",IF(INDEX('Conteo diario'!$I$2:$I$1501,MATCH(33,'Conteo diario'!$M$2:$M$1501,0))="","",INDEX('Conteo diario'!$I$2:$I$1501,MATCH(33,'Conteo diario'!$M$2:$M$1501,0))))</f>
        <v/>
      </c>
      <c r="H39" s="17">
        <f>IF($B39="","",IF(INDEX('Conteo diario'!$L$2:$L$1501,MATCH(33,'Conteo diario'!$M$2:$M$1501,0))="","",INDEX('Conteo diario'!$L$2:$L$1501,MATCH(33,'Conteo diario'!$M$2:$M$1501,0))))</f>
        <v/>
      </c>
    </row>
    <row r="40">
      <c r="B40" s="17">
        <f>IF(COUNTIF('Conteo diario'!$M$2:$M$1501,34)=0,"",IF(OR($E$4="",INDEX('Conteo diario'!$E$2:$E$1501,MATCH(34,'Conteo diario'!$M$2:$M$1501,0))=$E$4),34,""))</f>
        <v/>
      </c>
      <c r="C40" s="17">
        <f>IF($B40="","",IF(INDEX('Conteo diario'!$D$2:$D$1501,MATCH(34,'Conteo diario'!$M$2:$M$1501,0))="","",INDEX('Conteo diario'!$D$2:$D$1501,MATCH(34,'Conteo diario'!$M$2:$M$1501,0))))</f>
        <v/>
      </c>
      <c r="D40" s="17">
        <f>IF($B40="","",IF(INDEX('Conteo diario'!$E$2:$E$1501,MATCH(34,'Conteo diario'!$M$2:$M$1501,0))="","",INDEX('Conteo diario'!$E$2:$E$1501,MATCH(34,'Conteo diario'!$M$2:$M$1501,0))))</f>
        <v/>
      </c>
      <c r="E40" s="17">
        <f>IF($B40="","",IF(INDEX('Conteo diario'!$F$2:$F$1501,MATCH(34,'Conteo diario'!$M$2:$M$1501,0))="","",INDEX('Conteo diario'!$F$2:$F$1501,MATCH(34,'Conteo diario'!$M$2:$M$1501,0))))</f>
        <v/>
      </c>
      <c r="F40" s="18">
        <f>IF($B40="","",IF(INDEX('Conteo diario'!$G$2:$G$1501,MATCH(34,'Conteo diario'!$M$2:$M$1501,0))="","",INDEX('Conteo diario'!$G$2:$G$1501,MATCH(34,'Conteo diario'!$M$2:$M$1501,0))))</f>
        <v/>
      </c>
      <c r="G40" s="18">
        <f>IF($B40="","",IF(INDEX('Conteo diario'!$I$2:$I$1501,MATCH(34,'Conteo diario'!$M$2:$M$1501,0))="","",INDEX('Conteo diario'!$I$2:$I$1501,MATCH(34,'Conteo diario'!$M$2:$M$1501,0))))</f>
        <v/>
      </c>
      <c r="H40" s="17">
        <f>IF($B40="","",IF(INDEX('Conteo diario'!$L$2:$L$1501,MATCH(34,'Conteo diario'!$M$2:$M$1501,0))="","",INDEX('Conteo diario'!$L$2:$L$1501,MATCH(34,'Conteo diario'!$M$2:$M$1501,0))))</f>
        <v/>
      </c>
    </row>
    <row r="41">
      <c r="B41" s="17">
        <f>IF(COUNTIF('Conteo diario'!$M$2:$M$1501,35)=0,"",IF(OR($E$4="",INDEX('Conteo diario'!$E$2:$E$1501,MATCH(35,'Conteo diario'!$M$2:$M$1501,0))=$E$4),35,""))</f>
        <v/>
      </c>
      <c r="C41" s="17">
        <f>IF($B41="","",IF(INDEX('Conteo diario'!$D$2:$D$1501,MATCH(35,'Conteo diario'!$M$2:$M$1501,0))="","",INDEX('Conteo diario'!$D$2:$D$1501,MATCH(35,'Conteo diario'!$M$2:$M$1501,0))))</f>
        <v/>
      </c>
      <c r="D41" s="17">
        <f>IF($B41="","",IF(INDEX('Conteo diario'!$E$2:$E$1501,MATCH(35,'Conteo diario'!$M$2:$M$1501,0))="","",INDEX('Conteo diario'!$E$2:$E$1501,MATCH(35,'Conteo diario'!$M$2:$M$1501,0))))</f>
        <v/>
      </c>
      <c r="E41" s="17">
        <f>IF($B41="","",IF(INDEX('Conteo diario'!$F$2:$F$1501,MATCH(35,'Conteo diario'!$M$2:$M$1501,0))="","",INDEX('Conteo diario'!$F$2:$F$1501,MATCH(35,'Conteo diario'!$M$2:$M$1501,0))))</f>
        <v/>
      </c>
      <c r="F41" s="18">
        <f>IF($B41="","",IF(INDEX('Conteo diario'!$G$2:$G$1501,MATCH(35,'Conteo diario'!$M$2:$M$1501,0))="","",INDEX('Conteo diario'!$G$2:$G$1501,MATCH(35,'Conteo diario'!$M$2:$M$1501,0))))</f>
        <v/>
      </c>
      <c r="G41" s="18">
        <f>IF($B41="","",IF(INDEX('Conteo diario'!$I$2:$I$1501,MATCH(35,'Conteo diario'!$M$2:$M$1501,0))="","",INDEX('Conteo diario'!$I$2:$I$1501,MATCH(35,'Conteo diario'!$M$2:$M$1501,0))))</f>
        <v/>
      </c>
      <c r="H41" s="17">
        <f>IF($B41="","",IF(INDEX('Conteo diario'!$L$2:$L$1501,MATCH(35,'Conteo diario'!$M$2:$M$1501,0))="","",INDEX('Conteo diario'!$L$2:$L$1501,MATCH(35,'Conteo diario'!$M$2:$M$1501,0))))</f>
        <v/>
      </c>
    </row>
    <row r="42">
      <c r="B42" s="17">
        <f>IF(COUNTIF('Conteo diario'!$M$2:$M$1501,36)=0,"",IF(OR($E$4="",INDEX('Conteo diario'!$E$2:$E$1501,MATCH(36,'Conteo diario'!$M$2:$M$1501,0))=$E$4),36,""))</f>
        <v/>
      </c>
      <c r="C42" s="17">
        <f>IF($B42="","",IF(INDEX('Conteo diario'!$D$2:$D$1501,MATCH(36,'Conteo diario'!$M$2:$M$1501,0))="","",INDEX('Conteo diario'!$D$2:$D$1501,MATCH(36,'Conteo diario'!$M$2:$M$1501,0))))</f>
        <v/>
      </c>
      <c r="D42" s="17">
        <f>IF($B42="","",IF(INDEX('Conteo diario'!$E$2:$E$1501,MATCH(36,'Conteo diario'!$M$2:$M$1501,0))="","",INDEX('Conteo diario'!$E$2:$E$1501,MATCH(36,'Conteo diario'!$M$2:$M$1501,0))))</f>
        <v/>
      </c>
      <c r="E42" s="17">
        <f>IF($B42="","",IF(INDEX('Conteo diario'!$F$2:$F$1501,MATCH(36,'Conteo diario'!$M$2:$M$1501,0))="","",INDEX('Conteo diario'!$F$2:$F$1501,MATCH(36,'Conteo diario'!$M$2:$M$1501,0))))</f>
        <v/>
      </c>
      <c r="F42" s="18">
        <f>IF($B42="","",IF(INDEX('Conteo diario'!$G$2:$G$1501,MATCH(36,'Conteo diario'!$M$2:$M$1501,0))="","",INDEX('Conteo diario'!$G$2:$G$1501,MATCH(36,'Conteo diario'!$M$2:$M$1501,0))))</f>
        <v/>
      </c>
      <c r="G42" s="18">
        <f>IF($B42="","",IF(INDEX('Conteo diario'!$I$2:$I$1501,MATCH(36,'Conteo diario'!$M$2:$M$1501,0))="","",INDEX('Conteo diario'!$I$2:$I$1501,MATCH(36,'Conteo diario'!$M$2:$M$1501,0))))</f>
        <v/>
      </c>
      <c r="H42" s="17">
        <f>IF($B42="","",IF(INDEX('Conteo diario'!$L$2:$L$1501,MATCH(36,'Conteo diario'!$M$2:$M$1501,0))="","",INDEX('Conteo diario'!$L$2:$L$1501,MATCH(36,'Conteo diario'!$M$2:$M$1501,0))))</f>
        <v/>
      </c>
    </row>
    <row r="43">
      <c r="B43" s="17">
        <f>IF(COUNTIF('Conteo diario'!$M$2:$M$1501,37)=0,"",IF(OR($E$4="",INDEX('Conteo diario'!$E$2:$E$1501,MATCH(37,'Conteo diario'!$M$2:$M$1501,0))=$E$4),37,""))</f>
        <v/>
      </c>
      <c r="C43" s="17">
        <f>IF($B43="","",IF(INDEX('Conteo diario'!$D$2:$D$1501,MATCH(37,'Conteo diario'!$M$2:$M$1501,0))="","",INDEX('Conteo diario'!$D$2:$D$1501,MATCH(37,'Conteo diario'!$M$2:$M$1501,0))))</f>
        <v/>
      </c>
      <c r="D43" s="17">
        <f>IF($B43="","",IF(INDEX('Conteo diario'!$E$2:$E$1501,MATCH(37,'Conteo diario'!$M$2:$M$1501,0))="","",INDEX('Conteo diario'!$E$2:$E$1501,MATCH(37,'Conteo diario'!$M$2:$M$1501,0))))</f>
        <v/>
      </c>
      <c r="E43" s="17">
        <f>IF($B43="","",IF(INDEX('Conteo diario'!$F$2:$F$1501,MATCH(37,'Conteo diario'!$M$2:$M$1501,0))="","",INDEX('Conteo diario'!$F$2:$F$1501,MATCH(37,'Conteo diario'!$M$2:$M$1501,0))))</f>
        <v/>
      </c>
      <c r="F43" s="18">
        <f>IF($B43="","",IF(INDEX('Conteo diario'!$G$2:$G$1501,MATCH(37,'Conteo diario'!$M$2:$M$1501,0))="","",INDEX('Conteo diario'!$G$2:$G$1501,MATCH(37,'Conteo diario'!$M$2:$M$1501,0))))</f>
        <v/>
      </c>
      <c r="G43" s="18">
        <f>IF($B43="","",IF(INDEX('Conteo diario'!$I$2:$I$1501,MATCH(37,'Conteo diario'!$M$2:$M$1501,0))="","",INDEX('Conteo diario'!$I$2:$I$1501,MATCH(37,'Conteo diario'!$M$2:$M$1501,0))))</f>
        <v/>
      </c>
      <c r="H43" s="17">
        <f>IF($B43="","",IF(INDEX('Conteo diario'!$L$2:$L$1501,MATCH(37,'Conteo diario'!$M$2:$M$1501,0))="","",INDEX('Conteo diario'!$L$2:$L$1501,MATCH(37,'Conteo diario'!$M$2:$M$1501,0))))</f>
        <v/>
      </c>
    </row>
    <row r="44">
      <c r="B44" s="17">
        <f>IF(COUNTIF('Conteo diario'!$M$2:$M$1501,38)=0,"",IF(OR($E$4="",INDEX('Conteo diario'!$E$2:$E$1501,MATCH(38,'Conteo diario'!$M$2:$M$1501,0))=$E$4),38,""))</f>
        <v/>
      </c>
      <c r="C44" s="17">
        <f>IF($B44="","",IF(INDEX('Conteo diario'!$D$2:$D$1501,MATCH(38,'Conteo diario'!$M$2:$M$1501,0))="","",INDEX('Conteo diario'!$D$2:$D$1501,MATCH(38,'Conteo diario'!$M$2:$M$1501,0))))</f>
        <v/>
      </c>
      <c r="D44" s="17">
        <f>IF($B44="","",IF(INDEX('Conteo diario'!$E$2:$E$1501,MATCH(38,'Conteo diario'!$M$2:$M$1501,0))="","",INDEX('Conteo diario'!$E$2:$E$1501,MATCH(38,'Conteo diario'!$M$2:$M$1501,0))))</f>
        <v/>
      </c>
      <c r="E44" s="17">
        <f>IF($B44="","",IF(INDEX('Conteo diario'!$F$2:$F$1501,MATCH(38,'Conteo diario'!$M$2:$M$1501,0))="","",INDEX('Conteo diario'!$F$2:$F$1501,MATCH(38,'Conteo diario'!$M$2:$M$1501,0))))</f>
        <v/>
      </c>
      <c r="F44" s="18">
        <f>IF($B44="","",IF(INDEX('Conteo diario'!$G$2:$G$1501,MATCH(38,'Conteo diario'!$M$2:$M$1501,0))="","",INDEX('Conteo diario'!$G$2:$G$1501,MATCH(38,'Conteo diario'!$M$2:$M$1501,0))))</f>
        <v/>
      </c>
      <c r="G44" s="18">
        <f>IF($B44="","",IF(INDEX('Conteo diario'!$I$2:$I$1501,MATCH(38,'Conteo diario'!$M$2:$M$1501,0))="","",INDEX('Conteo diario'!$I$2:$I$1501,MATCH(38,'Conteo diario'!$M$2:$M$1501,0))))</f>
        <v/>
      </c>
      <c r="H44" s="17">
        <f>IF($B44="","",IF(INDEX('Conteo diario'!$L$2:$L$1501,MATCH(38,'Conteo diario'!$M$2:$M$1501,0))="","",INDEX('Conteo diario'!$L$2:$L$1501,MATCH(38,'Conteo diario'!$M$2:$M$1501,0))))</f>
        <v/>
      </c>
    </row>
    <row r="45">
      <c r="B45" s="17">
        <f>IF(COUNTIF('Conteo diario'!$M$2:$M$1501,39)=0,"",IF(OR($E$4="",INDEX('Conteo diario'!$E$2:$E$1501,MATCH(39,'Conteo diario'!$M$2:$M$1501,0))=$E$4),39,""))</f>
        <v/>
      </c>
      <c r="C45" s="17">
        <f>IF($B45="","",IF(INDEX('Conteo diario'!$D$2:$D$1501,MATCH(39,'Conteo diario'!$M$2:$M$1501,0))="","",INDEX('Conteo diario'!$D$2:$D$1501,MATCH(39,'Conteo diario'!$M$2:$M$1501,0))))</f>
        <v/>
      </c>
      <c r="D45" s="17">
        <f>IF($B45="","",IF(INDEX('Conteo diario'!$E$2:$E$1501,MATCH(39,'Conteo diario'!$M$2:$M$1501,0))="","",INDEX('Conteo diario'!$E$2:$E$1501,MATCH(39,'Conteo diario'!$M$2:$M$1501,0))))</f>
        <v/>
      </c>
      <c r="E45" s="17">
        <f>IF($B45="","",IF(INDEX('Conteo diario'!$F$2:$F$1501,MATCH(39,'Conteo diario'!$M$2:$M$1501,0))="","",INDEX('Conteo diario'!$F$2:$F$1501,MATCH(39,'Conteo diario'!$M$2:$M$1501,0))))</f>
        <v/>
      </c>
      <c r="F45" s="18">
        <f>IF($B45="","",IF(INDEX('Conteo diario'!$G$2:$G$1501,MATCH(39,'Conteo diario'!$M$2:$M$1501,0))="","",INDEX('Conteo diario'!$G$2:$G$1501,MATCH(39,'Conteo diario'!$M$2:$M$1501,0))))</f>
        <v/>
      </c>
      <c r="G45" s="18">
        <f>IF($B45="","",IF(INDEX('Conteo diario'!$I$2:$I$1501,MATCH(39,'Conteo diario'!$M$2:$M$1501,0))="","",INDEX('Conteo diario'!$I$2:$I$1501,MATCH(39,'Conteo diario'!$M$2:$M$1501,0))))</f>
        <v/>
      </c>
      <c r="H45" s="17">
        <f>IF($B45="","",IF(INDEX('Conteo diario'!$L$2:$L$1501,MATCH(39,'Conteo diario'!$M$2:$M$1501,0))="","",INDEX('Conteo diario'!$L$2:$L$1501,MATCH(39,'Conteo diario'!$M$2:$M$1501,0))))</f>
        <v/>
      </c>
    </row>
    <row r="46">
      <c r="B46" s="17">
        <f>IF(COUNTIF('Conteo diario'!$M$2:$M$1501,40)=0,"",IF(OR($E$4="",INDEX('Conteo diario'!$E$2:$E$1501,MATCH(40,'Conteo diario'!$M$2:$M$1501,0))=$E$4),40,""))</f>
        <v/>
      </c>
      <c r="C46" s="17">
        <f>IF($B46="","",IF(INDEX('Conteo diario'!$D$2:$D$1501,MATCH(40,'Conteo diario'!$M$2:$M$1501,0))="","",INDEX('Conteo diario'!$D$2:$D$1501,MATCH(40,'Conteo diario'!$M$2:$M$1501,0))))</f>
        <v/>
      </c>
      <c r="D46" s="17">
        <f>IF($B46="","",IF(INDEX('Conteo diario'!$E$2:$E$1501,MATCH(40,'Conteo diario'!$M$2:$M$1501,0))="","",INDEX('Conteo diario'!$E$2:$E$1501,MATCH(40,'Conteo diario'!$M$2:$M$1501,0))))</f>
        <v/>
      </c>
      <c r="E46" s="17">
        <f>IF($B46="","",IF(INDEX('Conteo diario'!$F$2:$F$1501,MATCH(40,'Conteo diario'!$M$2:$M$1501,0))="","",INDEX('Conteo diario'!$F$2:$F$1501,MATCH(40,'Conteo diario'!$M$2:$M$1501,0))))</f>
        <v/>
      </c>
      <c r="F46" s="18">
        <f>IF($B46="","",IF(INDEX('Conteo diario'!$G$2:$G$1501,MATCH(40,'Conteo diario'!$M$2:$M$1501,0))="","",INDEX('Conteo diario'!$G$2:$G$1501,MATCH(40,'Conteo diario'!$M$2:$M$1501,0))))</f>
        <v/>
      </c>
      <c r="G46" s="18">
        <f>IF($B46="","",IF(INDEX('Conteo diario'!$I$2:$I$1501,MATCH(40,'Conteo diario'!$M$2:$M$1501,0))="","",INDEX('Conteo diario'!$I$2:$I$1501,MATCH(40,'Conteo diario'!$M$2:$M$1501,0))))</f>
        <v/>
      </c>
      <c r="H46" s="17">
        <f>IF($B46="","",IF(INDEX('Conteo diario'!$L$2:$L$1501,MATCH(40,'Conteo diario'!$M$2:$M$1501,0))="","",INDEX('Conteo diario'!$L$2:$L$1501,MATCH(40,'Conteo diario'!$M$2:$M$1501,0))))</f>
        <v/>
      </c>
    </row>
    <row r="47">
      <c r="B47" s="17">
        <f>IF(COUNTIF('Conteo diario'!$M$2:$M$1501,41)=0,"",IF(OR($E$4="",INDEX('Conteo diario'!$E$2:$E$1501,MATCH(41,'Conteo diario'!$M$2:$M$1501,0))=$E$4),41,""))</f>
        <v/>
      </c>
      <c r="C47" s="17">
        <f>IF($B47="","",IF(INDEX('Conteo diario'!$D$2:$D$1501,MATCH(41,'Conteo diario'!$M$2:$M$1501,0))="","",INDEX('Conteo diario'!$D$2:$D$1501,MATCH(41,'Conteo diario'!$M$2:$M$1501,0))))</f>
        <v/>
      </c>
      <c r="D47" s="17">
        <f>IF($B47="","",IF(INDEX('Conteo diario'!$E$2:$E$1501,MATCH(41,'Conteo diario'!$M$2:$M$1501,0))="","",INDEX('Conteo diario'!$E$2:$E$1501,MATCH(41,'Conteo diario'!$M$2:$M$1501,0))))</f>
        <v/>
      </c>
      <c r="E47" s="17">
        <f>IF($B47="","",IF(INDEX('Conteo diario'!$F$2:$F$1501,MATCH(41,'Conteo diario'!$M$2:$M$1501,0))="","",INDEX('Conteo diario'!$F$2:$F$1501,MATCH(41,'Conteo diario'!$M$2:$M$1501,0))))</f>
        <v/>
      </c>
      <c r="F47" s="18">
        <f>IF($B47="","",IF(INDEX('Conteo diario'!$G$2:$G$1501,MATCH(41,'Conteo diario'!$M$2:$M$1501,0))="","",INDEX('Conteo diario'!$G$2:$G$1501,MATCH(41,'Conteo diario'!$M$2:$M$1501,0))))</f>
        <v/>
      </c>
      <c r="G47" s="18">
        <f>IF($B47="","",IF(INDEX('Conteo diario'!$I$2:$I$1501,MATCH(41,'Conteo diario'!$M$2:$M$1501,0))="","",INDEX('Conteo diario'!$I$2:$I$1501,MATCH(41,'Conteo diario'!$M$2:$M$1501,0))))</f>
        <v/>
      </c>
      <c r="H47" s="17">
        <f>IF($B47="","",IF(INDEX('Conteo diario'!$L$2:$L$1501,MATCH(41,'Conteo diario'!$M$2:$M$1501,0))="","",INDEX('Conteo diario'!$L$2:$L$1501,MATCH(41,'Conteo diario'!$M$2:$M$1501,0))))</f>
        <v/>
      </c>
    </row>
    <row r="48">
      <c r="B48" s="17">
        <f>IF(COUNTIF('Conteo diario'!$M$2:$M$1501,42)=0,"",IF(OR($E$4="",INDEX('Conteo diario'!$E$2:$E$1501,MATCH(42,'Conteo diario'!$M$2:$M$1501,0))=$E$4),42,""))</f>
        <v/>
      </c>
      <c r="C48" s="17">
        <f>IF($B48="","",IF(INDEX('Conteo diario'!$D$2:$D$1501,MATCH(42,'Conteo diario'!$M$2:$M$1501,0))="","",INDEX('Conteo diario'!$D$2:$D$1501,MATCH(42,'Conteo diario'!$M$2:$M$1501,0))))</f>
        <v/>
      </c>
      <c r="D48" s="17">
        <f>IF($B48="","",IF(INDEX('Conteo diario'!$E$2:$E$1501,MATCH(42,'Conteo diario'!$M$2:$M$1501,0))="","",INDEX('Conteo diario'!$E$2:$E$1501,MATCH(42,'Conteo diario'!$M$2:$M$1501,0))))</f>
        <v/>
      </c>
      <c r="E48" s="17">
        <f>IF($B48="","",IF(INDEX('Conteo diario'!$F$2:$F$1501,MATCH(42,'Conteo diario'!$M$2:$M$1501,0))="","",INDEX('Conteo diario'!$F$2:$F$1501,MATCH(42,'Conteo diario'!$M$2:$M$1501,0))))</f>
        <v/>
      </c>
      <c r="F48" s="18">
        <f>IF($B48="","",IF(INDEX('Conteo diario'!$G$2:$G$1501,MATCH(42,'Conteo diario'!$M$2:$M$1501,0))="","",INDEX('Conteo diario'!$G$2:$G$1501,MATCH(42,'Conteo diario'!$M$2:$M$1501,0))))</f>
        <v/>
      </c>
      <c r="G48" s="18">
        <f>IF($B48="","",IF(INDEX('Conteo diario'!$I$2:$I$1501,MATCH(42,'Conteo diario'!$M$2:$M$1501,0))="","",INDEX('Conteo diario'!$I$2:$I$1501,MATCH(42,'Conteo diario'!$M$2:$M$1501,0))))</f>
        <v/>
      </c>
      <c r="H48" s="17">
        <f>IF($B48="","",IF(INDEX('Conteo diario'!$L$2:$L$1501,MATCH(42,'Conteo diario'!$M$2:$M$1501,0))="","",INDEX('Conteo diario'!$L$2:$L$1501,MATCH(42,'Conteo diario'!$M$2:$M$1501,0))))</f>
        <v/>
      </c>
    </row>
    <row r="49">
      <c r="B49" s="17">
        <f>IF(COUNTIF('Conteo diario'!$M$2:$M$1501,43)=0,"",IF(OR($E$4="",INDEX('Conteo diario'!$E$2:$E$1501,MATCH(43,'Conteo diario'!$M$2:$M$1501,0))=$E$4),43,""))</f>
        <v/>
      </c>
      <c r="C49" s="17">
        <f>IF($B49="","",IF(INDEX('Conteo diario'!$D$2:$D$1501,MATCH(43,'Conteo diario'!$M$2:$M$1501,0))="","",INDEX('Conteo diario'!$D$2:$D$1501,MATCH(43,'Conteo diario'!$M$2:$M$1501,0))))</f>
        <v/>
      </c>
      <c r="D49" s="17">
        <f>IF($B49="","",IF(INDEX('Conteo diario'!$E$2:$E$1501,MATCH(43,'Conteo diario'!$M$2:$M$1501,0))="","",INDEX('Conteo diario'!$E$2:$E$1501,MATCH(43,'Conteo diario'!$M$2:$M$1501,0))))</f>
        <v/>
      </c>
      <c r="E49" s="17">
        <f>IF($B49="","",IF(INDEX('Conteo diario'!$F$2:$F$1501,MATCH(43,'Conteo diario'!$M$2:$M$1501,0))="","",INDEX('Conteo diario'!$F$2:$F$1501,MATCH(43,'Conteo diario'!$M$2:$M$1501,0))))</f>
        <v/>
      </c>
      <c r="F49" s="18">
        <f>IF($B49="","",IF(INDEX('Conteo diario'!$G$2:$G$1501,MATCH(43,'Conteo diario'!$M$2:$M$1501,0))="","",INDEX('Conteo diario'!$G$2:$G$1501,MATCH(43,'Conteo diario'!$M$2:$M$1501,0))))</f>
        <v/>
      </c>
      <c r="G49" s="18">
        <f>IF($B49="","",IF(INDEX('Conteo diario'!$I$2:$I$1501,MATCH(43,'Conteo diario'!$M$2:$M$1501,0))="","",INDEX('Conteo diario'!$I$2:$I$1501,MATCH(43,'Conteo diario'!$M$2:$M$1501,0))))</f>
        <v/>
      </c>
      <c r="H49" s="17">
        <f>IF($B49="","",IF(INDEX('Conteo diario'!$L$2:$L$1501,MATCH(43,'Conteo diario'!$M$2:$M$1501,0))="","",INDEX('Conteo diario'!$L$2:$L$1501,MATCH(43,'Conteo diario'!$M$2:$M$1501,0))))</f>
        <v/>
      </c>
    </row>
    <row r="50">
      <c r="B50" s="17">
        <f>IF(COUNTIF('Conteo diario'!$M$2:$M$1501,44)=0,"",IF(OR($E$4="",INDEX('Conteo diario'!$E$2:$E$1501,MATCH(44,'Conteo diario'!$M$2:$M$1501,0))=$E$4),44,""))</f>
        <v/>
      </c>
      <c r="C50" s="17">
        <f>IF($B50="","",IF(INDEX('Conteo diario'!$D$2:$D$1501,MATCH(44,'Conteo diario'!$M$2:$M$1501,0))="","",INDEX('Conteo diario'!$D$2:$D$1501,MATCH(44,'Conteo diario'!$M$2:$M$1501,0))))</f>
        <v/>
      </c>
      <c r="D50" s="17">
        <f>IF($B50="","",IF(INDEX('Conteo diario'!$E$2:$E$1501,MATCH(44,'Conteo diario'!$M$2:$M$1501,0))="","",INDEX('Conteo diario'!$E$2:$E$1501,MATCH(44,'Conteo diario'!$M$2:$M$1501,0))))</f>
        <v/>
      </c>
      <c r="E50" s="17">
        <f>IF($B50="","",IF(INDEX('Conteo diario'!$F$2:$F$1501,MATCH(44,'Conteo diario'!$M$2:$M$1501,0))="","",INDEX('Conteo diario'!$F$2:$F$1501,MATCH(44,'Conteo diario'!$M$2:$M$1501,0))))</f>
        <v/>
      </c>
      <c r="F50" s="18">
        <f>IF($B50="","",IF(INDEX('Conteo diario'!$G$2:$G$1501,MATCH(44,'Conteo diario'!$M$2:$M$1501,0))="","",INDEX('Conteo diario'!$G$2:$G$1501,MATCH(44,'Conteo diario'!$M$2:$M$1501,0))))</f>
        <v/>
      </c>
      <c r="G50" s="18">
        <f>IF($B50="","",IF(INDEX('Conteo diario'!$I$2:$I$1501,MATCH(44,'Conteo diario'!$M$2:$M$1501,0))="","",INDEX('Conteo diario'!$I$2:$I$1501,MATCH(44,'Conteo diario'!$M$2:$M$1501,0))))</f>
        <v/>
      </c>
      <c r="H50" s="17">
        <f>IF($B50="","",IF(INDEX('Conteo diario'!$L$2:$L$1501,MATCH(44,'Conteo diario'!$M$2:$M$1501,0))="","",INDEX('Conteo diario'!$L$2:$L$1501,MATCH(44,'Conteo diario'!$M$2:$M$1501,0))))</f>
        <v/>
      </c>
    </row>
    <row r="51">
      <c r="B51" s="17">
        <f>IF(COUNTIF('Conteo diario'!$M$2:$M$1501,45)=0,"",IF(OR($E$4="",INDEX('Conteo diario'!$E$2:$E$1501,MATCH(45,'Conteo diario'!$M$2:$M$1501,0))=$E$4),45,""))</f>
        <v/>
      </c>
      <c r="C51" s="17">
        <f>IF($B51="","",IF(INDEX('Conteo diario'!$D$2:$D$1501,MATCH(45,'Conteo diario'!$M$2:$M$1501,0))="","",INDEX('Conteo diario'!$D$2:$D$1501,MATCH(45,'Conteo diario'!$M$2:$M$1501,0))))</f>
        <v/>
      </c>
      <c r="D51" s="17">
        <f>IF($B51="","",IF(INDEX('Conteo diario'!$E$2:$E$1501,MATCH(45,'Conteo diario'!$M$2:$M$1501,0))="","",INDEX('Conteo diario'!$E$2:$E$1501,MATCH(45,'Conteo diario'!$M$2:$M$1501,0))))</f>
        <v/>
      </c>
      <c r="E51" s="17">
        <f>IF($B51="","",IF(INDEX('Conteo diario'!$F$2:$F$1501,MATCH(45,'Conteo diario'!$M$2:$M$1501,0))="","",INDEX('Conteo diario'!$F$2:$F$1501,MATCH(45,'Conteo diario'!$M$2:$M$1501,0))))</f>
        <v/>
      </c>
      <c r="F51" s="18">
        <f>IF($B51="","",IF(INDEX('Conteo diario'!$G$2:$G$1501,MATCH(45,'Conteo diario'!$M$2:$M$1501,0))="","",INDEX('Conteo diario'!$G$2:$G$1501,MATCH(45,'Conteo diario'!$M$2:$M$1501,0))))</f>
        <v/>
      </c>
      <c r="G51" s="18">
        <f>IF($B51="","",IF(INDEX('Conteo diario'!$I$2:$I$1501,MATCH(45,'Conteo diario'!$M$2:$M$1501,0))="","",INDEX('Conteo diario'!$I$2:$I$1501,MATCH(45,'Conteo diario'!$M$2:$M$1501,0))))</f>
        <v/>
      </c>
      <c r="H51" s="17">
        <f>IF($B51="","",IF(INDEX('Conteo diario'!$L$2:$L$1501,MATCH(45,'Conteo diario'!$M$2:$M$1501,0))="","",INDEX('Conteo diario'!$L$2:$L$1501,MATCH(45,'Conteo diario'!$M$2:$M$1501,0))))</f>
        <v/>
      </c>
    </row>
    <row r="52">
      <c r="B52" s="17">
        <f>IF(COUNTIF('Conteo diario'!$M$2:$M$1501,46)=0,"",IF(OR($E$4="",INDEX('Conteo diario'!$E$2:$E$1501,MATCH(46,'Conteo diario'!$M$2:$M$1501,0))=$E$4),46,""))</f>
        <v/>
      </c>
      <c r="C52" s="17">
        <f>IF($B52="","",IF(INDEX('Conteo diario'!$D$2:$D$1501,MATCH(46,'Conteo diario'!$M$2:$M$1501,0))="","",INDEX('Conteo diario'!$D$2:$D$1501,MATCH(46,'Conteo diario'!$M$2:$M$1501,0))))</f>
        <v/>
      </c>
      <c r="D52" s="17">
        <f>IF($B52="","",IF(INDEX('Conteo diario'!$E$2:$E$1501,MATCH(46,'Conteo diario'!$M$2:$M$1501,0))="","",INDEX('Conteo diario'!$E$2:$E$1501,MATCH(46,'Conteo diario'!$M$2:$M$1501,0))))</f>
        <v/>
      </c>
      <c r="E52" s="17">
        <f>IF($B52="","",IF(INDEX('Conteo diario'!$F$2:$F$1501,MATCH(46,'Conteo diario'!$M$2:$M$1501,0))="","",INDEX('Conteo diario'!$F$2:$F$1501,MATCH(46,'Conteo diario'!$M$2:$M$1501,0))))</f>
        <v/>
      </c>
      <c r="F52" s="18">
        <f>IF($B52="","",IF(INDEX('Conteo diario'!$G$2:$G$1501,MATCH(46,'Conteo diario'!$M$2:$M$1501,0))="","",INDEX('Conteo diario'!$G$2:$G$1501,MATCH(46,'Conteo diario'!$M$2:$M$1501,0))))</f>
        <v/>
      </c>
      <c r="G52" s="18">
        <f>IF($B52="","",IF(INDEX('Conteo diario'!$I$2:$I$1501,MATCH(46,'Conteo diario'!$M$2:$M$1501,0))="","",INDEX('Conteo diario'!$I$2:$I$1501,MATCH(46,'Conteo diario'!$M$2:$M$1501,0))))</f>
        <v/>
      </c>
      <c r="H52" s="17">
        <f>IF($B52="","",IF(INDEX('Conteo diario'!$L$2:$L$1501,MATCH(46,'Conteo diario'!$M$2:$M$1501,0))="","",INDEX('Conteo diario'!$L$2:$L$1501,MATCH(46,'Conteo diario'!$M$2:$M$1501,0))))</f>
        <v/>
      </c>
    </row>
    <row r="53">
      <c r="B53" s="17">
        <f>IF(COUNTIF('Conteo diario'!$M$2:$M$1501,47)=0,"",IF(OR($E$4="",INDEX('Conteo diario'!$E$2:$E$1501,MATCH(47,'Conteo diario'!$M$2:$M$1501,0))=$E$4),47,""))</f>
        <v/>
      </c>
      <c r="C53" s="17">
        <f>IF($B53="","",IF(INDEX('Conteo diario'!$D$2:$D$1501,MATCH(47,'Conteo diario'!$M$2:$M$1501,0))="","",INDEX('Conteo diario'!$D$2:$D$1501,MATCH(47,'Conteo diario'!$M$2:$M$1501,0))))</f>
        <v/>
      </c>
      <c r="D53" s="17">
        <f>IF($B53="","",IF(INDEX('Conteo diario'!$E$2:$E$1501,MATCH(47,'Conteo diario'!$M$2:$M$1501,0))="","",INDEX('Conteo diario'!$E$2:$E$1501,MATCH(47,'Conteo diario'!$M$2:$M$1501,0))))</f>
        <v/>
      </c>
      <c r="E53" s="17">
        <f>IF($B53="","",IF(INDEX('Conteo diario'!$F$2:$F$1501,MATCH(47,'Conteo diario'!$M$2:$M$1501,0))="","",INDEX('Conteo diario'!$F$2:$F$1501,MATCH(47,'Conteo diario'!$M$2:$M$1501,0))))</f>
        <v/>
      </c>
      <c r="F53" s="18">
        <f>IF($B53="","",IF(INDEX('Conteo diario'!$G$2:$G$1501,MATCH(47,'Conteo diario'!$M$2:$M$1501,0))="","",INDEX('Conteo diario'!$G$2:$G$1501,MATCH(47,'Conteo diario'!$M$2:$M$1501,0))))</f>
        <v/>
      </c>
      <c r="G53" s="18">
        <f>IF($B53="","",IF(INDEX('Conteo diario'!$I$2:$I$1501,MATCH(47,'Conteo diario'!$M$2:$M$1501,0))="","",INDEX('Conteo diario'!$I$2:$I$1501,MATCH(47,'Conteo diario'!$M$2:$M$1501,0))))</f>
        <v/>
      </c>
      <c r="H53" s="17">
        <f>IF($B53="","",IF(INDEX('Conteo diario'!$L$2:$L$1501,MATCH(47,'Conteo diario'!$M$2:$M$1501,0))="","",INDEX('Conteo diario'!$L$2:$L$1501,MATCH(47,'Conteo diario'!$M$2:$M$1501,0))))</f>
        <v/>
      </c>
    </row>
    <row r="54">
      <c r="B54" s="17">
        <f>IF(COUNTIF('Conteo diario'!$M$2:$M$1501,48)=0,"",IF(OR($E$4="",INDEX('Conteo diario'!$E$2:$E$1501,MATCH(48,'Conteo diario'!$M$2:$M$1501,0))=$E$4),48,""))</f>
        <v/>
      </c>
      <c r="C54" s="17">
        <f>IF($B54="","",IF(INDEX('Conteo diario'!$D$2:$D$1501,MATCH(48,'Conteo diario'!$M$2:$M$1501,0))="","",INDEX('Conteo diario'!$D$2:$D$1501,MATCH(48,'Conteo diario'!$M$2:$M$1501,0))))</f>
        <v/>
      </c>
      <c r="D54" s="17">
        <f>IF($B54="","",IF(INDEX('Conteo diario'!$E$2:$E$1501,MATCH(48,'Conteo diario'!$M$2:$M$1501,0))="","",INDEX('Conteo diario'!$E$2:$E$1501,MATCH(48,'Conteo diario'!$M$2:$M$1501,0))))</f>
        <v/>
      </c>
      <c r="E54" s="17">
        <f>IF($B54="","",IF(INDEX('Conteo diario'!$F$2:$F$1501,MATCH(48,'Conteo diario'!$M$2:$M$1501,0))="","",INDEX('Conteo diario'!$F$2:$F$1501,MATCH(48,'Conteo diario'!$M$2:$M$1501,0))))</f>
        <v/>
      </c>
      <c r="F54" s="18">
        <f>IF($B54="","",IF(INDEX('Conteo diario'!$G$2:$G$1501,MATCH(48,'Conteo diario'!$M$2:$M$1501,0))="","",INDEX('Conteo diario'!$G$2:$G$1501,MATCH(48,'Conteo diario'!$M$2:$M$1501,0))))</f>
        <v/>
      </c>
      <c r="G54" s="18">
        <f>IF($B54="","",IF(INDEX('Conteo diario'!$I$2:$I$1501,MATCH(48,'Conteo diario'!$M$2:$M$1501,0))="","",INDEX('Conteo diario'!$I$2:$I$1501,MATCH(48,'Conteo diario'!$M$2:$M$1501,0))))</f>
        <v/>
      </c>
      <c r="H54" s="17">
        <f>IF($B54="","",IF(INDEX('Conteo diario'!$L$2:$L$1501,MATCH(48,'Conteo diario'!$M$2:$M$1501,0))="","",INDEX('Conteo diario'!$L$2:$L$1501,MATCH(48,'Conteo diario'!$M$2:$M$1501,0))))</f>
        <v/>
      </c>
    </row>
    <row r="55">
      <c r="B55" s="17">
        <f>IF(COUNTIF('Conteo diario'!$M$2:$M$1501,49)=0,"",IF(OR($E$4="",INDEX('Conteo diario'!$E$2:$E$1501,MATCH(49,'Conteo diario'!$M$2:$M$1501,0))=$E$4),49,""))</f>
        <v/>
      </c>
      <c r="C55" s="17">
        <f>IF($B55="","",IF(INDEX('Conteo diario'!$D$2:$D$1501,MATCH(49,'Conteo diario'!$M$2:$M$1501,0))="","",INDEX('Conteo diario'!$D$2:$D$1501,MATCH(49,'Conteo diario'!$M$2:$M$1501,0))))</f>
        <v/>
      </c>
      <c r="D55" s="17">
        <f>IF($B55="","",IF(INDEX('Conteo diario'!$E$2:$E$1501,MATCH(49,'Conteo diario'!$M$2:$M$1501,0))="","",INDEX('Conteo diario'!$E$2:$E$1501,MATCH(49,'Conteo diario'!$M$2:$M$1501,0))))</f>
        <v/>
      </c>
      <c r="E55" s="17">
        <f>IF($B55="","",IF(INDEX('Conteo diario'!$F$2:$F$1501,MATCH(49,'Conteo diario'!$M$2:$M$1501,0))="","",INDEX('Conteo diario'!$F$2:$F$1501,MATCH(49,'Conteo diario'!$M$2:$M$1501,0))))</f>
        <v/>
      </c>
      <c r="F55" s="18">
        <f>IF($B55="","",IF(INDEX('Conteo diario'!$G$2:$G$1501,MATCH(49,'Conteo diario'!$M$2:$M$1501,0))="","",INDEX('Conteo diario'!$G$2:$G$1501,MATCH(49,'Conteo diario'!$M$2:$M$1501,0))))</f>
        <v/>
      </c>
      <c r="G55" s="18">
        <f>IF($B55="","",IF(INDEX('Conteo diario'!$I$2:$I$1501,MATCH(49,'Conteo diario'!$M$2:$M$1501,0))="","",INDEX('Conteo diario'!$I$2:$I$1501,MATCH(49,'Conteo diario'!$M$2:$M$1501,0))))</f>
        <v/>
      </c>
      <c r="H55" s="17">
        <f>IF($B55="","",IF(INDEX('Conteo diario'!$L$2:$L$1501,MATCH(49,'Conteo diario'!$M$2:$M$1501,0))="","",INDEX('Conteo diario'!$L$2:$L$1501,MATCH(49,'Conteo diario'!$M$2:$M$1501,0))))</f>
        <v/>
      </c>
    </row>
    <row r="56">
      <c r="B56" s="17">
        <f>IF(COUNTIF('Conteo diario'!$M$2:$M$1501,50)=0,"",IF(OR($E$4="",INDEX('Conteo diario'!$E$2:$E$1501,MATCH(50,'Conteo diario'!$M$2:$M$1501,0))=$E$4),50,""))</f>
        <v/>
      </c>
      <c r="C56" s="17">
        <f>IF($B56="","",IF(INDEX('Conteo diario'!$D$2:$D$1501,MATCH(50,'Conteo diario'!$M$2:$M$1501,0))="","",INDEX('Conteo diario'!$D$2:$D$1501,MATCH(50,'Conteo diario'!$M$2:$M$1501,0))))</f>
        <v/>
      </c>
      <c r="D56" s="17">
        <f>IF($B56="","",IF(INDEX('Conteo diario'!$E$2:$E$1501,MATCH(50,'Conteo diario'!$M$2:$M$1501,0))="","",INDEX('Conteo diario'!$E$2:$E$1501,MATCH(50,'Conteo diario'!$M$2:$M$1501,0))))</f>
        <v/>
      </c>
      <c r="E56" s="17">
        <f>IF($B56="","",IF(INDEX('Conteo diario'!$F$2:$F$1501,MATCH(50,'Conteo diario'!$M$2:$M$1501,0))="","",INDEX('Conteo diario'!$F$2:$F$1501,MATCH(50,'Conteo diario'!$M$2:$M$1501,0))))</f>
        <v/>
      </c>
      <c r="F56" s="18">
        <f>IF($B56="","",IF(INDEX('Conteo diario'!$G$2:$G$1501,MATCH(50,'Conteo diario'!$M$2:$M$1501,0))="","",INDEX('Conteo diario'!$G$2:$G$1501,MATCH(50,'Conteo diario'!$M$2:$M$1501,0))))</f>
        <v/>
      </c>
      <c r="G56" s="18">
        <f>IF($B56="","",IF(INDEX('Conteo diario'!$I$2:$I$1501,MATCH(50,'Conteo diario'!$M$2:$M$1501,0))="","",INDEX('Conteo diario'!$I$2:$I$1501,MATCH(50,'Conteo diario'!$M$2:$M$1501,0))))</f>
        <v/>
      </c>
      <c r="H56" s="17">
        <f>IF($B56="","",IF(INDEX('Conteo diario'!$L$2:$L$1501,MATCH(50,'Conteo diario'!$M$2:$M$1501,0))="","",INDEX('Conteo diario'!$L$2:$L$1501,MATCH(50,'Conteo diario'!$M$2:$M$1501,0))))</f>
        <v/>
      </c>
    </row>
    <row r="57">
      <c r="B57" s="17">
        <f>IF(COUNTIF('Conteo diario'!$M$2:$M$1501,51)=0,"",IF(OR($E$4="",INDEX('Conteo diario'!$E$2:$E$1501,MATCH(51,'Conteo diario'!$M$2:$M$1501,0))=$E$4),51,""))</f>
        <v/>
      </c>
      <c r="C57" s="17">
        <f>IF($B57="","",IF(INDEX('Conteo diario'!$D$2:$D$1501,MATCH(51,'Conteo diario'!$M$2:$M$1501,0))="","",INDEX('Conteo diario'!$D$2:$D$1501,MATCH(51,'Conteo diario'!$M$2:$M$1501,0))))</f>
        <v/>
      </c>
      <c r="D57" s="17">
        <f>IF($B57="","",IF(INDEX('Conteo diario'!$E$2:$E$1501,MATCH(51,'Conteo diario'!$M$2:$M$1501,0))="","",INDEX('Conteo diario'!$E$2:$E$1501,MATCH(51,'Conteo diario'!$M$2:$M$1501,0))))</f>
        <v/>
      </c>
      <c r="E57" s="17">
        <f>IF($B57="","",IF(INDEX('Conteo diario'!$F$2:$F$1501,MATCH(51,'Conteo diario'!$M$2:$M$1501,0))="","",INDEX('Conteo diario'!$F$2:$F$1501,MATCH(51,'Conteo diario'!$M$2:$M$1501,0))))</f>
        <v/>
      </c>
      <c r="F57" s="18">
        <f>IF($B57="","",IF(INDEX('Conteo diario'!$G$2:$G$1501,MATCH(51,'Conteo diario'!$M$2:$M$1501,0))="","",INDEX('Conteo diario'!$G$2:$G$1501,MATCH(51,'Conteo diario'!$M$2:$M$1501,0))))</f>
        <v/>
      </c>
      <c r="G57" s="18">
        <f>IF($B57="","",IF(INDEX('Conteo diario'!$I$2:$I$1501,MATCH(51,'Conteo diario'!$M$2:$M$1501,0))="","",INDEX('Conteo diario'!$I$2:$I$1501,MATCH(51,'Conteo diario'!$M$2:$M$1501,0))))</f>
        <v/>
      </c>
      <c r="H57" s="17">
        <f>IF($B57="","",IF(INDEX('Conteo diario'!$L$2:$L$1501,MATCH(51,'Conteo diario'!$M$2:$M$1501,0))="","",INDEX('Conteo diario'!$L$2:$L$1501,MATCH(51,'Conteo diario'!$M$2:$M$1501,0))))</f>
        <v/>
      </c>
    </row>
    <row r="58">
      <c r="B58" s="17">
        <f>IF(COUNTIF('Conteo diario'!$M$2:$M$1501,52)=0,"",IF(OR($E$4="",INDEX('Conteo diario'!$E$2:$E$1501,MATCH(52,'Conteo diario'!$M$2:$M$1501,0))=$E$4),52,""))</f>
        <v/>
      </c>
      <c r="C58" s="17">
        <f>IF($B58="","",IF(INDEX('Conteo diario'!$D$2:$D$1501,MATCH(52,'Conteo diario'!$M$2:$M$1501,0))="","",INDEX('Conteo diario'!$D$2:$D$1501,MATCH(52,'Conteo diario'!$M$2:$M$1501,0))))</f>
        <v/>
      </c>
      <c r="D58" s="17">
        <f>IF($B58="","",IF(INDEX('Conteo diario'!$E$2:$E$1501,MATCH(52,'Conteo diario'!$M$2:$M$1501,0))="","",INDEX('Conteo diario'!$E$2:$E$1501,MATCH(52,'Conteo diario'!$M$2:$M$1501,0))))</f>
        <v/>
      </c>
      <c r="E58" s="17">
        <f>IF($B58="","",IF(INDEX('Conteo diario'!$F$2:$F$1501,MATCH(52,'Conteo diario'!$M$2:$M$1501,0))="","",INDEX('Conteo diario'!$F$2:$F$1501,MATCH(52,'Conteo diario'!$M$2:$M$1501,0))))</f>
        <v/>
      </c>
      <c r="F58" s="18">
        <f>IF($B58="","",IF(INDEX('Conteo diario'!$G$2:$G$1501,MATCH(52,'Conteo diario'!$M$2:$M$1501,0))="","",INDEX('Conteo diario'!$G$2:$G$1501,MATCH(52,'Conteo diario'!$M$2:$M$1501,0))))</f>
        <v/>
      </c>
      <c r="G58" s="18">
        <f>IF($B58="","",IF(INDEX('Conteo diario'!$I$2:$I$1501,MATCH(52,'Conteo diario'!$M$2:$M$1501,0))="","",INDEX('Conteo diario'!$I$2:$I$1501,MATCH(52,'Conteo diario'!$M$2:$M$1501,0))))</f>
        <v/>
      </c>
      <c r="H58" s="17">
        <f>IF($B58="","",IF(INDEX('Conteo diario'!$L$2:$L$1501,MATCH(52,'Conteo diario'!$M$2:$M$1501,0))="","",INDEX('Conteo diario'!$L$2:$L$1501,MATCH(52,'Conteo diario'!$M$2:$M$1501,0))))</f>
        <v/>
      </c>
    </row>
    <row r="59">
      <c r="B59" s="17">
        <f>IF(COUNTIF('Conteo diario'!$M$2:$M$1501,53)=0,"",IF(OR($E$4="",INDEX('Conteo diario'!$E$2:$E$1501,MATCH(53,'Conteo diario'!$M$2:$M$1501,0))=$E$4),53,""))</f>
        <v/>
      </c>
      <c r="C59" s="17">
        <f>IF($B59="","",IF(INDEX('Conteo diario'!$D$2:$D$1501,MATCH(53,'Conteo diario'!$M$2:$M$1501,0))="","",INDEX('Conteo diario'!$D$2:$D$1501,MATCH(53,'Conteo diario'!$M$2:$M$1501,0))))</f>
        <v/>
      </c>
      <c r="D59" s="17">
        <f>IF($B59="","",IF(INDEX('Conteo diario'!$E$2:$E$1501,MATCH(53,'Conteo diario'!$M$2:$M$1501,0))="","",INDEX('Conteo diario'!$E$2:$E$1501,MATCH(53,'Conteo diario'!$M$2:$M$1501,0))))</f>
        <v/>
      </c>
      <c r="E59" s="17">
        <f>IF($B59="","",IF(INDEX('Conteo diario'!$F$2:$F$1501,MATCH(53,'Conteo diario'!$M$2:$M$1501,0))="","",INDEX('Conteo diario'!$F$2:$F$1501,MATCH(53,'Conteo diario'!$M$2:$M$1501,0))))</f>
        <v/>
      </c>
      <c r="F59" s="18">
        <f>IF($B59="","",IF(INDEX('Conteo diario'!$G$2:$G$1501,MATCH(53,'Conteo diario'!$M$2:$M$1501,0))="","",INDEX('Conteo diario'!$G$2:$G$1501,MATCH(53,'Conteo diario'!$M$2:$M$1501,0))))</f>
        <v/>
      </c>
      <c r="G59" s="18">
        <f>IF($B59="","",IF(INDEX('Conteo diario'!$I$2:$I$1501,MATCH(53,'Conteo diario'!$M$2:$M$1501,0))="","",INDEX('Conteo diario'!$I$2:$I$1501,MATCH(53,'Conteo diario'!$M$2:$M$1501,0))))</f>
        <v/>
      </c>
      <c r="H59" s="17">
        <f>IF($B59="","",IF(INDEX('Conteo diario'!$L$2:$L$1501,MATCH(53,'Conteo diario'!$M$2:$M$1501,0))="","",INDEX('Conteo diario'!$L$2:$L$1501,MATCH(53,'Conteo diario'!$M$2:$M$1501,0))))</f>
        <v/>
      </c>
    </row>
    <row r="60">
      <c r="B60" s="17">
        <f>IF(COUNTIF('Conteo diario'!$M$2:$M$1501,54)=0,"",IF(OR($E$4="",INDEX('Conteo diario'!$E$2:$E$1501,MATCH(54,'Conteo diario'!$M$2:$M$1501,0))=$E$4),54,""))</f>
        <v/>
      </c>
      <c r="C60" s="17">
        <f>IF($B60="","",IF(INDEX('Conteo diario'!$D$2:$D$1501,MATCH(54,'Conteo diario'!$M$2:$M$1501,0))="","",INDEX('Conteo diario'!$D$2:$D$1501,MATCH(54,'Conteo diario'!$M$2:$M$1501,0))))</f>
        <v/>
      </c>
      <c r="D60" s="17">
        <f>IF($B60="","",IF(INDEX('Conteo diario'!$E$2:$E$1501,MATCH(54,'Conteo diario'!$M$2:$M$1501,0))="","",INDEX('Conteo diario'!$E$2:$E$1501,MATCH(54,'Conteo diario'!$M$2:$M$1501,0))))</f>
        <v/>
      </c>
      <c r="E60" s="17">
        <f>IF($B60="","",IF(INDEX('Conteo diario'!$F$2:$F$1501,MATCH(54,'Conteo diario'!$M$2:$M$1501,0))="","",INDEX('Conteo diario'!$F$2:$F$1501,MATCH(54,'Conteo diario'!$M$2:$M$1501,0))))</f>
        <v/>
      </c>
      <c r="F60" s="18">
        <f>IF($B60="","",IF(INDEX('Conteo diario'!$G$2:$G$1501,MATCH(54,'Conteo diario'!$M$2:$M$1501,0))="","",INDEX('Conteo diario'!$G$2:$G$1501,MATCH(54,'Conteo diario'!$M$2:$M$1501,0))))</f>
        <v/>
      </c>
      <c r="G60" s="18">
        <f>IF($B60="","",IF(INDEX('Conteo diario'!$I$2:$I$1501,MATCH(54,'Conteo diario'!$M$2:$M$1501,0))="","",INDEX('Conteo diario'!$I$2:$I$1501,MATCH(54,'Conteo diario'!$M$2:$M$1501,0))))</f>
        <v/>
      </c>
      <c r="H60" s="17">
        <f>IF($B60="","",IF(INDEX('Conteo diario'!$L$2:$L$1501,MATCH(54,'Conteo diario'!$M$2:$M$1501,0))="","",INDEX('Conteo diario'!$L$2:$L$1501,MATCH(54,'Conteo diario'!$M$2:$M$1501,0))))</f>
        <v/>
      </c>
    </row>
    <row r="61">
      <c r="B61" s="17">
        <f>IF(COUNTIF('Conteo diario'!$M$2:$M$1501,55)=0,"",IF(OR($E$4="",INDEX('Conteo diario'!$E$2:$E$1501,MATCH(55,'Conteo diario'!$M$2:$M$1501,0))=$E$4),55,""))</f>
        <v/>
      </c>
      <c r="C61" s="17">
        <f>IF($B61="","",IF(INDEX('Conteo diario'!$D$2:$D$1501,MATCH(55,'Conteo diario'!$M$2:$M$1501,0))="","",INDEX('Conteo diario'!$D$2:$D$1501,MATCH(55,'Conteo diario'!$M$2:$M$1501,0))))</f>
        <v/>
      </c>
      <c r="D61" s="17">
        <f>IF($B61="","",IF(INDEX('Conteo diario'!$E$2:$E$1501,MATCH(55,'Conteo diario'!$M$2:$M$1501,0))="","",INDEX('Conteo diario'!$E$2:$E$1501,MATCH(55,'Conteo diario'!$M$2:$M$1501,0))))</f>
        <v/>
      </c>
      <c r="E61" s="17">
        <f>IF($B61="","",IF(INDEX('Conteo diario'!$F$2:$F$1501,MATCH(55,'Conteo diario'!$M$2:$M$1501,0))="","",INDEX('Conteo diario'!$F$2:$F$1501,MATCH(55,'Conteo diario'!$M$2:$M$1501,0))))</f>
        <v/>
      </c>
      <c r="F61" s="18">
        <f>IF($B61="","",IF(INDEX('Conteo diario'!$G$2:$G$1501,MATCH(55,'Conteo diario'!$M$2:$M$1501,0))="","",INDEX('Conteo diario'!$G$2:$G$1501,MATCH(55,'Conteo diario'!$M$2:$M$1501,0))))</f>
        <v/>
      </c>
      <c r="G61" s="18">
        <f>IF($B61="","",IF(INDEX('Conteo diario'!$I$2:$I$1501,MATCH(55,'Conteo diario'!$M$2:$M$1501,0))="","",INDEX('Conteo diario'!$I$2:$I$1501,MATCH(55,'Conteo diario'!$M$2:$M$1501,0))))</f>
        <v/>
      </c>
      <c r="H61" s="17">
        <f>IF($B61="","",IF(INDEX('Conteo diario'!$L$2:$L$1501,MATCH(55,'Conteo diario'!$M$2:$M$1501,0))="","",INDEX('Conteo diario'!$L$2:$L$1501,MATCH(55,'Conteo diario'!$M$2:$M$1501,0))))</f>
        <v/>
      </c>
    </row>
    <row r="62">
      <c r="B62" s="17">
        <f>IF(COUNTIF('Conteo diario'!$M$2:$M$1501,56)=0,"",IF(OR($E$4="",INDEX('Conteo diario'!$E$2:$E$1501,MATCH(56,'Conteo diario'!$M$2:$M$1501,0))=$E$4),56,""))</f>
        <v/>
      </c>
      <c r="C62" s="17">
        <f>IF($B62="","",IF(INDEX('Conteo diario'!$D$2:$D$1501,MATCH(56,'Conteo diario'!$M$2:$M$1501,0))="","",INDEX('Conteo diario'!$D$2:$D$1501,MATCH(56,'Conteo diario'!$M$2:$M$1501,0))))</f>
        <v/>
      </c>
      <c r="D62" s="17">
        <f>IF($B62="","",IF(INDEX('Conteo diario'!$E$2:$E$1501,MATCH(56,'Conteo diario'!$M$2:$M$1501,0))="","",INDEX('Conteo diario'!$E$2:$E$1501,MATCH(56,'Conteo diario'!$M$2:$M$1501,0))))</f>
        <v/>
      </c>
      <c r="E62" s="17">
        <f>IF($B62="","",IF(INDEX('Conteo diario'!$F$2:$F$1501,MATCH(56,'Conteo diario'!$M$2:$M$1501,0))="","",INDEX('Conteo diario'!$F$2:$F$1501,MATCH(56,'Conteo diario'!$M$2:$M$1501,0))))</f>
        <v/>
      </c>
      <c r="F62" s="18">
        <f>IF($B62="","",IF(INDEX('Conteo diario'!$G$2:$G$1501,MATCH(56,'Conteo diario'!$M$2:$M$1501,0))="","",INDEX('Conteo diario'!$G$2:$G$1501,MATCH(56,'Conteo diario'!$M$2:$M$1501,0))))</f>
        <v/>
      </c>
      <c r="G62" s="18">
        <f>IF($B62="","",IF(INDEX('Conteo diario'!$I$2:$I$1501,MATCH(56,'Conteo diario'!$M$2:$M$1501,0))="","",INDEX('Conteo diario'!$I$2:$I$1501,MATCH(56,'Conteo diario'!$M$2:$M$1501,0))))</f>
        <v/>
      </c>
      <c r="H62" s="17">
        <f>IF($B62="","",IF(INDEX('Conteo diario'!$L$2:$L$1501,MATCH(56,'Conteo diario'!$M$2:$M$1501,0))="","",INDEX('Conteo diario'!$L$2:$L$1501,MATCH(56,'Conteo diario'!$M$2:$M$1501,0))))</f>
        <v/>
      </c>
    </row>
    <row r="63">
      <c r="B63" s="17">
        <f>IF(COUNTIF('Conteo diario'!$M$2:$M$1501,57)=0,"",IF(OR($E$4="",INDEX('Conteo diario'!$E$2:$E$1501,MATCH(57,'Conteo diario'!$M$2:$M$1501,0))=$E$4),57,""))</f>
        <v/>
      </c>
      <c r="C63" s="17">
        <f>IF($B63="","",IF(INDEX('Conteo diario'!$D$2:$D$1501,MATCH(57,'Conteo diario'!$M$2:$M$1501,0))="","",INDEX('Conteo diario'!$D$2:$D$1501,MATCH(57,'Conteo diario'!$M$2:$M$1501,0))))</f>
        <v/>
      </c>
      <c r="D63" s="17">
        <f>IF($B63="","",IF(INDEX('Conteo diario'!$E$2:$E$1501,MATCH(57,'Conteo diario'!$M$2:$M$1501,0))="","",INDEX('Conteo diario'!$E$2:$E$1501,MATCH(57,'Conteo diario'!$M$2:$M$1501,0))))</f>
        <v/>
      </c>
      <c r="E63" s="17">
        <f>IF($B63="","",IF(INDEX('Conteo diario'!$F$2:$F$1501,MATCH(57,'Conteo diario'!$M$2:$M$1501,0))="","",INDEX('Conteo diario'!$F$2:$F$1501,MATCH(57,'Conteo diario'!$M$2:$M$1501,0))))</f>
        <v/>
      </c>
      <c r="F63" s="18">
        <f>IF($B63="","",IF(INDEX('Conteo diario'!$G$2:$G$1501,MATCH(57,'Conteo diario'!$M$2:$M$1501,0))="","",INDEX('Conteo diario'!$G$2:$G$1501,MATCH(57,'Conteo diario'!$M$2:$M$1501,0))))</f>
        <v/>
      </c>
      <c r="G63" s="18">
        <f>IF($B63="","",IF(INDEX('Conteo diario'!$I$2:$I$1501,MATCH(57,'Conteo diario'!$M$2:$M$1501,0))="","",INDEX('Conteo diario'!$I$2:$I$1501,MATCH(57,'Conteo diario'!$M$2:$M$1501,0))))</f>
        <v/>
      </c>
      <c r="H63" s="17">
        <f>IF($B63="","",IF(INDEX('Conteo diario'!$L$2:$L$1501,MATCH(57,'Conteo diario'!$M$2:$M$1501,0))="","",INDEX('Conteo diario'!$L$2:$L$1501,MATCH(57,'Conteo diario'!$M$2:$M$1501,0))))</f>
        <v/>
      </c>
    </row>
    <row r="64">
      <c r="B64" s="17">
        <f>IF(COUNTIF('Conteo diario'!$M$2:$M$1501,58)=0,"",IF(OR($E$4="",INDEX('Conteo diario'!$E$2:$E$1501,MATCH(58,'Conteo diario'!$M$2:$M$1501,0))=$E$4),58,""))</f>
        <v/>
      </c>
      <c r="C64" s="17">
        <f>IF($B64="","",IF(INDEX('Conteo diario'!$D$2:$D$1501,MATCH(58,'Conteo diario'!$M$2:$M$1501,0))="","",INDEX('Conteo diario'!$D$2:$D$1501,MATCH(58,'Conteo diario'!$M$2:$M$1501,0))))</f>
        <v/>
      </c>
      <c r="D64" s="17">
        <f>IF($B64="","",IF(INDEX('Conteo diario'!$E$2:$E$1501,MATCH(58,'Conteo diario'!$M$2:$M$1501,0))="","",INDEX('Conteo diario'!$E$2:$E$1501,MATCH(58,'Conteo diario'!$M$2:$M$1501,0))))</f>
        <v/>
      </c>
      <c r="E64" s="17">
        <f>IF($B64="","",IF(INDEX('Conteo diario'!$F$2:$F$1501,MATCH(58,'Conteo diario'!$M$2:$M$1501,0))="","",INDEX('Conteo diario'!$F$2:$F$1501,MATCH(58,'Conteo diario'!$M$2:$M$1501,0))))</f>
        <v/>
      </c>
      <c r="F64" s="18">
        <f>IF($B64="","",IF(INDEX('Conteo diario'!$G$2:$G$1501,MATCH(58,'Conteo diario'!$M$2:$M$1501,0))="","",INDEX('Conteo diario'!$G$2:$G$1501,MATCH(58,'Conteo diario'!$M$2:$M$1501,0))))</f>
        <v/>
      </c>
      <c r="G64" s="18">
        <f>IF($B64="","",IF(INDEX('Conteo diario'!$I$2:$I$1501,MATCH(58,'Conteo diario'!$M$2:$M$1501,0))="","",INDEX('Conteo diario'!$I$2:$I$1501,MATCH(58,'Conteo diario'!$M$2:$M$1501,0))))</f>
        <v/>
      </c>
      <c r="H64" s="17">
        <f>IF($B64="","",IF(INDEX('Conteo diario'!$L$2:$L$1501,MATCH(58,'Conteo diario'!$M$2:$M$1501,0))="","",INDEX('Conteo diario'!$L$2:$L$1501,MATCH(58,'Conteo diario'!$M$2:$M$1501,0))))</f>
        <v/>
      </c>
    </row>
    <row r="65">
      <c r="B65" s="17">
        <f>IF(COUNTIF('Conteo diario'!$M$2:$M$1501,59)=0,"",IF(OR($E$4="",INDEX('Conteo diario'!$E$2:$E$1501,MATCH(59,'Conteo diario'!$M$2:$M$1501,0))=$E$4),59,""))</f>
        <v/>
      </c>
      <c r="C65" s="17">
        <f>IF($B65="","",IF(INDEX('Conteo diario'!$D$2:$D$1501,MATCH(59,'Conteo diario'!$M$2:$M$1501,0))="","",INDEX('Conteo diario'!$D$2:$D$1501,MATCH(59,'Conteo diario'!$M$2:$M$1501,0))))</f>
        <v/>
      </c>
      <c r="D65" s="17">
        <f>IF($B65="","",IF(INDEX('Conteo diario'!$E$2:$E$1501,MATCH(59,'Conteo diario'!$M$2:$M$1501,0))="","",INDEX('Conteo diario'!$E$2:$E$1501,MATCH(59,'Conteo diario'!$M$2:$M$1501,0))))</f>
        <v/>
      </c>
      <c r="E65" s="17">
        <f>IF($B65="","",IF(INDEX('Conteo diario'!$F$2:$F$1501,MATCH(59,'Conteo diario'!$M$2:$M$1501,0))="","",INDEX('Conteo diario'!$F$2:$F$1501,MATCH(59,'Conteo diario'!$M$2:$M$1501,0))))</f>
        <v/>
      </c>
      <c r="F65" s="18">
        <f>IF($B65="","",IF(INDEX('Conteo diario'!$G$2:$G$1501,MATCH(59,'Conteo diario'!$M$2:$M$1501,0))="","",INDEX('Conteo diario'!$G$2:$G$1501,MATCH(59,'Conteo diario'!$M$2:$M$1501,0))))</f>
        <v/>
      </c>
      <c r="G65" s="18">
        <f>IF($B65="","",IF(INDEX('Conteo diario'!$I$2:$I$1501,MATCH(59,'Conteo diario'!$M$2:$M$1501,0))="","",INDEX('Conteo diario'!$I$2:$I$1501,MATCH(59,'Conteo diario'!$M$2:$M$1501,0))))</f>
        <v/>
      </c>
      <c r="H65" s="17">
        <f>IF($B65="","",IF(INDEX('Conteo diario'!$L$2:$L$1501,MATCH(59,'Conteo diario'!$M$2:$M$1501,0))="","",INDEX('Conteo diario'!$L$2:$L$1501,MATCH(59,'Conteo diario'!$M$2:$M$1501,0))))</f>
        <v/>
      </c>
    </row>
    <row r="66">
      <c r="B66" s="17">
        <f>IF(COUNTIF('Conteo diario'!$M$2:$M$1501,60)=0,"",IF(OR($E$4="",INDEX('Conteo diario'!$E$2:$E$1501,MATCH(60,'Conteo diario'!$M$2:$M$1501,0))=$E$4),60,""))</f>
        <v/>
      </c>
      <c r="C66" s="17">
        <f>IF($B66="","",IF(INDEX('Conteo diario'!$D$2:$D$1501,MATCH(60,'Conteo diario'!$M$2:$M$1501,0))="","",INDEX('Conteo diario'!$D$2:$D$1501,MATCH(60,'Conteo diario'!$M$2:$M$1501,0))))</f>
        <v/>
      </c>
      <c r="D66" s="17">
        <f>IF($B66="","",IF(INDEX('Conteo diario'!$E$2:$E$1501,MATCH(60,'Conteo diario'!$M$2:$M$1501,0))="","",INDEX('Conteo diario'!$E$2:$E$1501,MATCH(60,'Conteo diario'!$M$2:$M$1501,0))))</f>
        <v/>
      </c>
      <c r="E66" s="17">
        <f>IF($B66="","",IF(INDEX('Conteo diario'!$F$2:$F$1501,MATCH(60,'Conteo diario'!$M$2:$M$1501,0))="","",INDEX('Conteo diario'!$F$2:$F$1501,MATCH(60,'Conteo diario'!$M$2:$M$1501,0))))</f>
        <v/>
      </c>
      <c r="F66" s="18">
        <f>IF($B66="","",IF(INDEX('Conteo diario'!$G$2:$G$1501,MATCH(60,'Conteo diario'!$M$2:$M$1501,0))="","",INDEX('Conteo diario'!$G$2:$G$1501,MATCH(60,'Conteo diario'!$M$2:$M$1501,0))))</f>
        <v/>
      </c>
      <c r="G66" s="18">
        <f>IF($B66="","",IF(INDEX('Conteo diario'!$I$2:$I$1501,MATCH(60,'Conteo diario'!$M$2:$M$1501,0))="","",INDEX('Conteo diario'!$I$2:$I$1501,MATCH(60,'Conteo diario'!$M$2:$M$1501,0))))</f>
        <v/>
      </c>
      <c r="H66" s="17">
        <f>IF($B66="","",IF(INDEX('Conteo diario'!$L$2:$L$1501,MATCH(60,'Conteo diario'!$M$2:$M$1501,0))="","",INDEX('Conteo diario'!$L$2:$L$1501,MATCH(60,'Conteo diario'!$M$2:$M$1501,0))))</f>
        <v/>
      </c>
    </row>
    <row r="68">
      <c r="B68" s="12" t="inlineStr">
        <is>
          <t>Las filas vacías son insumos de otro sector cuando filtrás. Para imprimir, filtrá por sector.</t>
        </is>
      </c>
    </row>
  </sheetData>
  <dataValidations count="1">
    <dataValidation sqref="E4" showDropDown="0" showInputMessage="0" showErrorMessage="0" allowBlank="1" type="list">
      <formula1>=Configuración!$B$6:$B$15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2026-10-20T19:58:35Z</dcterms:created>
  <dcterms:modified xmlns:dcterms="http://purl.org/dc/terms/" xmlns:xsi="http://www.w3.org/2001/XMLSchema-instance" xsi:type="dcterms:W3CDTF">2026-10-20T19:58:37Z</dcterms:modified>
</cp:coreProperties>
</file>